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3795" yWindow="900" windowWidth="13605" windowHeight="6975" tabRatio="805"/>
  </bookViews>
  <sheets>
    <sheet name="Table 1 State Summary " sheetId="81" r:id="rId1"/>
    <sheet name="Table 2_State Distrib and Adjs" sheetId="33" r:id="rId2"/>
    <sheet name="Table 2A-1_EFT (Annual)" sheetId="100" r:id="rId3"/>
    <sheet name="Table 2A-2 EFT (Monthly)" sheetId="72" r:id="rId4"/>
    <sheet name="Table 3 Levels 1&amp;2" sheetId="1" r:id="rId5"/>
    <sheet name="Table 4 Level 3" sheetId="2" r:id="rId6"/>
    <sheet name="Table 4A Stipends" sheetId="138" r:id="rId7"/>
    <sheet name="Table 5A Labs, NOCCA,LSMSA" sheetId="5" r:id="rId8"/>
    <sheet name="Table 5B1_RSD_Orleans" sheetId="31" r:id="rId9"/>
    <sheet name="Table 5B2_RSD_LA" sheetId="46" r:id="rId10"/>
    <sheet name="Table 5C1A-Madison Prep" sheetId="113" r:id="rId11"/>
    <sheet name="Table 5C1B-DArbonne" sheetId="114" r:id="rId12"/>
    <sheet name="Table 5C1C-Intl_VIBE" sheetId="115" r:id="rId13"/>
    <sheet name="Table 5C1D-NOMMA" sheetId="116" r:id="rId14"/>
    <sheet name="Table 5C1E-LFNO" sheetId="117" r:id="rId15"/>
    <sheet name="Table 5C1F-Lake Charles Charter" sheetId="118" r:id="rId16"/>
    <sheet name="Table 5C1G-JS Clark Academy" sheetId="119" r:id="rId17"/>
    <sheet name="Table 5C1H-Southwest LA Charter" sheetId="120" r:id="rId18"/>
    <sheet name="Table 5C1I-LA Key Academy" sheetId="125" r:id="rId19"/>
    <sheet name="Table 5C1J-Jefferson Chamber" sheetId="126" r:id="rId20"/>
    <sheet name="Table 5C1K-Tallulah Charter" sheetId="127" r:id="rId21"/>
    <sheet name="Table 5C1L-Northshore Charter" sheetId="128" r:id="rId22"/>
    <sheet name="Table 5C1M-B.R. Charter" sheetId="129" r:id="rId23"/>
    <sheet name="Table 5C1N-Delta Charter" sheetId="131" r:id="rId24"/>
    <sheet name="Table 5C2 - LA Virtual Admy" sheetId="76" r:id="rId25"/>
    <sheet name="Table 5C3 - LA Connections EBR" sheetId="80" r:id="rId26"/>
    <sheet name="Table 5D- Legacy Type 2" sheetId="137" r:id="rId27"/>
    <sheet name="Table 5E_OJJ" sheetId="67" r:id="rId28"/>
    <sheet name="Table 6 (Local Deduct Calc.)" sheetId="25" r:id="rId29"/>
    <sheet name="Table 7 Local Revenue" sheetId="13" r:id="rId30"/>
    <sheet name="2-1-13 SIS" sheetId="136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</externalReferences>
  <definedNames>
    <definedName name="_1_2004_2005_AFR_4_Ad_Valorem_Taxes" localSheetId="0">#REF!</definedName>
    <definedName name="_1_2004_2005_AFR_4_Ad_Valorem_Taxes" localSheetId="2">#REF!</definedName>
    <definedName name="_1_2004_2005_AFR_4_Ad_Valorem_Taxes" localSheetId="11">#REF!</definedName>
    <definedName name="_1_2004_2005_AFR_4_Ad_Valorem_Taxes" localSheetId="12">#REF!</definedName>
    <definedName name="_1_2004_2005_AFR_4_Ad_Valorem_Taxes" localSheetId="13">#REF!</definedName>
    <definedName name="_1_2004_2005_AFR_4_Ad_Valorem_Taxes" localSheetId="14">#REF!</definedName>
    <definedName name="_1_2004_2005_AFR_4_Ad_Valorem_Taxes" localSheetId="15">#REF!</definedName>
    <definedName name="_1_2004_2005_AFR_4_Ad_Valorem_Taxes" localSheetId="16">#REF!</definedName>
    <definedName name="_1_2004_2005_AFR_4_Ad_Valorem_Taxes" localSheetId="17">#REF!</definedName>
    <definedName name="_1_2004_2005_AFR_4_Ad_Valorem_Taxes" localSheetId="18">#REF!</definedName>
    <definedName name="_1_2004_2005_AFR_4_Ad_Valorem_Taxes" localSheetId="19">#REF!</definedName>
    <definedName name="_1_2004_2005_AFR_4_Ad_Valorem_Taxes" localSheetId="20">#REF!</definedName>
    <definedName name="_1_2004_2005_AFR_4_Ad_Valorem_Taxes" localSheetId="21">#REF!</definedName>
    <definedName name="_1_2004_2005_AFR_4_Ad_Valorem_Taxes" localSheetId="22">#REF!</definedName>
    <definedName name="_1_2004_2005_AFR_4_Ad_Valorem_Taxes" localSheetId="23">#REF!</definedName>
    <definedName name="_1_2004_2005_AFR_4_Ad_Valorem_Taxes" localSheetId="26">#REF!</definedName>
    <definedName name="_1_2004_2005_AFR_4_Ad_Valorem_Taxes">#REF!</definedName>
    <definedName name="_2004_2005_AFR_4_Ad_Valorem_Taxes">#REF!</definedName>
    <definedName name="Import_Elem_Secondary_ByLEA" localSheetId="0">#REF!</definedName>
    <definedName name="Import_Elem_Secondary_ByLEA" localSheetId="2">#REF!</definedName>
    <definedName name="Import_Elem_Secondary_ByLEA" localSheetId="11">#REF!</definedName>
    <definedName name="Import_Elem_Secondary_ByLEA" localSheetId="12">#REF!</definedName>
    <definedName name="Import_Elem_Secondary_ByLEA" localSheetId="13">#REF!</definedName>
    <definedName name="Import_Elem_Secondary_ByLEA" localSheetId="14">#REF!</definedName>
    <definedName name="Import_Elem_Secondary_ByLEA" localSheetId="15">#REF!</definedName>
    <definedName name="Import_Elem_Secondary_ByLEA" localSheetId="16">#REF!</definedName>
    <definedName name="Import_Elem_Secondary_ByLEA" localSheetId="17">#REF!</definedName>
    <definedName name="Import_Elem_Secondary_ByLEA" localSheetId="18">#REF!</definedName>
    <definedName name="Import_Elem_Secondary_ByLEA" localSheetId="19">#REF!</definedName>
    <definedName name="Import_Elem_Secondary_ByLEA" localSheetId="20">#REF!</definedName>
    <definedName name="Import_Elem_Secondary_ByLEA" localSheetId="21">#REF!</definedName>
    <definedName name="Import_Elem_Secondary_ByLEA" localSheetId="22">#REF!</definedName>
    <definedName name="Import_Elem_Secondary_ByLEA" localSheetId="23">#REF!</definedName>
    <definedName name="Import_Elem_Secondary_ByLEA">#REF!</definedName>
    <definedName name="Import_K_12_ByLEA" localSheetId="0">#REF!</definedName>
    <definedName name="Import_K_12_ByLEA" localSheetId="2">#REF!</definedName>
    <definedName name="Import_K_12_ByLEA" localSheetId="11">#REF!</definedName>
    <definedName name="Import_K_12_ByLEA" localSheetId="12">#REF!</definedName>
    <definedName name="Import_K_12_ByLEA" localSheetId="13">#REF!</definedName>
    <definedName name="Import_K_12_ByLEA" localSheetId="14">#REF!</definedName>
    <definedName name="Import_K_12_ByLEA" localSheetId="15">#REF!</definedName>
    <definedName name="Import_K_12_ByLEA" localSheetId="16">#REF!</definedName>
    <definedName name="Import_K_12_ByLEA" localSheetId="17">#REF!</definedName>
    <definedName name="Import_K_12_ByLEA" localSheetId="18">#REF!</definedName>
    <definedName name="Import_K_12_ByLEA" localSheetId="19">#REF!</definedName>
    <definedName name="Import_K_12_ByLEA" localSheetId="20">#REF!</definedName>
    <definedName name="Import_K_12_ByLEA" localSheetId="21">#REF!</definedName>
    <definedName name="Import_K_12_ByLEA" localSheetId="22">#REF!</definedName>
    <definedName name="Import_K_12_ByLEA" localSheetId="23">#REF!</definedName>
    <definedName name="Import_K_12_ByLEA">#REF!</definedName>
    <definedName name="Import_MFP_and_Other_Funded_ByLEA" localSheetId="0">#REF!</definedName>
    <definedName name="Import_MFP_and_Other_Funded_ByLEA" localSheetId="2">#REF!</definedName>
    <definedName name="Import_MFP_and_Other_Funded_ByLEA" localSheetId="11">#REF!</definedName>
    <definedName name="Import_MFP_and_Other_Funded_ByLEA" localSheetId="12">#REF!</definedName>
    <definedName name="Import_MFP_and_Other_Funded_ByLEA" localSheetId="13">#REF!</definedName>
    <definedName name="Import_MFP_and_Other_Funded_ByLEA" localSheetId="14">#REF!</definedName>
    <definedName name="Import_MFP_and_Other_Funded_ByLEA" localSheetId="15">#REF!</definedName>
    <definedName name="Import_MFP_and_Other_Funded_ByLEA" localSheetId="16">#REF!</definedName>
    <definedName name="Import_MFP_and_Other_Funded_ByLEA" localSheetId="17">#REF!</definedName>
    <definedName name="Import_MFP_and_Other_Funded_ByLEA" localSheetId="18">#REF!</definedName>
    <definedName name="Import_MFP_and_Other_Funded_ByLEA" localSheetId="19">#REF!</definedName>
    <definedName name="Import_MFP_and_Other_Funded_ByLEA" localSheetId="20">#REF!</definedName>
    <definedName name="Import_MFP_and_Other_Funded_ByLEA" localSheetId="21">#REF!</definedName>
    <definedName name="Import_MFP_and_Other_Funded_ByLEA" localSheetId="22">#REF!</definedName>
    <definedName name="Import_MFP_and_Other_Funded_ByLEA" localSheetId="23">#REF!</definedName>
    <definedName name="Import_MFP_and_Other_Funded_ByLEA">#REF!</definedName>
    <definedName name="Import_Total_Reported_ByLEA" localSheetId="0">#REF!</definedName>
    <definedName name="Import_Total_Reported_ByLEA" localSheetId="2">#REF!</definedName>
    <definedName name="Import_Total_Reported_ByLEA" localSheetId="11">#REF!</definedName>
    <definedName name="Import_Total_Reported_ByLEA" localSheetId="12">#REF!</definedName>
    <definedName name="Import_Total_Reported_ByLEA" localSheetId="13">#REF!</definedName>
    <definedName name="Import_Total_Reported_ByLEA" localSheetId="14">#REF!</definedName>
    <definedName name="Import_Total_Reported_ByLEA" localSheetId="15">#REF!</definedName>
    <definedName name="Import_Total_Reported_ByLEA" localSheetId="16">#REF!</definedName>
    <definedName name="Import_Total_Reported_ByLEA" localSheetId="17">#REF!</definedName>
    <definedName name="Import_Total_Reported_ByLEA" localSheetId="18">#REF!</definedName>
    <definedName name="Import_Total_Reported_ByLEA" localSheetId="19">#REF!</definedName>
    <definedName name="Import_Total_Reported_ByLEA" localSheetId="20">#REF!</definedName>
    <definedName name="Import_Total_Reported_ByLEA" localSheetId="21">#REF!</definedName>
    <definedName name="Import_Total_Reported_ByLEA" localSheetId="22">#REF!</definedName>
    <definedName name="Import_Total_Reported_ByLEA" localSheetId="23">#REF!</definedName>
    <definedName name="Import_Total_Reported_ByLEA">#REF!</definedName>
    <definedName name="_xlnm.Print_Area" localSheetId="0">'Table 1 State Summary '!$A$1:$H$82</definedName>
    <definedName name="_xlnm.Print_Area" localSheetId="1">'Table 2_State Distrib and Adjs'!$A$1:$AF$78</definedName>
    <definedName name="_xlnm.Print_Area" localSheetId="2">'Table 2A-1_EFT (Annual)'!$A$1:$X$82</definedName>
    <definedName name="_xlnm.Print_Area" localSheetId="3">'Table 2A-2 EFT (Monthly)'!$A$1:$AR$76</definedName>
    <definedName name="_xlnm.Print_Area" localSheetId="4">'Table 3 Levels 1&amp;2'!$A$1:$BA$84</definedName>
    <definedName name="_xlnm.Print_Area" localSheetId="5">'Table 4 Level 3'!$A$1:$W$76</definedName>
    <definedName name="_xlnm.Print_Area" localSheetId="6">'Table 4A Stipends'!$A$1:$G$78</definedName>
    <definedName name="_xlnm.Print_Area" localSheetId="7">'Table 5A Labs, NOCCA,LSMSA'!$A$1:$P$23</definedName>
    <definedName name="_xlnm.Print_Area" localSheetId="8">'Table 5B1_RSD_Orleans'!$A$1:$AK$76</definedName>
    <definedName name="_xlnm.Print_Area" localSheetId="9">'Table 5B2_RSD_LA'!$A$3:$AQ$55</definedName>
    <definedName name="_xlnm.Print_Area" localSheetId="10">'Table 5C1A-Madison Prep'!$A$2:$AK$78</definedName>
    <definedName name="_xlnm.Print_Area" localSheetId="11">'Table 5C1B-DArbonne'!$A$2:$AK$79</definedName>
    <definedName name="_xlnm.Print_Area" localSheetId="12">'Table 5C1C-Intl_VIBE'!$A$2:$AK$78</definedName>
    <definedName name="_xlnm.Print_Area" localSheetId="13">'Table 5C1D-NOMMA'!$A$2:$AK$78</definedName>
    <definedName name="_xlnm.Print_Area" localSheetId="14">'Table 5C1E-LFNO'!$A$2:$AM$78</definedName>
    <definedName name="_xlnm.Print_Area" localSheetId="15">'Table 5C1F-Lake Charles Charter'!$A$2:$AK$78</definedName>
    <definedName name="_xlnm.Print_Area" localSheetId="16">'Table 5C1G-JS Clark Academy'!$A$2:$AK$78</definedName>
    <definedName name="_xlnm.Print_Area" localSheetId="17">'Table 5C1H-Southwest LA Charter'!$A$2:$AK$78</definedName>
    <definedName name="_xlnm.Print_Area" localSheetId="18">'Table 5C1I-LA Key Academy'!$A$2:$AK$83</definedName>
    <definedName name="_xlnm.Print_Area" localSheetId="19">'Table 5C1J-Jefferson Chamber'!$A$2:$AN$82</definedName>
    <definedName name="_xlnm.Print_Area" localSheetId="20">'Table 5C1K-Tallulah Charter'!$A$2:$AN$82</definedName>
    <definedName name="_xlnm.Print_Area" localSheetId="21">'Table 5C1L-Northshore Charter'!$A$2:$AN$82</definedName>
    <definedName name="_xlnm.Print_Area" localSheetId="22">'Table 5C1M-B.R. Charter'!$A$2:$AN$83</definedName>
    <definedName name="_xlnm.Print_Area" localSheetId="23">'Table 5C1N-Delta Charter'!$A$2:$AN$82</definedName>
    <definedName name="_xlnm.Print_Area" localSheetId="24">'Table 5C2 - LA Virtual Admy'!$A$1:$AO$84</definedName>
    <definedName name="_xlnm.Print_Area" localSheetId="25">'Table 5C3 - LA Connections EBR'!$A$1:$AO$84</definedName>
    <definedName name="_xlnm.Print_Area" localSheetId="26">'Table 5D- Legacy Type 2'!$A$1:$U$30</definedName>
    <definedName name="_xlnm.Print_Area" localSheetId="27">'Table 5E_OJJ'!$A$2:$Z$78</definedName>
    <definedName name="_xlnm.Print_Area" localSheetId="28">'Table 6 (Local Deduct Calc.)'!$A$3:$J$78</definedName>
    <definedName name="_xlnm.Print_Area" localSheetId="29">'Table 7 Local Revenue'!$A$3:$AR$77</definedName>
    <definedName name="_xlnm.Print_Titles" localSheetId="30">'2-1-13 SIS'!$B:$B</definedName>
    <definedName name="_xlnm.Print_Titles" localSheetId="0">'Table 1 State Summary '!$1:$8</definedName>
    <definedName name="_xlnm.Print_Titles" localSheetId="1">'Table 2_State Distrib and Adjs'!$A:$B</definedName>
    <definedName name="_xlnm.Print_Titles" localSheetId="2">'Table 2A-1_EFT (Annual)'!$B:$B</definedName>
    <definedName name="_xlnm.Print_Titles" localSheetId="3">'Table 2A-2 EFT (Monthly)'!$A:$B</definedName>
    <definedName name="_xlnm.Print_Titles" localSheetId="4">'Table 3 Levels 1&amp;2'!$A:$B,'Table 3 Levels 1&amp;2'!$2:$7</definedName>
    <definedName name="_xlnm.Print_Titles" localSheetId="5">'Table 4 Level 3'!$A:$B</definedName>
    <definedName name="_xlnm.Print_Titles" localSheetId="7">'Table 5A Labs, NOCCA,LSMSA'!$1:$1</definedName>
    <definedName name="_xlnm.Print_Titles" localSheetId="8">'Table 5B1_RSD_Orleans'!$B:$B,'Table 5B1_RSD_Orleans'!$3:$6</definedName>
    <definedName name="_xlnm.Print_Titles" localSheetId="9">'Table 5B2_RSD_LA'!$A:$B</definedName>
    <definedName name="_xlnm.Print_Titles" localSheetId="10">'Table 5C1A-Madison Prep'!$A:$B,'Table 5C1A-Madison Prep'!$2:$7</definedName>
    <definedName name="_xlnm.Print_Titles" localSheetId="11">'Table 5C1B-DArbonne'!$A:$B,'Table 5C1B-DArbonne'!$2:$7</definedName>
    <definedName name="_xlnm.Print_Titles" localSheetId="12">'Table 5C1C-Intl_VIBE'!$A:$B,'Table 5C1C-Intl_VIBE'!$2:$7</definedName>
    <definedName name="_xlnm.Print_Titles" localSheetId="13">'Table 5C1D-NOMMA'!$A:$B,'Table 5C1D-NOMMA'!$2:$7</definedName>
    <definedName name="_xlnm.Print_Titles" localSheetId="14">'Table 5C1E-LFNO'!$A:$B,'Table 5C1E-LFNO'!$2:$7</definedName>
    <definedName name="_xlnm.Print_Titles" localSheetId="15">'Table 5C1F-Lake Charles Charter'!$A:$B,'Table 5C1F-Lake Charles Charter'!$2:$7</definedName>
    <definedName name="_xlnm.Print_Titles" localSheetId="16">'Table 5C1G-JS Clark Academy'!$A:$B,'Table 5C1G-JS Clark Academy'!$2:$7</definedName>
    <definedName name="_xlnm.Print_Titles" localSheetId="17">'Table 5C1H-Southwest LA Charter'!$A:$B,'Table 5C1H-Southwest LA Charter'!$2:$7</definedName>
    <definedName name="_xlnm.Print_Titles" localSheetId="18">'Table 5C1I-LA Key Academy'!$A:$B,'Table 5C1I-LA Key Academy'!$2:$7</definedName>
    <definedName name="_xlnm.Print_Titles" localSheetId="19">'Table 5C1J-Jefferson Chamber'!$A:$B,'Table 5C1J-Jefferson Chamber'!$2:$7</definedName>
    <definedName name="_xlnm.Print_Titles" localSheetId="20">'Table 5C1K-Tallulah Charter'!$A:$B,'Table 5C1K-Tallulah Charter'!$2:$7</definedName>
    <definedName name="_xlnm.Print_Titles" localSheetId="21">'Table 5C1L-Northshore Charter'!$A:$B,'Table 5C1L-Northshore Charter'!$2:$7</definedName>
    <definedName name="_xlnm.Print_Titles" localSheetId="22">'Table 5C1M-B.R. Charter'!$A:$B,'Table 5C1M-B.R. Charter'!$2:$7</definedName>
    <definedName name="_xlnm.Print_Titles" localSheetId="23">'Table 5C1N-Delta Charter'!$A:$B,'Table 5C1N-Delta Charter'!$2:$7</definedName>
    <definedName name="_xlnm.Print_Titles" localSheetId="24">'Table 5C2 - LA Virtual Admy'!$B:$B</definedName>
    <definedName name="_xlnm.Print_Titles" localSheetId="25">'Table 5C3 - LA Connections EBR'!$A:$B</definedName>
    <definedName name="_xlnm.Print_Titles" localSheetId="27">'Table 5E_OJJ'!$B:$B,'Table 5E_OJJ'!$2:$6</definedName>
    <definedName name="_xlnm.Print_Titles" localSheetId="28">'Table 6 (Local Deduct Calc.)'!$A:$B,'Table 6 (Local Deduct Calc.)'!$3:$8</definedName>
    <definedName name="_xlnm.Print_Titles" localSheetId="29">'Table 7 Local Revenue'!$A:$B,'Table 7 Local Revenue'!$1:$6</definedName>
  </definedNames>
  <calcPr calcId="145621"/>
</workbook>
</file>

<file path=xl/calcChain.xml><?xml version="1.0" encoding="utf-8"?>
<calcChain xmlns="http://schemas.openxmlformats.org/spreadsheetml/2006/main">
  <c r="S19" i="137" l="1"/>
  <c r="S18" i="137"/>
  <c r="S17" i="137"/>
  <c r="S16" i="137"/>
  <c r="S15" i="137"/>
  <c r="S14" i="137"/>
  <c r="S11" i="137"/>
  <c r="S10" i="137"/>
  <c r="Q11" i="137"/>
  <c r="Q10" i="137"/>
  <c r="Q19" i="137"/>
  <c r="Q18" i="137"/>
  <c r="Q17" i="137"/>
  <c r="Q16" i="137"/>
  <c r="Q15" i="137"/>
  <c r="Q14" i="137" l="1"/>
  <c r="J13" i="137"/>
  <c r="J12" i="137"/>
  <c r="I13" i="137"/>
  <c r="I12" i="137"/>
  <c r="R6" i="46" l="1"/>
  <c r="S6" i="46" s="1"/>
  <c r="H6" i="67" l="1"/>
  <c r="AM74" i="76" l="1"/>
  <c r="AM73" i="76"/>
  <c r="AM72" i="76"/>
  <c r="AM71" i="76"/>
  <c r="AM70" i="76"/>
  <c r="AM69" i="76"/>
  <c r="AM68" i="76"/>
  <c r="AM67" i="76"/>
  <c r="AM66" i="76"/>
  <c r="AM65" i="76"/>
  <c r="AM64" i="76"/>
  <c r="AM63" i="76"/>
  <c r="AM62" i="76"/>
  <c r="AM61" i="76"/>
  <c r="AM60" i="76"/>
  <c r="AM59" i="76"/>
  <c r="AM58" i="76"/>
  <c r="AM57" i="76"/>
  <c r="AM56" i="76"/>
  <c r="AM55" i="76"/>
  <c r="AM54" i="76"/>
  <c r="AM53" i="76"/>
  <c r="AM52" i="76"/>
  <c r="AM51" i="76"/>
  <c r="AM50" i="76"/>
  <c r="AM49" i="76"/>
  <c r="AM48" i="76"/>
  <c r="AM47" i="76"/>
  <c r="AM46" i="76"/>
  <c r="AM45" i="76"/>
  <c r="AM44" i="76"/>
  <c r="AM43" i="76"/>
  <c r="AM42" i="76"/>
  <c r="AM41" i="76"/>
  <c r="AM40" i="76"/>
  <c r="AM39" i="76"/>
  <c r="AM38" i="76"/>
  <c r="AM37" i="76"/>
  <c r="AM36" i="76"/>
  <c r="AM35" i="76"/>
  <c r="AM34" i="76"/>
  <c r="AM33" i="76"/>
  <c r="AM32" i="76"/>
  <c r="AM31" i="76"/>
  <c r="AM30" i="76"/>
  <c r="AM29" i="76"/>
  <c r="AM28" i="76"/>
  <c r="AM27" i="76"/>
  <c r="AM26" i="76"/>
  <c r="AM25" i="76"/>
  <c r="AM24" i="76"/>
  <c r="AM23" i="76"/>
  <c r="AM22" i="76"/>
  <c r="AM21" i="76"/>
  <c r="AM20" i="76"/>
  <c r="AM19" i="76"/>
  <c r="AM18" i="76"/>
  <c r="AM17" i="76"/>
  <c r="AM16" i="76"/>
  <c r="AM15" i="76"/>
  <c r="AM14" i="76"/>
  <c r="AM13" i="76"/>
  <c r="AM12" i="76"/>
  <c r="AM11" i="76"/>
  <c r="AM10" i="76"/>
  <c r="AM9" i="76"/>
  <c r="AM8" i="76"/>
  <c r="AM7" i="76"/>
  <c r="AM6" i="76"/>
  <c r="M79" i="113" l="1"/>
  <c r="N21" i="5" l="1"/>
  <c r="N20" i="5"/>
  <c r="N9" i="5"/>
  <c r="N8" i="5"/>
  <c r="AI68" i="31" l="1"/>
  <c r="AI67" i="31"/>
  <c r="AI66" i="31"/>
  <c r="AI65" i="31"/>
  <c r="AI63" i="31"/>
  <c r="AI62" i="31"/>
  <c r="AI61" i="31"/>
  <c r="AI60" i="31"/>
  <c r="AI59" i="31"/>
  <c r="AI58" i="31"/>
  <c r="AI57" i="31"/>
  <c r="AI55" i="31"/>
  <c r="AI54" i="31"/>
  <c r="AI53" i="31"/>
  <c r="AI52" i="31"/>
  <c r="AI51" i="31"/>
  <c r="AI50" i="31"/>
  <c r="AI49" i="31"/>
  <c r="AI48" i="31"/>
  <c r="AI47" i="31"/>
  <c r="AI46" i="31"/>
  <c r="AI45" i="31"/>
  <c r="AI44" i="31"/>
  <c r="AI43" i="31"/>
  <c r="AI42" i="31"/>
  <c r="AI41" i="31"/>
  <c r="AI40" i="31"/>
  <c r="AI39" i="31"/>
  <c r="AI38" i="31"/>
  <c r="AI37" i="31"/>
  <c r="AI36" i="31"/>
  <c r="AI35" i="31"/>
  <c r="AI34" i="31"/>
  <c r="AI33" i="31"/>
  <c r="AI32" i="31"/>
  <c r="AI31" i="31"/>
  <c r="AI30" i="31"/>
  <c r="AI28" i="31"/>
  <c r="AI27" i="31"/>
  <c r="AI26" i="31"/>
  <c r="AI25" i="31"/>
  <c r="AI24" i="31"/>
  <c r="AI23" i="31"/>
  <c r="AI22" i="31"/>
  <c r="AI21" i="31"/>
  <c r="AI20" i="31"/>
  <c r="AI19" i="31"/>
  <c r="AI18" i="31"/>
  <c r="AI17" i="31"/>
  <c r="AI16" i="31"/>
  <c r="AI15" i="31"/>
  <c r="AI14" i="31"/>
  <c r="AI13" i="31"/>
  <c r="AI12" i="31" l="1"/>
  <c r="AI9" i="31"/>
  <c r="AI64" i="31" l="1"/>
  <c r="AI56" i="31"/>
  <c r="AI29" i="31"/>
  <c r="AF76" i="129" l="1"/>
  <c r="AF75" i="129"/>
  <c r="AF74" i="129"/>
  <c r="AF73" i="129"/>
  <c r="AF72" i="129"/>
  <c r="AF71" i="129"/>
  <c r="AF70" i="129"/>
  <c r="AF69" i="129"/>
  <c r="AF68" i="129"/>
  <c r="AF67" i="129"/>
  <c r="AF66" i="129"/>
  <c r="AF65" i="129"/>
  <c r="AF64" i="129"/>
  <c r="AF63" i="129"/>
  <c r="AF62" i="129"/>
  <c r="AF61" i="129"/>
  <c r="AF60" i="129"/>
  <c r="AF59" i="129"/>
  <c r="AF58" i="129"/>
  <c r="AF57" i="129"/>
  <c r="AF56" i="129"/>
  <c r="AF55" i="129"/>
  <c r="AF54" i="129"/>
  <c r="AF53" i="129"/>
  <c r="AF52" i="129"/>
  <c r="AF51" i="129"/>
  <c r="AF50" i="129"/>
  <c r="AF49" i="129"/>
  <c r="AF48" i="129"/>
  <c r="AF47" i="129"/>
  <c r="AF46" i="129"/>
  <c r="AF45" i="129"/>
  <c r="AF44" i="129"/>
  <c r="AF43" i="129"/>
  <c r="AF42" i="129"/>
  <c r="AF41" i="129"/>
  <c r="AF40" i="129"/>
  <c r="AF39" i="129"/>
  <c r="AF38" i="129"/>
  <c r="AF37" i="129"/>
  <c r="AF36" i="129"/>
  <c r="AF35" i="129"/>
  <c r="AF34" i="129"/>
  <c r="AF33" i="129"/>
  <c r="AF32" i="129"/>
  <c r="AF31" i="129"/>
  <c r="AF30" i="129"/>
  <c r="AF29" i="129"/>
  <c r="AF28" i="129"/>
  <c r="AF27" i="129"/>
  <c r="AF26" i="129"/>
  <c r="AF25" i="129"/>
  <c r="AF24" i="129"/>
  <c r="AF23" i="129"/>
  <c r="AF22" i="129"/>
  <c r="AF21" i="129"/>
  <c r="AF20" i="129"/>
  <c r="AF19" i="129"/>
  <c r="AF18" i="129"/>
  <c r="AF17" i="129"/>
  <c r="AF16" i="129"/>
  <c r="AF15" i="129"/>
  <c r="AF14" i="129"/>
  <c r="AF13" i="129"/>
  <c r="AF12" i="129"/>
  <c r="AF11" i="129"/>
  <c r="AF10" i="129"/>
  <c r="AF9" i="129"/>
  <c r="AF8" i="129"/>
  <c r="D75" i="81" l="1"/>
  <c r="D74" i="81"/>
  <c r="D71" i="81"/>
  <c r="D70" i="81"/>
  <c r="D61" i="81" l="1"/>
  <c r="AG69" i="31"/>
  <c r="AG70" i="31" s="1"/>
  <c r="AG72" i="31" s="1"/>
  <c r="AJ30" i="46"/>
  <c r="AJ18" i="46"/>
  <c r="AJ38" i="46" s="1"/>
  <c r="R30" i="46"/>
  <c r="R18" i="46"/>
  <c r="R70" i="31"/>
  <c r="R69" i="31"/>
  <c r="R38" i="46" l="1"/>
  <c r="AA35" i="46"/>
  <c r="AB35" i="46" s="1"/>
  <c r="AA29" i="46"/>
  <c r="AB29" i="46" s="1"/>
  <c r="AA28" i="46"/>
  <c r="AB28" i="46" s="1"/>
  <c r="AA23" i="46"/>
  <c r="AB23" i="46" s="1"/>
  <c r="AA17" i="46"/>
  <c r="AB17" i="46" s="1"/>
  <c r="AA16" i="46"/>
  <c r="AB16" i="46" s="1"/>
  <c r="AA15" i="46"/>
  <c r="AB15" i="46" s="1"/>
  <c r="AA14" i="46"/>
  <c r="AB14" i="46" s="1"/>
  <c r="AA13" i="46"/>
  <c r="AB13" i="46" s="1"/>
  <c r="AA12" i="46"/>
  <c r="AB12" i="46" s="1"/>
  <c r="AA11" i="46"/>
  <c r="AB11" i="46" s="1"/>
  <c r="AA10" i="46"/>
  <c r="AB10" i="46" s="1"/>
  <c r="X68" i="31"/>
  <c r="Y68" i="31" s="1"/>
  <c r="X67" i="31"/>
  <c r="Y67" i="31" s="1"/>
  <c r="X66" i="31"/>
  <c r="Y66" i="31" s="1"/>
  <c r="X65" i="31"/>
  <c r="Y65" i="31" s="1"/>
  <c r="X64" i="31"/>
  <c r="Y64" i="31" s="1"/>
  <c r="X63" i="31"/>
  <c r="Y63" i="31" s="1"/>
  <c r="X62" i="31"/>
  <c r="Y62" i="31" s="1"/>
  <c r="X61" i="31"/>
  <c r="Y61" i="31" s="1"/>
  <c r="X60" i="31"/>
  <c r="Y60" i="31" s="1"/>
  <c r="X59" i="31"/>
  <c r="Y59" i="31" s="1"/>
  <c r="X58" i="31"/>
  <c r="Y58" i="31" s="1"/>
  <c r="X57" i="31"/>
  <c r="Y57" i="31" s="1"/>
  <c r="X56" i="31"/>
  <c r="Y56" i="31" s="1"/>
  <c r="X55" i="31"/>
  <c r="Y55" i="31" s="1"/>
  <c r="X54" i="31"/>
  <c r="Y54" i="31" s="1"/>
  <c r="X53" i="31"/>
  <c r="Y53" i="31" s="1"/>
  <c r="X52" i="31"/>
  <c r="Y52" i="31" s="1"/>
  <c r="X51" i="31"/>
  <c r="Y51" i="31" s="1"/>
  <c r="X50" i="31"/>
  <c r="Y50" i="31" s="1"/>
  <c r="X49" i="31"/>
  <c r="Y49" i="31" s="1"/>
  <c r="X48" i="31"/>
  <c r="Y48" i="31" s="1"/>
  <c r="X47" i="31"/>
  <c r="Y47" i="31" s="1"/>
  <c r="X46" i="31"/>
  <c r="Y46" i="31" s="1"/>
  <c r="X45" i="31"/>
  <c r="Y45" i="31" s="1"/>
  <c r="X44" i="31"/>
  <c r="Y44" i="31" s="1"/>
  <c r="X43" i="31"/>
  <c r="Y43" i="31" s="1"/>
  <c r="X42" i="31"/>
  <c r="Y42" i="31" s="1"/>
  <c r="X41" i="31"/>
  <c r="Y41" i="31" s="1"/>
  <c r="X40" i="31"/>
  <c r="Y40" i="31" s="1"/>
  <c r="X39" i="31"/>
  <c r="Y39" i="31" s="1"/>
  <c r="X38" i="31"/>
  <c r="Y38" i="31" s="1"/>
  <c r="X37" i="31"/>
  <c r="Y37" i="31" s="1"/>
  <c r="X36" i="31"/>
  <c r="Y36" i="31" s="1"/>
  <c r="X35" i="31"/>
  <c r="Y35" i="31" s="1"/>
  <c r="X34" i="31"/>
  <c r="Y34" i="31" s="1"/>
  <c r="X33" i="31"/>
  <c r="Y33" i="31" s="1"/>
  <c r="X32" i="31"/>
  <c r="Y32" i="31" s="1"/>
  <c r="X31" i="31"/>
  <c r="Y31" i="31" s="1"/>
  <c r="X30" i="31"/>
  <c r="Y30" i="31" s="1"/>
  <c r="X29" i="31"/>
  <c r="Y29" i="31" s="1"/>
  <c r="X28" i="31"/>
  <c r="Y28" i="31" s="1"/>
  <c r="X27" i="31"/>
  <c r="Y27" i="31" s="1"/>
  <c r="X26" i="31"/>
  <c r="Y26" i="31" s="1"/>
  <c r="X25" i="31"/>
  <c r="Y25" i="31" s="1"/>
  <c r="X24" i="31"/>
  <c r="Y24" i="31" s="1"/>
  <c r="X23" i="31"/>
  <c r="Y23" i="31" s="1"/>
  <c r="X22" i="31"/>
  <c r="Y22" i="31" s="1"/>
  <c r="X21" i="31"/>
  <c r="Y21" i="31" s="1"/>
  <c r="X20" i="31"/>
  <c r="Y20" i="31" s="1"/>
  <c r="X19" i="31"/>
  <c r="Y19" i="31" s="1"/>
  <c r="X18" i="31"/>
  <c r="Y18" i="31" s="1"/>
  <c r="X17" i="31"/>
  <c r="Y17" i="31" s="1"/>
  <c r="X16" i="31"/>
  <c r="Y16" i="31" s="1"/>
  <c r="X15" i="31"/>
  <c r="Y15" i="31" s="1"/>
  <c r="X14" i="31"/>
  <c r="Y14" i="31" s="1"/>
  <c r="X13" i="31"/>
  <c r="Y13" i="31" s="1"/>
  <c r="X12" i="31"/>
  <c r="Y12" i="31" s="1"/>
  <c r="X9" i="31"/>
  <c r="Y9" i="31" s="1"/>
  <c r="Y74" i="80" l="1"/>
  <c r="Y73" i="80"/>
  <c r="Y72" i="80"/>
  <c r="Y71" i="80"/>
  <c r="Y70" i="80"/>
  <c r="Y69" i="80"/>
  <c r="Y68" i="80"/>
  <c r="Y67" i="80"/>
  <c r="Y66" i="80"/>
  <c r="Y65" i="80"/>
  <c r="Y64" i="80"/>
  <c r="Y63" i="80"/>
  <c r="Y62" i="80"/>
  <c r="Y61" i="80"/>
  <c r="Y60" i="80"/>
  <c r="Y59" i="80"/>
  <c r="Y58" i="80"/>
  <c r="Y57" i="80"/>
  <c r="Y56" i="80"/>
  <c r="Y55" i="80"/>
  <c r="Y54" i="80"/>
  <c r="Y53" i="80"/>
  <c r="Y52" i="80"/>
  <c r="Y51" i="80"/>
  <c r="Y50" i="80"/>
  <c r="Y49" i="80"/>
  <c r="Y48" i="80"/>
  <c r="Y47" i="80"/>
  <c r="Y46" i="80"/>
  <c r="Y45" i="80"/>
  <c r="Y44" i="80"/>
  <c r="Y43" i="80"/>
  <c r="Y42" i="80"/>
  <c r="Y41" i="80"/>
  <c r="Y40" i="80"/>
  <c r="Y39" i="80"/>
  <c r="Y38" i="80"/>
  <c r="Y37" i="80"/>
  <c r="Y36" i="80"/>
  <c r="Y35" i="80"/>
  <c r="Y34" i="80"/>
  <c r="Y33" i="80"/>
  <c r="Y32" i="80"/>
  <c r="Y31" i="80"/>
  <c r="Y30" i="80"/>
  <c r="Y29" i="80"/>
  <c r="Y28" i="80"/>
  <c r="Y27" i="80"/>
  <c r="Y26" i="80"/>
  <c r="Y25" i="80"/>
  <c r="Y24" i="80"/>
  <c r="Y23" i="80"/>
  <c r="Y22" i="80"/>
  <c r="Y21" i="80"/>
  <c r="Y20" i="80"/>
  <c r="Y19" i="80"/>
  <c r="Y18" i="80"/>
  <c r="Y17" i="80"/>
  <c r="Y16" i="80"/>
  <c r="Y15" i="80"/>
  <c r="Y14" i="80"/>
  <c r="Y13" i="80"/>
  <c r="Y12" i="80"/>
  <c r="Y11" i="80"/>
  <c r="Y10" i="80"/>
  <c r="Y9" i="80"/>
  <c r="Y8" i="80"/>
  <c r="Y7" i="80"/>
  <c r="Y6" i="80"/>
  <c r="Y74" i="76"/>
  <c r="Y73" i="76"/>
  <c r="Y72" i="76"/>
  <c r="Y71" i="76"/>
  <c r="Y70" i="76"/>
  <c r="Y69" i="76"/>
  <c r="Y68" i="76"/>
  <c r="Y67" i="76"/>
  <c r="Y66" i="76"/>
  <c r="Y65" i="76"/>
  <c r="Y64" i="76"/>
  <c r="Y63" i="76"/>
  <c r="Y62" i="76"/>
  <c r="Y61" i="76"/>
  <c r="Y60" i="76"/>
  <c r="Y59" i="76"/>
  <c r="Y58" i="76"/>
  <c r="Y57" i="76"/>
  <c r="Y56" i="76"/>
  <c r="Y55" i="76"/>
  <c r="Y54" i="76"/>
  <c r="Y53" i="76"/>
  <c r="Y52" i="76"/>
  <c r="Y51" i="76"/>
  <c r="Y50" i="76"/>
  <c r="Y49" i="76"/>
  <c r="Y48" i="76"/>
  <c r="Y47" i="76"/>
  <c r="Y46" i="76"/>
  <c r="Y45" i="76"/>
  <c r="Y44" i="76"/>
  <c r="Y43" i="76"/>
  <c r="Y42" i="76"/>
  <c r="Y41" i="76"/>
  <c r="Y40" i="76"/>
  <c r="Y39" i="76"/>
  <c r="Y38" i="76"/>
  <c r="Y37" i="76"/>
  <c r="Y36" i="76"/>
  <c r="Y35" i="76"/>
  <c r="Y34" i="76"/>
  <c r="Y33" i="76"/>
  <c r="Y32" i="76"/>
  <c r="Y31" i="76"/>
  <c r="Y30" i="76"/>
  <c r="Y29" i="76"/>
  <c r="Y28" i="76"/>
  <c r="Y27" i="76"/>
  <c r="Y26" i="76"/>
  <c r="Y25" i="76"/>
  <c r="Y24" i="76"/>
  <c r="Y23" i="76"/>
  <c r="Y22" i="76"/>
  <c r="Y21" i="76"/>
  <c r="Y20" i="76"/>
  <c r="Y19" i="76"/>
  <c r="Y18" i="76"/>
  <c r="Y17" i="76"/>
  <c r="Y16" i="76"/>
  <c r="Y15" i="76"/>
  <c r="Y14" i="76"/>
  <c r="Y13" i="76"/>
  <c r="Y12" i="76"/>
  <c r="Y11" i="76"/>
  <c r="Y10" i="76"/>
  <c r="Y9" i="76"/>
  <c r="Y8" i="76"/>
  <c r="Y7" i="76"/>
  <c r="Y6" i="76"/>
  <c r="X76" i="131"/>
  <c r="X75" i="131"/>
  <c r="X74" i="131"/>
  <c r="X73" i="131"/>
  <c r="X72" i="131"/>
  <c r="X71" i="131"/>
  <c r="X70" i="131"/>
  <c r="X69" i="131"/>
  <c r="X68" i="131"/>
  <c r="X67" i="131"/>
  <c r="X66" i="131"/>
  <c r="X65" i="131"/>
  <c r="X64" i="131"/>
  <c r="X63" i="131"/>
  <c r="X62" i="131"/>
  <c r="X61" i="131"/>
  <c r="X60" i="131"/>
  <c r="X59" i="131"/>
  <c r="X58" i="131"/>
  <c r="X57" i="131"/>
  <c r="X56" i="131"/>
  <c r="X55" i="131"/>
  <c r="X54" i="131"/>
  <c r="X53" i="131"/>
  <c r="X52" i="131"/>
  <c r="X51" i="131"/>
  <c r="X50" i="131"/>
  <c r="X49" i="131"/>
  <c r="X48" i="131"/>
  <c r="X47" i="131"/>
  <c r="X46" i="131"/>
  <c r="X45" i="131"/>
  <c r="X44" i="131"/>
  <c r="X43" i="131"/>
  <c r="X42" i="131"/>
  <c r="X41" i="131"/>
  <c r="X40" i="131"/>
  <c r="X39" i="131"/>
  <c r="X38" i="131"/>
  <c r="X37" i="131"/>
  <c r="X36" i="131"/>
  <c r="X35" i="131"/>
  <c r="X34" i="131"/>
  <c r="X33" i="131"/>
  <c r="X32" i="131"/>
  <c r="X31" i="131"/>
  <c r="X30" i="131"/>
  <c r="X29" i="131"/>
  <c r="X28" i="131"/>
  <c r="X27" i="131"/>
  <c r="X26" i="131"/>
  <c r="X25" i="131"/>
  <c r="X24" i="131"/>
  <c r="X23" i="131"/>
  <c r="X22" i="131"/>
  <c r="X21" i="131"/>
  <c r="X20" i="131"/>
  <c r="X19" i="131"/>
  <c r="X18" i="131"/>
  <c r="X17" i="131"/>
  <c r="X16" i="131"/>
  <c r="X15" i="131"/>
  <c r="X14" i="131"/>
  <c r="X13" i="131"/>
  <c r="X12" i="131"/>
  <c r="X11" i="131"/>
  <c r="X10" i="131"/>
  <c r="X9" i="131"/>
  <c r="X8" i="131"/>
  <c r="X76" i="129"/>
  <c r="X75" i="129"/>
  <c r="X74" i="129"/>
  <c r="X73" i="129"/>
  <c r="X72" i="129"/>
  <c r="X71" i="129"/>
  <c r="X70" i="129"/>
  <c r="X69" i="129"/>
  <c r="X68" i="129"/>
  <c r="X67" i="129"/>
  <c r="X66" i="129"/>
  <c r="X65" i="129"/>
  <c r="X64" i="129"/>
  <c r="X63" i="129"/>
  <c r="X62" i="129"/>
  <c r="X61" i="129"/>
  <c r="X60" i="129"/>
  <c r="X59" i="129"/>
  <c r="X58" i="129"/>
  <c r="X57" i="129"/>
  <c r="X56" i="129"/>
  <c r="X55" i="129"/>
  <c r="X54" i="129"/>
  <c r="X53" i="129"/>
  <c r="X52" i="129"/>
  <c r="X51" i="129"/>
  <c r="X50" i="129"/>
  <c r="X49" i="129"/>
  <c r="X48" i="129"/>
  <c r="X47" i="129"/>
  <c r="X46" i="129"/>
  <c r="X45" i="129"/>
  <c r="X44" i="129"/>
  <c r="X43" i="129"/>
  <c r="X42" i="129"/>
  <c r="X41" i="129"/>
  <c r="X40" i="129"/>
  <c r="X39" i="129"/>
  <c r="X38" i="129"/>
  <c r="X37" i="129"/>
  <c r="X36" i="129"/>
  <c r="X35" i="129"/>
  <c r="X34" i="129"/>
  <c r="X33" i="129"/>
  <c r="X32" i="129"/>
  <c r="X31" i="129"/>
  <c r="X30" i="129"/>
  <c r="X29" i="129"/>
  <c r="X28" i="129"/>
  <c r="X27" i="129"/>
  <c r="X26" i="129"/>
  <c r="X25" i="129"/>
  <c r="X24" i="129"/>
  <c r="X23" i="129"/>
  <c r="X22" i="129"/>
  <c r="X21" i="129"/>
  <c r="X20" i="129"/>
  <c r="X19" i="129"/>
  <c r="X18" i="129"/>
  <c r="X17" i="129"/>
  <c r="X16" i="129"/>
  <c r="X15" i="129"/>
  <c r="X14" i="129"/>
  <c r="X13" i="129"/>
  <c r="X12" i="129"/>
  <c r="X11" i="129"/>
  <c r="X10" i="129"/>
  <c r="X9" i="129"/>
  <c r="X8" i="129"/>
  <c r="X76" i="128"/>
  <c r="X75" i="128"/>
  <c r="X74" i="128"/>
  <c r="X73" i="128"/>
  <c r="X72" i="128"/>
  <c r="X71" i="128"/>
  <c r="X70" i="128"/>
  <c r="X69" i="128"/>
  <c r="X68" i="128"/>
  <c r="X67" i="128"/>
  <c r="X66" i="128"/>
  <c r="X65" i="128"/>
  <c r="X64" i="128"/>
  <c r="X63" i="128"/>
  <c r="X62" i="128"/>
  <c r="X61" i="128"/>
  <c r="X60" i="128"/>
  <c r="X59" i="128"/>
  <c r="X58" i="128"/>
  <c r="X57" i="128"/>
  <c r="X56" i="128"/>
  <c r="X55" i="128"/>
  <c r="X54" i="128"/>
  <c r="X53" i="128"/>
  <c r="X52" i="128"/>
  <c r="X51" i="128"/>
  <c r="X50" i="128"/>
  <c r="X49" i="128"/>
  <c r="X48" i="128"/>
  <c r="X47" i="128"/>
  <c r="X46" i="128"/>
  <c r="X45" i="128"/>
  <c r="X44" i="128"/>
  <c r="X43" i="128"/>
  <c r="X42" i="128"/>
  <c r="X41" i="128"/>
  <c r="X40" i="128"/>
  <c r="X39" i="128"/>
  <c r="X38" i="128"/>
  <c r="X37" i="128"/>
  <c r="X36" i="128"/>
  <c r="X35" i="128"/>
  <c r="X34" i="128"/>
  <c r="X33" i="128"/>
  <c r="X32" i="128"/>
  <c r="X31" i="128"/>
  <c r="X30" i="128"/>
  <c r="X29" i="128"/>
  <c r="X28" i="128"/>
  <c r="X27" i="128"/>
  <c r="X26" i="128"/>
  <c r="X25" i="128"/>
  <c r="X24" i="128"/>
  <c r="X23" i="128"/>
  <c r="X22" i="128"/>
  <c r="X21" i="128"/>
  <c r="X20" i="128"/>
  <c r="X19" i="128"/>
  <c r="X18" i="128"/>
  <c r="X17" i="128"/>
  <c r="X16" i="128"/>
  <c r="X15" i="128"/>
  <c r="X14" i="128"/>
  <c r="X13" i="128"/>
  <c r="X12" i="128"/>
  <c r="X11" i="128"/>
  <c r="X10" i="128"/>
  <c r="X9" i="128"/>
  <c r="X8" i="128"/>
  <c r="X76" i="127"/>
  <c r="X75" i="127"/>
  <c r="X74" i="127"/>
  <c r="X73" i="127"/>
  <c r="X72" i="127"/>
  <c r="X71" i="127"/>
  <c r="X70" i="127"/>
  <c r="X69" i="127"/>
  <c r="X68" i="127"/>
  <c r="X67" i="127"/>
  <c r="X66" i="127"/>
  <c r="X65" i="127"/>
  <c r="X64" i="127"/>
  <c r="X63" i="127"/>
  <c r="X62" i="127"/>
  <c r="X61" i="127"/>
  <c r="X60" i="127"/>
  <c r="X59" i="127"/>
  <c r="X58" i="127"/>
  <c r="X57" i="127"/>
  <c r="X56" i="127"/>
  <c r="X55" i="127"/>
  <c r="X54" i="127"/>
  <c r="X53" i="127"/>
  <c r="X52" i="127"/>
  <c r="X51" i="127"/>
  <c r="X50" i="127"/>
  <c r="X49" i="127"/>
  <c r="X48" i="127"/>
  <c r="X47" i="127"/>
  <c r="X46" i="127"/>
  <c r="X45" i="127"/>
  <c r="X44" i="127"/>
  <c r="X43" i="127"/>
  <c r="X42" i="127"/>
  <c r="X41" i="127"/>
  <c r="X40" i="127"/>
  <c r="X39" i="127"/>
  <c r="X38" i="127"/>
  <c r="X37" i="127"/>
  <c r="X36" i="127"/>
  <c r="X35" i="127"/>
  <c r="X34" i="127"/>
  <c r="X33" i="127"/>
  <c r="X32" i="127"/>
  <c r="X31" i="127"/>
  <c r="X30" i="127"/>
  <c r="X29" i="127"/>
  <c r="X28" i="127"/>
  <c r="X27" i="127"/>
  <c r="X26" i="127"/>
  <c r="X25" i="127"/>
  <c r="X24" i="127"/>
  <c r="X23" i="127"/>
  <c r="X22" i="127"/>
  <c r="X21" i="127"/>
  <c r="X20" i="127"/>
  <c r="X19" i="127"/>
  <c r="X18" i="127"/>
  <c r="X17" i="127"/>
  <c r="X16" i="127"/>
  <c r="X15" i="127"/>
  <c r="X14" i="127"/>
  <c r="X13" i="127"/>
  <c r="X12" i="127"/>
  <c r="X11" i="127"/>
  <c r="X10" i="127"/>
  <c r="X9" i="127"/>
  <c r="X8" i="127"/>
  <c r="X76" i="126"/>
  <c r="X75" i="126"/>
  <c r="X74" i="126"/>
  <c r="X73" i="126"/>
  <c r="X72" i="126"/>
  <c r="X71" i="126"/>
  <c r="X70" i="126"/>
  <c r="X69" i="126"/>
  <c r="X68" i="126"/>
  <c r="X67" i="126"/>
  <c r="X66" i="126"/>
  <c r="X65" i="126"/>
  <c r="X64" i="126"/>
  <c r="X63" i="126"/>
  <c r="X62" i="126"/>
  <c r="X61" i="126"/>
  <c r="X60" i="126"/>
  <c r="X59" i="126"/>
  <c r="X58" i="126"/>
  <c r="X57" i="126"/>
  <c r="X56" i="126"/>
  <c r="X55" i="126"/>
  <c r="X54" i="126"/>
  <c r="X53" i="126"/>
  <c r="X52" i="126"/>
  <c r="X51" i="126"/>
  <c r="X50" i="126"/>
  <c r="X49" i="126"/>
  <c r="X48" i="126"/>
  <c r="X47" i="126"/>
  <c r="X46" i="126"/>
  <c r="X45" i="126"/>
  <c r="X44" i="126"/>
  <c r="X43" i="126"/>
  <c r="X42" i="126"/>
  <c r="X41" i="126"/>
  <c r="X40" i="126"/>
  <c r="X39" i="126"/>
  <c r="X38" i="126"/>
  <c r="X37" i="126"/>
  <c r="X36" i="126"/>
  <c r="X35" i="126"/>
  <c r="X34" i="126"/>
  <c r="X33" i="126"/>
  <c r="X32" i="126"/>
  <c r="X31" i="126"/>
  <c r="X30" i="126"/>
  <c r="X29" i="126"/>
  <c r="X28" i="126"/>
  <c r="X27" i="126"/>
  <c r="X26" i="126"/>
  <c r="X25" i="126"/>
  <c r="X24" i="126"/>
  <c r="X23" i="126"/>
  <c r="X22" i="126"/>
  <c r="X21" i="126"/>
  <c r="X20" i="126"/>
  <c r="X19" i="126"/>
  <c r="X18" i="126"/>
  <c r="X17" i="126"/>
  <c r="X16" i="126"/>
  <c r="X15" i="126"/>
  <c r="X14" i="126"/>
  <c r="X13" i="126"/>
  <c r="X12" i="126"/>
  <c r="X11" i="126"/>
  <c r="X10" i="126"/>
  <c r="X9" i="126"/>
  <c r="X8" i="126"/>
  <c r="X76" i="125"/>
  <c r="X75" i="125"/>
  <c r="X74" i="125"/>
  <c r="X73" i="125"/>
  <c r="X72" i="125"/>
  <c r="X71" i="125"/>
  <c r="X70" i="125"/>
  <c r="X69" i="125"/>
  <c r="X68" i="125"/>
  <c r="X67" i="125"/>
  <c r="X66" i="125"/>
  <c r="X65" i="125"/>
  <c r="X64" i="125"/>
  <c r="X63" i="125"/>
  <c r="X62" i="125"/>
  <c r="X61" i="125"/>
  <c r="X60" i="125"/>
  <c r="X59" i="125"/>
  <c r="X58" i="125"/>
  <c r="X57" i="125"/>
  <c r="X56" i="125"/>
  <c r="X55" i="125"/>
  <c r="X54" i="125"/>
  <c r="X53" i="125"/>
  <c r="X52" i="125"/>
  <c r="X51" i="125"/>
  <c r="X50" i="125"/>
  <c r="X49" i="125"/>
  <c r="X48" i="125"/>
  <c r="X47" i="125"/>
  <c r="X46" i="125"/>
  <c r="X45" i="125"/>
  <c r="X44" i="125"/>
  <c r="X43" i="125"/>
  <c r="X42" i="125"/>
  <c r="X41" i="125"/>
  <c r="X40" i="125"/>
  <c r="X39" i="125"/>
  <c r="X38" i="125"/>
  <c r="X37" i="125"/>
  <c r="X36" i="125"/>
  <c r="X35" i="125"/>
  <c r="X34" i="125"/>
  <c r="X33" i="125"/>
  <c r="X32" i="125"/>
  <c r="X31" i="125"/>
  <c r="X30" i="125"/>
  <c r="X29" i="125"/>
  <c r="X28" i="125"/>
  <c r="X27" i="125"/>
  <c r="X26" i="125"/>
  <c r="X25" i="125"/>
  <c r="X24" i="125"/>
  <c r="X23" i="125"/>
  <c r="X22" i="125"/>
  <c r="X21" i="125"/>
  <c r="X20" i="125"/>
  <c r="X19" i="125"/>
  <c r="X18" i="125"/>
  <c r="X17" i="125"/>
  <c r="X16" i="125"/>
  <c r="X15" i="125"/>
  <c r="X14" i="125"/>
  <c r="X13" i="125"/>
  <c r="X12" i="125"/>
  <c r="X11" i="125"/>
  <c r="X10" i="125"/>
  <c r="X9" i="125"/>
  <c r="X8" i="125"/>
  <c r="X76" i="120"/>
  <c r="X75" i="120"/>
  <c r="X74" i="120"/>
  <c r="X73" i="120"/>
  <c r="X72" i="120"/>
  <c r="X71" i="120"/>
  <c r="X70" i="120"/>
  <c r="X69" i="120"/>
  <c r="X68" i="120"/>
  <c r="X67" i="120"/>
  <c r="X66" i="120"/>
  <c r="X65" i="120"/>
  <c r="X64" i="120"/>
  <c r="X63" i="120"/>
  <c r="X62" i="120"/>
  <c r="X61" i="120"/>
  <c r="X60" i="120"/>
  <c r="X59" i="120"/>
  <c r="X58" i="120"/>
  <c r="X57" i="120"/>
  <c r="X56" i="120"/>
  <c r="X55" i="120"/>
  <c r="X54" i="120"/>
  <c r="X53" i="120"/>
  <c r="X52" i="120"/>
  <c r="X51" i="120"/>
  <c r="X50" i="120"/>
  <c r="X49" i="120"/>
  <c r="X48" i="120"/>
  <c r="X47" i="120"/>
  <c r="X46" i="120"/>
  <c r="X45" i="120"/>
  <c r="X44" i="120"/>
  <c r="X43" i="120"/>
  <c r="X42" i="120"/>
  <c r="X41" i="120"/>
  <c r="X40" i="120"/>
  <c r="X39" i="120"/>
  <c r="X38" i="120"/>
  <c r="X37" i="120"/>
  <c r="X36" i="120"/>
  <c r="X35" i="120"/>
  <c r="X34" i="120"/>
  <c r="X33" i="120"/>
  <c r="X32" i="120"/>
  <c r="X31" i="120"/>
  <c r="X30" i="120"/>
  <c r="X29" i="120"/>
  <c r="X28" i="120"/>
  <c r="X27" i="120"/>
  <c r="X26" i="120"/>
  <c r="X25" i="120"/>
  <c r="X24" i="120"/>
  <c r="X23" i="120"/>
  <c r="X22" i="120"/>
  <c r="X21" i="120"/>
  <c r="X20" i="120"/>
  <c r="X19" i="120"/>
  <c r="X18" i="120"/>
  <c r="X17" i="120"/>
  <c r="X16" i="120"/>
  <c r="X15" i="120"/>
  <c r="X14" i="120"/>
  <c r="X13" i="120"/>
  <c r="X12" i="120"/>
  <c r="X11" i="120"/>
  <c r="X10" i="120"/>
  <c r="X9" i="120"/>
  <c r="X8" i="120"/>
  <c r="X76" i="119"/>
  <c r="X75" i="119"/>
  <c r="X74" i="119"/>
  <c r="X73" i="119"/>
  <c r="X72" i="119"/>
  <c r="X71" i="119"/>
  <c r="X70" i="119"/>
  <c r="X69" i="119"/>
  <c r="X68" i="119"/>
  <c r="X67" i="119"/>
  <c r="X66" i="119"/>
  <c r="X65" i="119"/>
  <c r="X64" i="119"/>
  <c r="X63" i="119"/>
  <c r="X62" i="119"/>
  <c r="X61" i="119"/>
  <c r="X60" i="119"/>
  <c r="X59" i="119"/>
  <c r="X58" i="119"/>
  <c r="X57" i="119"/>
  <c r="X56" i="119"/>
  <c r="X55" i="119"/>
  <c r="X54" i="119"/>
  <c r="X53" i="119"/>
  <c r="X52" i="119"/>
  <c r="X51" i="119"/>
  <c r="X50" i="119"/>
  <c r="X49" i="119"/>
  <c r="X48" i="119"/>
  <c r="X47" i="119"/>
  <c r="X46" i="119"/>
  <c r="X45" i="119"/>
  <c r="X44" i="119"/>
  <c r="X43" i="119"/>
  <c r="X42" i="119"/>
  <c r="X41" i="119"/>
  <c r="X40" i="119"/>
  <c r="X39" i="119"/>
  <c r="X38" i="119"/>
  <c r="X37" i="119"/>
  <c r="X36" i="119"/>
  <c r="X35" i="119"/>
  <c r="X34" i="119"/>
  <c r="X33" i="119"/>
  <c r="X32" i="119"/>
  <c r="X31" i="119"/>
  <c r="X30" i="119"/>
  <c r="X29" i="119"/>
  <c r="X28" i="119"/>
  <c r="X27" i="119"/>
  <c r="X26" i="119"/>
  <c r="X25" i="119"/>
  <c r="X24" i="119"/>
  <c r="X23" i="119"/>
  <c r="X22" i="119"/>
  <c r="X21" i="119"/>
  <c r="X20" i="119"/>
  <c r="X19" i="119"/>
  <c r="X18" i="119"/>
  <c r="X17" i="119"/>
  <c r="X16" i="119"/>
  <c r="X15" i="119"/>
  <c r="X14" i="119"/>
  <c r="X13" i="119"/>
  <c r="X12" i="119"/>
  <c r="X11" i="119"/>
  <c r="X10" i="119"/>
  <c r="X9" i="119"/>
  <c r="X8" i="119"/>
  <c r="X76" i="118"/>
  <c r="X75" i="118"/>
  <c r="X74" i="118"/>
  <c r="X73" i="118"/>
  <c r="X72" i="118"/>
  <c r="X71" i="118"/>
  <c r="X70" i="118"/>
  <c r="X69" i="118"/>
  <c r="X68" i="118"/>
  <c r="X67" i="118"/>
  <c r="X66" i="118"/>
  <c r="X65" i="118"/>
  <c r="X64" i="118"/>
  <c r="X63" i="118"/>
  <c r="X62" i="118"/>
  <c r="X61" i="118"/>
  <c r="X60" i="118"/>
  <c r="X59" i="118"/>
  <c r="X58" i="118"/>
  <c r="X57" i="118"/>
  <c r="X56" i="118"/>
  <c r="X55" i="118"/>
  <c r="X54" i="118"/>
  <c r="X53" i="118"/>
  <c r="X52" i="118"/>
  <c r="X51" i="118"/>
  <c r="X50" i="118"/>
  <c r="X49" i="118"/>
  <c r="X48" i="118"/>
  <c r="X47" i="118"/>
  <c r="X46" i="118"/>
  <c r="X45" i="118"/>
  <c r="X44" i="118"/>
  <c r="X43" i="118"/>
  <c r="X42" i="118"/>
  <c r="X41" i="118"/>
  <c r="X40" i="118"/>
  <c r="X39" i="118"/>
  <c r="X38" i="118"/>
  <c r="X37" i="118"/>
  <c r="X36" i="118"/>
  <c r="X35" i="118"/>
  <c r="X34" i="118"/>
  <c r="X33" i="118"/>
  <c r="X32" i="118"/>
  <c r="X31" i="118"/>
  <c r="X30" i="118"/>
  <c r="X29" i="118"/>
  <c r="X28" i="118"/>
  <c r="X27" i="118"/>
  <c r="X26" i="118"/>
  <c r="X25" i="118"/>
  <c r="X24" i="118"/>
  <c r="X23" i="118"/>
  <c r="X22" i="118"/>
  <c r="X21" i="118"/>
  <c r="X20" i="118"/>
  <c r="X19" i="118"/>
  <c r="X18" i="118"/>
  <c r="X17" i="118"/>
  <c r="X16" i="118"/>
  <c r="X15" i="118"/>
  <c r="X14" i="118"/>
  <c r="X13" i="118"/>
  <c r="X12" i="118"/>
  <c r="X11" i="118"/>
  <c r="X10" i="118"/>
  <c r="X9" i="118"/>
  <c r="X8" i="118"/>
  <c r="Z76" i="117"/>
  <c r="Z75" i="117"/>
  <c r="Z74" i="117"/>
  <c r="Z73" i="117"/>
  <c r="Z72" i="117"/>
  <c r="Z71" i="117"/>
  <c r="Z70" i="117"/>
  <c r="Z69" i="117"/>
  <c r="Z68" i="117"/>
  <c r="Z67" i="117"/>
  <c r="Z66" i="117"/>
  <c r="Z65" i="117"/>
  <c r="Z64" i="117"/>
  <c r="Z63" i="117"/>
  <c r="Z62" i="117"/>
  <c r="Z61" i="117"/>
  <c r="Z60" i="117"/>
  <c r="Z59" i="117"/>
  <c r="Z58" i="117"/>
  <c r="Z57" i="117"/>
  <c r="Z56" i="117"/>
  <c r="Z55" i="117"/>
  <c r="Z54" i="117"/>
  <c r="Z53" i="117"/>
  <c r="Z52" i="117"/>
  <c r="Z51" i="117"/>
  <c r="Z50" i="117"/>
  <c r="Z49" i="117"/>
  <c r="Z48" i="117"/>
  <c r="Z47" i="117"/>
  <c r="Z46" i="117"/>
  <c r="Z45" i="117"/>
  <c r="Z44" i="117"/>
  <c r="Z43" i="117"/>
  <c r="Z42" i="117"/>
  <c r="Z41" i="117"/>
  <c r="Z40" i="117"/>
  <c r="Z39" i="117"/>
  <c r="Z38" i="117"/>
  <c r="Z37" i="117"/>
  <c r="Z36" i="117"/>
  <c r="Z35" i="117"/>
  <c r="Z34" i="117"/>
  <c r="Z33" i="117"/>
  <c r="Z32" i="117"/>
  <c r="Z31" i="117"/>
  <c r="Z30" i="117"/>
  <c r="Z29" i="117"/>
  <c r="Z28" i="117"/>
  <c r="Z27" i="117"/>
  <c r="Z26" i="117"/>
  <c r="Z25" i="117"/>
  <c r="Z24" i="117"/>
  <c r="Z23" i="117"/>
  <c r="Z22" i="117"/>
  <c r="Z21" i="117"/>
  <c r="Z20" i="117"/>
  <c r="Z19" i="117"/>
  <c r="Z18" i="117"/>
  <c r="Z17" i="117"/>
  <c r="Z16" i="117"/>
  <c r="Z15" i="117"/>
  <c r="Z14" i="117"/>
  <c r="Z13" i="117"/>
  <c r="Z12" i="117"/>
  <c r="Z11" i="117"/>
  <c r="Z10" i="117"/>
  <c r="Z9" i="117"/>
  <c r="Z8" i="117"/>
  <c r="X76" i="116"/>
  <c r="X75" i="116"/>
  <c r="X74" i="116"/>
  <c r="X73" i="116"/>
  <c r="X72" i="116"/>
  <c r="X71" i="116"/>
  <c r="X70" i="116"/>
  <c r="X69" i="116"/>
  <c r="X68" i="116"/>
  <c r="X67" i="116"/>
  <c r="X66" i="116"/>
  <c r="X65" i="116"/>
  <c r="X64" i="116"/>
  <c r="X63" i="116"/>
  <c r="X62" i="116"/>
  <c r="X61" i="116"/>
  <c r="X60" i="116"/>
  <c r="X59" i="116"/>
  <c r="X58" i="116"/>
  <c r="X57" i="116"/>
  <c r="X56" i="116"/>
  <c r="X55" i="116"/>
  <c r="X54" i="116"/>
  <c r="X53" i="116"/>
  <c r="X52" i="116"/>
  <c r="X51" i="116"/>
  <c r="X50" i="116"/>
  <c r="X49" i="116"/>
  <c r="X48" i="116"/>
  <c r="X47" i="116"/>
  <c r="X46" i="116"/>
  <c r="X45" i="116"/>
  <c r="X44" i="116"/>
  <c r="X43" i="116"/>
  <c r="X42" i="116"/>
  <c r="X41" i="116"/>
  <c r="X40" i="116"/>
  <c r="X39" i="116"/>
  <c r="X38" i="116"/>
  <c r="X37" i="116"/>
  <c r="X36" i="116"/>
  <c r="X35" i="116"/>
  <c r="X34" i="116"/>
  <c r="X33" i="116"/>
  <c r="X32" i="116"/>
  <c r="X31" i="116"/>
  <c r="X30" i="116"/>
  <c r="X29" i="116"/>
  <c r="X28" i="116"/>
  <c r="X27" i="116"/>
  <c r="X26" i="116"/>
  <c r="X25" i="116"/>
  <c r="X24" i="116"/>
  <c r="X23" i="116"/>
  <c r="X22" i="116"/>
  <c r="X21" i="116"/>
  <c r="X20" i="116"/>
  <c r="X19" i="116"/>
  <c r="X18" i="116"/>
  <c r="X17" i="116"/>
  <c r="X16" i="116"/>
  <c r="X15" i="116"/>
  <c r="X14" i="116"/>
  <c r="X13" i="116"/>
  <c r="X12" i="116"/>
  <c r="X11" i="116"/>
  <c r="X10" i="116"/>
  <c r="X9" i="116"/>
  <c r="X8" i="116"/>
  <c r="X76" i="115"/>
  <c r="X75" i="115"/>
  <c r="X74" i="115"/>
  <c r="X73" i="115"/>
  <c r="X72" i="115"/>
  <c r="X71" i="115"/>
  <c r="X70" i="115"/>
  <c r="X69" i="115"/>
  <c r="X68" i="115"/>
  <c r="X67" i="115"/>
  <c r="X66" i="115"/>
  <c r="X65" i="115"/>
  <c r="X64" i="115"/>
  <c r="X63" i="115"/>
  <c r="X62" i="115"/>
  <c r="X61" i="115"/>
  <c r="X60" i="115"/>
  <c r="X59" i="115"/>
  <c r="X58" i="115"/>
  <c r="X57" i="115"/>
  <c r="X56" i="115"/>
  <c r="X55" i="115"/>
  <c r="X54" i="115"/>
  <c r="X53" i="115"/>
  <c r="X52" i="115"/>
  <c r="X51" i="115"/>
  <c r="X50" i="115"/>
  <c r="X49" i="115"/>
  <c r="X48" i="115"/>
  <c r="X47" i="115"/>
  <c r="X46" i="115"/>
  <c r="X45" i="115"/>
  <c r="X44" i="115"/>
  <c r="X43" i="115"/>
  <c r="X42" i="115"/>
  <c r="X41" i="115"/>
  <c r="X40" i="115"/>
  <c r="X39" i="115"/>
  <c r="X38" i="115"/>
  <c r="X37" i="115"/>
  <c r="X36" i="115"/>
  <c r="X35" i="115"/>
  <c r="X34" i="115"/>
  <c r="X33" i="115"/>
  <c r="X32" i="115"/>
  <c r="X31" i="115"/>
  <c r="X30" i="115"/>
  <c r="X29" i="115"/>
  <c r="X28" i="115"/>
  <c r="X27" i="115"/>
  <c r="X26" i="115"/>
  <c r="X25" i="115"/>
  <c r="X24" i="115"/>
  <c r="X23" i="115"/>
  <c r="X22" i="115"/>
  <c r="X21" i="115"/>
  <c r="X20" i="115"/>
  <c r="X19" i="115"/>
  <c r="X18" i="115"/>
  <c r="X17" i="115"/>
  <c r="X16" i="115"/>
  <c r="X15" i="115"/>
  <c r="X14" i="115"/>
  <c r="X13" i="115"/>
  <c r="X12" i="115"/>
  <c r="X11" i="115"/>
  <c r="X10" i="115"/>
  <c r="X9" i="115"/>
  <c r="X8" i="115"/>
  <c r="X77" i="114"/>
  <c r="X76" i="114"/>
  <c r="X75" i="114"/>
  <c r="X74" i="114"/>
  <c r="X73" i="114"/>
  <c r="X72" i="114"/>
  <c r="X71" i="114"/>
  <c r="X70" i="114"/>
  <c r="X69" i="114"/>
  <c r="X68" i="114"/>
  <c r="X67" i="114"/>
  <c r="X66" i="114"/>
  <c r="X65" i="114"/>
  <c r="X64" i="114"/>
  <c r="X63" i="114"/>
  <c r="X62" i="114"/>
  <c r="X61" i="114"/>
  <c r="X60" i="114"/>
  <c r="X59" i="114"/>
  <c r="X58" i="114"/>
  <c r="X57" i="114"/>
  <c r="X56" i="114"/>
  <c r="X55" i="114"/>
  <c r="X54" i="114"/>
  <c r="X53" i="114"/>
  <c r="X52" i="114"/>
  <c r="X51" i="114"/>
  <c r="X50" i="114"/>
  <c r="X49" i="114"/>
  <c r="X48" i="114"/>
  <c r="X47" i="114"/>
  <c r="X46" i="114"/>
  <c r="X45" i="114"/>
  <c r="X44" i="114"/>
  <c r="X43" i="114"/>
  <c r="X42" i="114"/>
  <c r="X41" i="114"/>
  <c r="X40" i="114"/>
  <c r="X39" i="114"/>
  <c r="X38" i="114"/>
  <c r="X37" i="114"/>
  <c r="X36" i="114"/>
  <c r="X35" i="114"/>
  <c r="X34" i="114"/>
  <c r="X33" i="114"/>
  <c r="X32" i="114"/>
  <c r="X31" i="114"/>
  <c r="X30" i="114"/>
  <c r="X29" i="114"/>
  <c r="X28" i="114"/>
  <c r="X27" i="114"/>
  <c r="X26" i="114"/>
  <c r="X25" i="114"/>
  <c r="X24" i="114"/>
  <c r="X23" i="114"/>
  <c r="X22" i="114"/>
  <c r="X21" i="114"/>
  <c r="X20" i="114"/>
  <c r="X19" i="114"/>
  <c r="X18" i="114"/>
  <c r="X17" i="114"/>
  <c r="X16" i="114"/>
  <c r="X15" i="114"/>
  <c r="X14" i="114"/>
  <c r="X13" i="114"/>
  <c r="X12" i="114"/>
  <c r="X11" i="114"/>
  <c r="X10" i="114"/>
  <c r="X9" i="114"/>
  <c r="X8" i="114"/>
  <c r="X76" i="113"/>
  <c r="X75" i="113"/>
  <c r="X74" i="113"/>
  <c r="X73" i="113"/>
  <c r="X72" i="113"/>
  <c r="X71" i="113"/>
  <c r="X70" i="113"/>
  <c r="X69" i="113"/>
  <c r="X68" i="113"/>
  <c r="X67" i="113"/>
  <c r="X66" i="113"/>
  <c r="X65" i="113"/>
  <c r="X64" i="113"/>
  <c r="X63" i="113"/>
  <c r="X62" i="113"/>
  <c r="X61" i="113"/>
  <c r="X60" i="113"/>
  <c r="X59" i="113"/>
  <c r="X58" i="113"/>
  <c r="X57" i="113"/>
  <c r="X56" i="113"/>
  <c r="X55" i="113"/>
  <c r="X54" i="113"/>
  <c r="X53" i="113"/>
  <c r="X52" i="113"/>
  <c r="X51" i="113"/>
  <c r="X50" i="113"/>
  <c r="X49" i="113"/>
  <c r="X48" i="113"/>
  <c r="X47" i="113"/>
  <c r="X46" i="113"/>
  <c r="X45" i="113"/>
  <c r="X44" i="113"/>
  <c r="X43" i="113"/>
  <c r="X42" i="113"/>
  <c r="X41" i="113"/>
  <c r="X40" i="113"/>
  <c r="X39" i="113"/>
  <c r="X38" i="113"/>
  <c r="X37" i="113"/>
  <c r="X36" i="113"/>
  <c r="X35" i="113"/>
  <c r="X34" i="113"/>
  <c r="X33" i="113"/>
  <c r="X32" i="113"/>
  <c r="X31" i="113"/>
  <c r="X30" i="113"/>
  <c r="X29" i="113"/>
  <c r="X28" i="113"/>
  <c r="X27" i="113"/>
  <c r="X26" i="113"/>
  <c r="X25" i="113"/>
  <c r="X24" i="113"/>
  <c r="X23" i="113"/>
  <c r="X22" i="113"/>
  <c r="X21" i="113"/>
  <c r="X20" i="113"/>
  <c r="X19" i="113"/>
  <c r="X18" i="113"/>
  <c r="X17" i="113"/>
  <c r="X16" i="113"/>
  <c r="X15" i="113"/>
  <c r="X14" i="113"/>
  <c r="X13" i="113"/>
  <c r="X12" i="113"/>
  <c r="X11" i="113"/>
  <c r="X10" i="113"/>
  <c r="X9" i="113"/>
  <c r="X8" i="113"/>
  <c r="B68" i="31" l="1"/>
  <c r="B67" i="31"/>
  <c r="B66" i="31"/>
  <c r="B65" i="31"/>
  <c r="B64" i="31"/>
  <c r="B63" i="31"/>
  <c r="B62" i="31"/>
  <c r="B61" i="31"/>
  <c r="B60" i="31"/>
  <c r="B59" i="31"/>
  <c r="B58" i="31"/>
  <c r="B57" i="3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AM75" i="76" l="1"/>
  <c r="AL77" i="114"/>
  <c r="AN77" i="114" s="1"/>
  <c r="AM77" i="114" l="1"/>
  <c r="W35" i="46" l="1"/>
  <c r="W29" i="46"/>
  <c r="W28" i="46"/>
  <c r="W23" i="46"/>
  <c r="W17" i="46"/>
  <c r="W16" i="46"/>
  <c r="W15" i="46"/>
  <c r="W14" i="46"/>
  <c r="W13" i="46"/>
  <c r="W12" i="46"/>
  <c r="W11" i="46"/>
  <c r="W10" i="46"/>
  <c r="D19" i="137"/>
  <c r="D18" i="137"/>
  <c r="D17" i="137"/>
  <c r="D16" i="137"/>
  <c r="D15" i="137"/>
  <c r="D13" i="137"/>
  <c r="D12" i="137"/>
  <c r="D11" i="137"/>
  <c r="D10" i="137"/>
  <c r="T43" i="115" l="1"/>
  <c r="Y43" i="115" s="1"/>
  <c r="T22" i="31"/>
  <c r="T17" i="31"/>
  <c r="T9" i="31"/>
  <c r="T77" i="113"/>
  <c r="T76" i="114"/>
  <c r="Y76" i="114" s="1"/>
  <c r="T75" i="114"/>
  <c r="Y75" i="114" s="1"/>
  <c r="T74" i="114"/>
  <c r="Y74" i="114" s="1"/>
  <c r="T73" i="114"/>
  <c r="Y73" i="114" s="1"/>
  <c r="T72" i="114"/>
  <c r="Y72" i="114" s="1"/>
  <c r="T71" i="114"/>
  <c r="Y71" i="114" s="1"/>
  <c r="T70" i="114"/>
  <c r="Y70" i="114" s="1"/>
  <c r="T69" i="114"/>
  <c r="Y69" i="114" s="1"/>
  <c r="T68" i="114"/>
  <c r="Y68" i="114" s="1"/>
  <c r="T67" i="114"/>
  <c r="Y67" i="114" s="1"/>
  <c r="T66" i="114"/>
  <c r="Y66" i="114" s="1"/>
  <c r="T65" i="114"/>
  <c r="Y65" i="114" s="1"/>
  <c r="T64" i="114"/>
  <c r="Y64" i="114" s="1"/>
  <c r="T63" i="114"/>
  <c r="Y63" i="114" s="1"/>
  <c r="T62" i="114"/>
  <c r="Y62" i="114" s="1"/>
  <c r="T61" i="114"/>
  <c r="Y61" i="114" s="1"/>
  <c r="T60" i="114"/>
  <c r="Y60" i="114" s="1"/>
  <c r="T59" i="114"/>
  <c r="Y59" i="114" s="1"/>
  <c r="T58" i="114"/>
  <c r="Y58" i="114" s="1"/>
  <c r="T57" i="114"/>
  <c r="Y57" i="114" s="1"/>
  <c r="T56" i="114"/>
  <c r="Y56" i="114" s="1"/>
  <c r="T55" i="114"/>
  <c r="Y55" i="114" s="1"/>
  <c r="T54" i="114"/>
  <c r="Y54" i="114" s="1"/>
  <c r="T53" i="114"/>
  <c r="Y53" i="114" s="1"/>
  <c r="T52" i="114"/>
  <c r="Y52" i="114" s="1"/>
  <c r="T51" i="114"/>
  <c r="Y51" i="114" s="1"/>
  <c r="T50" i="114"/>
  <c r="Y50" i="114" s="1"/>
  <c r="T49" i="114"/>
  <c r="Y49" i="114" s="1"/>
  <c r="T48" i="114"/>
  <c r="Y48" i="114" s="1"/>
  <c r="T47" i="114"/>
  <c r="Y47" i="114" s="1"/>
  <c r="T46" i="114"/>
  <c r="Y46" i="114" s="1"/>
  <c r="T45" i="114"/>
  <c r="Y45" i="114" s="1"/>
  <c r="T44" i="114"/>
  <c r="Y44" i="114" s="1"/>
  <c r="T43" i="114"/>
  <c r="Y43" i="114" s="1"/>
  <c r="T42" i="114"/>
  <c r="Y42" i="114" s="1"/>
  <c r="T41" i="114"/>
  <c r="Y41" i="114" s="1"/>
  <c r="T40" i="114"/>
  <c r="Y40" i="114" s="1"/>
  <c r="T39" i="114"/>
  <c r="Y39" i="114" s="1"/>
  <c r="T38" i="114"/>
  <c r="Y38" i="114" s="1"/>
  <c r="T37" i="114"/>
  <c r="Y37" i="114" s="1"/>
  <c r="T36" i="114"/>
  <c r="Y36" i="114" s="1"/>
  <c r="T35" i="114"/>
  <c r="Y35" i="114" s="1"/>
  <c r="T34" i="114"/>
  <c r="Y34" i="114" s="1"/>
  <c r="T33" i="114"/>
  <c r="Y33" i="114" s="1"/>
  <c r="T32" i="114"/>
  <c r="Y32" i="114" s="1"/>
  <c r="T31" i="114"/>
  <c r="Y31" i="114" s="1"/>
  <c r="T30" i="114"/>
  <c r="Y30" i="114" s="1"/>
  <c r="T29" i="114"/>
  <c r="Y29" i="114" s="1"/>
  <c r="T28" i="114"/>
  <c r="Y28" i="114" s="1"/>
  <c r="T27" i="114"/>
  <c r="Y27" i="114" s="1"/>
  <c r="T26" i="114"/>
  <c r="Y26" i="114" s="1"/>
  <c r="T25" i="114"/>
  <c r="Y25" i="114" s="1"/>
  <c r="T24" i="114"/>
  <c r="Y24" i="114" s="1"/>
  <c r="T23" i="114"/>
  <c r="Y23" i="114" s="1"/>
  <c r="T22" i="114"/>
  <c r="Y22" i="114" s="1"/>
  <c r="T21" i="114"/>
  <c r="Y21" i="114" s="1"/>
  <c r="T20" i="114"/>
  <c r="Y20" i="114" s="1"/>
  <c r="T19" i="114"/>
  <c r="Y19" i="114" s="1"/>
  <c r="T18" i="114"/>
  <c r="Y18" i="114" s="1"/>
  <c r="T17" i="114"/>
  <c r="Y17" i="114" s="1"/>
  <c r="T16" i="114"/>
  <c r="Y16" i="114" s="1"/>
  <c r="T15" i="114"/>
  <c r="Y15" i="114" s="1"/>
  <c r="T14" i="114"/>
  <c r="Y14" i="114" s="1"/>
  <c r="T13" i="114"/>
  <c r="Y13" i="114" s="1"/>
  <c r="T12" i="114"/>
  <c r="Y12" i="114" s="1"/>
  <c r="T11" i="114"/>
  <c r="Y11" i="114" s="1"/>
  <c r="T10" i="114"/>
  <c r="Y10" i="114" s="1"/>
  <c r="T9" i="114"/>
  <c r="Y9" i="114" s="1"/>
  <c r="T8" i="114"/>
  <c r="Y8" i="114" s="1"/>
  <c r="T76" i="113"/>
  <c r="Y76" i="113" s="1"/>
  <c r="T75" i="113"/>
  <c r="Y75" i="113" s="1"/>
  <c r="T74" i="113"/>
  <c r="Y74" i="113" s="1"/>
  <c r="T73" i="113"/>
  <c r="Y73" i="113" s="1"/>
  <c r="T72" i="113"/>
  <c r="Y72" i="113" s="1"/>
  <c r="T71" i="113"/>
  <c r="Y71" i="113" s="1"/>
  <c r="T70" i="113"/>
  <c r="Y70" i="113" s="1"/>
  <c r="T69" i="113"/>
  <c r="Y69" i="113" s="1"/>
  <c r="T68" i="113"/>
  <c r="Y68" i="113" s="1"/>
  <c r="T67" i="113"/>
  <c r="Y67" i="113" s="1"/>
  <c r="T66" i="113"/>
  <c r="Y66" i="113" s="1"/>
  <c r="T65" i="113"/>
  <c r="Y65" i="113" s="1"/>
  <c r="T64" i="113"/>
  <c r="Y64" i="113" s="1"/>
  <c r="T63" i="113"/>
  <c r="Y63" i="113" s="1"/>
  <c r="T62" i="113"/>
  <c r="Y62" i="113" s="1"/>
  <c r="T61" i="113"/>
  <c r="Y61" i="113" s="1"/>
  <c r="T60" i="113"/>
  <c r="Y60" i="113" s="1"/>
  <c r="T59" i="113"/>
  <c r="Y59" i="113" s="1"/>
  <c r="T58" i="113"/>
  <c r="Y58" i="113" s="1"/>
  <c r="T57" i="113"/>
  <c r="Y57" i="113" s="1"/>
  <c r="T56" i="113"/>
  <c r="Y56" i="113" s="1"/>
  <c r="T55" i="113"/>
  <c r="Y55" i="113" s="1"/>
  <c r="T54" i="113"/>
  <c r="Y54" i="113" s="1"/>
  <c r="T53" i="113"/>
  <c r="Y53" i="113" s="1"/>
  <c r="T52" i="113"/>
  <c r="Y52" i="113" s="1"/>
  <c r="T51" i="113"/>
  <c r="Y51" i="113" s="1"/>
  <c r="T50" i="113"/>
  <c r="Y50" i="113" s="1"/>
  <c r="T49" i="113"/>
  <c r="Y49" i="113" s="1"/>
  <c r="T48" i="113"/>
  <c r="Y48" i="113" s="1"/>
  <c r="T47" i="113"/>
  <c r="Y47" i="113" s="1"/>
  <c r="T46" i="113"/>
  <c r="Y46" i="113" s="1"/>
  <c r="T45" i="113"/>
  <c r="Y45" i="113" s="1"/>
  <c r="T44" i="113"/>
  <c r="Y44" i="113" s="1"/>
  <c r="T43" i="113"/>
  <c r="Y43" i="113" s="1"/>
  <c r="T42" i="113"/>
  <c r="Y42" i="113" s="1"/>
  <c r="T41" i="113"/>
  <c r="Y41" i="113" s="1"/>
  <c r="T40" i="113"/>
  <c r="Y40" i="113" s="1"/>
  <c r="T39" i="113"/>
  <c r="Y39" i="113" s="1"/>
  <c r="T38" i="113"/>
  <c r="Y38" i="113" s="1"/>
  <c r="T37" i="113"/>
  <c r="Y37" i="113" s="1"/>
  <c r="T36" i="113"/>
  <c r="Y36" i="113" s="1"/>
  <c r="T35" i="113"/>
  <c r="Y35" i="113" s="1"/>
  <c r="T34" i="113"/>
  <c r="Y34" i="113" s="1"/>
  <c r="T33" i="113"/>
  <c r="Y33" i="113" s="1"/>
  <c r="T32" i="113"/>
  <c r="Y32" i="113" s="1"/>
  <c r="T31" i="113"/>
  <c r="Y31" i="113" s="1"/>
  <c r="T30" i="113"/>
  <c r="Y30" i="113" s="1"/>
  <c r="T29" i="113"/>
  <c r="Y29" i="113" s="1"/>
  <c r="T28" i="113"/>
  <c r="Y28" i="113" s="1"/>
  <c r="T27" i="113"/>
  <c r="Y27" i="113" s="1"/>
  <c r="T26" i="113"/>
  <c r="Y26" i="113" s="1"/>
  <c r="T25" i="113"/>
  <c r="Y25" i="113" s="1"/>
  <c r="T24" i="113"/>
  <c r="Y24" i="113" s="1"/>
  <c r="T23" i="113"/>
  <c r="Y23" i="113" s="1"/>
  <c r="T22" i="113"/>
  <c r="Y22" i="113" s="1"/>
  <c r="T21" i="113"/>
  <c r="Y21" i="113" s="1"/>
  <c r="T20" i="113"/>
  <c r="Y20" i="113" s="1"/>
  <c r="T19" i="113"/>
  <c r="Y19" i="113" s="1"/>
  <c r="T18" i="113"/>
  <c r="Y18" i="113" s="1"/>
  <c r="T17" i="113"/>
  <c r="Y17" i="113" s="1"/>
  <c r="T16" i="113"/>
  <c r="Y16" i="113" s="1"/>
  <c r="T15" i="113"/>
  <c r="Y15" i="113" s="1"/>
  <c r="T14" i="113"/>
  <c r="Y14" i="113" s="1"/>
  <c r="T13" i="113"/>
  <c r="Y13" i="113" s="1"/>
  <c r="T12" i="113"/>
  <c r="Y12" i="113" s="1"/>
  <c r="T11" i="113"/>
  <c r="Y11" i="113" s="1"/>
  <c r="T10" i="113"/>
  <c r="Y10" i="113" s="1"/>
  <c r="T9" i="113"/>
  <c r="Y9" i="113" s="1"/>
  <c r="T8" i="113"/>
  <c r="Y8" i="113" s="1"/>
  <c r="C76" i="67" l="1"/>
  <c r="C75" i="67"/>
  <c r="C74" i="67"/>
  <c r="C73" i="67"/>
  <c r="C72" i="67"/>
  <c r="C71" i="67"/>
  <c r="C70" i="67"/>
  <c r="C69" i="67"/>
  <c r="C68" i="67"/>
  <c r="C67" i="67"/>
  <c r="C66" i="67"/>
  <c r="C65" i="67"/>
  <c r="C64" i="67"/>
  <c r="C63" i="67"/>
  <c r="C62" i="67"/>
  <c r="C61" i="67"/>
  <c r="C60" i="67"/>
  <c r="C59" i="67"/>
  <c r="C58" i="67"/>
  <c r="C57" i="67"/>
  <c r="C56" i="67"/>
  <c r="C55" i="67"/>
  <c r="C54" i="67"/>
  <c r="C53" i="67"/>
  <c r="C52" i="67"/>
  <c r="C51" i="67"/>
  <c r="C50" i="67"/>
  <c r="C49" i="67"/>
  <c r="C48" i="67"/>
  <c r="C47" i="67"/>
  <c r="C46" i="67"/>
  <c r="C45" i="67"/>
  <c r="C44" i="67"/>
  <c r="C43" i="67"/>
  <c r="C42" i="67"/>
  <c r="C41" i="67"/>
  <c r="C40" i="67"/>
  <c r="C39" i="67"/>
  <c r="C38" i="67"/>
  <c r="C37" i="67"/>
  <c r="C36" i="67"/>
  <c r="C35" i="67"/>
  <c r="C34" i="67"/>
  <c r="C33" i="67"/>
  <c r="C32" i="67"/>
  <c r="C31" i="67"/>
  <c r="C30" i="67"/>
  <c r="C29" i="67"/>
  <c r="C28" i="67"/>
  <c r="C27" i="67"/>
  <c r="C26" i="67"/>
  <c r="C25" i="67"/>
  <c r="C24" i="67"/>
  <c r="C23" i="67"/>
  <c r="C22" i="67"/>
  <c r="C21" i="67"/>
  <c r="C20" i="67"/>
  <c r="C19" i="67"/>
  <c r="C18" i="67"/>
  <c r="C17" i="67"/>
  <c r="C16" i="67"/>
  <c r="C15" i="67"/>
  <c r="C14" i="67"/>
  <c r="C13" i="67"/>
  <c r="C12" i="67"/>
  <c r="C11" i="67"/>
  <c r="C10" i="67"/>
  <c r="C9" i="67"/>
  <c r="C8" i="67"/>
  <c r="O7" i="31" l="1"/>
  <c r="AB22" i="46"/>
  <c r="AC22" i="46" s="1"/>
  <c r="AA30" i="46"/>
  <c r="AC27" i="46"/>
  <c r="AC26" i="46"/>
  <c r="X69" i="31" l="1"/>
  <c r="X70" i="31" s="1"/>
  <c r="X72" i="31" s="1"/>
  <c r="K7" i="31"/>
  <c r="X77" i="119" l="1"/>
  <c r="K33" i="46"/>
  <c r="K26" i="46"/>
  <c r="K21" i="46"/>
  <c r="AA18" i="46"/>
  <c r="AA38" i="46" s="1"/>
  <c r="I9" i="137" l="1"/>
  <c r="Y75" i="80"/>
  <c r="Y79" i="80" s="1"/>
  <c r="Y75" i="76" l="1"/>
  <c r="Y79" i="76" s="1"/>
  <c r="Z77" i="117"/>
  <c r="X77" i="115" l="1"/>
  <c r="X77" i="128"/>
  <c r="X77" i="129"/>
  <c r="X77" i="127"/>
  <c r="X77" i="131"/>
  <c r="X77" i="125" l="1"/>
  <c r="X77" i="126"/>
  <c r="X77" i="120"/>
  <c r="X77" i="113"/>
  <c r="X78" i="114"/>
  <c r="X77" i="116"/>
  <c r="X77" i="118"/>
  <c r="D6" i="118"/>
  <c r="C8" i="118"/>
  <c r="C9" i="118"/>
  <c r="C10" i="118"/>
  <c r="C11" i="118"/>
  <c r="C12" i="118"/>
  <c r="C13" i="118"/>
  <c r="C19" i="5" l="1"/>
  <c r="D19" i="5" s="1"/>
  <c r="E19" i="5" s="1"/>
  <c r="F19" i="5" s="1"/>
  <c r="G19" i="5" s="1"/>
  <c r="H19" i="5" s="1"/>
  <c r="I19" i="5" s="1"/>
  <c r="J19" i="5" s="1"/>
  <c r="K19" i="5" s="1"/>
  <c r="L19" i="5" s="1"/>
  <c r="M19" i="5" s="1"/>
  <c r="N19" i="5" s="1"/>
  <c r="O19" i="5" s="1"/>
  <c r="P19" i="5" s="1"/>
  <c r="T20" i="137" l="1"/>
  <c r="O14" i="137"/>
  <c r="E13" i="137"/>
  <c r="C14" i="137"/>
  <c r="C20" i="137" s="1"/>
  <c r="G13" i="137"/>
  <c r="H13" i="137" l="1"/>
  <c r="C9" i="31" l="1"/>
  <c r="C35" i="46" l="1"/>
  <c r="C29" i="46"/>
  <c r="C28" i="46"/>
  <c r="C23" i="46"/>
  <c r="C17" i="46"/>
  <c r="C16" i="46"/>
  <c r="C15" i="46"/>
  <c r="C14" i="46"/>
  <c r="C13" i="46"/>
  <c r="C12" i="46"/>
  <c r="C11" i="46"/>
  <c r="C10" i="46"/>
  <c r="J9" i="137" l="1"/>
  <c r="K9" i="137" s="1"/>
  <c r="L9" i="137" s="1"/>
  <c r="M9" i="137" s="1"/>
  <c r="N9" i="137" s="1"/>
  <c r="O9" i="137" s="1"/>
  <c r="P9" i="137" s="1"/>
  <c r="Q9" i="137" s="1"/>
  <c r="R9" i="137" s="1"/>
  <c r="S9" i="137" s="1"/>
  <c r="T9" i="137" s="1"/>
  <c r="U9" i="137" s="1"/>
  <c r="P64" i="76" l="1"/>
  <c r="P71" i="76"/>
  <c r="U22" i="137" l="1"/>
  <c r="V77" i="117" l="1"/>
  <c r="T77" i="115"/>
  <c r="T68" i="31"/>
  <c r="U9" i="31"/>
  <c r="T24" i="31"/>
  <c r="T16" i="31"/>
  <c r="T9" i="116"/>
  <c r="Y9" i="116" s="1"/>
  <c r="T11" i="118"/>
  <c r="Y11" i="118" s="1"/>
  <c r="T13" i="116"/>
  <c r="Y13" i="116" s="1"/>
  <c r="T17" i="119"/>
  <c r="Y17" i="119" s="1"/>
  <c r="T19" i="118"/>
  <c r="Y19" i="118" s="1"/>
  <c r="T21" i="116"/>
  <c r="Y21" i="116" s="1"/>
  <c r="T25" i="116"/>
  <c r="Y25" i="116" s="1"/>
  <c r="T27" i="118"/>
  <c r="Y27" i="118" s="1"/>
  <c r="T29" i="116"/>
  <c r="Y29" i="116" s="1"/>
  <c r="T33" i="119"/>
  <c r="Y33" i="119" s="1"/>
  <c r="T35" i="118"/>
  <c r="Y35" i="118" s="1"/>
  <c r="T37" i="116"/>
  <c r="Y37" i="116" s="1"/>
  <c r="T41" i="116"/>
  <c r="Y41" i="116" s="1"/>
  <c r="T43" i="118"/>
  <c r="Y43" i="118" s="1"/>
  <c r="T45" i="116"/>
  <c r="Y45" i="116" s="1"/>
  <c r="T49" i="115"/>
  <c r="Y49" i="115" s="1"/>
  <c r="T51" i="118"/>
  <c r="Y51" i="118" s="1"/>
  <c r="T53" i="116"/>
  <c r="Y53" i="116" s="1"/>
  <c r="T57" i="115"/>
  <c r="Y57" i="115" s="1"/>
  <c r="T59" i="115"/>
  <c r="Y59" i="115" s="1"/>
  <c r="T61" i="116"/>
  <c r="Y61" i="116" s="1"/>
  <c r="T65" i="115"/>
  <c r="Y65" i="115" s="1"/>
  <c r="T67" i="118"/>
  <c r="Y67" i="118" s="1"/>
  <c r="T69" i="116"/>
  <c r="Y69" i="116" s="1"/>
  <c r="T73" i="115"/>
  <c r="Y73" i="115" s="1"/>
  <c r="T75" i="115"/>
  <c r="Y75" i="115" s="1"/>
  <c r="T12" i="126"/>
  <c r="Y12" i="126" s="1"/>
  <c r="V14" i="117"/>
  <c r="AA14" i="117" s="1"/>
  <c r="V16" i="117"/>
  <c r="AA16" i="117" s="1"/>
  <c r="T18" i="125"/>
  <c r="Y18" i="125" s="1"/>
  <c r="T20" i="126"/>
  <c r="Y20" i="126" s="1"/>
  <c r="T22" i="125"/>
  <c r="Y22" i="125" s="1"/>
  <c r="V24" i="117"/>
  <c r="AA24" i="117" s="1"/>
  <c r="T26" i="119"/>
  <c r="Y26" i="119" s="1"/>
  <c r="T28" i="126"/>
  <c r="Y28" i="126" s="1"/>
  <c r="V30" i="117"/>
  <c r="AA30" i="117" s="1"/>
  <c r="V32" i="117"/>
  <c r="AA32" i="117" s="1"/>
  <c r="T34" i="125"/>
  <c r="Y34" i="125" s="1"/>
  <c r="T36" i="126"/>
  <c r="Y36" i="126" s="1"/>
  <c r="T38" i="125"/>
  <c r="Y38" i="125" s="1"/>
  <c r="T40" i="120"/>
  <c r="Y40" i="120" s="1"/>
  <c r="T42" i="125"/>
  <c r="Y42" i="125" s="1"/>
  <c r="T44" i="126"/>
  <c r="Y44" i="126" s="1"/>
  <c r="V46" i="117"/>
  <c r="AA46" i="117" s="1"/>
  <c r="V48" i="117"/>
  <c r="AA48" i="117" s="1"/>
  <c r="T50" i="125"/>
  <c r="Y50" i="125" s="1"/>
  <c r="V52" i="117"/>
  <c r="AA52" i="117" s="1"/>
  <c r="T54" i="125"/>
  <c r="Y54" i="125" s="1"/>
  <c r="V56" i="117"/>
  <c r="AA56" i="117" s="1"/>
  <c r="T58" i="119"/>
  <c r="Y58" i="119" s="1"/>
  <c r="V60" i="117"/>
  <c r="AA60" i="117" s="1"/>
  <c r="V62" i="117"/>
  <c r="AA62" i="117" s="1"/>
  <c r="V64" i="117"/>
  <c r="AA64" i="117" s="1"/>
  <c r="T66" i="125"/>
  <c r="Y66" i="125" s="1"/>
  <c r="V68" i="117"/>
  <c r="AA68" i="117" s="1"/>
  <c r="T70" i="125"/>
  <c r="Y70" i="125" s="1"/>
  <c r="T72" i="120"/>
  <c r="Y72" i="120" s="1"/>
  <c r="T74" i="125"/>
  <c r="Y74" i="125" s="1"/>
  <c r="T8" i="120"/>
  <c r="Y8" i="120" s="1"/>
  <c r="T8" i="115"/>
  <c r="Y8" i="115" s="1"/>
  <c r="T13" i="31"/>
  <c r="T18" i="31"/>
  <c r="T23" i="31"/>
  <c r="T28" i="31"/>
  <c r="T32" i="31"/>
  <c r="T36" i="31"/>
  <c r="T40" i="31"/>
  <c r="T45" i="31"/>
  <c r="T49" i="31"/>
  <c r="T53" i="31"/>
  <c r="T57" i="31"/>
  <c r="T61" i="31"/>
  <c r="T65" i="31"/>
  <c r="T14" i="31"/>
  <c r="T19" i="31"/>
  <c r="T25" i="31"/>
  <c r="T29" i="31"/>
  <c r="T33" i="31"/>
  <c r="T37" i="31"/>
  <c r="T41" i="31"/>
  <c r="T46" i="31"/>
  <c r="T50" i="31"/>
  <c r="T54" i="31"/>
  <c r="T58" i="31"/>
  <c r="T62" i="31"/>
  <c r="T66" i="31"/>
  <c r="T15" i="31"/>
  <c r="T20" i="31"/>
  <c r="T26" i="31"/>
  <c r="T30" i="31"/>
  <c r="T34" i="31"/>
  <c r="T38" i="31"/>
  <c r="T42" i="31"/>
  <c r="T47" i="31"/>
  <c r="T51" i="31"/>
  <c r="T55" i="31"/>
  <c r="T59" i="31"/>
  <c r="T63" i="31"/>
  <c r="T67" i="31"/>
  <c r="V20" i="117"/>
  <c r="AA20" i="117" s="1"/>
  <c r="T12" i="31"/>
  <c r="T21" i="31"/>
  <c r="T27" i="31"/>
  <c r="T31" i="31"/>
  <c r="T35" i="31"/>
  <c r="T39" i="31"/>
  <c r="T44" i="31"/>
  <c r="T48" i="31"/>
  <c r="T52" i="31"/>
  <c r="T56" i="31"/>
  <c r="T60" i="31"/>
  <c r="T64" i="31"/>
  <c r="T24" i="119"/>
  <c r="Y24" i="119" s="1"/>
  <c r="T64" i="120"/>
  <c r="Y64" i="120" s="1"/>
  <c r="V36" i="117"/>
  <c r="AA36" i="117" s="1"/>
  <c r="T40" i="119"/>
  <c r="Y40" i="119" s="1"/>
  <c r="T56" i="126"/>
  <c r="Y56" i="126" s="1"/>
  <c r="T56" i="119"/>
  <c r="Y56" i="119" s="1"/>
  <c r="T63" i="115"/>
  <c r="Y63" i="115" s="1"/>
  <c r="T8" i="119"/>
  <c r="Y8" i="119" s="1"/>
  <c r="T72" i="119"/>
  <c r="Y72" i="119" s="1"/>
  <c r="V73" i="117"/>
  <c r="AA73" i="117" s="1"/>
  <c r="T29" i="119"/>
  <c r="Y29" i="119" s="1"/>
  <c r="T61" i="119"/>
  <c r="Y61" i="119" s="1"/>
  <c r="T55" i="115"/>
  <c r="Y55" i="115" s="1"/>
  <c r="T47" i="115"/>
  <c r="Y47" i="115" s="1"/>
  <c r="T13" i="119"/>
  <c r="Y13" i="119" s="1"/>
  <c r="T45" i="119"/>
  <c r="Y45" i="119" s="1"/>
  <c r="T32" i="120"/>
  <c r="Y32" i="120" s="1"/>
  <c r="T71" i="115"/>
  <c r="Y71" i="115" s="1"/>
  <c r="T10" i="116"/>
  <c r="Y10" i="116" s="1"/>
  <c r="T42" i="116"/>
  <c r="Y42" i="116" s="1"/>
  <c r="T74" i="116"/>
  <c r="Y74" i="116" s="1"/>
  <c r="T14" i="118"/>
  <c r="Y14" i="118" s="1"/>
  <c r="T18" i="116"/>
  <c r="Y18" i="116" s="1"/>
  <c r="T34" i="116"/>
  <c r="Y34" i="116" s="1"/>
  <c r="T50" i="116"/>
  <c r="Y50" i="116" s="1"/>
  <c r="T66" i="116"/>
  <c r="Y66" i="116" s="1"/>
  <c r="V12" i="117"/>
  <c r="AA12" i="117" s="1"/>
  <c r="V28" i="117"/>
  <c r="AA28" i="117" s="1"/>
  <c r="V44" i="117"/>
  <c r="AA44" i="117" s="1"/>
  <c r="T8" i="118"/>
  <c r="Y8" i="118" s="1"/>
  <c r="T24" i="118"/>
  <c r="Y24" i="118" s="1"/>
  <c r="T40" i="118"/>
  <c r="Y40" i="118" s="1"/>
  <c r="T56" i="118"/>
  <c r="Y56" i="118" s="1"/>
  <c r="T72" i="118"/>
  <c r="Y72" i="118" s="1"/>
  <c r="T18" i="119"/>
  <c r="Y18" i="119" s="1"/>
  <c r="T34" i="119"/>
  <c r="Y34" i="119" s="1"/>
  <c r="T50" i="119"/>
  <c r="Y50" i="119" s="1"/>
  <c r="T66" i="119"/>
  <c r="Y66" i="119" s="1"/>
  <c r="T16" i="120"/>
  <c r="Y16" i="120" s="1"/>
  <c r="T48" i="120"/>
  <c r="Y48" i="120" s="1"/>
  <c r="T10" i="125"/>
  <c r="Y10" i="125" s="1"/>
  <c r="T22" i="116"/>
  <c r="Y22" i="116" s="1"/>
  <c r="T38" i="116"/>
  <c r="Y38" i="116" s="1"/>
  <c r="T54" i="116"/>
  <c r="Y54" i="116" s="1"/>
  <c r="T70" i="116"/>
  <c r="Y70" i="116" s="1"/>
  <c r="T59" i="118"/>
  <c r="Y59" i="118" s="1"/>
  <c r="T75" i="118"/>
  <c r="Y75" i="118" s="1"/>
  <c r="T21" i="119"/>
  <c r="Y21" i="119" s="1"/>
  <c r="T37" i="119"/>
  <c r="Y37" i="119" s="1"/>
  <c r="T53" i="119"/>
  <c r="Y53" i="119" s="1"/>
  <c r="T69" i="119"/>
  <c r="Y69" i="119" s="1"/>
  <c r="T24" i="120"/>
  <c r="Y24" i="120" s="1"/>
  <c r="T56" i="120"/>
  <c r="Y56" i="120" s="1"/>
  <c r="T67" i="115"/>
  <c r="Y67" i="115" s="1"/>
  <c r="T51" i="115"/>
  <c r="Y51" i="115" s="1"/>
  <c r="T26" i="116"/>
  <c r="Y26" i="116" s="1"/>
  <c r="T58" i="116"/>
  <c r="Y58" i="116" s="1"/>
  <c r="T30" i="118"/>
  <c r="Y30" i="118" s="1"/>
  <c r="T46" i="118"/>
  <c r="Y46" i="118" s="1"/>
  <c r="T62" i="118"/>
  <c r="Y62" i="118" s="1"/>
  <c r="T26" i="125"/>
  <c r="Y26" i="125" s="1"/>
  <c r="T58" i="125"/>
  <c r="Y58" i="125" s="1"/>
  <c r="T14" i="116"/>
  <c r="Y14" i="116" s="1"/>
  <c r="T30" i="116"/>
  <c r="Y30" i="116" s="1"/>
  <c r="T46" i="116"/>
  <c r="Y46" i="116" s="1"/>
  <c r="T62" i="116"/>
  <c r="Y62" i="116" s="1"/>
  <c r="V8" i="117"/>
  <c r="AA8" i="117" s="1"/>
  <c r="V40" i="117"/>
  <c r="AA40" i="117" s="1"/>
  <c r="T8" i="131"/>
  <c r="Y8" i="131" s="1"/>
  <c r="U6" i="80"/>
  <c r="Z6" i="80" s="1"/>
  <c r="T8" i="127"/>
  <c r="Y8" i="127" s="1"/>
  <c r="T8" i="129"/>
  <c r="Y8" i="129" s="1"/>
  <c r="T8" i="128"/>
  <c r="Y8" i="128" s="1"/>
  <c r="U6" i="76"/>
  <c r="Z6" i="76" s="1"/>
  <c r="T8" i="125"/>
  <c r="Y8" i="125" s="1"/>
  <c r="U10" i="80"/>
  <c r="Z10" i="80" s="1"/>
  <c r="T12" i="131"/>
  <c r="Y12" i="131" s="1"/>
  <c r="T12" i="129"/>
  <c r="Y12" i="129" s="1"/>
  <c r="T12" i="115"/>
  <c r="Y12" i="115" s="1"/>
  <c r="T12" i="125"/>
  <c r="Y12" i="125" s="1"/>
  <c r="U10" i="76"/>
  <c r="Z10" i="76" s="1"/>
  <c r="T12" i="127"/>
  <c r="Y12" i="127" s="1"/>
  <c r="T12" i="119"/>
  <c r="Y12" i="119" s="1"/>
  <c r="T12" i="118"/>
  <c r="Y12" i="118" s="1"/>
  <c r="T12" i="128"/>
  <c r="Y12" i="128" s="1"/>
  <c r="T16" i="131"/>
  <c r="Y16" i="131" s="1"/>
  <c r="U14" i="80"/>
  <c r="Z14" i="80" s="1"/>
  <c r="U14" i="76"/>
  <c r="Z14" i="76" s="1"/>
  <c r="T16" i="127"/>
  <c r="Y16" i="127" s="1"/>
  <c r="T16" i="128"/>
  <c r="Y16" i="128" s="1"/>
  <c r="T16" i="115"/>
  <c r="Y16" i="115" s="1"/>
  <c r="T16" i="125"/>
  <c r="Y16" i="125" s="1"/>
  <c r="T16" i="129"/>
  <c r="Y16" i="129" s="1"/>
  <c r="U18" i="80"/>
  <c r="Z18" i="80" s="1"/>
  <c r="T20" i="128"/>
  <c r="Y20" i="128" s="1"/>
  <c r="T20" i="131"/>
  <c r="Y20" i="131" s="1"/>
  <c r="T20" i="115"/>
  <c r="Y20" i="115" s="1"/>
  <c r="T20" i="125"/>
  <c r="Y20" i="125" s="1"/>
  <c r="T20" i="119"/>
  <c r="Y20" i="119" s="1"/>
  <c r="T20" i="118"/>
  <c r="Y20" i="118" s="1"/>
  <c r="T20" i="129"/>
  <c r="Y20" i="129" s="1"/>
  <c r="T20" i="127"/>
  <c r="Y20" i="127" s="1"/>
  <c r="U18" i="76"/>
  <c r="Z18" i="76" s="1"/>
  <c r="T24" i="131"/>
  <c r="Y24" i="131" s="1"/>
  <c r="U22" i="80"/>
  <c r="Z22" i="80" s="1"/>
  <c r="T24" i="128"/>
  <c r="Y24" i="128" s="1"/>
  <c r="T24" i="127"/>
  <c r="Y24" i="127" s="1"/>
  <c r="T24" i="129"/>
  <c r="Y24" i="129" s="1"/>
  <c r="U22" i="76"/>
  <c r="Z22" i="76" s="1"/>
  <c r="T24" i="115"/>
  <c r="Y24" i="115" s="1"/>
  <c r="T24" i="125"/>
  <c r="Y24" i="125" s="1"/>
  <c r="U26" i="80"/>
  <c r="Z26" i="80" s="1"/>
  <c r="T28" i="128"/>
  <c r="Y28" i="128" s="1"/>
  <c r="T28" i="131"/>
  <c r="Y28" i="131" s="1"/>
  <c r="T28" i="129"/>
  <c r="Y28" i="129" s="1"/>
  <c r="T28" i="115"/>
  <c r="Y28" i="115" s="1"/>
  <c r="T28" i="125"/>
  <c r="Y28" i="125" s="1"/>
  <c r="U26" i="76"/>
  <c r="Z26" i="76" s="1"/>
  <c r="T28" i="127"/>
  <c r="Y28" i="127" s="1"/>
  <c r="T28" i="119"/>
  <c r="Y28" i="119" s="1"/>
  <c r="T28" i="118"/>
  <c r="Y28" i="118" s="1"/>
  <c r="T32" i="131"/>
  <c r="Y32" i="131" s="1"/>
  <c r="U30" i="80"/>
  <c r="Z30" i="80" s="1"/>
  <c r="T32" i="128"/>
  <c r="Y32" i="128" s="1"/>
  <c r="U30" i="76"/>
  <c r="Z30" i="76" s="1"/>
  <c r="T32" i="127"/>
  <c r="Y32" i="127" s="1"/>
  <c r="T32" i="115"/>
  <c r="Y32" i="115" s="1"/>
  <c r="T32" i="125"/>
  <c r="Y32" i="125" s="1"/>
  <c r="T32" i="129"/>
  <c r="Y32" i="129" s="1"/>
  <c r="U34" i="80"/>
  <c r="Z34" i="80" s="1"/>
  <c r="T36" i="128"/>
  <c r="Y36" i="128" s="1"/>
  <c r="T36" i="131"/>
  <c r="Y36" i="131" s="1"/>
  <c r="T36" i="115"/>
  <c r="Y36" i="115" s="1"/>
  <c r="T36" i="125"/>
  <c r="Y36" i="125" s="1"/>
  <c r="T36" i="119"/>
  <c r="Y36" i="119" s="1"/>
  <c r="T36" i="118"/>
  <c r="Y36" i="118" s="1"/>
  <c r="T36" i="129"/>
  <c r="Y36" i="129" s="1"/>
  <c r="T36" i="127"/>
  <c r="Y36" i="127" s="1"/>
  <c r="U34" i="76"/>
  <c r="Z34" i="76" s="1"/>
  <c r="T40" i="131"/>
  <c r="Y40" i="131" s="1"/>
  <c r="U38" i="80"/>
  <c r="Z38" i="80" s="1"/>
  <c r="T40" i="128"/>
  <c r="Y40" i="128" s="1"/>
  <c r="T40" i="127"/>
  <c r="Y40" i="127" s="1"/>
  <c r="T40" i="129"/>
  <c r="Y40" i="129" s="1"/>
  <c r="U38" i="76"/>
  <c r="Z38" i="76" s="1"/>
  <c r="T40" i="115"/>
  <c r="Y40" i="115" s="1"/>
  <c r="T40" i="125"/>
  <c r="Y40" i="125" s="1"/>
  <c r="U42" i="80"/>
  <c r="Z42" i="80" s="1"/>
  <c r="T44" i="128"/>
  <c r="Y44" i="128" s="1"/>
  <c r="T44" i="131"/>
  <c r="Y44" i="131" s="1"/>
  <c r="T44" i="115"/>
  <c r="Y44" i="115" s="1"/>
  <c r="T44" i="129"/>
  <c r="Y44" i="129" s="1"/>
  <c r="T44" i="125"/>
  <c r="Y44" i="125" s="1"/>
  <c r="U42" i="76"/>
  <c r="Z42" i="76" s="1"/>
  <c r="T44" i="127"/>
  <c r="Y44" i="127" s="1"/>
  <c r="T44" i="119"/>
  <c r="Y44" i="119" s="1"/>
  <c r="T44" i="118"/>
  <c r="Y44" i="118" s="1"/>
  <c r="T48" i="131"/>
  <c r="Y48" i="131" s="1"/>
  <c r="U46" i="80"/>
  <c r="Z46" i="80" s="1"/>
  <c r="T48" i="128"/>
  <c r="Y48" i="128" s="1"/>
  <c r="T48" i="115"/>
  <c r="Y48" i="115" s="1"/>
  <c r="U46" i="76"/>
  <c r="Z46" i="76" s="1"/>
  <c r="T48" i="127"/>
  <c r="Y48" i="127" s="1"/>
  <c r="T48" i="125"/>
  <c r="Y48" i="125" s="1"/>
  <c r="T48" i="129"/>
  <c r="Y48" i="129" s="1"/>
  <c r="U50" i="80"/>
  <c r="Z50" i="80" s="1"/>
  <c r="T52" i="128"/>
  <c r="Y52" i="128" s="1"/>
  <c r="T52" i="131"/>
  <c r="Y52" i="131" s="1"/>
  <c r="T52" i="115"/>
  <c r="Y52" i="115" s="1"/>
  <c r="T52" i="125"/>
  <c r="Y52" i="125" s="1"/>
  <c r="T52" i="119"/>
  <c r="Y52" i="119" s="1"/>
  <c r="T52" i="118"/>
  <c r="Y52" i="118" s="1"/>
  <c r="T52" i="126"/>
  <c r="Y52" i="126" s="1"/>
  <c r="T52" i="129"/>
  <c r="Y52" i="129" s="1"/>
  <c r="T52" i="127"/>
  <c r="Y52" i="127" s="1"/>
  <c r="U50" i="76"/>
  <c r="Z50" i="76" s="1"/>
  <c r="T56" i="131"/>
  <c r="Y56" i="131" s="1"/>
  <c r="U54" i="80"/>
  <c r="Z54" i="80" s="1"/>
  <c r="T56" i="128"/>
  <c r="Y56" i="128" s="1"/>
  <c r="T56" i="115"/>
  <c r="Y56" i="115" s="1"/>
  <c r="T56" i="127"/>
  <c r="Y56" i="127" s="1"/>
  <c r="T56" i="129"/>
  <c r="Y56" i="129" s="1"/>
  <c r="U54" i="76"/>
  <c r="Z54" i="76" s="1"/>
  <c r="T56" i="125"/>
  <c r="Y56" i="125" s="1"/>
  <c r="U58" i="80"/>
  <c r="Z58" i="80" s="1"/>
  <c r="T60" i="128"/>
  <c r="Y60" i="128" s="1"/>
  <c r="T60" i="131"/>
  <c r="Y60" i="131" s="1"/>
  <c r="T60" i="115"/>
  <c r="Y60" i="115" s="1"/>
  <c r="T60" i="129"/>
  <c r="Y60" i="129" s="1"/>
  <c r="T60" i="125"/>
  <c r="Y60" i="125" s="1"/>
  <c r="U58" i="76"/>
  <c r="Z58" i="76" s="1"/>
  <c r="T60" i="126"/>
  <c r="Y60" i="126" s="1"/>
  <c r="T60" i="127"/>
  <c r="Y60" i="127" s="1"/>
  <c r="T60" i="119"/>
  <c r="Y60" i="119" s="1"/>
  <c r="T60" i="118"/>
  <c r="Y60" i="118" s="1"/>
  <c r="T64" i="131"/>
  <c r="Y64" i="131" s="1"/>
  <c r="U62" i="80"/>
  <c r="Z62" i="80" s="1"/>
  <c r="T64" i="128"/>
  <c r="Y64" i="128" s="1"/>
  <c r="T64" i="115"/>
  <c r="Y64" i="115" s="1"/>
  <c r="U62" i="76"/>
  <c r="Z62" i="76" s="1"/>
  <c r="T64" i="127"/>
  <c r="Y64" i="127" s="1"/>
  <c r="T64" i="125"/>
  <c r="Y64" i="125" s="1"/>
  <c r="T64" i="129"/>
  <c r="Y64" i="129" s="1"/>
  <c r="T64" i="126"/>
  <c r="Y64" i="126" s="1"/>
  <c r="U66" i="80"/>
  <c r="Z66" i="80" s="1"/>
  <c r="T68" i="128"/>
  <c r="Y68" i="128" s="1"/>
  <c r="T68" i="131"/>
  <c r="Y68" i="131" s="1"/>
  <c r="T68" i="115"/>
  <c r="Y68" i="115" s="1"/>
  <c r="T68" i="125"/>
  <c r="Y68" i="125" s="1"/>
  <c r="T68" i="119"/>
  <c r="Y68" i="119" s="1"/>
  <c r="T68" i="118"/>
  <c r="Y68" i="118" s="1"/>
  <c r="T68" i="126"/>
  <c r="Y68" i="126" s="1"/>
  <c r="T68" i="129"/>
  <c r="Y68" i="129" s="1"/>
  <c r="T68" i="127"/>
  <c r="Y68" i="127" s="1"/>
  <c r="U66" i="76"/>
  <c r="Z66" i="76" s="1"/>
  <c r="T72" i="131"/>
  <c r="Y72" i="131" s="1"/>
  <c r="U70" i="80"/>
  <c r="Z70" i="80" s="1"/>
  <c r="T72" i="128"/>
  <c r="Y72" i="128" s="1"/>
  <c r="T72" i="115"/>
  <c r="Y72" i="115" s="1"/>
  <c r="T72" i="127"/>
  <c r="Y72" i="127" s="1"/>
  <c r="T72" i="129"/>
  <c r="Y72" i="129" s="1"/>
  <c r="U70" i="76"/>
  <c r="Z70" i="76" s="1"/>
  <c r="T72" i="125"/>
  <c r="Y72" i="125" s="1"/>
  <c r="V72" i="117"/>
  <c r="AA72" i="117" s="1"/>
  <c r="T72" i="126"/>
  <c r="Y72" i="126" s="1"/>
  <c r="U74" i="80"/>
  <c r="Z74" i="80" s="1"/>
  <c r="T76" i="128"/>
  <c r="Y76" i="128" s="1"/>
  <c r="T76" i="131"/>
  <c r="Y76" i="131" s="1"/>
  <c r="T76" i="115"/>
  <c r="Y76" i="115" s="1"/>
  <c r="T76" i="129"/>
  <c r="Y76" i="129" s="1"/>
  <c r="T76" i="125"/>
  <c r="Y76" i="125" s="1"/>
  <c r="U74" i="76"/>
  <c r="Z74" i="76" s="1"/>
  <c r="T76" i="126"/>
  <c r="Y76" i="126" s="1"/>
  <c r="T76" i="127"/>
  <c r="Y76" i="127" s="1"/>
  <c r="T76" i="119"/>
  <c r="Y76" i="119" s="1"/>
  <c r="T76" i="118"/>
  <c r="Y76" i="118" s="1"/>
  <c r="T12" i="116"/>
  <c r="Y12" i="116" s="1"/>
  <c r="T20" i="116"/>
  <c r="Y20" i="116" s="1"/>
  <c r="T28" i="116"/>
  <c r="Y28" i="116" s="1"/>
  <c r="T36" i="116"/>
  <c r="Y36" i="116" s="1"/>
  <c r="T44" i="116"/>
  <c r="Y44" i="116" s="1"/>
  <c r="T52" i="116"/>
  <c r="Y52" i="116" s="1"/>
  <c r="T60" i="116"/>
  <c r="Y60" i="116" s="1"/>
  <c r="T68" i="116"/>
  <c r="Y68" i="116" s="1"/>
  <c r="T76" i="116"/>
  <c r="Y76" i="116" s="1"/>
  <c r="V22" i="117"/>
  <c r="AA22" i="117" s="1"/>
  <c r="V38" i="117"/>
  <c r="AA38" i="117" s="1"/>
  <c r="V54" i="117"/>
  <c r="AA54" i="117" s="1"/>
  <c r="V70" i="117"/>
  <c r="AA70" i="117" s="1"/>
  <c r="T22" i="118"/>
  <c r="Y22" i="118" s="1"/>
  <c r="T32" i="118"/>
  <c r="Y32" i="118" s="1"/>
  <c r="T54" i="118"/>
  <c r="Y54" i="118" s="1"/>
  <c r="T64" i="118"/>
  <c r="Y64" i="118" s="1"/>
  <c r="T16" i="119"/>
  <c r="Y16" i="119" s="1"/>
  <c r="T48" i="119"/>
  <c r="Y48" i="119" s="1"/>
  <c r="T12" i="120"/>
  <c r="Y12" i="120" s="1"/>
  <c r="T28" i="120"/>
  <c r="Y28" i="120" s="1"/>
  <c r="T44" i="120"/>
  <c r="Y44" i="120" s="1"/>
  <c r="T60" i="120"/>
  <c r="Y60" i="120" s="1"/>
  <c r="T76" i="120"/>
  <c r="Y76" i="120" s="1"/>
  <c r="T16" i="126"/>
  <c r="Y16" i="126" s="1"/>
  <c r="T32" i="126"/>
  <c r="Y32" i="126" s="1"/>
  <c r="T48" i="126"/>
  <c r="Y48" i="126" s="1"/>
  <c r="U8" i="76"/>
  <c r="Z8" i="76" s="1"/>
  <c r="T10" i="129"/>
  <c r="Y10" i="129" s="1"/>
  <c r="U8" i="80"/>
  <c r="Z8" i="80" s="1"/>
  <c r="T10" i="128"/>
  <c r="Y10" i="128" s="1"/>
  <c r="T10" i="120"/>
  <c r="Y10" i="120" s="1"/>
  <c r="T10" i="118"/>
  <c r="Y10" i="118" s="1"/>
  <c r="T10" i="126"/>
  <c r="Y10" i="126" s="1"/>
  <c r="T10" i="131"/>
  <c r="Y10" i="131" s="1"/>
  <c r="T10" i="127"/>
  <c r="Y10" i="127" s="1"/>
  <c r="T10" i="115"/>
  <c r="Y10" i="115" s="1"/>
  <c r="T14" i="129"/>
  <c r="Y14" i="129" s="1"/>
  <c r="U12" i="76"/>
  <c r="Z12" i="76" s="1"/>
  <c r="T14" i="126"/>
  <c r="Y14" i="126" s="1"/>
  <c r="T14" i="119"/>
  <c r="Y14" i="119" s="1"/>
  <c r="T14" i="127"/>
  <c r="Y14" i="127" s="1"/>
  <c r="T14" i="115"/>
  <c r="Y14" i="115" s="1"/>
  <c r="T14" i="131"/>
  <c r="Y14" i="131" s="1"/>
  <c r="T14" i="128"/>
  <c r="Y14" i="128" s="1"/>
  <c r="T14" i="120"/>
  <c r="Y14" i="120" s="1"/>
  <c r="U12" i="80"/>
  <c r="Z12" i="80" s="1"/>
  <c r="U16" i="76"/>
  <c r="Z16" i="76" s="1"/>
  <c r="T18" i="129"/>
  <c r="Y18" i="129" s="1"/>
  <c r="T18" i="128"/>
  <c r="Y18" i="128" s="1"/>
  <c r="T18" i="120"/>
  <c r="Y18" i="120" s="1"/>
  <c r="T18" i="131"/>
  <c r="Y18" i="131" s="1"/>
  <c r="U16" i="80"/>
  <c r="Z16" i="80" s="1"/>
  <c r="T18" i="126"/>
  <c r="Y18" i="126" s="1"/>
  <c r="T18" i="118"/>
  <c r="Y18" i="118" s="1"/>
  <c r="T18" i="127"/>
  <c r="Y18" i="127" s="1"/>
  <c r="T18" i="115"/>
  <c r="Y18" i="115" s="1"/>
  <c r="T22" i="129"/>
  <c r="Y22" i="129" s="1"/>
  <c r="U20" i="76"/>
  <c r="Z20" i="76" s="1"/>
  <c r="T22" i="131"/>
  <c r="Y22" i="131" s="1"/>
  <c r="T22" i="126"/>
  <c r="Y22" i="126" s="1"/>
  <c r="U20" i="80"/>
  <c r="Z20" i="80" s="1"/>
  <c r="T22" i="127"/>
  <c r="Y22" i="127" s="1"/>
  <c r="T22" i="115"/>
  <c r="Y22" i="115" s="1"/>
  <c r="T22" i="120"/>
  <c r="Y22" i="120" s="1"/>
  <c r="T22" i="119"/>
  <c r="Y22" i="119" s="1"/>
  <c r="T22" i="128"/>
  <c r="Y22" i="128" s="1"/>
  <c r="U24" i="76"/>
  <c r="Z24" i="76" s="1"/>
  <c r="T26" i="129"/>
  <c r="Y26" i="129" s="1"/>
  <c r="U24" i="80"/>
  <c r="Z24" i="80" s="1"/>
  <c r="T26" i="120"/>
  <c r="Y26" i="120" s="1"/>
  <c r="T26" i="118"/>
  <c r="Y26" i="118" s="1"/>
  <c r="T26" i="128"/>
  <c r="Y26" i="128" s="1"/>
  <c r="T26" i="126"/>
  <c r="Y26" i="126" s="1"/>
  <c r="T26" i="131"/>
  <c r="Y26" i="131" s="1"/>
  <c r="T26" i="127"/>
  <c r="Y26" i="127" s="1"/>
  <c r="T26" i="115"/>
  <c r="Y26" i="115" s="1"/>
  <c r="T30" i="129"/>
  <c r="Y30" i="129" s="1"/>
  <c r="U28" i="76"/>
  <c r="Z28" i="76" s="1"/>
  <c r="T30" i="126"/>
  <c r="Y30" i="126" s="1"/>
  <c r="T30" i="119"/>
  <c r="Y30" i="119" s="1"/>
  <c r="T30" i="128"/>
  <c r="Y30" i="128" s="1"/>
  <c r="T30" i="127"/>
  <c r="Y30" i="127" s="1"/>
  <c r="T30" i="115"/>
  <c r="Y30" i="115" s="1"/>
  <c r="T30" i="131"/>
  <c r="Y30" i="131" s="1"/>
  <c r="T30" i="120"/>
  <c r="Y30" i="120" s="1"/>
  <c r="U28" i="80"/>
  <c r="Z28" i="80" s="1"/>
  <c r="U32" i="76"/>
  <c r="Z32" i="76" s="1"/>
  <c r="T34" i="129"/>
  <c r="Y34" i="129" s="1"/>
  <c r="T34" i="128"/>
  <c r="Y34" i="128" s="1"/>
  <c r="T34" i="120"/>
  <c r="Y34" i="120" s="1"/>
  <c r="T34" i="131"/>
  <c r="Y34" i="131" s="1"/>
  <c r="U32" i="80"/>
  <c r="Z32" i="80" s="1"/>
  <c r="T34" i="126"/>
  <c r="Y34" i="126" s="1"/>
  <c r="T34" i="118"/>
  <c r="Y34" i="118" s="1"/>
  <c r="T34" i="127"/>
  <c r="Y34" i="127" s="1"/>
  <c r="T34" i="115"/>
  <c r="Y34" i="115" s="1"/>
  <c r="T38" i="129"/>
  <c r="Y38" i="129" s="1"/>
  <c r="U36" i="76"/>
  <c r="Z36" i="76" s="1"/>
  <c r="T38" i="131"/>
  <c r="Y38" i="131" s="1"/>
  <c r="T38" i="126"/>
  <c r="Y38" i="126" s="1"/>
  <c r="U36" i="80"/>
  <c r="Z36" i="80" s="1"/>
  <c r="T38" i="127"/>
  <c r="Y38" i="127" s="1"/>
  <c r="T38" i="115"/>
  <c r="Y38" i="115" s="1"/>
  <c r="T38" i="120"/>
  <c r="Y38" i="120" s="1"/>
  <c r="T38" i="119"/>
  <c r="Y38" i="119" s="1"/>
  <c r="T38" i="128"/>
  <c r="Y38" i="128" s="1"/>
  <c r="U40" i="76"/>
  <c r="Z40" i="76" s="1"/>
  <c r="T42" i="129"/>
  <c r="Y42" i="129" s="1"/>
  <c r="U40" i="80"/>
  <c r="Z40" i="80" s="1"/>
  <c r="T42" i="120"/>
  <c r="Y42" i="120" s="1"/>
  <c r="T42" i="118"/>
  <c r="Y42" i="118" s="1"/>
  <c r="T42" i="128"/>
  <c r="Y42" i="128" s="1"/>
  <c r="T42" i="126"/>
  <c r="Y42" i="126" s="1"/>
  <c r="T42" i="131"/>
  <c r="Y42" i="131" s="1"/>
  <c r="T42" i="127"/>
  <c r="Y42" i="127" s="1"/>
  <c r="T42" i="115"/>
  <c r="Y42" i="115" s="1"/>
  <c r="T46" i="129"/>
  <c r="Y46" i="129" s="1"/>
  <c r="T46" i="115"/>
  <c r="Y46" i="115" s="1"/>
  <c r="U44" i="76"/>
  <c r="Z44" i="76" s="1"/>
  <c r="T46" i="126"/>
  <c r="Y46" i="126" s="1"/>
  <c r="T46" i="119"/>
  <c r="Y46" i="119" s="1"/>
  <c r="T46" i="128"/>
  <c r="Y46" i="128" s="1"/>
  <c r="T46" i="127"/>
  <c r="Y46" i="127" s="1"/>
  <c r="T46" i="131"/>
  <c r="Y46" i="131" s="1"/>
  <c r="T46" i="120"/>
  <c r="Y46" i="120" s="1"/>
  <c r="U44" i="80"/>
  <c r="Z44" i="80" s="1"/>
  <c r="U48" i="76"/>
  <c r="Z48" i="76" s="1"/>
  <c r="T50" i="115"/>
  <c r="Y50" i="115" s="1"/>
  <c r="T50" i="129"/>
  <c r="Y50" i="129" s="1"/>
  <c r="T50" i="128"/>
  <c r="Y50" i="128" s="1"/>
  <c r="T50" i="120"/>
  <c r="Y50" i="120" s="1"/>
  <c r="T50" i="131"/>
  <c r="Y50" i="131" s="1"/>
  <c r="U48" i="80"/>
  <c r="Z48" i="80" s="1"/>
  <c r="T50" i="126"/>
  <c r="Y50" i="126" s="1"/>
  <c r="T50" i="118"/>
  <c r="Y50" i="118" s="1"/>
  <c r="T50" i="127"/>
  <c r="Y50" i="127" s="1"/>
  <c r="T54" i="129"/>
  <c r="Y54" i="129" s="1"/>
  <c r="T54" i="115"/>
  <c r="Y54" i="115" s="1"/>
  <c r="U52" i="76"/>
  <c r="Z52" i="76" s="1"/>
  <c r="T54" i="131"/>
  <c r="Y54" i="131" s="1"/>
  <c r="T54" i="126"/>
  <c r="Y54" i="126" s="1"/>
  <c r="U52" i="80"/>
  <c r="Z52" i="80" s="1"/>
  <c r="T54" i="127"/>
  <c r="Y54" i="127" s="1"/>
  <c r="T54" i="120"/>
  <c r="Y54" i="120" s="1"/>
  <c r="T54" i="119"/>
  <c r="Y54" i="119" s="1"/>
  <c r="T54" i="128"/>
  <c r="Y54" i="128" s="1"/>
  <c r="U56" i="76"/>
  <c r="Z56" i="76" s="1"/>
  <c r="T58" i="115"/>
  <c r="Y58" i="115" s="1"/>
  <c r="T58" i="129"/>
  <c r="Y58" i="129" s="1"/>
  <c r="U56" i="80"/>
  <c r="Z56" i="80" s="1"/>
  <c r="T58" i="120"/>
  <c r="Y58" i="120" s="1"/>
  <c r="T58" i="118"/>
  <c r="Y58" i="118" s="1"/>
  <c r="T58" i="128"/>
  <c r="Y58" i="128" s="1"/>
  <c r="T58" i="126"/>
  <c r="Y58" i="126" s="1"/>
  <c r="T58" i="131"/>
  <c r="Y58" i="131" s="1"/>
  <c r="T58" i="127"/>
  <c r="Y58" i="127" s="1"/>
  <c r="T62" i="129"/>
  <c r="Y62" i="129" s="1"/>
  <c r="T62" i="115"/>
  <c r="Y62" i="115" s="1"/>
  <c r="U60" i="76"/>
  <c r="Z60" i="76" s="1"/>
  <c r="T62" i="126"/>
  <c r="Y62" i="126" s="1"/>
  <c r="T62" i="119"/>
  <c r="Y62" i="119" s="1"/>
  <c r="T62" i="128"/>
  <c r="Y62" i="128" s="1"/>
  <c r="T62" i="127"/>
  <c r="Y62" i="127" s="1"/>
  <c r="T62" i="131"/>
  <c r="Y62" i="131" s="1"/>
  <c r="T62" i="120"/>
  <c r="Y62" i="120" s="1"/>
  <c r="U60" i="80"/>
  <c r="Z60" i="80" s="1"/>
  <c r="U64" i="76"/>
  <c r="Z64" i="76" s="1"/>
  <c r="T66" i="115"/>
  <c r="Y66" i="115" s="1"/>
  <c r="T66" i="129"/>
  <c r="Y66" i="129" s="1"/>
  <c r="T66" i="128"/>
  <c r="Y66" i="128" s="1"/>
  <c r="T66" i="120"/>
  <c r="Y66" i="120" s="1"/>
  <c r="T66" i="131"/>
  <c r="Y66" i="131" s="1"/>
  <c r="U64" i="80"/>
  <c r="Z64" i="80" s="1"/>
  <c r="T66" i="126"/>
  <c r="Y66" i="126" s="1"/>
  <c r="T66" i="118"/>
  <c r="Y66" i="118" s="1"/>
  <c r="T66" i="127"/>
  <c r="Y66" i="127" s="1"/>
  <c r="T70" i="129"/>
  <c r="Y70" i="129" s="1"/>
  <c r="T70" i="115"/>
  <c r="Y70" i="115" s="1"/>
  <c r="U68" i="76"/>
  <c r="Z68" i="76" s="1"/>
  <c r="T70" i="131"/>
  <c r="Y70" i="131" s="1"/>
  <c r="T70" i="126"/>
  <c r="Y70" i="126" s="1"/>
  <c r="U68" i="80"/>
  <c r="Z68" i="80" s="1"/>
  <c r="T70" i="127"/>
  <c r="Y70" i="127" s="1"/>
  <c r="T70" i="120"/>
  <c r="Y70" i="120" s="1"/>
  <c r="T70" i="119"/>
  <c r="Y70" i="119" s="1"/>
  <c r="T70" i="128"/>
  <c r="Y70" i="128" s="1"/>
  <c r="U72" i="76"/>
  <c r="Z72" i="76" s="1"/>
  <c r="T74" i="115"/>
  <c r="Y74" i="115" s="1"/>
  <c r="T74" i="129"/>
  <c r="Y74" i="129" s="1"/>
  <c r="U72" i="80"/>
  <c r="Z72" i="80" s="1"/>
  <c r="T74" i="120"/>
  <c r="Y74" i="120" s="1"/>
  <c r="T74" i="118"/>
  <c r="Y74" i="118" s="1"/>
  <c r="V74" i="117"/>
  <c r="AA74" i="117" s="1"/>
  <c r="T74" i="128"/>
  <c r="Y74" i="128" s="1"/>
  <c r="T74" i="126"/>
  <c r="Y74" i="126" s="1"/>
  <c r="T74" i="131"/>
  <c r="Y74" i="131" s="1"/>
  <c r="T74" i="127"/>
  <c r="Y74" i="127" s="1"/>
  <c r="T8" i="116"/>
  <c r="Y8" i="116" s="1"/>
  <c r="T16" i="116"/>
  <c r="Y16" i="116" s="1"/>
  <c r="T24" i="116"/>
  <c r="Y24" i="116" s="1"/>
  <c r="T32" i="116"/>
  <c r="Y32" i="116" s="1"/>
  <c r="T40" i="116"/>
  <c r="Y40" i="116" s="1"/>
  <c r="T48" i="116"/>
  <c r="Y48" i="116" s="1"/>
  <c r="T56" i="116"/>
  <c r="Y56" i="116" s="1"/>
  <c r="T64" i="116"/>
  <c r="Y64" i="116" s="1"/>
  <c r="T72" i="116"/>
  <c r="Y72" i="116" s="1"/>
  <c r="V10" i="117"/>
  <c r="AA10" i="117" s="1"/>
  <c r="V18" i="117"/>
  <c r="AA18" i="117" s="1"/>
  <c r="V26" i="117"/>
  <c r="AA26" i="117" s="1"/>
  <c r="V34" i="117"/>
  <c r="AA34" i="117" s="1"/>
  <c r="V42" i="117"/>
  <c r="AA42" i="117" s="1"/>
  <c r="V50" i="117"/>
  <c r="AA50" i="117" s="1"/>
  <c r="V58" i="117"/>
  <c r="AA58" i="117" s="1"/>
  <c r="V66" i="117"/>
  <c r="AA66" i="117" s="1"/>
  <c r="V76" i="117"/>
  <c r="AA76" i="117" s="1"/>
  <c r="T16" i="118"/>
  <c r="Y16" i="118" s="1"/>
  <c r="T38" i="118"/>
  <c r="Y38" i="118" s="1"/>
  <c r="T48" i="118"/>
  <c r="Y48" i="118" s="1"/>
  <c r="T70" i="118"/>
  <c r="Y70" i="118" s="1"/>
  <c r="T10" i="119"/>
  <c r="Y10" i="119" s="1"/>
  <c r="T32" i="119"/>
  <c r="Y32" i="119" s="1"/>
  <c r="T42" i="119"/>
  <c r="Y42" i="119" s="1"/>
  <c r="T64" i="119"/>
  <c r="Y64" i="119" s="1"/>
  <c r="T74" i="119"/>
  <c r="Y74" i="119" s="1"/>
  <c r="T20" i="120"/>
  <c r="Y20" i="120" s="1"/>
  <c r="T36" i="120"/>
  <c r="Y36" i="120" s="1"/>
  <c r="T52" i="120"/>
  <c r="Y52" i="120" s="1"/>
  <c r="T68" i="120"/>
  <c r="Y68" i="120" s="1"/>
  <c r="T14" i="125"/>
  <c r="Y14" i="125" s="1"/>
  <c r="T30" i="125"/>
  <c r="Y30" i="125" s="1"/>
  <c r="T46" i="125"/>
  <c r="Y46" i="125" s="1"/>
  <c r="T62" i="125"/>
  <c r="Y62" i="125" s="1"/>
  <c r="T8" i="126"/>
  <c r="Y8" i="126" s="1"/>
  <c r="T24" i="126"/>
  <c r="Y24" i="126" s="1"/>
  <c r="T40" i="126"/>
  <c r="Y40" i="126" s="1"/>
  <c r="U9" i="76"/>
  <c r="Z9" i="76" s="1"/>
  <c r="T11" i="129"/>
  <c r="Y11" i="129" s="1"/>
  <c r="U9" i="80"/>
  <c r="Z9" i="80" s="1"/>
  <c r="T11" i="131"/>
  <c r="Y11" i="131" s="1"/>
  <c r="T11" i="128"/>
  <c r="Y11" i="128" s="1"/>
  <c r="T11" i="125"/>
  <c r="Y11" i="125" s="1"/>
  <c r="T11" i="119"/>
  <c r="Y11" i="119" s="1"/>
  <c r="T11" i="127"/>
  <c r="Y11" i="127" s="1"/>
  <c r="T11" i="115"/>
  <c r="Y11" i="115" s="1"/>
  <c r="T11" i="126"/>
  <c r="Y11" i="126" s="1"/>
  <c r="T11" i="120"/>
  <c r="Y11" i="120" s="1"/>
  <c r="U13" i="76"/>
  <c r="Z13" i="76" s="1"/>
  <c r="T15" i="129"/>
  <c r="Y15" i="129" s="1"/>
  <c r="U13" i="80"/>
  <c r="Z13" i="80" s="1"/>
  <c r="T15" i="131"/>
  <c r="Y15" i="131" s="1"/>
  <c r="T15" i="128"/>
  <c r="Y15" i="128" s="1"/>
  <c r="T15" i="125"/>
  <c r="Y15" i="125" s="1"/>
  <c r="T15" i="119"/>
  <c r="Y15" i="119" s="1"/>
  <c r="T15" i="127"/>
  <c r="Y15" i="127" s="1"/>
  <c r="T15" i="115"/>
  <c r="Y15" i="115" s="1"/>
  <c r="T15" i="126"/>
  <c r="Y15" i="126" s="1"/>
  <c r="T15" i="120"/>
  <c r="Y15" i="120" s="1"/>
  <c r="U17" i="76"/>
  <c r="Z17" i="76" s="1"/>
  <c r="T19" i="129"/>
  <c r="Y19" i="129" s="1"/>
  <c r="U17" i="80"/>
  <c r="Z17" i="80" s="1"/>
  <c r="T19" i="131"/>
  <c r="Y19" i="131" s="1"/>
  <c r="T19" i="128"/>
  <c r="Y19" i="128" s="1"/>
  <c r="T19" i="125"/>
  <c r="Y19" i="125" s="1"/>
  <c r="T19" i="119"/>
  <c r="Y19" i="119" s="1"/>
  <c r="T19" i="127"/>
  <c r="Y19" i="127" s="1"/>
  <c r="T19" i="115"/>
  <c r="Y19" i="115" s="1"/>
  <c r="T19" i="126"/>
  <c r="Y19" i="126" s="1"/>
  <c r="T19" i="120"/>
  <c r="Y19" i="120" s="1"/>
  <c r="U21" i="76"/>
  <c r="Z21" i="76" s="1"/>
  <c r="T23" i="129"/>
  <c r="Y23" i="129" s="1"/>
  <c r="U21" i="80"/>
  <c r="Z21" i="80" s="1"/>
  <c r="T23" i="131"/>
  <c r="Y23" i="131" s="1"/>
  <c r="T23" i="128"/>
  <c r="Y23" i="128" s="1"/>
  <c r="T23" i="125"/>
  <c r="Y23" i="125" s="1"/>
  <c r="T23" i="119"/>
  <c r="Y23" i="119" s="1"/>
  <c r="T23" i="127"/>
  <c r="Y23" i="127" s="1"/>
  <c r="T23" i="115"/>
  <c r="Y23" i="115" s="1"/>
  <c r="T23" i="126"/>
  <c r="Y23" i="126" s="1"/>
  <c r="T23" i="120"/>
  <c r="Y23" i="120" s="1"/>
  <c r="U25" i="76"/>
  <c r="Z25" i="76" s="1"/>
  <c r="T27" i="129"/>
  <c r="Y27" i="129" s="1"/>
  <c r="U25" i="80"/>
  <c r="Z25" i="80" s="1"/>
  <c r="T27" i="131"/>
  <c r="Y27" i="131" s="1"/>
  <c r="T27" i="128"/>
  <c r="Y27" i="128" s="1"/>
  <c r="T27" i="125"/>
  <c r="Y27" i="125" s="1"/>
  <c r="T27" i="119"/>
  <c r="Y27" i="119" s="1"/>
  <c r="T27" i="127"/>
  <c r="Y27" i="127" s="1"/>
  <c r="T27" i="115"/>
  <c r="Y27" i="115" s="1"/>
  <c r="T27" i="126"/>
  <c r="Y27" i="126" s="1"/>
  <c r="T27" i="120"/>
  <c r="Y27" i="120" s="1"/>
  <c r="U29" i="76"/>
  <c r="Z29" i="76" s="1"/>
  <c r="T31" i="129"/>
  <c r="Y31" i="129" s="1"/>
  <c r="U29" i="80"/>
  <c r="Z29" i="80" s="1"/>
  <c r="T31" i="131"/>
  <c r="Y31" i="131" s="1"/>
  <c r="T31" i="128"/>
  <c r="Y31" i="128" s="1"/>
  <c r="T31" i="125"/>
  <c r="Y31" i="125" s="1"/>
  <c r="T31" i="119"/>
  <c r="Y31" i="119" s="1"/>
  <c r="T31" i="127"/>
  <c r="Y31" i="127" s="1"/>
  <c r="T31" i="115"/>
  <c r="Y31" i="115" s="1"/>
  <c r="T31" i="126"/>
  <c r="Y31" i="126" s="1"/>
  <c r="T31" i="120"/>
  <c r="Y31" i="120" s="1"/>
  <c r="U33" i="76"/>
  <c r="Z33" i="76" s="1"/>
  <c r="T35" i="129"/>
  <c r="Y35" i="129" s="1"/>
  <c r="U33" i="80"/>
  <c r="Z33" i="80" s="1"/>
  <c r="T35" i="131"/>
  <c r="Y35" i="131" s="1"/>
  <c r="T35" i="128"/>
  <c r="Y35" i="128" s="1"/>
  <c r="T35" i="125"/>
  <c r="Y35" i="125" s="1"/>
  <c r="T35" i="119"/>
  <c r="Y35" i="119" s="1"/>
  <c r="T35" i="127"/>
  <c r="Y35" i="127" s="1"/>
  <c r="T35" i="115"/>
  <c r="Y35" i="115" s="1"/>
  <c r="T35" i="126"/>
  <c r="Y35" i="126" s="1"/>
  <c r="T35" i="120"/>
  <c r="Y35" i="120" s="1"/>
  <c r="U37" i="76"/>
  <c r="Z37" i="76" s="1"/>
  <c r="T39" i="129"/>
  <c r="Y39" i="129" s="1"/>
  <c r="U37" i="80"/>
  <c r="Z37" i="80" s="1"/>
  <c r="T39" i="131"/>
  <c r="Y39" i="131" s="1"/>
  <c r="T39" i="128"/>
  <c r="Y39" i="128" s="1"/>
  <c r="T39" i="125"/>
  <c r="Y39" i="125" s="1"/>
  <c r="T39" i="119"/>
  <c r="Y39" i="119" s="1"/>
  <c r="T39" i="127"/>
  <c r="Y39" i="127" s="1"/>
  <c r="T39" i="115"/>
  <c r="Y39" i="115" s="1"/>
  <c r="T39" i="126"/>
  <c r="Y39" i="126" s="1"/>
  <c r="T39" i="120"/>
  <c r="Y39" i="120" s="1"/>
  <c r="U41" i="76"/>
  <c r="Z41" i="76" s="1"/>
  <c r="T43" i="129"/>
  <c r="Y43" i="129" s="1"/>
  <c r="U41" i="80"/>
  <c r="Z41" i="80" s="1"/>
  <c r="T43" i="131"/>
  <c r="Y43" i="131" s="1"/>
  <c r="T43" i="128"/>
  <c r="Y43" i="128" s="1"/>
  <c r="T43" i="125"/>
  <c r="Y43" i="125" s="1"/>
  <c r="T43" i="119"/>
  <c r="Y43" i="119" s="1"/>
  <c r="T43" i="127"/>
  <c r="Y43" i="127" s="1"/>
  <c r="T43" i="126"/>
  <c r="Y43" i="126" s="1"/>
  <c r="T43" i="120"/>
  <c r="Y43" i="120" s="1"/>
  <c r="U45" i="76"/>
  <c r="Z45" i="76" s="1"/>
  <c r="T47" i="129"/>
  <c r="Y47" i="129" s="1"/>
  <c r="U45" i="80"/>
  <c r="Z45" i="80" s="1"/>
  <c r="T47" i="131"/>
  <c r="Y47" i="131" s="1"/>
  <c r="T47" i="128"/>
  <c r="Y47" i="128" s="1"/>
  <c r="T47" i="125"/>
  <c r="Y47" i="125" s="1"/>
  <c r="T47" i="119"/>
  <c r="Y47" i="119" s="1"/>
  <c r="T47" i="127"/>
  <c r="Y47" i="127" s="1"/>
  <c r="T47" i="126"/>
  <c r="Y47" i="126" s="1"/>
  <c r="T47" i="120"/>
  <c r="Y47" i="120" s="1"/>
  <c r="U49" i="76"/>
  <c r="Z49" i="76" s="1"/>
  <c r="T51" i="129"/>
  <c r="Y51" i="129" s="1"/>
  <c r="U49" i="80"/>
  <c r="Z49" i="80" s="1"/>
  <c r="T51" i="131"/>
  <c r="Y51" i="131" s="1"/>
  <c r="T51" i="128"/>
  <c r="Y51" i="128" s="1"/>
  <c r="T51" i="125"/>
  <c r="Y51" i="125" s="1"/>
  <c r="T51" i="119"/>
  <c r="Y51" i="119" s="1"/>
  <c r="T51" i="127"/>
  <c r="Y51" i="127" s="1"/>
  <c r="T51" i="126"/>
  <c r="Y51" i="126" s="1"/>
  <c r="T51" i="120"/>
  <c r="Y51" i="120" s="1"/>
  <c r="U53" i="76"/>
  <c r="Z53" i="76" s="1"/>
  <c r="T55" i="129"/>
  <c r="Y55" i="129" s="1"/>
  <c r="U53" i="80"/>
  <c r="Z53" i="80" s="1"/>
  <c r="T55" i="131"/>
  <c r="Y55" i="131" s="1"/>
  <c r="T55" i="128"/>
  <c r="Y55" i="128" s="1"/>
  <c r="T55" i="125"/>
  <c r="Y55" i="125" s="1"/>
  <c r="T55" i="119"/>
  <c r="Y55" i="119" s="1"/>
  <c r="T55" i="127"/>
  <c r="Y55" i="127" s="1"/>
  <c r="T55" i="126"/>
  <c r="Y55" i="126" s="1"/>
  <c r="T55" i="120"/>
  <c r="Y55" i="120" s="1"/>
  <c r="U57" i="76"/>
  <c r="Z57" i="76" s="1"/>
  <c r="T59" i="129"/>
  <c r="Y59" i="129" s="1"/>
  <c r="U57" i="80"/>
  <c r="Z57" i="80" s="1"/>
  <c r="T59" i="131"/>
  <c r="Y59" i="131" s="1"/>
  <c r="T59" i="128"/>
  <c r="Y59" i="128" s="1"/>
  <c r="T59" i="125"/>
  <c r="Y59" i="125" s="1"/>
  <c r="T59" i="119"/>
  <c r="Y59" i="119" s="1"/>
  <c r="T59" i="127"/>
  <c r="Y59" i="127" s="1"/>
  <c r="T59" i="126"/>
  <c r="Y59" i="126" s="1"/>
  <c r="T59" i="120"/>
  <c r="Y59" i="120" s="1"/>
  <c r="U61" i="76"/>
  <c r="Z61" i="76" s="1"/>
  <c r="T63" i="129"/>
  <c r="Y63" i="129" s="1"/>
  <c r="U61" i="80"/>
  <c r="Z61" i="80" s="1"/>
  <c r="T63" i="131"/>
  <c r="Y63" i="131" s="1"/>
  <c r="T63" i="128"/>
  <c r="Y63" i="128" s="1"/>
  <c r="T63" i="125"/>
  <c r="Y63" i="125" s="1"/>
  <c r="T63" i="119"/>
  <c r="Y63" i="119" s="1"/>
  <c r="T63" i="127"/>
  <c r="Y63" i="127" s="1"/>
  <c r="T63" i="126"/>
  <c r="Y63" i="126" s="1"/>
  <c r="T63" i="120"/>
  <c r="Y63" i="120" s="1"/>
  <c r="U65" i="76"/>
  <c r="Z65" i="76" s="1"/>
  <c r="T67" i="129"/>
  <c r="Y67" i="129" s="1"/>
  <c r="U65" i="80"/>
  <c r="Z65" i="80" s="1"/>
  <c r="T67" i="131"/>
  <c r="Y67" i="131" s="1"/>
  <c r="T67" i="128"/>
  <c r="Y67" i="128" s="1"/>
  <c r="T67" i="125"/>
  <c r="Y67" i="125" s="1"/>
  <c r="T67" i="119"/>
  <c r="Y67" i="119" s="1"/>
  <c r="T67" i="127"/>
  <c r="Y67" i="127" s="1"/>
  <c r="T67" i="126"/>
  <c r="Y67" i="126" s="1"/>
  <c r="T67" i="120"/>
  <c r="Y67" i="120" s="1"/>
  <c r="U69" i="76"/>
  <c r="Z69" i="76" s="1"/>
  <c r="T71" i="129"/>
  <c r="Y71" i="129" s="1"/>
  <c r="U69" i="80"/>
  <c r="Z69" i="80" s="1"/>
  <c r="T71" i="131"/>
  <c r="Y71" i="131" s="1"/>
  <c r="T71" i="128"/>
  <c r="Y71" i="128" s="1"/>
  <c r="T71" i="125"/>
  <c r="Y71" i="125" s="1"/>
  <c r="T71" i="119"/>
  <c r="Y71" i="119" s="1"/>
  <c r="V71" i="117"/>
  <c r="AA71" i="117" s="1"/>
  <c r="T71" i="127"/>
  <c r="Y71" i="127" s="1"/>
  <c r="T71" i="126"/>
  <c r="Y71" i="126" s="1"/>
  <c r="T71" i="120"/>
  <c r="Y71" i="120" s="1"/>
  <c r="U73" i="76"/>
  <c r="Z73" i="76" s="1"/>
  <c r="T75" i="129"/>
  <c r="Y75" i="129" s="1"/>
  <c r="U73" i="80"/>
  <c r="Z73" i="80" s="1"/>
  <c r="T75" i="131"/>
  <c r="Y75" i="131" s="1"/>
  <c r="T75" i="128"/>
  <c r="Y75" i="128" s="1"/>
  <c r="T75" i="125"/>
  <c r="Y75" i="125" s="1"/>
  <c r="T75" i="119"/>
  <c r="Y75" i="119" s="1"/>
  <c r="V75" i="117"/>
  <c r="AA75" i="117" s="1"/>
  <c r="T75" i="127"/>
  <c r="Y75" i="127" s="1"/>
  <c r="T75" i="126"/>
  <c r="Y75" i="126" s="1"/>
  <c r="T75" i="120"/>
  <c r="Y75" i="120" s="1"/>
  <c r="T17" i="116"/>
  <c r="Y17" i="116" s="1"/>
  <c r="T33" i="116"/>
  <c r="Y33" i="116" s="1"/>
  <c r="T49" i="116"/>
  <c r="Y49" i="116" s="1"/>
  <c r="T57" i="116"/>
  <c r="Y57" i="116" s="1"/>
  <c r="T65" i="116"/>
  <c r="Y65" i="116" s="1"/>
  <c r="T73" i="116"/>
  <c r="Y73" i="116" s="1"/>
  <c r="T77" i="116"/>
  <c r="V11" i="117"/>
  <c r="AA11" i="117" s="1"/>
  <c r="V15" i="117"/>
  <c r="AA15" i="117" s="1"/>
  <c r="V19" i="117"/>
  <c r="AA19" i="117" s="1"/>
  <c r="V23" i="117"/>
  <c r="AA23" i="117" s="1"/>
  <c r="V27" i="117"/>
  <c r="AA27" i="117" s="1"/>
  <c r="V31" i="117"/>
  <c r="AA31" i="117" s="1"/>
  <c r="V35" i="117"/>
  <c r="AA35" i="117" s="1"/>
  <c r="V39" i="117"/>
  <c r="AA39" i="117" s="1"/>
  <c r="V43" i="117"/>
  <c r="AA43" i="117" s="1"/>
  <c r="V47" i="117"/>
  <c r="AA47" i="117" s="1"/>
  <c r="V51" i="117"/>
  <c r="AA51" i="117" s="1"/>
  <c r="V55" i="117"/>
  <c r="AA55" i="117" s="1"/>
  <c r="V59" i="117"/>
  <c r="AA59" i="117" s="1"/>
  <c r="V63" i="117"/>
  <c r="AA63" i="117" s="1"/>
  <c r="V67" i="117"/>
  <c r="AA67" i="117" s="1"/>
  <c r="T23" i="118"/>
  <c r="Y23" i="118" s="1"/>
  <c r="T39" i="118"/>
  <c r="Y39" i="118" s="1"/>
  <c r="T55" i="118"/>
  <c r="Y55" i="118" s="1"/>
  <c r="T71" i="118"/>
  <c r="Y71" i="118" s="1"/>
  <c r="T49" i="119"/>
  <c r="Y49" i="119" s="1"/>
  <c r="T65" i="119"/>
  <c r="Y65" i="119" s="1"/>
  <c r="U7" i="80"/>
  <c r="Z7" i="80" s="1"/>
  <c r="T9" i="131"/>
  <c r="Y9" i="131" s="1"/>
  <c r="U7" i="76"/>
  <c r="Z7" i="76" s="1"/>
  <c r="T9" i="129"/>
  <c r="Y9" i="129" s="1"/>
  <c r="T9" i="127"/>
  <c r="Y9" i="127" s="1"/>
  <c r="T9" i="115"/>
  <c r="Y9" i="115" s="1"/>
  <c r="T9" i="126"/>
  <c r="Y9" i="126" s="1"/>
  <c r="T9" i="120"/>
  <c r="Y9" i="120" s="1"/>
  <c r="T9" i="118"/>
  <c r="Y9" i="118" s="1"/>
  <c r="T9" i="128"/>
  <c r="Y9" i="128" s="1"/>
  <c r="T9" i="125"/>
  <c r="Y9" i="125" s="1"/>
  <c r="U11" i="80"/>
  <c r="Z11" i="80" s="1"/>
  <c r="T13" i="131"/>
  <c r="Y13" i="131" s="1"/>
  <c r="U11" i="76"/>
  <c r="Z11" i="76" s="1"/>
  <c r="T13" i="129"/>
  <c r="Y13" i="129" s="1"/>
  <c r="T13" i="127"/>
  <c r="Y13" i="127" s="1"/>
  <c r="T13" i="115"/>
  <c r="Y13" i="115" s="1"/>
  <c r="T13" i="126"/>
  <c r="Y13" i="126" s="1"/>
  <c r="T13" i="120"/>
  <c r="Y13" i="120" s="1"/>
  <c r="T13" i="118"/>
  <c r="Y13" i="118" s="1"/>
  <c r="T13" i="128"/>
  <c r="Y13" i="128" s="1"/>
  <c r="T13" i="125"/>
  <c r="Y13" i="125" s="1"/>
  <c r="U15" i="80"/>
  <c r="Z15" i="80" s="1"/>
  <c r="T17" i="131"/>
  <c r="Y17" i="131" s="1"/>
  <c r="U15" i="76"/>
  <c r="Z15" i="76" s="1"/>
  <c r="T17" i="129"/>
  <c r="Y17" i="129" s="1"/>
  <c r="T17" i="127"/>
  <c r="Y17" i="127" s="1"/>
  <c r="T17" i="115"/>
  <c r="Y17" i="115" s="1"/>
  <c r="T17" i="126"/>
  <c r="Y17" i="126" s="1"/>
  <c r="T17" i="120"/>
  <c r="Y17" i="120" s="1"/>
  <c r="T17" i="118"/>
  <c r="Y17" i="118" s="1"/>
  <c r="T17" i="128"/>
  <c r="Y17" i="128" s="1"/>
  <c r="T17" i="125"/>
  <c r="Y17" i="125" s="1"/>
  <c r="U19" i="80"/>
  <c r="Z19" i="80" s="1"/>
  <c r="T21" i="131"/>
  <c r="Y21" i="131" s="1"/>
  <c r="T21" i="128"/>
  <c r="Y21" i="128" s="1"/>
  <c r="U19" i="76"/>
  <c r="Z19" i="76" s="1"/>
  <c r="T21" i="129"/>
  <c r="Y21" i="129" s="1"/>
  <c r="T21" i="127"/>
  <c r="Y21" i="127" s="1"/>
  <c r="T21" i="115"/>
  <c r="Y21" i="115" s="1"/>
  <c r="T21" i="126"/>
  <c r="Y21" i="126" s="1"/>
  <c r="T21" i="120"/>
  <c r="Y21" i="120" s="1"/>
  <c r="T21" i="118"/>
  <c r="Y21" i="118" s="1"/>
  <c r="T21" i="125"/>
  <c r="Y21" i="125" s="1"/>
  <c r="U23" i="80"/>
  <c r="Z23" i="80" s="1"/>
  <c r="T25" i="131"/>
  <c r="Y25" i="131" s="1"/>
  <c r="T25" i="128"/>
  <c r="Y25" i="128" s="1"/>
  <c r="U23" i="76"/>
  <c r="Z23" i="76" s="1"/>
  <c r="T25" i="129"/>
  <c r="Y25" i="129" s="1"/>
  <c r="T25" i="127"/>
  <c r="Y25" i="127" s="1"/>
  <c r="T25" i="115"/>
  <c r="Y25" i="115" s="1"/>
  <c r="T25" i="126"/>
  <c r="Y25" i="126" s="1"/>
  <c r="T25" i="120"/>
  <c r="Y25" i="120" s="1"/>
  <c r="T25" i="118"/>
  <c r="Y25" i="118" s="1"/>
  <c r="T25" i="125"/>
  <c r="Y25" i="125" s="1"/>
  <c r="U27" i="80"/>
  <c r="Z27" i="80" s="1"/>
  <c r="T29" i="131"/>
  <c r="Y29" i="131" s="1"/>
  <c r="T29" i="128"/>
  <c r="Y29" i="128" s="1"/>
  <c r="U27" i="76"/>
  <c r="Z27" i="76" s="1"/>
  <c r="T29" i="129"/>
  <c r="Y29" i="129" s="1"/>
  <c r="T29" i="127"/>
  <c r="Y29" i="127" s="1"/>
  <c r="T29" i="115"/>
  <c r="Y29" i="115" s="1"/>
  <c r="T29" i="126"/>
  <c r="Y29" i="126" s="1"/>
  <c r="T29" i="120"/>
  <c r="Y29" i="120" s="1"/>
  <c r="T29" i="118"/>
  <c r="Y29" i="118" s="1"/>
  <c r="T29" i="125"/>
  <c r="Y29" i="125" s="1"/>
  <c r="U31" i="80"/>
  <c r="Z31" i="80" s="1"/>
  <c r="T33" i="131"/>
  <c r="Y33" i="131" s="1"/>
  <c r="T33" i="128"/>
  <c r="Y33" i="128" s="1"/>
  <c r="U31" i="76"/>
  <c r="Z31" i="76" s="1"/>
  <c r="T33" i="129"/>
  <c r="Y33" i="129" s="1"/>
  <c r="T33" i="127"/>
  <c r="Y33" i="127" s="1"/>
  <c r="T33" i="115"/>
  <c r="Y33" i="115" s="1"/>
  <c r="T33" i="126"/>
  <c r="Y33" i="126" s="1"/>
  <c r="T33" i="120"/>
  <c r="Y33" i="120" s="1"/>
  <c r="T33" i="118"/>
  <c r="Y33" i="118" s="1"/>
  <c r="T33" i="125"/>
  <c r="Y33" i="125" s="1"/>
  <c r="U35" i="80"/>
  <c r="Z35" i="80" s="1"/>
  <c r="T37" i="131"/>
  <c r="Y37" i="131" s="1"/>
  <c r="T37" i="128"/>
  <c r="Y37" i="128" s="1"/>
  <c r="U35" i="76"/>
  <c r="Z35" i="76" s="1"/>
  <c r="T37" i="129"/>
  <c r="Y37" i="129" s="1"/>
  <c r="T37" i="127"/>
  <c r="Y37" i="127" s="1"/>
  <c r="T37" i="115"/>
  <c r="Y37" i="115" s="1"/>
  <c r="T37" i="126"/>
  <c r="Y37" i="126" s="1"/>
  <c r="T37" i="120"/>
  <c r="Y37" i="120" s="1"/>
  <c r="T37" i="118"/>
  <c r="Y37" i="118" s="1"/>
  <c r="T37" i="125"/>
  <c r="Y37" i="125" s="1"/>
  <c r="U39" i="80"/>
  <c r="Z39" i="80" s="1"/>
  <c r="T41" i="131"/>
  <c r="Y41" i="131" s="1"/>
  <c r="T41" i="128"/>
  <c r="Y41" i="128" s="1"/>
  <c r="U39" i="76"/>
  <c r="Z39" i="76" s="1"/>
  <c r="T41" i="129"/>
  <c r="Y41" i="129" s="1"/>
  <c r="T41" i="127"/>
  <c r="Y41" i="127" s="1"/>
  <c r="T41" i="115"/>
  <c r="Y41" i="115" s="1"/>
  <c r="T41" i="126"/>
  <c r="Y41" i="126" s="1"/>
  <c r="T41" i="120"/>
  <c r="Y41" i="120" s="1"/>
  <c r="T41" i="118"/>
  <c r="Y41" i="118" s="1"/>
  <c r="T41" i="125"/>
  <c r="Y41" i="125" s="1"/>
  <c r="U43" i="80"/>
  <c r="Z43" i="80" s="1"/>
  <c r="T45" i="131"/>
  <c r="Y45" i="131" s="1"/>
  <c r="T45" i="128"/>
  <c r="Y45" i="128" s="1"/>
  <c r="U43" i="76"/>
  <c r="Z43" i="76" s="1"/>
  <c r="T45" i="129"/>
  <c r="Y45" i="129" s="1"/>
  <c r="T45" i="127"/>
  <c r="Y45" i="127" s="1"/>
  <c r="T45" i="126"/>
  <c r="Y45" i="126" s="1"/>
  <c r="T45" i="120"/>
  <c r="Y45" i="120" s="1"/>
  <c r="T45" i="118"/>
  <c r="Y45" i="118" s="1"/>
  <c r="T45" i="125"/>
  <c r="Y45" i="125" s="1"/>
  <c r="U47" i="80"/>
  <c r="Z47" i="80" s="1"/>
  <c r="T49" i="131"/>
  <c r="Y49" i="131" s="1"/>
  <c r="T49" i="128"/>
  <c r="Y49" i="128" s="1"/>
  <c r="U47" i="76"/>
  <c r="Z47" i="76" s="1"/>
  <c r="T49" i="129"/>
  <c r="Y49" i="129" s="1"/>
  <c r="T49" i="127"/>
  <c r="Y49" i="127" s="1"/>
  <c r="T49" i="126"/>
  <c r="Y49" i="126" s="1"/>
  <c r="T49" i="120"/>
  <c r="Y49" i="120" s="1"/>
  <c r="T49" i="118"/>
  <c r="Y49" i="118" s="1"/>
  <c r="T49" i="125"/>
  <c r="Y49" i="125" s="1"/>
  <c r="U51" i="80"/>
  <c r="Z51" i="80" s="1"/>
  <c r="T53" i="131"/>
  <c r="Y53" i="131" s="1"/>
  <c r="T53" i="128"/>
  <c r="Y53" i="128" s="1"/>
  <c r="U51" i="76"/>
  <c r="Z51" i="76" s="1"/>
  <c r="T53" i="129"/>
  <c r="Y53" i="129" s="1"/>
  <c r="T53" i="127"/>
  <c r="Y53" i="127" s="1"/>
  <c r="T53" i="126"/>
  <c r="Y53" i="126" s="1"/>
  <c r="T53" i="120"/>
  <c r="Y53" i="120" s="1"/>
  <c r="T53" i="118"/>
  <c r="Y53" i="118" s="1"/>
  <c r="T53" i="125"/>
  <c r="Y53" i="125" s="1"/>
  <c r="U55" i="80"/>
  <c r="Z55" i="80" s="1"/>
  <c r="T57" i="131"/>
  <c r="Y57" i="131" s="1"/>
  <c r="T57" i="128"/>
  <c r="Y57" i="128" s="1"/>
  <c r="U55" i="76"/>
  <c r="Z55" i="76" s="1"/>
  <c r="T57" i="129"/>
  <c r="Y57" i="129" s="1"/>
  <c r="T57" i="127"/>
  <c r="Y57" i="127" s="1"/>
  <c r="T57" i="126"/>
  <c r="Y57" i="126" s="1"/>
  <c r="T57" i="120"/>
  <c r="Y57" i="120" s="1"/>
  <c r="T57" i="118"/>
  <c r="Y57" i="118" s="1"/>
  <c r="T57" i="125"/>
  <c r="Y57" i="125" s="1"/>
  <c r="U59" i="80"/>
  <c r="Z59" i="80" s="1"/>
  <c r="T61" i="131"/>
  <c r="Y61" i="131" s="1"/>
  <c r="T61" i="128"/>
  <c r="Y61" i="128" s="1"/>
  <c r="U59" i="76"/>
  <c r="Z59" i="76" s="1"/>
  <c r="T61" i="129"/>
  <c r="Y61" i="129" s="1"/>
  <c r="T61" i="127"/>
  <c r="Y61" i="127" s="1"/>
  <c r="T61" i="126"/>
  <c r="Y61" i="126" s="1"/>
  <c r="T61" i="120"/>
  <c r="Y61" i="120" s="1"/>
  <c r="T61" i="118"/>
  <c r="Y61" i="118" s="1"/>
  <c r="T61" i="125"/>
  <c r="Y61" i="125" s="1"/>
  <c r="U63" i="80"/>
  <c r="Z63" i="80" s="1"/>
  <c r="T65" i="131"/>
  <c r="Y65" i="131" s="1"/>
  <c r="T65" i="128"/>
  <c r="Y65" i="128" s="1"/>
  <c r="U63" i="76"/>
  <c r="Z63" i="76" s="1"/>
  <c r="T65" i="129"/>
  <c r="Y65" i="129" s="1"/>
  <c r="T65" i="127"/>
  <c r="Y65" i="127" s="1"/>
  <c r="T65" i="126"/>
  <c r="Y65" i="126" s="1"/>
  <c r="T65" i="120"/>
  <c r="Y65" i="120" s="1"/>
  <c r="T65" i="118"/>
  <c r="Y65" i="118" s="1"/>
  <c r="T65" i="125"/>
  <c r="Y65" i="125" s="1"/>
  <c r="U67" i="80"/>
  <c r="Z67" i="80" s="1"/>
  <c r="T69" i="131"/>
  <c r="Y69" i="131" s="1"/>
  <c r="T69" i="128"/>
  <c r="Y69" i="128" s="1"/>
  <c r="U67" i="76"/>
  <c r="Z67" i="76" s="1"/>
  <c r="T69" i="129"/>
  <c r="Y69" i="129" s="1"/>
  <c r="T69" i="127"/>
  <c r="Y69" i="127" s="1"/>
  <c r="T69" i="126"/>
  <c r="Y69" i="126" s="1"/>
  <c r="T69" i="120"/>
  <c r="Y69" i="120" s="1"/>
  <c r="T69" i="118"/>
  <c r="Y69" i="118" s="1"/>
  <c r="T69" i="125"/>
  <c r="Y69" i="125" s="1"/>
  <c r="U71" i="80"/>
  <c r="Z71" i="80" s="1"/>
  <c r="T73" i="131"/>
  <c r="Y73" i="131" s="1"/>
  <c r="T73" i="128"/>
  <c r="Y73" i="128" s="1"/>
  <c r="U71" i="76"/>
  <c r="Z71" i="76" s="1"/>
  <c r="T73" i="129"/>
  <c r="Y73" i="129" s="1"/>
  <c r="T73" i="127"/>
  <c r="Y73" i="127" s="1"/>
  <c r="T73" i="126"/>
  <c r="Y73" i="126" s="1"/>
  <c r="T73" i="120"/>
  <c r="Y73" i="120" s="1"/>
  <c r="T73" i="118"/>
  <c r="Y73" i="118" s="1"/>
  <c r="T73" i="125"/>
  <c r="Y73" i="125" s="1"/>
  <c r="T78" i="114"/>
  <c r="U75" i="80"/>
  <c r="T77" i="131"/>
  <c r="T77" i="128"/>
  <c r="U75" i="76"/>
  <c r="T77" i="129"/>
  <c r="T77" i="127"/>
  <c r="T77" i="126"/>
  <c r="T77" i="120"/>
  <c r="T77" i="118"/>
  <c r="T77" i="125"/>
  <c r="T77" i="119"/>
  <c r="T11" i="116"/>
  <c r="Y11" i="116" s="1"/>
  <c r="T15" i="116"/>
  <c r="Y15" i="116" s="1"/>
  <c r="T19" i="116"/>
  <c r="Y19" i="116" s="1"/>
  <c r="T23" i="116"/>
  <c r="Y23" i="116" s="1"/>
  <c r="T27" i="116"/>
  <c r="Y27" i="116" s="1"/>
  <c r="T31" i="116"/>
  <c r="Y31" i="116" s="1"/>
  <c r="T35" i="116"/>
  <c r="Y35" i="116" s="1"/>
  <c r="T39" i="116"/>
  <c r="Y39" i="116" s="1"/>
  <c r="T43" i="116"/>
  <c r="Y43" i="116" s="1"/>
  <c r="T47" i="116"/>
  <c r="Y47" i="116" s="1"/>
  <c r="T51" i="116"/>
  <c r="Y51" i="116" s="1"/>
  <c r="T55" i="116"/>
  <c r="Y55" i="116" s="1"/>
  <c r="T59" i="116"/>
  <c r="Y59" i="116" s="1"/>
  <c r="T63" i="116"/>
  <c r="Y63" i="116" s="1"/>
  <c r="T67" i="116"/>
  <c r="Y67" i="116" s="1"/>
  <c r="T71" i="116"/>
  <c r="Y71" i="116" s="1"/>
  <c r="T75" i="116"/>
  <c r="Y75" i="116" s="1"/>
  <c r="V9" i="117"/>
  <c r="AA9" i="117" s="1"/>
  <c r="V13" i="117"/>
  <c r="AA13" i="117" s="1"/>
  <c r="V17" i="117"/>
  <c r="AA17" i="117" s="1"/>
  <c r="V21" i="117"/>
  <c r="AA21" i="117" s="1"/>
  <c r="V25" i="117"/>
  <c r="AA25" i="117" s="1"/>
  <c r="V29" i="117"/>
  <c r="AA29" i="117" s="1"/>
  <c r="V33" i="117"/>
  <c r="AA33" i="117" s="1"/>
  <c r="V37" i="117"/>
  <c r="AA37" i="117" s="1"/>
  <c r="V41" i="117"/>
  <c r="AA41" i="117" s="1"/>
  <c r="V45" i="117"/>
  <c r="AA45" i="117" s="1"/>
  <c r="V49" i="117"/>
  <c r="AA49" i="117" s="1"/>
  <c r="V53" i="117"/>
  <c r="AA53" i="117" s="1"/>
  <c r="V57" i="117"/>
  <c r="AA57" i="117" s="1"/>
  <c r="V61" i="117"/>
  <c r="AA61" i="117" s="1"/>
  <c r="V65" i="117"/>
  <c r="AA65" i="117" s="1"/>
  <c r="V69" i="117"/>
  <c r="AA69" i="117" s="1"/>
  <c r="T15" i="118"/>
  <c r="Y15" i="118" s="1"/>
  <c r="T31" i="118"/>
  <c r="Y31" i="118" s="1"/>
  <c r="T47" i="118"/>
  <c r="Y47" i="118" s="1"/>
  <c r="T63" i="118"/>
  <c r="Y63" i="118" s="1"/>
  <c r="T9" i="119"/>
  <c r="Y9" i="119" s="1"/>
  <c r="T25" i="119"/>
  <c r="Y25" i="119" s="1"/>
  <c r="T41" i="119"/>
  <c r="Y41" i="119" s="1"/>
  <c r="T57" i="119"/>
  <c r="Y57" i="119" s="1"/>
  <c r="T73" i="119"/>
  <c r="Y73" i="119" s="1"/>
  <c r="T69" i="115"/>
  <c r="Y69" i="115" s="1"/>
  <c r="T61" i="115"/>
  <c r="Y61" i="115" s="1"/>
  <c r="T53" i="115"/>
  <c r="Y53" i="115" s="1"/>
  <c r="T45" i="115"/>
  <c r="Y45" i="115" s="1"/>
  <c r="AD76" i="119"/>
  <c r="AD75" i="119"/>
  <c r="AD74" i="119"/>
  <c r="AD73" i="119"/>
  <c r="AD72" i="119"/>
  <c r="AD71" i="119"/>
  <c r="AD70" i="119"/>
  <c r="AD69" i="119"/>
  <c r="AD68" i="119"/>
  <c r="AD67" i="119"/>
  <c r="AD66" i="119"/>
  <c r="AD65" i="119"/>
  <c r="AD64" i="119"/>
  <c r="AD63" i="119"/>
  <c r="AD62" i="119"/>
  <c r="AD61" i="119"/>
  <c r="AD60" i="119"/>
  <c r="AD59" i="119"/>
  <c r="AD58" i="119"/>
  <c r="AD57" i="119"/>
  <c r="AD56" i="119"/>
  <c r="AD55" i="119"/>
  <c r="AD54" i="119"/>
  <c r="AD53" i="119"/>
  <c r="AD52" i="119"/>
  <c r="AD51" i="119"/>
  <c r="AD50" i="119"/>
  <c r="AD49" i="119"/>
  <c r="AD48" i="119"/>
  <c r="AD47" i="119"/>
  <c r="AD46" i="119"/>
  <c r="AD45" i="119"/>
  <c r="AD44" i="119"/>
  <c r="AD43" i="119"/>
  <c r="AD42" i="119"/>
  <c r="AD41" i="119"/>
  <c r="AD40" i="119"/>
  <c r="AD39" i="119"/>
  <c r="AD38" i="119"/>
  <c r="AD37" i="119"/>
  <c r="AD36" i="119"/>
  <c r="AD35" i="119"/>
  <c r="AD34" i="119"/>
  <c r="AD33" i="119"/>
  <c r="AD32" i="119"/>
  <c r="AD31" i="119"/>
  <c r="AD30" i="119"/>
  <c r="AD29" i="119"/>
  <c r="AD28" i="119"/>
  <c r="AD27" i="119"/>
  <c r="AD26" i="119"/>
  <c r="AD25" i="119"/>
  <c r="AD24" i="119"/>
  <c r="AD23" i="119"/>
  <c r="AD22" i="119"/>
  <c r="AD21" i="119"/>
  <c r="AD20" i="119"/>
  <c r="AD19" i="119"/>
  <c r="AD18" i="119"/>
  <c r="AD17" i="119"/>
  <c r="AD16" i="119"/>
  <c r="AD15" i="119"/>
  <c r="AD14" i="119"/>
  <c r="AD13" i="119"/>
  <c r="AD12" i="119"/>
  <c r="AD11" i="119"/>
  <c r="AD10" i="119"/>
  <c r="AD9" i="119"/>
  <c r="AD8" i="119"/>
  <c r="O76" i="119"/>
  <c r="O75" i="119"/>
  <c r="O74" i="119"/>
  <c r="O73" i="119"/>
  <c r="O72" i="119"/>
  <c r="O71" i="119"/>
  <c r="O70" i="119"/>
  <c r="O69" i="119"/>
  <c r="O68" i="119"/>
  <c r="O67" i="119"/>
  <c r="O66" i="119"/>
  <c r="O65" i="119"/>
  <c r="O64" i="119"/>
  <c r="O63" i="119"/>
  <c r="O62" i="119"/>
  <c r="O61" i="119"/>
  <c r="O60" i="119"/>
  <c r="O59" i="119"/>
  <c r="O58" i="119"/>
  <c r="O57" i="119"/>
  <c r="O56" i="119"/>
  <c r="O55" i="119"/>
  <c r="O54" i="119"/>
  <c r="O53" i="119"/>
  <c r="O52" i="119"/>
  <c r="O51" i="119"/>
  <c r="O50" i="119"/>
  <c r="O49" i="119"/>
  <c r="O48" i="119"/>
  <c r="O47" i="119"/>
  <c r="O46" i="119"/>
  <c r="O45" i="119"/>
  <c r="O44" i="119"/>
  <c r="O43" i="119"/>
  <c r="O42" i="119"/>
  <c r="O41" i="119"/>
  <c r="O40" i="119"/>
  <c r="O39" i="119"/>
  <c r="O38" i="119"/>
  <c r="O37" i="119"/>
  <c r="O36" i="119"/>
  <c r="O35" i="119"/>
  <c r="O34" i="119"/>
  <c r="O33" i="119"/>
  <c r="O32" i="119"/>
  <c r="O31" i="119"/>
  <c r="O30" i="119"/>
  <c r="O29" i="119"/>
  <c r="O28" i="119"/>
  <c r="O27" i="119"/>
  <c r="O26" i="119"/>
  <c r="O25" i="119"/>
  <c r="O24" i="119"/>
  <c r="O23" i="119"/>
  <c r="O22" i="119"/>
  <c r="O21" i="119"/>
  <c r="O20" i="119"/>
  <c r="O19" i="119"/>
  <c r="O18" i="119"/>
  <c r="O17" i="119"/>
  <c r="O16" i="119"/>
  <c r="O15" i="119"/>
  <c r="O14" i="119"/>
  <c r="O13" i="119"/>
  <c r="O12" i="119"/>
  <c r="O11" i="119"/>
  <c r="O10" i="119"/>
  <c r="O9" i="119"/>
  <c r="O8" i="119"/>
  <c r="AE74" i="80"/>
  <c r="AE73" i="80"/>
  <c r="AE72" i="80"/>
  <c r="AE71" i="80"/>
  <c r="AE70" i="80"/>
  <c r="AE69" i="80"/>
  <c r="AE68" i="80"/>
  <c r="AE67" i="80"/>
  <c r="AE66" i="80"/>
  <c r="AE65" i="80"/>
  <c r="AE64" i="80"/>
  <c r="AE63" i="80"/>
  <c r="AE62" i="80"/>
  <c r="AE61" i="80"/>
  <c r="AE60" i="80"/>
  <c r="AE59" i="80"/>
  <c r="AE58" i="80"/>
  <c r="AE57" i="80"/>
  <c r="AE56" i="80"/>
  <c r="AE55" i="80"/>
  <c r="AE54" i="80"/>
  <c r="AE53" i="80"/>
  <c r="AE52" i="80"/>
  <c r="AE51" i="80"/>
  <c r="AE50" i="80"/>
  <c r="AE49" i="80"/>
  <c r="AE48" i="80"/>
  <c r="AE47" i="80"/>
  <c r="AE46" i="80"/>
  <c r="AE45" i="80"/>
  <c r="AE44" i="80"/>
  <c r="AE43" i="80"/>
  <c r="AE42" i="80"/>
  <c r="AE41" i="80"/>
  <c r="AE40" i="80"/>
  <c r="AE39" i="80"/>
  <c r="AE38" i="80"/>
  <c r="AE37" i="80"/>
  <c r="AE36" i="80"/>
  <c r="AE35" i="80"/>
  <c r="AE34" i="80"/>
  <c r="AE33" i="80"/>
  <c r="AE32" i="80"/>
  <c r="AE31" i="80"/>
  <c r="AE30" i="80"/>
  <c r="AE29" i="80"/>
  <c r="AE28" i="80"/>
  <c r="AE27" i="80"/>
  <c r="AE26" i="80"/>
  <c r="AE25" i="80"/>
  <c r="AE24" i="80"/>
  <c r="AE23" i="80"/>
  <c r="AE22" i="80"/>
  <c r="AE21" i="80"/>
  <c r="AE20" i="80"/>
  <c r="AE19" i="80"/>
  <c r="AE18" i="80"/>
  <c r="AE17" i="80"/>
  <c r="AE16" i="80"/>
  <c r="AE15" i="80"/>
  <c r="AE14" i="80"/>
  <c r="AE13" i="80"/>
  <c r="AE12" i="80"/>
  <c r="AE11" i="80"/>
  <c r="AE10" i="80"/>
  <c r="AE9" i="80"/>
  <c r="AE8" i="80"/>
  <c r="AE7" i="80"/>
  <c r="AE6" i="80"/>
  <c r="P74" i="80"/>
  <c r="P73" i="80"/>
  <c r="P72" i="80"/>
  <c r="P71" i="80"/>
  <c r="P70" i="80"/>
  <c r="P69" i="80"/>
  <c r="P68" i="80"/>
  <c r="P67" i="80"/>
  <c r="P66" i="80"/>
  <c r="P65" i="80"/>
  <c r="P64" i="80"/>
  <c r="P63" i="80"/>
  <c r="P62" i="80"/>
  <c r="P61" i="80"/>
  <c r="P60" i="80"/>
  <c r="P59" i="80"/>
  <c r="P58" i="80"/>
  <c r="P57" i="80"/>
  <c r="P56" i="80"/>
  <c r="P55" i="80"/>
  <c r="P54" i="80"/>
  <c r="P53" i="80"/>
  <c r="P52" i="80"/>
  <c r="P51" i="80"/>
  <c r="P50" i="80"/>
  <c r="P49" i="80"/>
  <c r="P48" i="80"/>
  <c r="P47" i="80"/>
  <c r="P46" i="80"/>
  <c r="P45" i="80"/>
  <c r="P44" i="80"/>
  <c r="P43" i="80"/>
  <c r="P42" i="80"/>
  <c r="P41" i="80"/>
  <c r="P40" i="80"/>
  <c r="P39" i="80"/>
  <c r="P38" i="80"/>
  <c r="P37" i="80"/>
  <c r="P36" i="80"/>
  <c r="P35" i="80"/>
  <c r="P34" i="80"/>
  <c r="P33" i="80"/>
  <c r="P32" i="80"/>
  <c r="P31" i="80"/>
  <c r="P30" i="80"/>
  <c r="P29" i="80"/>
  <c r="P28" i="80"/>
  <c r="P27" i="80"/>
  <c r="P26" i="80"/>
  <c r="P25" i="80"/>
  <c r="P24" i="80"/>
  <c r="P23" i="80"/>
  <c r="P22" i="80"/>
  <c r="P21" i="80"/>
  <c r="P20" i="80"/>
  <c r="P19" i="80"/>
  <c r="P18" i="80"/>
  <c r="P17" i="80"/>
  <c r="P16" i="80"/>
  <c r="P15" i="80"/>
  <c r="P14" i="80"/>
  <c r="P13" i="80"/>
  <c r="P12" i="80"/>
  <c r="P11" i="80"/>
  <c r="P10" i="80"/>
  <c r="P9" i="80"/>
  <c r="P8" i="80"/>
  <c r="P7" i="80"/>
  <c r="P6" i="80"/>
  <c r="AE74" i="76"/>
  <c r="AE73" i="76"/>
  <c r="AE72" i="76"/>
  <c r="AE71" i="76"/>
  <c r="AE70" i="76"/>
  <c r="AE69" i="76"/>
  <c r="AE68" i="76"/>
  <c r="AE67" i="76"/>
  <c r="AE66" i="76"/>
  <c r="AE65" i="76"/>
  <c r="AE64" i="76"/>
  <c r="AE63" i="76"/>
  <c r="AE62" i="76"/>
  <c r="AE61" i="76"/>
  <c r="AE60" i="76"/>
  <c r="AE59" i="76"/>
  <c r="AE58" i="76"/>
  <c r="AE57" i="76"/>
  <c r="AE56" i="76"/>
  <c r="AE55" i="76"/>
  <c r="AE54" i="76"/>
  <c r="AE53" i="76"/>
  <c r="AE52" i="76"/>
  <c r="AE51" i="76"/>
  <c r="AE50" i="76"/>
  <c r="AE49" i="76"/>
  <c r="AE48" i="76"/>
  <c r="AE47" i="76"/>
  <c r="AE46" i="76"/>
  <c r="AE45" i="76"/>
  <c r="AE44" i="76"/>
  <c r="AE43" i="76"/>
  <c r="AE42" i="76"/>
  <c r="AE41" i="76"/>
  <c r="AE40" i="76"/>
  <c r="AE39" i="76"/>
  <c r="AE38" i="76"/>
  <c r="AE37" i="76"/>
  <c r="AE36" i="76"/>
  <c r="AE35" i="76"/>
  <c r="AE34" i="76"/>
  <c r="AE33" i="76"/>
  <c r="AE32" i="76"/>
  <c r="AE31" i="76"/>
  <c r="AE30" i="76"/>
  <c r="AE29" i="76"/>
  <c r="AE28" i="76"/>
  <c r="AE27" i="76"/>
  <c r="AE26" i="76"/>
  <c r="AE25" i="76"/>
  <c r="AE24" i="76"/>
  <c r="AE23" i="76"/>
  <c r="AE22" i="76"/>
  <c r="AE21" i="76"/>
  <c r="AE20" i="76"/>
  <c r="AE19" i="76"/>
  <c r="AE18" i="76"/>
  <c r="AE17" i="76"/>
  <c r="AE16" i="76"/>
  <c r="AE15" i="76"/>
  <c r="AE14" i="76"/>
  <c r="AE13" i="76"/>
  <c r="AE12" i="76"/>
  <c r="AE11" i="76"/>
  <c r="AE10" i="76"/>
  <c r="AE9" i="76"/>
  <c r="AE8" i="76"/>
  <c r="AE7" i="76"/>
  <c r="AE6" i="76"/>
  <c r="P74" i="76"/>
  <c r="P73" i="76"/>
  <c r="P72" i="76"/>
  <c r="P70" i="76"/>
  <c r="P69" i="76"/>
  <c r="P68" i="76"/>
  <c r="P67" i="76"/>
  <c r="P66" i="76"/>
  <c r="P65" i="76"/>
  <c r="P63" i="76"/>
  <c r="P62" i="76"/>
  <c r="P61" i="76"/>
  <c r="P60" i="76"/>
  <c r="P59" i="76"/>
  <c r="P58" i="76"/>
  <c r="P57" i="76"/>
  <c r="P56" i="76"/>
  <c r="P55" i="76"/>
  <c r="P54" i="76"/>
  <c r="P53" i="76"/>
  <c r="P52" i="76"/>
  <c r="P51" i="76"/>
  <c r="P50" i="76"/>
  <c r="P49" i="76"/>
  <c r="P48" i="76"/>
  <c r="P47" i="76"/>
  <c r="P46" i="76"/>
  <c r="P45" i="76"/>
  <c r="P44" i="76"/>
  <c r="P43" i="76"/>
  <c r="P42" i="76"/>
  <c r="P41" i="76"/>
  <c r="P40" i="76"/>
  <c r="P39" i="76"/>
  <c r="P38" i="76"/>
  <c r="P37" i="76"/>
  <c r="P36" i="76"/>
  <c r="P35" i="76"/>
  <c r="P34" i="76"/>
  <c r="P33" i="76"/>
  <c r="P32" i="76"/>
  <c r="P31" i="76"/>
  <c r="P30" i="76"/>
  <c r="P29" i="76"/>
  <c r="P28" i="76"/>
  <c r="P27" i="76"/>
  <c r="P26" i="76"/>
  <c r="P25" i="76"/>
  <c r="P24" i="76"/>
  <c r="P23" i="76"/>
  <c r="P22" i="76"/>
  <c r="P21" i="76"/>
  <c r="P20" i="76"/>
  <c r="P19" i="76"/>
  <c r="P18" i="76"/>
  <c r="P17" i="76"/>
  <c r="P16" i="76"/>
  <c r="P15" i="76"/>
  <c r="P14" i="76"/>
  <c r="P13" i="76"/>
  <c r="P12" i="76"/>
  <c r="P11" i="76"/>
  <c r="P10" i="76"/>
  <c r="P9" i="76"/>
  <c r="P8" i="76"/>
  <c r="P7" i="76"/>
  <c r="P6" i="76"/>
  <c r="Y77" i="116" l="1"/>
  <c r="AB30" i="46"/>
  <c r="Y77" i="128"/>
  <c r="Z75" i="80"/>
  <c r="Z79" i="80" s="1"/>
  <c r="Y77" i="113"/>
  <c r="AB18" i="46"/>
  <c r="AB38" i="46" s="1"/>
  <c r="T43" i="31"/>
  <c r="AI35" i="46"/>
  <c r="AI29" i="46"/>
  <c r="AI28" i="46"/>
  <c r="AI23" i="46"/>
  <c r="AI17" i="46"/>
  <c r="AI16" i="46"/>
  <c r="AI15" i="46"/>
  <c r="AI14" i="46"/>
  <c r="AI13" i="46"/>
  <c r="AI12" i="46"/>
  <c r="AI11" i="46"/>
  <c r="AI10" i="46"/>
  <c r="Q35" i="46"/>
  <c r="Q29" i="46"/>
  <c r="Q28" i="46"/>
  <c r="Q23" i="46"/>
  <c r="Q17" i="46"/>
  <c r="Q16" i="46"/>
  <c r="Q15" i="46"/>
  <c r="Q14" i="46"/>
  <c r="Q13" i="46"/>
  <c r="Q12" i="46"/>
  <c r="Q11" i="46"/>
  <c r="Q10" i="46"/>
  <c r="Y77" i="120" l="1"/>
  <c r="Y77" i="125"/>
  <c r="Y77" i="126"/>
  <c r="Z75" i="76"/>
  <c r="Z79" i="76" s="1"/>
  <c r="AA77" i="117"/>
  <c r="Y78" i="114"/>
  <c r="Y77" i="115"/>
  <c r="Y77" i="119"/>
  <c r="Y77" i="118"/>
  <c r="Y77" i="131"/>
  <c r="Y77" i="127"/>
  <c r="Y77" i="129"/>
  <c r="Y69" i="31"/>
  <c r="Y70" i="31" s="1"/>
  <c r="Y72" i="31" s="1"/>
  <c r="AF67" i="31"/>
  <c r="AF66" i="31"/>
  <c r="AF65" i="31"/>
  <c r="AF64" i="31"/>
  <c r="AF63" i="31"/>
  <c r="AF62" i="31"/>
  <c r="AF61" i="31"/>
  <c r="AF60" i="31"/>
  <c r="AF59" i="31"/>
  <c r="AF58" i="31"/>
  <c r="AF57" i="31"/>
  <c r="AF56" i="31"/>
  <c r="AF55" i="31"/>
  <c r="AF54" i="31"/>
  <c r="AF53" i="31"/>
  <c r="AF52" i="31"/>
  <c r="AF51" i="31"/>
  <c r="AF50" i="31"/>
  <c r="AF49" i="31"/>
  <c r="AF48" i="31"/>
  <c r="AF47" i="31"/>
  <c r="AF46" i="31"/>
  <c r="AF45" i="31"/>
  <c r="AF44" i="31"/>
  <c r="AF43" i="31"/>
  <c r="AF42" i="31"/>
  <c r="AF40" i="31"/>
  <c r="AF39" i="31"/>
  <c r="AF38" i="31"/>
  <c r="AF37" i="31"/>
  <c r="AF36" i="31"/>
  <c r="AF35" i="31"/>
  <c r="AF33" i="31"/>
  <c r="AF31" i="31"/>
  <c r="AF29" i="31"/>
  <c r="AF28" i="31"/>
  <c r="AF27" i="31"/>
  <c r="AF26" i="31"/>
  <c r="AF25" i="31"/>
  <c r="AF23" i="31"/>
  <c r="AF22" i="31"/>
  <c r="AF68" i="31"/>
  <c r="AF13" i="31"/>
  <c r="AF14" i="31"/>
  <c r="AF15" i="31"/>
  <c r="AF16" i="31"/>
  <c r="AF17" i="31"/>
  <c r="AF18" i="31"/>
  <c r="AF19" i="31"/>
  <c r="AF12" i="31"/>
  <c r="AF9" i="31"/>
  <c r="Q47" i="31" l="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46" i="31"/>
  <c r="Q42" i="31"/>
  <c r="Q39" i="31"/>
  <c r="Q43" i="31"/>
  <c r="Q38" i="31"/>
  <c r="Q35" i="31"/>
  <c r="Q34" i="31"/>
  <c r="Q33" i="31"/>
  <c r="Q31" i="31"/>
  <c r="Q22" i="31"/>
  <c r="Q23" i="31"/>
  <c r="Q25" i="31"/>
  <c r="Q26" i="31"/>
  <c r="Q27" i="31"/>
  <c r="Q28" i="31"/>
  <c r="Q29" i="31"/>
  <c r="Q21" i="31"/>
  <c r="Q13" i="31"/>
  <c r="Q14" i="31"/>
  <c r="Q15" i="31"/>
  <c r="Q16" i="31"/>
  <c r="Q17" i="31"/>
  <c r="Q18" i="31"/>
  <c r="Q19" i="31"/>
  <c r="Q12" i="31"/>
  <c r="Q9" i="31"/>
  <c r="O16" i="137"/>
  <c r="O20" i="137" s="1"/>
  <c r="L9" i="5"/>
  <c r="L10" i="5" s="1"/>
  <c r="E63" i="81" s="1"/>
  <c r="E76" i="33"/>
  <c r="E75" i="33"/>
  <c r="E74" i="33"/>
  <c r="E73" i="33"/>
  <c r="E72" i="33"/>
  <c r="E71" i="33"/>
  <c r="E70" i="33"/>
  <c r="E69" i="33"/>
  <c r="E68" i="33"/>
  <c r="E67" i="33"/>
  <c r="E66" i="33"/>
  <c r="E65" i="33"/>
  <c r="E64" i="33"/>
  <c r="E63" i="33"/>
  <c r="E62" i="33"/>
  <c r="E61" i="33"/>
  <c r="E60" i="33"/>
  <c r="E59" i="33"/>
  <c r="E58" i="33"/>
  <c r="E57" i="33"/>
  <c r="E56" i="33"/>
  <c r="E55" i="33"/>
  <c r="E54" i="33"/>
  <c r="E53" i="33"/>
  <c r="E52" i="33"/>
  <c r="E51" i="33"/>
  <c r="E50" i="33"/>
  <c r="E49" i="33"/>
  <c r="E48" i="33"/>
  <c r="E47" i="33"/>
  <c r="E46" i="33"/>
  <c r="E45" i="33"/>
  <c r="E44" i="33"/>
  <c r="E43" i="33"/>
  <c r="E42" i="33"/>
  <c r="E41" i="33"/>
  <c r="E40" i="33"/>
  <c r="E39" i="33"/>
  <c r="E38" i="33"/>
  <c r="E37" i="33"/>
  <c r="E36" i="33"/>
  <c r="E35" i="33"/>
  <c r="E34" i="33"/>
  <c r="E33" i="33"/>
  <c r="E32" i="33"/>
  <c r="E31" i="33"/>
  <c r="E30" i="33"/>
  <c r="E29" i="33"/>
  <c r="E28" i="33"/>
  <c r="E27" i="33"/>
  <c r="E26" i="33"/>
  <c r="E25" i="33"/>
  <c r="E24" i="33"/>
  <c r="E23" i="33"/>
  <c r="E22" i="33"/>
  <c r="E21" i="33"/>
  <c r="E20" i="33"/>
  <c r="E19" i="33"/>
  <c r="E18" i="33"/>
  <c r="E17" i="33"/>
  <c r="E16" i="33"/>
  <c r="E15" i="33"/>
  <c r="E14" i="33"/>
  <c r="E13" i="33"/>
  <c r="E12" i="33"/>
  <c r="E11" i="33"/>
  <c r="E10" i="33"/>
  <c r="E9" i="33"/>
  <c r="E8" i="33"/>
  <c r="C20" i="131" l="1"/>
  <c r="C22" i="131"/>
  <c r="C75" i="129"/>
  <c r="C24" i="129"/>
  <c r="C10" i="125"/>
  <c r="C39" i="125"/>
  <c r="C24" i="125"/>
  <c r="U78" i="136" l="1"/>
  <c r="V78" i="136"/>
  <c r="W78" i="136"/>
  <c r="X78" i="136"/>
  <c r="Y78" i="136"/>
  <c r="Z78" i="136"/>
  <c r="AA78" i="136"/>
  <c r="AB78" i="136"/>
  <c r="AC78" i="136"/>
  <c r="AD78" i="136"/>
  <c r="AE78" i="136"/>
  <c r="AF76" i="136"/>
  <c r="Q7" i="136" l="1"/>
  <c r="Q8" i="136"/>
  <c r="Q9" i="136"/>
  <c r="Q10" i="136"/>
  <c r="Q11" i="136"/>
  <c r="Q12" i="136"/>
  <c r="Q13" i="136"/>
  <c r="Q14" i="136"/>
  <c r="Q15" i="136"/>
  <c r="Q16" i="136"/>
  <c r="Q17" i="136"/>
  <c r="Q18" i="136"/>
  <c r="Q19" i="136"/>
  <c r="Q20" i="136"/>
  <c r="Q21" i="136"/>
  <c r="Q22" i="136"/>
  <c r="Q23" i="136"/>
  <c r="Q24" i="136"/>
  <c r="Q25" i="136"/>
  <c r="Q26" i="136"/>
  <c r="Q27" i="136"/>
  <c r="Q28" i="136"/>
  <c r="Q29" i="136"/>
  <c r="Q30" i="136"/>
  <c r="Q31" i="136"/>
  <c r="Q32" i="136"/>
  <c r="Q33" i="136"/>
  <c r="Q34" i="136"/>
  <c r="Q35" i="136"/>
  <c r="Q36" i="136"/>
  <c r="Q37" i="136"/>
  <c r="Q38" i="136"/>
  <c r="Q39" i="136"/>
  <c r="Q40" i="136"/>
  <c r="Q41" i="136"/>
  <c r="Q42" i="136"/>
  <c r="Q43" i="136"/>
  <c r="Q44" i="136"/>
  <c r="Q45" i="136"/>
  <c r="Q46" i="136"/>
  <c r="Q47" i="136"/>
  <c r="Q48" i="136"/>
  <c r="Q49" i="136"/>
  <c r="Q50" i="136"/>
  <c r="Q51" i="136"/>
  <c r="Q52" i="136"/>
  <c r="Q53" i="136"/>
  <c r="Q54" i="136"/>
  <c r="Q55" i="136"/>
  <c r="Q56" i="136"/>
  <c r="Q57" i="136"/>
  <c r="Q58" i="136"/>
  <c r="Q59" i="136"/>
  <c r="Q60" i="136"/>
  <c r="Q61" i="136"/>
  <c r="Q62" i="136"/>
  <c r="Q63" i="136"/>
  <c r="Q64" i="136"/>
  <c r="Q65" i="136"/>
  <c r="Q66" i="136"/>
  <c r="Q67" i="136"/>
  <c r="Q68" i="136"/>
  <c r="Q69" i="136"/>
  <c r="Q70" i="136"/>
  <c r="Q71" i="136"/>
  <c r="Q72" i="136"/>
  <c r="Q73" i="136"/>
  <c r="Q74" i="136"/>
  <c r="Q75" i="136"/>
  <c r="Q76" i="136"/>
  <c r="Q78" i="136"/>
  <c r="E6" i="136" l="1"/>
  <c r="F6" i="136" s="1"/>
  <c r="G6" i="136" l="1"/>
  <c r="H6" i="136" s="1"/>
  <c r="I6" i="136" s="1"/>
  <c r="J6" i="136" s="1"/>
  <c r="K6" i="136" s="1"/>
  <c r="L6" i="136" s="1"/>
  <c r="M6" i="136" s="1"/>
  <c r="N6" i="136" s="1"/>
  <c r="O6" i="136" s="1"/>
  <c r="P6" i="136" s="1"/>
  <c r="K34" i="2"/>
  <c r="K15" i="2"/>
  <c r="H53" i="1"/>
  <c r="H46" i="1"/>
  <c r="H24" i="1"/>
  <c r="S6" i="136" l="1"/>
  <c r="T6" i="136" s="1"/>
  <c r="U6" i="136" s="1"/>
  <c r="V6" i="136" s="1"/>
  <c r="W6" i="136" s="1"/>
  <c r="Q6" i="136"/>
  <c r="R6" i="136" s="1"/>
  <c r="X6" i="136" l="1"/>
  <c r="Y6" i="136" l="1"/>
  <c r="Z6" i="136" l="1"/>
  <c r="D39" i="81"/>
  <c r="D48" i="81" s="1"/>
  <c r="AA6" i="136" l="1"/>
  <c r="AF77" i="13"/>
  <c r="C74" i="80"/>
  <c r="C73" i="80"/>
  <c r="C72" i="80"/>
  <c r="C71" i="80"/>
  <c r="C70" i="80"/>
  <c r="C69" i="80"/>
  <c r="C68" i="80"/>
  <c r="C67" i="80"/>
  <c r="C66" i="80"/>
  <c r="C65" i="80"/>
  <c r="C64" i="80"/>
  <c r="C63" i="80"/>
  <c r="C62" i="80"/>
  <c r="C61" i="80"/>
  <c r="C60" i="80"/>
  <c r="C59" i="80"/>
  <c r="C58" i="80"/>
  <c r="C57" i="80"/>
  <c r="C56" i="80"/>
  <c r="C55" i="80"/>
  <c r="C54" i="80"/>
  <c r="C53" i="80"/>
  <c r="C52" i="80"/>
  <c r="C51" i="80"/>
  <c r="C50" i="80"/>
  <c r="C49" i="80"/>
  <c r="C48" i="80"/>
  <c r="C47" i="80"/>
  <c r="C46" i="80"/>
  <c r="C45" i="80"/>
  <c r="C44" i="80"/>
  <c r="C43" i="80"/>
  <c r="C42" i="80"/>
  <c r="C41" i="80"/>
  <c r="C40" i="80"/>
  <c r="C39" i="80"/>
  <c r="C38" i="80"/>
  <c r="C37" i="80"/>
  <c r="C36" i="80"/>
  <c r="C35" i="80"/>
  <c r="C34" i="80"/>
  <c r="C33" i="80"/>
  <c r="C32" i="80"/>
  <c r="C31" i="80"/>
  <c r="C30" i="80"/>
  <c r="C29" i="80"/>
  <c r="C28" i="80"/>
  <c r="C27" i="80"/>
  <c r="C26" i="80"/>
  <c r="C25" i="80"/>
  <c r="C24" i="80"/>
  <c r="C23" i="80"/>
  <c r="C22" i="80"/>
  <c r="C21" i="80"/>
  <c r="C20" i="80"/>
  <c r="C19" i="80"/>
  <c r="C18" i="80"/>
  <c r="C17" i="80"/>
  <c r="C16" i="80"/>
  <c r="C15" i="80"/>
  <c r="C14" i="80"/>
  <c r="C13" i="80"/>
  <c r="C12" i="80"/>
  <c r="C11" i="80"/>
  <c r="C10" i="80"/>
  <c r="C9" i="80"/>
  <c r="C8" i="80"/>
  <c r="C7" i="80"/>
  <c r="C6" i="80"/>
  <c r="C74" i="76"/>
  <c r="C73" i="76"/>
  <c r="C72" i="76"/>
  <c r="C71" i="76"/>
  <c r="C70" i="76"/>
  <c r="C69" i="76"/>
  <c r="C68" i="76"/>
  <c r="C67" i="76"/>
  <c r="C66" i="76"/>
  <c r="C65" i="76"/>
  <c r="C64" i="76"/>
  <c r="C63" i="76"/>
  <c r="C62" i="76"/>
  <c r="C61" i="76"/>
  <c r="C60" i="76"/>
  <c r="C59" i="76"/>
  <c r="C58" i="76"/>
  <c r="C57" i="76"/>
  <c r="C56" i="76"/>
  <c r="C55" i="76"/>
  <c r="C54" i="76"/>
  <c r="C53" i="76"/>
  <c r="C52" i="76"/>
  <c r="C51" i="76"/>
  <c r="C50" i="76"/>
  <c r="C49" i="76"/>
  <c r="C48" i="76"/>
  <c r="C47" i="76"/>
  <c r="C46" i="76"/>
  <c r="C45" i="76"/>
  <c r="C44" i="76"/>
  <c r="C43" i="76"/>
  <c r="C42" i="76"/>
  <c r="C41" i="76"/>
  <c r="C40" i="76"/>
  <c r="C39" i="76"/>
  <c r="C38" i="76"/>
  <c r="C37" i="76"/>
  <c r="C36" i="76"/>
  <c r="C35" i="76"/>
  <c r="C34" i="76"/>
  <c r="C33" i="76"/>
  <c r="C32" i="76"/>
  <c r="C31" i="76"/>
  <c r="C30" i="76"/>
  <c r="C29" i="76"/>
  <c r="C28" i="76"/>
  <c r="C27" i="76"/>
  <c r="C26" i="76"/>
  <c r="C25" i="76"/>
  <c r="C24" i="76"/>
  <c r="C23" i="76"/>
  <c r="C22" i="76"/>
  <c r="C21" i="76"/>
  <c r="C20" i="76"/>
  <c r="C19" i="76"/>
  <c r="C18" i="76"/>
  <c r="C17" i="76"/>
  <c r="C16" i="76"/>
  <c r="C15" i="76"/>
  <c r="C14" i="76"/>
  <c r="C13" i="76"/>
  <c r="C12" i="76"/>
  <c r="C11" i="76"/>
  <c r="C10" i="76"/>
  <c r="C9" i="76"/>
  <c r="C8" i="76"/>
  <c r="C7" i="76"/>
  <c r="C6" i="76"/>
  <c r="C76" i="120"/>
  <c r="C75" i="120"/>
  <c r="C74" i="120"/>
  <c r="C73" i="120"/>
  <c r="C72" i="120"/>
  <c r="C71" i="120"/>
  <c r="C70" i="120"/>
  <c r="C69" i="120"/>
  <c r="C68" i="120"/>
  <c r="C67" i="120"/>
  <c r="C66" i="120"/>
  <c r="C65" i="120"/>
  <c r="C64" i="120"/>
  <c r="C63" i="120"/>
  <c r="C62" i="120"/>
  <c r="C61" i="120"/>
  <c r="C60" i="120"/>
  <c r="C59" i="120"/>
  <c r="C58" i="120"/>
  <c r="C57" i="120"/>
  <c r="C56" i="120"/>
  <c r="C55" i="120"/>
  <c r="C54" i="120"/>
  <c r="C53" i="120"/>
  <c r="C52" i="120"/>
  <c r="C51" i="120"/>
  <c r="C50" i="120"/>
  <c r="C49" i="120"/>
  <c r="C48" i="120"/>
  <c r="C47" i="120"/>
  <c r="C46" i="120"/>
  <c r="C45" i="120"/>
  <c r="C44" i="120"/>
  <c r="C43" i="120"/>
  <c r="C42" i="120"/>
  <c r="C41" i="120"/>
  <c r="C40" i="120"/>
  <c r="C39" i="120"/>
  <c r="C38" i="120"/>
  <c r="C37" i="120"/>
  <c r="C36" i="120"/>
  <c r="C35" i="120"/>
  <c r="C34" i="120"/>
  <c r="C33" i="120"/>
  <c r="C32" i="120"/>
  <c r="C31" i="120"/>
  <c r="C30" i="120"/>
  <c r="C29" i="120"/>
  <c r="C28" i="120"/>
  <c r="C27" i="120"/>
  <c r="C26" i="120"/>
  <c r="C25" i="120"/>
  <c r="C24" i="120"/>
  <c r="C23" i="120"/>
  <c r="C22" i="120"/>
  <c r="C21" i="120"/>
  <c r="C20" i="120"/>
  <c r="C19" i="120"/>
  <c r="C18" i="120"/>
  <c r="C17" i="120"/>
  <c r="C16" i="120"/>
  <c r="C15" i="120"/>
  <c r="C14" i="120"/>
  <c r="C13" i="120"/>
  <c r="C12" i="120"/>
  <c r="C11" i="120"/>
  <c r="C10" i="120"/>
  <c r="C9" i="120"/>
  <c r="C8" i="120"/>
  <c r="C76" i="119"/>
  <c r="C75" i="119"/>
  <c r="C74" i="119"/>
  <c r="C73" i="119"/>
  <c r="C72" i="119"/>
  <c r="C71" i="119"/>
  <c r="C70" i="119"/>
  <c r="C69" i="119"/>
  <c r="C68" i="119"/>
  <c r="C67" i="119"/>
  <c r="C66" i="119"/>
  <c r="C65" i="119"/>
  <c r="C64" i="119"/>
  <c r="C63" i="119"/>
  <c r="C62" i="119"/>
  <c r="C61" i="119"/>
  <c r="C60" i="119"/>
  <c r="C59" i="119"/>
  <c r="C58" i="119"/>
  <c r="C57" i="119"/>
  <c r="C56" i="119"/>
  <c r="C55" i="119"/>
  <c r="C54" i="119"/>
  <c r="C53" i="119"/>
  <c r="C52" i="119"/>
  <c r="C51" i="119"/>
  <c r="C50" i="119"/>
  <c r="C49" i="119"/>
  <c r="C48" i="119"/>
  <c r="C47" i="119"/>
  <c r="C46" i="119"/>
  <c r="C45" i="119"/>
  <c r="C44" i="119"/>
  <c r="C43" i="119"/>
  <c r="C42" i="119"/>
  <c r="C41" i="119"/>
  <c r="C40" i="119"/>
  <c r="C39" i="119"/>
  <c r="C38" i="119"/>
  <c r="C37" i="119"/>
  <c r="C36" i="119"/>
  <c r="C35" i="119"/>
  <c r="C34" i="119"/>
  <c r="C33" i="119"/>
  <c r="C32" i="119"/>
  <c r="C31" i="119"/>
  <c r="C30" i="119"/>
  <c r="C29" i="119"/>
  <c r="C28" i="119"/>
  <c r="C27" i="119"/>
  <c r="C26" i="119"/>
  <c r="C25" i="119"/>
  <c r="C24" i="119"/>
  <c r="C23" i="119"/>
  <c r="C22" i="119"/>
  <c r="C21" i="119"/>
  <c r="C20" i="119"/>
  <c r="C19" i="119"/>
  <c r="C18" i="119"/>
  <c r="C17" i="119"/>
  <c r="C16" i="119"/>
  <c r="C15" i="119"/>
  <c r="C14" i="119"/>
  <c r="C13" i="119"/>
  <c r="C12" i="119"/>
  <c r="C11" i="119"/>
  <c r="C10" i="119"/>
  <c r="C9" i="119"/>
  <c r="C8" i="119"/>
  <c r="C76" i="118"/>
  <c r="C75" i="118"/>
  <c r="C74" i="118"/>
  <c r="C73" i="118"/>
  <c r="C72" i="118"/>
  <c r="C71" i="118"/>
  <c r="C70" i="118"/>
  <c r="C69" i="118"/>
  <c r="C68" i="118"/>
  <c r="C67" i="118"/>
  <c r="C66" i="118"/>
  <c r="C65" i="118"/>
  <c r="C64" i="118"/>
  <c r="C63" i="118"/>
  <c r="C62" i="118"/>
  <c r="C61" i="118"/>
  <c r="C60" i="118"/>
  <c r="C59" i="118"/>
  <c r="C58" i="118"/>
  <c r="C57" i="118"/>
  <c r="C56" i="118"/>
  <c r="C55" i="118"/>
  <c r="C54" i="118"/>
  <c r="C53" i="118"/>
  <c r="C52" i="118"/>
  <c r="C51" i="118"/>
  <c r="C50" i="118"/>
  <c r="C49" i="118"/>
  <c r="C48" i="118"/>
  <c r="C47" i="118"/>
  <c r="C46" i="118"/>
  <c r="C45" i="118"/>
  <c r="C44" i="118"/>
  <c r="C43" i="118"/>
  <c r="C42" i="118"/>
  <c r="C41" i="118"/>
  <c r="C40" i="118"/>
  <c r="C39" i="118"/>
  <c r="C38" i="118"/>
  <c r="C37" i="118"/>
  <c r="C36" i="118"/>
  <c r="C35" i="118"/>
  <c r="C34" i="118"/>
  <c r="C33" i="118"/>
  <c r="C32" i="118"/>
  <c r="C31" i="118"/>
  <c r="C30" i="118"/>
  <c r="C29" i="118"/>
  <c r="C28" i="118"/>
  <c r="C27" i="118"/>
  <c r="C26" i="118"/>
  <c r="C25" i="118"/>
  <c r="C24" i="118"/>
  <c r="C23" i="118"/>
  <c r="C22" i="118"/>
  <c r="C21" i="118"/>
  <c r="C20" i="118"/>
  <c r="C19" i="118"/>
  <c r="C18" i="118"/>
  <c r="C17" i="118"/>
  <c r="C16" i="118"/>
  <c r="C15" i="118"/>
  <c r="C14" i="118"/>
  <c r="C76" i="117"/>
  <c r="C75" i="117"/>
  <c r="C74" i="117"/>
  <c r="C73" i="117"/>
  <c r="C72" i="117"/>
  <c r="C71" i="117"/>
  <c r="C70" i="117"/>
  <c r="C69" i="117"/>
  <c r="C68" i="117"/>
  <c r="C67" i="117"/>
  <c r="C66" i="117"/>
  <c r="C65" i="117"/>
  <c r="C64" i="117"/>
  <c r="C63" i="117"/>
  <c r="C62" i="117"/>
  <c r="C61" i="117"/>
  <c r="C60" i="117"/>
  <c r="C59" i="117"/>
  <c r="C58" i="117"/>
  <c r="C57" i="117"/>
  <c r="C56" i="117"/>
  <c r="C55" i="117"/>
  <c r="C54" i="117"/>
  <c r="C53" i="117"/>
  <c r="C52" i="117"/>
  <c r="C51" i="117"/>
  <c r="C50" i="117"/>
  <c r="C49" i="117"/>
  <c r="C48" i="117"/>
  <c r="C47" i="117"/>
  <c r="C46" i="117"/>
  <c r="C45" i="117"/>
  <c r="C44" i="117"/>
  <c r="C43" i="117"/>
  <c r="C42" i="117"/>
  <c r="C41" i="117"/>
  <c r="C40" i="117"/>
  <c r="C39" i="117"/>
  <c r="C38" i="117"/>
  <c r="C37" i="117"/>
  <c r="C36" i="117"/>
  <c r="C35" i="117"/>
  <c r="C34" i="117"/>
  <c r="C33" i="117"/>
  <c r="C32" i="117"/>
  <c r="C31" i="117"/>
  <c r="C30" i="117"/>
  <c r="C29" i="117"/>
  <c r="C28" i="117"/>
  <c r="C27" i="117"/>
  <c r="C26" i="117"/>
  <c r="C25" i="117"/>
  <c r="C24" i="117"/>
  <c r="C23" i="117"/>
  <c r="C22" i="117"/>
  <c r="C21" i="117"/>
  <c r="C20" i="117"/>
  <c r="C19" i="117"/>
  <c r="C18" i="117"/>
  <c r="C17" i="117"/>
  <c r="C16" i="117"/>
  <c r="C15" i="117"/>
  <c r="C14" i="117"/>
  <c r="C13" i="117"/>
  <c r="C12" i="117"/>
  <c r="C11" i="117"/>
  <c r="C10" i="117"/>
  <c r="C9" i="117"/>
  <c r="C8" i="117"/>
  <c r="C76" i="116"/>
  <c r="C75" i="116"/>
  <c r="C74" i="116"/>
  <c r="C73" i="116"/>
  <c r="C72" i="116"/>
  <c r="C71" i="116"/>
  <c r="C70" i="116"/>
  <c r="C69" i="116"/>
  <c r="C68" i="116"/>
  <c r="C67" i="116"/>
  <c r="C66" i="116"/>
  <c r="C65" i="116"/>
  <c r="C64" i="116"/>
  <c r="C63" i="116"/>
  <c r="C62" i="116"/>
  <c r="C61" i="116"/>
  <c r="C60" i="116"/>
  <c r="C59" i="116"/>
  <c r="C58" i="116"/>
  <c r="C57" i="116"/>
  <c r="C56" i="116"/>
  <c r="C55" i="116"/>
  <c r="C54" i="116"/>
  <c r="C53" i="116"/>
  <c r="C52" i="116"/>
  <c r="C51" i="116"/>
  <c r="C50" i="116"/>
  <c r="C49" i="116"/>
  <c r="C48" i="116"/>
  <c r="C47" i="116"/>
  <c r="C46" i="116"/>
  <c r="C45" i="116"/>
  <c r="C44" i="116"/>
  <c r="C43" i="116"/>
  <c r="C42" i="116"/>
  <c r="C41" i="116"/>
  <c r="C40" i="116"/>
  <c r="C39" i="116"/>
  <c r="C38" i="116"/>
  <c r="C37" i="116"/>
  <c r="C36" i="116"/>
  <c r="C35" i="116"/>
  <c r="C34" i="116"/>
  <c r="C33" i="116"/>
  <c r="C32" i="116"/>
  <c r="C31" i="116"/>
  <c r="C30" i="116"/>
  <c r="C29" i="116"/>
  <c r="C28" i="116"/>
  <c r="C27" i="116"/>
  <c r="C26" i="116"/>
  <c r="C25" i="116"/>
  <c r="C24" i="116"/>
  <c r="C23" i="116"/>
  <c r="C22" i="116"/>
  <c r="C21" i="116"/>
  <c r="C20" i="116"/>
  <c r="C19" i="116"/>
  <c r="C18" i="116"/>
  <c r="C17" i="116"/>
  <c r="C16" i="116"/>
  <c r="C15" i="116"/>
  <c r="C14" i="116"/>
  <c r="C13" i="116"/>
  <c r="C12" i="116"/>
  <c r="C11" i="116"/>
  <c r="C10" i="116"/>
  <c r="C9" i="116"/>
  <c r="C8" i="116"/>
  <c r="C76" i="115"/>
  <c r="C75" i="115"/>
  <c r="C74" i="115"/>
  <c r="C73" i="115"/>
  <c r="C72" i="115"/>
  <c r="C71" i="115"/>
  <c r="C70" i="115"/>
  <c r="C69" i="115"/>
  <c r="C68" i="115"/>
  <c r="C67" i="115"/>
  <c r="C66" i="115"/>
  <c r="C65" i="115"/>
  <c r="C64" i="115"/>
  <c r="C63" i="115"/>
  <c r="C62" i="115"/>
  <c r="C61" i="115"/>
  <c r="C60" i="115"/>
  <c r="C59" i="115"/>
  <c r="C58" i="115"/>
  <c r="C57" i="115"/>
  <c r="C56" i="115"/>
  <c r="C55" i="115"/>
  <c r="C54" i="115"/>
  <c r="C53" i="115"/>
  <c r="C52" i="115"/>
  <c r="C51" i="115"/>
  <c r="C50" i="115"/>
  <c r="C49" i="115"/>
  <c r="C48" i="115"/>
  <c r="C47" i="115"/>
  <c r="C46" i="115"/>
  <c r="C45" i="115"/>
  <c r="C44" i="115"/>
  <c r="C43" i="115"/>
  <c r="C42" i="115"/>
  <c r="C41" i="115"/>
  <c r="C40" i="115"/>
  <c r="C39" i="115"/>
  <c r="C38" i="115"/>
  <c r="C37" i="115"/>
  <c r="C36" i="115"/>
  <c r="C35" i="115"/>
  <c r="C34" i="115"/>
  <c r="C33" i="115"/>
  <c r="C32" i="115"/>
  <c r="C31" i="115"/>
  <c r="C30" i="115"/>
  <c r="C29" i="115"/>
  <c r="C28" i="115"/>
  <c r="C27" i="115"/>
  <c r="C26" i="115"/>
  <c r="C25" i="115"/>
  <c r="C24" i="115"/>
  <c r="C23" i="115"/>
  <c r="C22" i="115"/>
  <c r="C21" i="115"/>
  <c r="C20" i="115"/>
  <c r="C19" i="115"/>
  <c r="C18" i="115"/>
  <c r="C17" i="115"/>
  <c r="C16" i="115"/>
  <c r="C15" i="115"/>
  <c r="C14" i="115"/>
  <c r="C13" i="115"/>
  <c r="C12" i="115"/>
  <c r="C11" i="115"/>
  <c r="C10" i="115"/>
  <c r="C9" i="115"/>
  <c r="C8" i="115"/>
  <c r="C77" i="114"/>
  <c r="C76" i="114"/>
  <c r="C75" i="114"/>
  <c r="C74" i="114"/>
  <c r="C73" i="114"/>
  <c r="C72" i="114"/>
  <c r="C71" i="114"/>
  <c r="C70" i="114"/>
  <c r="C69" i="114"/>
  <c r="C68" i="114"/>
  <c r="C67" i="114"/>
  <c r="C66" i="114"/>
  <c r="C65" i="114"/>
  <c r="C64" i="114"/>
  <c r="C63" i="114"/>
  <c r="C62" i="114"/>
  <c r="C61" i="114"/>
  <c r="C60" i="114"/>
  <c r="C59" i="114"/>
  <c r="C58" i="114"/>
  <c r="C57" i="114"/>
  <c r="C56" i="114"/>
  <c r="C55" i="114"/>
  <c r="C54" i="114"/>
  <c r="C53" i="114"/>
  <c r="C52" i="114"/>
  <c r="C51" i="114"/>
  <c r="C50" i="114"/>
  <c r="C49" i="114"/>
  <c r="C48" i="114"/>
  <c r="C47" i="114"/>
  <c r="C46" i="114"/>
  <c r="C45" i="114"/>
  <c r="C44" i="114"/>
  <c r="C43" i="114"/>
  <c r="C42" i="114"/>
  <c r="C41" i="114"/>
  <c r="C40" i="114"/>
  <c r="C39" i="114"/>
  <c r="C38" i="114"/>
  <c r="C37" i="114"/>
  <c r="C36" i="114"/>
  <c r="C35" i="114"/>
  <c r="C34" i="114"/>
  <c r="C33" i="114"/>
  <c r="C32" i="114"/>
  <c r="C31" i="114"/>
  <c r="C30" i="114"/>
  <c r="C29" i="114"/>
  <c r="C28" i="114"/>
  <c r="C27" i="114"/>
  <c r="C26" i="114"/>
  <c r="C25" i="114"/>
  <c r="C24" i="114"/>
  <c r="C23" i="114"/>
  <c r="C22" i="114"/>
  <c r="C21" i="114"/>
  <c r="C20" i="114"/>
  <c r="C19" i="114"/>
  <c r="C18" i="114"/>
  <c r="C17" i="114"/>
  <c r="C16" i="114"/>
  <c r="C15" i="114"/>
  <c r="C14" i="114"/>
  <c r="C13" i="114"/>
  <c r="C12" i="114"/>
  <c r="C11" i="114"/>
  <c r="C10" i="114"/>
  <c r="C9" i="114"/>
  <c r="C8" i="114"/>
  <c r="C76" i="113"/>
  <c r="C75" i="113"/>
  <c r="C74" i="113"/>
  <c r="C73" i="113"/>
  <c r="C72" i="113"/>
  <c r="C71" i="113"/>
  <c r="C70" i="113"/>
  <c r="C69" i="113"/>
  <c r="C68" i="113"/>
  <c r="C67" i="113"/>
  <c r="C66" i="113"/>
  <c r="C65" i="113"/>
  <c r="C64" i="113"/>
  <c r="C63" i="113"/>
  <c r="C62" i="113"/>
  <c r="C61" i="113"/>
  <c r="C60" i="113"/>
  <c r="C59" i="113"/>
  <c r="C58" i="113"/>
  <c r="C57" i="113"/>
  <c r="C56" i="113"/>
  <c r="C55" i="113"/>
  <c r="C54" i="113"/>
  <c r="C53" i="113"/>
  <c r="C52" i="113"/>
  <c r="C51" i="113"/>
  <c r="C50" i="113"/>
  <c r="C49" i="113"/>
  <c r="C48" i="113"/>
  <c r="C47" i="113"/>
  <c r="C46" i="113"/>
  <c r="C45" i="113"/>
  <c r="C44" i="113"/>
  <c r="C43" i="113"/>
  <c r="C42" i="113"/>
  <c r="C41" i="113"/>
  <c r="C40" i="113"/>
  <c r="C39" i="113"/>
  <c r="C38" i="113"/>
  <c r="C37" i="113"/>
  <c r="C36" i="113"/>
  <c r="C35" i="113"/>
  <c r="C34" i="113"/>
  <c r="C33" i="113"/>
  <c r="C32" i="113"/>
  <c r="C31" i="113"/>
  <c r="C30" i="113"/>
  <c r="C29" i="113"/>
  <c r="C28" i="113"/>
  <c r="C27" i="113"/>
  <c r="C26" i="113"/>
  <c r="C25" i="113"/>
  <c r="C24" i="113"/>
  <c r="C23" i="113"/>
  <c r="C22" i="113"/>
  <c r="C21" i="113"/>
  <c r="C20" i="113"/>
  <c r="C19" i="113"/>
  <c r="C18" i="113"/>
  <c r="C17" i="113"/>
  <c r="C16" i="113"/>
  <c r="C15" i="113"/>
  <c r="C14" i="113"/>
  <c r="C13" i="113"/>
  <c r="C12" i="113"/>
  <c r="C11" i="113"/>
  <c r="C10" i="113"/>
  <c r="C9" i="113"/>
  <c r="C8" i="113"/>
  <c r="D4" i="100"/>
  <c r="AE76" i="33"/>
  <c r="AE75" i="33"/>
  <c r="AE74" i="33"/>
  <c r="AE73" i="33"/>
  <c r="AE72" i="33"/>
  <c r="AE71" i="33"/>
  <c r="AE70" i="33"/>
  <c r="AE69" i="33"/>
  <c r="AE68" i="33"/>
  <c r="AE67" i="33"/>
  <c r="AE66" i="33"/>
  <c r="AE65" i="33"/>
  <c r="AE64" i="33"/>
  <c r="AE63" i="33"/>
  <c r="AE62" i="33"/>
  <c r="AE61" i="33"/>
  <c r="AE59" i="33"/>
  <c r="AE58" i="33"/>
  <c r="AE56" i="33"/>
  <c r="AE55" i="33"/>
  <c r="AE54" i="33"/>
  <c r="AE53" i="33"/>
  <c r="AE52" i="33"/>
  <c r="AE51" i="33"/>
  <c r="AE50" i="33"/>
  <c r="AE49" i="33"/>
  <c r="AE48" i="33"/>
  <c r="AE47" i="33"/>
  <c r="AE46" i="33"/>
  <c r="AE44" i="33"/>
  <c r="AE42" i="33"/>
  <c r="AE41" i="33"/>
  <c r="AE39" i="33"/>
  <c r="AE38" i="33"/>
  <c r="AE37" i="33"/>
  <c r="AE34" i="33"/>
  <c r="AE32" i="33"/>
  <c r="AE31" i="33"/>
  <c r="AE29" i="33"/>
  <c r="AE28" i="33"/>
  <c r="AE27" i="33"/>
  <c r="AE26" i="33"/>
  <c r="AE25" i="33"/>
  <c r="AE23" i="33"/>
  <c r="AE21" i="33"/>
  <c r="AE20" i="33"/>
  <c r="AE19" i="33"/>
  <c r="AE18" i="33"/>
  <c r="AE14" i="33"/>
  <c r="AE13" i="33"/>
  <c r="AE12" i="33"/>
  <c r="AE10" i="33"/>
  <c r="AE9" i="33"/>
  <c r="AE8" i="33"/>
  <c r="E76" i="138"/>
  <c r="C76" i="138"/>
  <c r="F75" i="138"/>
  <c r="D75" i="138"/>
  <c r="D76" i="138" s="1"/>
  <c r="F74" i="138"/>
  <c r="D74" i="138"/>
  <c r="E73" i="138"/>
  <c r="E77" i="138" s="1"/>
  <c r="C73" i="138"/>
  <c r="G72" i="138"/>
  <c r="F72" i="138"/>
  <c r="D72" i="138"/>
  <c r="F71" i="138"/>
  <c r="D71" i="138"/>
  <c r="G71" i="138" s="1"/>
  <c r="F70" i="138"/>
  <c r="D70" i="138"/>
  <c r="G70" i="138" s="1"/>
  <c r="G69" i="138"/>
  <c r="F69" i="138"/>
  <c r="D69" i="138"/>
  <c r="G68" i="138"/>
  <c r="F68" i="138"/>
  <c r="D68" i="138"/>
  <c r="F67" i="138"/>
  <c r="D67" i="138"/>
  <c r="G67" i="138" s="1"/>
  <c r="F66" i="138"/>
  <c r="D66" i="138"/>
  <c r="G66" i="138" s="1"/>
  <c r="G65" i="138"/>
  <c r="F65" i="138"/>
  <c r="D65" i="138"/>
  <c r="G64" i="138"/>
  <c r="F64" i="138"/>
  <c r="D64" i="138"/>
  <c r="F63" i="138"/>
  <c r="D63" i="138"/>
  <c r="G63" i="138" s="1"/>
  <c r="F62" i="138"/>
  <c r="D62" i="138"/>
  <c r="G62" i="138" s="1"/>
  <c r="G61" i="138"/>
  <c r="F61" i="138"/>
  <c r="D61" i="138"/>
  <c r="G60" i="138"/>
  <c r="F60" i="138"/>
  <c r="D60" i="138"/>
  <c r="F59" i="138"/>
  <c r="D59" i="138"/>
  <c r="G59" i="138" s="1"/>
  <c r="F58" i="138"/>
  <c r="D58" i="138"/>
  <c r="G58" i="138" s="1"/>
  <c r="G57" i="138"/>
  <c r="F57" i="138"/>
  <c r="D57" i="138"/>
  <c r="F56" i="138"/>
  <c r="D56" i="138"/>
  <c r="F55" i="138"/>
  <c r="D55" i="138"/>
  <c r="G55" i="138" s="1"/>
  <c r="F54" i="138"/>
  <c r="D54" i="138"/>
  <c r="G54" i="138" s="1"/>
  <c r="F53" i="138"/>
  <c r="G53" i="138" s="1"/>
  <c r="AE57" i="33" s="1"/>
  <c r="D53" i="138"/>
  <c r="G52" i="138"/>
  <c r="F52" i="138"/>
  <c r="D52" i="138"/>
  <c r="F51" i="138"/>
  <c r="D51" i="138"/>
  <c r="G51" i="138" s="1"/>
  <c r="F50" i="138"/>
  <c r="D50" i="138"/>
  <c r="G50" i="138" s="1"/>
  <c r="G49" i="138"/>
  <c r="F49" i="138"/>
  <c r="D49" i="138"/>
  <c r="G48" i="138"/>
  <c r="F48" i="138"/>
  <c r="D48" i="138"/>
  <c r="F47" i="138"/>
  <c r="D47" i="138"/>
  <c r="G47" i="138" s="1"/>
  <c r="F46" i="138"/>
  <c r="D46" i="138"/>
  <c r="G46" i="138" s="1"/>
  <c r="G45" i="138"/>
  <c r="F45" i="138"/>
  <c r="D45" i="138"/>
  <c r="G44" i="138"/>
  <c r="F44" i="138"/>
  <c r="D44" i="138"/>
  <c r="F43" i="138"/>
  <c r="D43" i="138"/>
  <c r="G43" i="138" s="1"/>
  <c r="F42" i="138"/>
  <c r="D42" i="138"/>
  <c r="G42" i="138" s="1"/>
  <c r="F41" i="138"/>
  <c r="G41" i="138" s="1"/>
  <c r="AE45" i="33" s="1"/>
  <c r="D41" i="138"/>
  <c r="G40" i="138"/>
  <c r="F40" i="138"/>
  <c r="D40" i="138"/>
  <c r="F39" i="138"/>
  <c r="D39" i="138"/>
  <c r="G39" i="138" s="1"/>
  <c r="AE43" i="33" s="1"/>
  <c r="F38" i="138"/>
  <c r="D38" i="138"/>
  <c r="G38" i="138" s="1"/>
  <c r="G37" i="138"/>
  <c r="F37" i="138"/>
  <c r="D37" i="138"/>
  <c r="F36" i="138"/>
  <c r="G36" i="138" s="1"/>
  <c r="AE40" i="33" s="1"/>
  <c r="D36" i="138"/>
  <c r="F35" i="138"/>
  <c r="D35" i="138"/>
  <c r="G35" i="138" s="1"/>
  <c r="F34" i="138"/>
  <c r="D34" i="138"/>
  <c r="G34" i="138" s="1"/>
  <c r="G33" i="138"/>
  <c r="F33" i="138"/>
  <c r="D33" i="138"/>
  <c r="F32" i="138"/>
  <c r="D32" i="138"/>
  <c r="F31" i="138"/>
  <c r="D31" i="138"/>
  <c r="F30" i="138"/>
  <c r="D30" i="138"/>
  <c r="G30" i="138" s="1"/>
  <c r="F29" i="138"/>
  <c r="D29" i="138"/>
  <c r="G29" i="138" s="1"/>
  <c r="AE33" i="33" s="1"/>
  <c r="G28" i="138"/>
  <c r="F28" i="138"/>
  <c r="D28" i="138"/>
  <c r="F27" i="138"/>
  <c r="D27" i="138"/>
  <c r="G27" i="138" s="1"/>
  <c r="F26" i="138"/>
  <c r="D26" i="138"/>
  <c r="G26" i="138" s="1"/>
  <c r="AE30" i="33" s="1"/>
  <c r="G25" i="138"/>
  <c r="F25" i="138"/>
  <c r="D25" i="138"/>
  <c r="G24" i="138"/>
  <c r="F24" i="138"/>
  <c r="D24" i="138"/>
  <c r="F23" i="138"/>
  <c r="D23" i="138"/>
  <c r="G23" i="138" s="1"/>
  <c r="F22" i="138"/>
  <c r="D22" i="138"/>
  <c r="G22" i="138" s="1"/>
  <c r="G21" i="138"/>
  <c r="F21" i="138"/>
  <c r="D21" i="138"/>
  <c r="F20" i="138"/>
  <c r="D20" i="138"/>
  <c r="F19" i="138"/>
  <c r="D19" i="138"/>
  <c r="G19" i="138" s="1"/>
  <c r="F18" i="138"/>
  <c r="D18" i="138"/>
  <c r="G18" i="138" s="1"/>
  <c r="AE22" i="33" s="1"/>
  <c r="G17" i="138"/>
  <c r="F17" i="138"/>
  <c r="D17" i="138"/>
  <c r="G16" i="138"/>
  <c r="F16" i="138"/>
  <c r="D16" i="138"/>
  <c r="F15" i="138"/>
  <c r="D15" i="138"/>
  <c r="G15" i="138" s="1"/>
  <c r="F14" i="138"/>
  <c r="D14" i="138"/>
  <c r="G14" i="138" s="1"/>
  <c r="F13" i="138"/>
  <c r="D13" i="138"/>
  <c r="G13" i="138" s="1"/>
  <c r="AE17" i="33" s="1"/>
  <c r="F12" i="138"/>
  <c r="D12" i="138"/>
  <c r="G12" i="138" s="1"/>
  <c r="AE16" i="33" s="1"/>
  <c r="F11" i="138"/>
  <c r="D11" i="138"/>
  <c r="G11" i="138" s="1"/>
  <c r="AE15" i="33" s="1"/>
  <c r="F10" i="138"/>
  <c r="D10" i="138"/>
  <c r="G10" i="138" s="1"/>
  <c r="G9" i="138"/>
  <c r="F9" i="138"/>
  <c r="D9" i="138"/>
  <c r="G8" i="138"/>
  <c r="F8" i="138"/>
  <c r="D8" i="138"/>
  <c r="F7" i="138"/>
  <c r="D7" i="138"/>
  <c r="G7" i="138" s="1"/>
  <c r="AE11" i="33" s="1"/>
  <c r="F6" i="138"/>
  <c r="D6" i="138"/>
  <c r="G6" i="138" s="1"/>
  <c r="G5" i="138"/>
  <c r="F5" i="138"/>
  <c r="D5" i="138"/>
  <c r="G4" i="138"/>
  <c r="F4" i="138"/>
  <c r="D4" i="138"/>
  <c r="C3" i="138"/>
  <c r="D3" i="138" s="1"/>
  <c r="E3" i="138" s="1"/>
  <c r="F3" i="138" s="1"/>
  <c r="G3" i="138" s="1"/>
  <c r="F76" i="138" l="1"/>
  <c r="G75" i="138"/>
  <c r="T43" i="117" s="1"/>
  <c r="T77" i="117" s="1"/>
  <c r="G74" i="138"/>
  <c r="G56" i="138"/>
  <c r="AE60" i="33" s="1"/>
  <c r="G32" i="138"/>
  <c r="AE36" i="33" s="1"/>
  <c r="G31" i="138"/>
  <c r="AE35" i="33" s="1"/>
  <c r="G20" i="138"/>
  <c r="AE24" i="33" s="1"/>
  <c r="F73" i="138"/>
  <c r="F77" i="138" s="1"/>
  <c r="D73" i="138"/>
  <c r="C77" i="138"/>
  <c r="AB6" i="136"/>
  <c r="G73" i="138"/>
  <c r="D77" i="138"/>
  <c r="G76" i="138" l="1"/>
  <c r="G77" i="138" s="1"/>
  <c r="E56" i="81" s="1"/>
  <c r="AC6" i="136"/>
  <c r="AD6" i="136" l="1"/>
  <c r="L22" i="5"/>
  <c r="B22" i="5"/>
  <c r="AE6" i="136" l="1"/>
  <c r="T24" i="137"/>
  <c r="G19" i="137"/>
  <c r="G18" i="137"/>
  <c r="G17" i="137"/>
  <c r="G16" i="137"/>
  <c r="G15" i="137"/>
  <c r="G12" i="137"/>
  <c r="G14" i="137" s="1"/>
  <c r="G11" i="137"/>
  <c r="G10" i="137"/>
  <c r="D9" i="137"/>
  <c r="E9" i="137" s="1"/>
  <c r="F9" i="137" s="1"/>
  <c r="G9" i="137" s="1"/>
  <c r="H9" i="137" s="1"/>
  <c r="G20" i="137" l="1"/>
  <c r="C24" i="137"/>
  <c r="E18" i="81"/>
  <c r="G18" i="81" s="1"/>
  <c r="O24" i="137"/>
  <c r="E66" i="81"/>
  <c r="AF6" i="136"/>
  <c r="G24" i="137"/>
  <c r="G66" i="81" l="1"/>
  <c r="H66" i="81"/>
  <c r="H6" i="25"/>
  <c r="E6" i="25"/>
  <c r="K41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34" i="2"/>
  <c r="K14" i="2"/>
  <c r="K75" i="2" s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L75" i="2" l="1"/>
  <c r="E41" i="81" s="1"/>
  <c r="G41" i="81" s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J76" i="1" l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D76" i="1" l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 l="1"/>
  <c r="R75" i="136" l="1"/>
  <c r="R74" i="136"/>
  <c r="R73" i="136"/>
  <c r="R72" i="136"/>
  <c r="R71" i="136"/>
  <c r="R70" i="136"/>
  <c r="R69" i="136"/>
  <c r="R68" i="136"/>
  <c r="R67" i="136"/>
  <c r="R66" i="136"/>
  <c r="R65" i="136"/>
  <c r="R64" i="136"/>
  <c r="R63" i="136"/>
  <c r="R62" i="136"/>
  <c r="R61" i="136"/>
  <c r="R60" i="136"/>
  <c r="R59" i="136"/>
  <c r="R58" i="136"/>
  <c r="R57" i="136"/>
  <c r="R56" i="136"/>
  <c r="R55" i="136"/>
  <c r="R54" i="136"/>
  <c r="R53" i="136"/>
  <c r="R52" i="136"/>
  <c r="C33" i="46" s="1"/>
  <c r="R51" i="136"/>
  <c r="R50" i="136"/>
  <c r="R49" i="136"/>
  <c r="R48" i="136"/>
  <c r="R47" i="136"/>
  <c r="R46" i="136"/>
  <c r="R45" i="136"/>
  <c r="R44" i="136"/>
  <c r="R43" i="136"/>
  <c r="R42" i="136"/>
  <c r="C7" i="31" s="1"/>
  <c r="R41" i="136"/>
  <c r="R40" i="136"/>
  <c r="R39" i="136"/>
  <c r="R38" i="136"/>
  <c r="R37" i="136"/>
  <c r="R36" i="136"/>
  <c r="R35" i="136"/>
  <c r="R34" i="136"/>
  <c r="R33" i="136"/>
  <c r="R32" i="136"/>
  <c r="R31" i="136"/>
  <c r="R30" i="136"/>
  <c r="R29" i="136"/>
  <c r="R28" i="136"/>
  <c r="R27" i="136"/>
  <c r="R26" i="136"/>
  <c r="R25" i="136"/>
  <c r="R24" i="136"/>
  <c r="R23" i="136"/>
  <c r="R22" i="136"/>
  <c r="R21" i="136"/>
  <c r="R20" i="136"/>
  <c r="R19" i="136"/>
  <c r="R18" i="136"/>
  <c r="R17" i="136"/>
  <c r="R16" i="136"/>
  <c r="R15" i="136"/>
  <c r="R14" i="136"/>
  <c r="R13" i="136"/>
  <c r="R12" i="136"/>
  <c r="R11" i="136"/>
  <c r="R10" i="136"/>
  <c r="R9" i="136"/>
  <c r="R8" i="136"/>
  <c r="R7" i="136"/>
  <c r="S74" i="136" l="1"/>
  <c r="AF74" i="136" s="1"/>
  <c r="S22" i="136"/>
  <c r="C26" i="46"/>
  <c r="G26" i="46" s="1"/>
  <c r="C7" i="46"/>
  <c r="G7" i="46" s="1"/>
  <c r="C21" i="46"/>
  <c r="C78" i="136"/>
  <c r="D78" i="136"/>
  <c r="E78" i="136"/>
  <c r="F78" i="136"/>
  <c r="G78" i="136"/>
  <c r="H78" i="136"/>
  <c r="I78" i="136"/>
  <c r="J78" i="136"/>
  <c r="K78" i="136"/>
  <c r="L78" i="136"/>
  <c r="M78" i="136"/>
  <c r="N78" i="136"/>
  <c r="O78" i="136"/>
  <c r="P78" i="136"/>
  <c r="T78" i="136"/>
  <c r="R78" i="136"/>
  <c r="S79" i="136" s="1"/>
  <c r="I73" i="1"/>
  <c r="I69" i="1"/>
  <c r="I65" i="1"/>
  <c r="I61" i="1"/>
  <c r="I57" i="1"/>
  <c r="I53" i="1"/>
  <c r="I49" i="1"/>
  <c r="I46" i="1"/>
  <c r="I45" i="1"/>
  <c r="I41" i="1"/>
  <c r="I37" i="1"/>
  <c r="I33" i="1"/>
  <c r="I29" i="1"/>
  <c r="I26" i="1"/>
  <c r="I25" i="1"/>
  <c r="I21" i="1"/>
  <c r="I17" i="1"/>
  <c r="I13" i="1"/>
  <c r="I9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I76" i="1"/>
  <c r="I75" i="1"/>
  <c r="I74" i="1"/>
  <c r="I72" i="1"/>
  <c r="I71" i="1"/>
  <c r="I70" i="1"/>
  <c r="I68" i="1"/>
  <c r="I67" i="1"/>
  <c r="I66" i="1"/>
  <c r="I64" i="1"/>
  <c r="I63" i="1"/>
  <c r="I62" i="1"/>
  <c r="I60" i="1"/>
  <c r="I59" i="1"/>
  <c r="I58" i="1"/>
  <c r="I56" i="1"/>
  <c r="I55" i="1"/>
  <c r="I54" i="1"/>
  <c r="I52" i="1"/>
  <c r="I51" i="1"/>
  <c r="I50" i="1"/>
  <c r="I48" i="1"/>
  <c r="I47" i="1"/>
  <c r="I44" i="1"/>
  <c r="I43" i="1"/>
  <c r="I42" i="1"/>
  <c r="I40" i="1"/>
  <c r="I39" i="1"/>
  <c r="I38" i="1"/>
  <c r="I36" i="1"/>
  <c r="I35" i="1"/>
  <c r="I34" i="1"/>
  <c r="I32" i="1"/>
  <c r="I31" i="1"/>
  <c r="I30" i="1"/>
  <c r="I28" i="1"/>
  <c r="I27" i="1"/>
  <c r="I24" i="1"/>
  <c r="I23" i="1"/>
  <c r="I22" i="1"/>
  <c r="I20" i="1"/>
  <c r="I19" i="1"/>
  <c r="I18" i="1"/>
  <c r="I16" i="1"/>
  <c r="I15" i="1"/>
  <c r="I14" i="1"/>
  <c r="I12" i="1"/>
  <c r="I11" i="1"/>
  <c r="I10" i="1"/>
  <c r="J77" i="1"/>
  <c r="I8" i="1"/>
  <c r="H77" i="1"/>
  <c r="V71" i="80"/>
  <c r="V67" i="80"/>
  <c r="V65" i="80"/>
  <c r="V63" i="80"/>
  <c r="V61" i="80"/>
  <c r="V59" i="80"/>
  <c r="V57" i="80"/>
  <c r="V55" i="80"/>
  <c r="V53" i="80"/>
  <c r="V51" i="80"/>
  <c r="V49" i="80"/>
  <c r="V47" i="80"/>
  <c r="V45" i="80"/>
  <c r="V43" i="80"/>
  <c r="V41" i="80"/>
  <c r="V39" i="80"/>
  <c r="V37" i="80"/>
  <c r="V33" i="80"/>
  <c r="V31" i="80"/>
  <c r="V27" i="80"/>
  <c r="V25" i="80"/>
  <c r="V23" i="80"/>
  <c r="V21" i="80"/>
  <c r="V19" i="80"/>
  <c r="V17" i="80"/>
  <c r="V15" i="80"/>
  <c r="V13" i="80"/>
  <c r="V11" i="80"/>
  <c r="V9" i="80"/>
  <c r="V73" i="76"/>
  <c r="V69" i="76"/>
  <c r="V67" i="76"/>
  <c r="V65" i="76"/>
  <c r="V63" i="76"/>
  <c r="V61" i="76"/>
  <c r="V59" i="76"/>
  <c r="V57" i="76"/>
  <c r="V55" i="76"/>
  <c r="V53" i="76"/>
  <c r="V51" i="76"/>
  <c r="V49" i="76"/>
  <c r="V47" i="76"/>
  <c r="V45" i="76"/>
  <c r="V39" i="76"/>
  <c r="V37" i="76"/>
  <c r="V35" i="76"/>
  <c r="V33" i="76"/>
  <c r="V29" i="76"/>
  <c r="V27" i="76"/>
  <c r="V25" i="76"/>
  <c r="V23" i="76"/>
  <c r="V21" i="76"/>
  <c r="V19" i="76"/>
  <c r="V17" i="76"/>
  <c r="V13" i="76"/>
  <c r="V11" i="76"/>
  <c r="V9" i="76"/>
  <c r="V7" i="76"/>
  <c r="V6" i="76"/>
  <c r="U75" i="126"/>
  <c r="U73" i="126"/>
  <c r="U71" i="126"/>
  <c r="U69" i="126"/>
  <c r="U67" i="126"/>
  <c r="U65" i="126"/>
  <c r="U64" i="126"/>
  <c r="U63" i="126"/>
  <c r="U61" i="126"/>
  <c r="U59" i="126"/>
  <c r="U57" i="126"/>
  <c r="U55" i="126"/>
  <c r="U53" i="126"/>
  <c r="U52" i="126"/>
  <c r="U51" i="126"/>
  <c r="U49" i="126"/>
  <c r="U47" i="126"/>
  <c r="U45" i="126"/>
  <c r="U43" i="126"/>
  <c r="U41" i="126"/>
  <c r="U39" i="126"/>
  <c r="U37" i="126"/>
  <c r="U35" i="126"/>
  <c r="U33" i="126"/>
  <c r="U31" i="126"/>
  <c r="U29" i="126"/>
  <c r="U25" i="126"/>
  <c r="U23" i="126"/>
  <c r="U21" i="126"/>
  <c r="U19" i="126"/>
  <c r="U17" i="126"/>
  <c r="U15" i="126"/>
  <c r="U13" i="126"/>
  <c r="U11" i="126"/>
  <c r="U9" i="126"/>
  <c r="U75" i="127"/>
  <c r="U73" i="127"/>
  <c r="U71" i="127"/>
  <c r="U69" i="127"/>
  <c r="U68" i="127"/>
  <c r="U65" i="127"/>
  <c r="U64" i="127"/>
  <c r="U61" i="127"/>
  <c r="U60" i="127"/>
  <c r="U59" i="127"/>
  <c r="U57" i="127"/>
  <c r="U56" i="127"/>
  <c r="U53" i="127"/>
  <c r="U52" i="127"/>
  <c r="U51" i="127"/>
  <c r="U49" i="127"/>
  <c r="U47" i="127"/>
  <c r="U45" i="127"/>
  <c r="U43" i="127"/>
  <c r="U41" i="127"/>
  <c r="U39" i="127"/>
  <c r="U37" i="127"/>
  <c r="U35" i="127"/>
  <c r="U33" i="127"/>
  <c r="U31" i="127"/>
  <c r="U29" i="127"/>
  <c r="U27" i="127"/>
  <c r="U25" i="127"/>
  <c r="U24" i="127"/>
  <c r="U23" i="127"/>
  <c r="U21" i="127"/>
  <c r="U19" i="127"/>
  <c r="U17" i="127"/>
  <c r="U15" i="127"/>
  <c r="U13" i="127"/>
  <c r="U11" i="127"/>
  <c r="U9" i="127"/>
  <c r="U76" i="128"/>
  <c r="U75" i="128"/>
  <c r="U73" i="128"/>
  <c r="U72" i="128"/>
  <c r="U69" i="128"/>
  <c r="U67" i="128"/>
  <c r="U65" i="128"/>
  <c r="U64" i="128"/>
  <c r="U61" i="128"/>
  <c r="U59" i="128"/>
  <c r="U57" i="128"/>
  <c r="U56" i="128"/>
  <c r="U53" i="128"/>
  <c r="U51" i="128"/>
  <c r="U49" i="128"/>
  <c r="U48" i="128"/>
  <c r="U47" i="128"/>
  <c r="U45" i="128"/>
  <c r="U44" i="128"/>
  <c r="U43" i="128"/>
  <c r="U41" i="128"/>
  <c r="U40" i="128"/>
  <c r="U39" i="128"/>
  <c r="U37" i="128"/>
  <c r="U36" i="128"/>
  <c r="U33" i="128"/>
  <c r="U32" i="128"/>
  <c r="U31" i="128"/>
  <c r="U29" i="128"/>
  <c r="U28" i="128"/>
  <c r="U27" i="128"/>
  <c r="U25" i="128"/>
  <c r="U23" i="128"/>
  <c r="U21" i="128"/>
  <c r="U19" i="128"/>
  <c r="U17" i="128"/>
  <c r="U16" i="128"/>
  <c r="U15" i="128"/>
  <c r="U13" i="128"/>
  <c r="U12" i="128"/>
  <c r="U9" i="128"/>
  <c r="U75" i="129"/>
  <c r="U73" i="129"/>
  <c r="U72" i="129"/>
  <c r="U71" i="129"/>
  <c r="U69" i="129"/>
  <c r="U67" i="129"/>
  <c r="U65" i="129"/>
  <c r="U63" i="129"/>
  <c r="U61" i="129"/>
  <c r="U59" i="129"/>
  <c r="U57" i="129"/>
  <c r="U55" i="129"/>
  <c r="U53" i="129"/>
  <c r="U51" i="129"/>
  <c r="U49" i="129"/>
  <c r="U48" i="129"/>
  <c r="U47" i="129"/>
  <c r="U45" i="129"/>
  <c r="U44" i="129"/>
  <c r="U43" i="129"/>
  <c r="U41" i="129"/>
  <c r="U40" i="129"/>
  <c r="U39" i="129"/>
  <c r="U37" i="129"/>
  <c r="U35" i="129"/>
  <c r="U33" i="129"/>
  <c r="U32" i="129"/>
  <c r="U31" i="129"/>
  <c r="U29" i="129"/>
  <c r="U27" i="129"/>
  <c r="U25" i="129"/>
  <c r="U23" i="129"/>
  <c r="U21" i="129"/>
  <c r="U20" i="129"/>
  <c r="U19" i="129"/>
  <c r="U17" i="129"/>
  <c r="U16" i="129"/>
  <c r="U15" i="129"/>
  <c r="U13" i="129"/>
  <c r="U11" i="129"/>
  <c r="U9" i="129"/>
  <c r="U75" i="131"/>
  <c r="U73" i="131"/>
  <c r="U71" i="131"/>
  <c r="U69" i="131"/>
  <c r="U67" i="131"/>
  <c r="U65" i="131"/>
  <c r="U64" i="131"/>
  <c r="U63" i="131"/>
  <c r="U61" i="131"/>
  <c r="U60" i="131"/>
  <c r="U59" i="131"/>
  <c r="U57" i="131"/>
  <c r="U55" i="131"/>
  <c r="U53" i="131"/>
  <c r="U51" i="131"/>
  <c r="U49" i="131"/>
  <c r="U48" i="131"/>
  <c r="U47" i="131"/>
  <c r="U45" i="131"/>
  <c r="U44" i="131"/>
  <c r="U43" i="131"/>
  <c r="U41" i="131"/>
  <c r="U40" i="131"/>
  <c r="U39" i="131"/>
  <c r="U37" i="131"/>
  <c r="U36" i="131"/>
  <c r="U35" i="131"/>
  <c r="U33" i="131"/>
  <c r="U32" i="131"/>
  <c r="U31" i="131"/>
  <c r="U29" i="131"/>
  <c r="U28" i="131"/>
  <c r="U27" i="131"/>
  <c r="U25" i="131"/>
  <c r="U24" i="131"/>
  <c r="U23" i="131"/>
  <c r="U21" i="131"/>
  <c r="U19" i="131"/>
  <c r="U17" i="131"/>
  <c r="U15" i="131"/>
  <c r="U13" i="131"/>
  <c r="U9" i="131"/>
  <c r="U73" i="125"/>
  <c r="U71" i="125"/>
  <c r="U69" i="125"/>
  <c r="U67" i="125"/>
  <c r="U65" i="125"/>
  <c r="U63" i="125"/>
  <c r="U61" i="125"/>
  <c r="U59" i="125"/>
  <c r="U57" i="125"/>
  <c r="U55" i="125"/>
  <c r="U53" i="125"/>
  <c r="U51" i="125"/>
  <c r="U49" i="125"/>
  <c r="U45" i="125"/>
  <c r="U43" i="125"/>
  <c r="U41" i="125"/>
  <c r="U39" i="125"/>
  <c r="U37" i="125"/>
  <c r="U33" i="125"/>
  <c r="U29" i="125"/>
  <c r="U27" i="125"/>
  <c r="U25" i="125"/>
  <c r="U23" i="125"/>
  <c r="U21" i="125"/>
  <c r="U19" i="125"/>
  <c r="U17" i="125"/>
  <c r="U15" i="125"/>
  <c r="U13" i="125"/>
  <c r="U9" i="125"/>
  <c r="U8" i="127"/>
  <c r="U8" i="129"/>
  <c r="U8" i="125"/>
  <c r="U75" i="120"/>
  <c r="U73" i="120"/>
  <c r="U71" i="120"/>
  <c r="U69" i="120"/>
  <c r="U67" i="120"/>
  <c r="U65" i="120"/>
  <c r="U63" i="120"/>
  <c r="U61" i="120"/>
  <c r="U59" i="120"/>
  <c r="U55" i="120"/>
  <c r="U53" i="120"/>
  <c r="U51" i="120"/>
  <c r="U49" i="120"/>
  <c r="U47" i="120"/>
  <c r="U45" i="120"/>
  <c r="U43" i="120"/>
  <c r="U39" i="120"/>
  <c r="U37" i="120"/>
  <c r="U35" i="120"/>
  <c r="U33" i="120"/>
  <c r="U31" i="120"/>
  <c r="U29" i="120"/>
  <c r="U27" i="120"/>
  <c r="U25" i="120"/>
  <c r="U23" i="120"/>
  <c r="U21" i="120"/>
  <c r="U19" i="120"/>
  <c r="U17" i="120"/>
  <c r="U15" i="120"/>
  <c r="U13" i="120"/>
  <c r="U11" i="120"/>
  <c r="U9" i="120"/>
  <c r="U76" i="119"/>
  <c r="U74" i="119"/>
  <c r="U72" i="119"/>
  <c r="U70" i="119"/>
  <c r="U68" i="119"/>
  <c r="U66" i="119"/>
  <c r="U64" i="119"/>
  <c r="U62" i="119"/>
  <c r="U60" i="119"/>
  <c r="U58" i="119"/>
  <c r="U56" i="119"/>
  <c r="U54" i="119"/>
  <c r="U52" i="119"/>
  <c r="U50" i="119"/>
  <c r="U48" i="119"/>
  <c r="U46" i="119"/>
  <c r="U44" i="119"/>
  <c r="U40" i="119"/>
  <c r="U38" i="119"/>
  <c r="U36" i="119"/>
  <c r="U34" i="119"/>
  <c r="U32" i="119"/>
  <c r="U30" i="119"/>
  <c r="U28" i="119"/>
  <c r="U26" i="119"/>
  <c r="U24" i="119"/>
  <c r="U22" i="119"/>
  <c r="U20" i="119"/>
  <c r="U18" i="119"/>
  <c r="U16" i="119"/>
  <c r="U14" i="119"/>
  <c r="U12" i="119"/>
  <c r="U10" i="119"/>
  <c r="U8" i="119"/>
  <c r="U73" i="118"/>
  <c r="U71" i="118"/>
  <c r="U69" i="118"/>
  <c r="U67" i="118"/>
  <c r="U65" i="118"/>
  <c r="U63" i="118"/>
  <c r="U61" i="118"/>
  <c r="U59" i="118"/>
  <c r="U57" i="118"/>
  <c r="U53" i="118"/>
  <c r="U51" i="118"/>
  <c r="U49" i="118"/>
  <c r="U45" i="118"/>
  <c r="U43" i="118"/>
  <c r="U41" i="118"/>
  <c r="U39" i="118"/>
  <c r="U37" i="118"/>
  <c r="U35" i="118"/>
  <c r="U33" i="118"/>
  <c r="U31" i="118"/>
  <c r="U29" i="118"/>
  <c r="U27" i="118"/>
  <c r="U25" i="118"/>
  <c r="U21" i="118"/>
  <c r="U19" i="118"/>
  <c r="U17" i="118"/>
  <c r="U15" i="118"/>
  <c r="U13" i="118"/>
  <c r="U9" i="118"/>
  <c r="U76" i="115"/>
  <c r="U74" i="115"/>
  <c r="U72" i="115"/>
  <c r="U70" i="115"/>
  <c r="U68" i="115"/>
  <c r="U66" i="115"/>
  <c r="U64" i="115"/>
  <c r="U62" i="115"/>
  <c r="U60" i="115"/>
  <c r="U58" i="115"/>
  <c r="U56" i="115"/>
  <c r="U54" i="115"/>
  <c r="U50" i="115"/>
  <c r="U48" i="115"/>
  <c r="U46" i="115"/>
  <c r="U44" i="115"/>
  <c r="U42" i="115"/>
  <c r="U40" i="115"/>
  <c r="U38" i="115"/>
  <c r="U34" i="115"/>
  <c r="U32" i="115"/>
  <c r="U30" i="115"/>
  <c r="U28" i="115"/>
  <c r="U26" i="115"/>
  <c r="U22" i="115"/>
  <c r="U20" i="115"/>
  <c r="U18" i="115"/>
  <c r="U16" i="115"/>
  <c r="U14" i="115"/>
  <c r="U10" i="115"/>
  <c r="U8" i="115"/>
  <c r="W75" i="117"/>
  <c r="W73" i="117"/>
  <c r="W71" i="117"/>
  <c r="W69" i="117"/>
  <c r="W67" i="117"/>
  <c r="W65" i="117"/>
  <c r="W63" i="117"/>
  <c r="W59" i="117"/>
  <c r="W57" i="117"/>
  <c r="W55" i="117"/>
  <c r="W51" i="117"/>
  <c r="W49" i="117"/>
  <c r="W47" i="117"/>
  <c r="W45" i="117"/>
  <c r="W43" i="117"/>
  <c r="W41" i="117"/>
  <c r="W39" i="117"/>
  <c r="W37" i="117"/>
  <c r="W35" i="117"/>
  <c r="W33" i="117"/>
  <c r="W31" i="117"/>
  <c r="W29" i="117"/>
  <c r="W27" i="117"/>
  <c r="W25" i="117"/>
  <c r="W23" i="117"/>
  <c r="W21" i="117"/>
  <c r="W19" i="117"/>
  <c r="W17" i="117"/>
  <c r="W15" i="117"/>
  <c r="W13" i="117"/>
  <c r="W11" i="117"/>
  <c r="W9" i="117"/>
  <c r="U76" i="116"/>
  <c r="U74" i="116"/>
  <c r="U72" i="116"/>
  <c r="U70" i="116"/>
  <c r="U68" i="116"/>
  <c r="U66" i="116"/>
  <c r="U64" i="116"/>
  <c r="U62" i="116"/>
  <c r="U60" i="116"/>
  <c r="U58" i="116"/>
  <c r="U56" i="116"/>
  <c r="U54" i="116"/>
  <c r="U52" i="116"/>
  <c r="U50" i="116"/>
  <c r="U48" i="116"/>
  <c r="U46" i="116"/>
  <c r="U44" i="116"/>
  <c r="U40" i="116"/>
  <c r="U38" i="116"/>
  <c r="U36" i="116"/>
  <c r="U34" i="116"/>
  <c r="U32" i="116"/>
  <c r="U30" i="116"/>
  <c r="U28" i="116"/>
  <c r="U26" i="116"/>
  <c r="U24" i="116"/>
  <c r="U22" i="116"/>
  <c r="U20" i="116"/>
  <c r="U18" i="116"/>
  <c r="U16" i="116"/>
  <c r="U14" i="116"/>
  <c r="U12" i="116"/>
  <c r="U10" i="116"/>
  <c r="U8" i="116"/>
  <c r="U73" i="114"/>
  <c r="U71" i="114"/>
  <c r="U69" i="114"/>
  <c r="U67" i="114"/>
  <c r="U65" i="114"/>
  <c r="U63" i="114"/>
  <c r="U61" i="114"/>
  <c r="U59" i="114"/>
  <c r="U57" i="114"/>
  <c r="U53" i="114"/>
  <c r="U51" i="114"/>
  <c r="U49" i="114"/>
  <c r="U45" i="114"/>
  <c r="U43" i="114"/>
  <c r="U41" i="114"/>
  <c r="U39" i="114"/>
  <c r="U37" i="114"/>
  <c r="U35" i="114"/>
  <c r="U33" i="114"/>
  <c r="U31" i="114"/>
  <c r="U29" i="114"/>
  <c r="U27" i="114"/>
  <c r="U25" i="114"/>
  <c r="U21" i="114"/>
  <c r="U19" i="114"/>
  <c r="U17" i="114"/>
  <c r="U15" i="114"/>
  <c r="U13" i="114"/>
  <c r="U9" i="114"/>
  <c r="U76" i="113"/>
  <c r="U74" i="113"/>
  <c r="U70" i="113"/>
  <c r="U66" i="113"/>
  <c r="U64" i="113"/>
  <c r="U62" i="113"/>
  <c r="U58" i="113"/>
  <c r="U54" i="113"/>
  <c r="U52" i="113"/>
  <c r="U50" i="113"/>
  <c r="U48" i="113"/>
  <c r="U46" i="113"/>
  <c r="U42" i="113"/>
  <c r="U40" i="113"/>
  <c r="U38" i="113"/>
  <c r="U36" i="113"/>
  <c r="U34" i="113"/>
  <c r="U30" i="113"/>
  <c r="U28" i="113"/>
  <c r="U26" i="113"/>
  <c r="U24" i="113"/>
  <c r="U22" i="113"/>
  <c r="U20" i="113"/>
  <c r="U18" i="113"/>
  <c r="U16" i="113"/>
  <c r="U14" i="113"/>
  <c r="U12" i="113"/>
  <c r="U10" i="113"/>
  <c r="U68" i="31"/>
  <c r="U41" i="31"/>
  <c r="U32" i="31"/>
  <c r="U30" i="31"/>
  <c r="G9" i="31"/>
  <c r="C60" i="31"/>
  <c r="G60" i="31" s="1"/>
  <c r="C94" i="1"/>
  <c r="G35" i="46"/>
  <c r="C67" i="31"/>
  <c r="U67" i="31" s="1"/>
  <c r="C66" i="31"/>
  <c r="G66" i="31" s="1"/>
  <c r="C65" i="31"/>
  <c r="G65" i="31" s="1"/>
  <c r="C64" i="31"/>
  <c r="C63" i="31"/>
  <c r="U63" i="31" s="1"/>
  <c r="C62" i="31"/>
  <c r="U62" i="31" s="1"/>
  <c r="C61" i="31"/>
  <c r="G61" i="31" s="1"/>
  <c r="C59" i="31"/>
  <c r="C58" i="31"/>
  <c r="G58" i="31" s="1"/>
  <c r="C57" i="31"/>
  <c r="G57" i="31" s="1"/>
  <c r="C56" i="31"/>
  <c r="G56" i="31" s="1"/>
  <c r="C55" i="31"/>
  <c r="G55" i="31" s="1"/>
  <c r="C54" i="31"/>
  <c r="C53" i="31"/>
  <c r="G53" i="31" s="1"/>
  <c r="C52" i="31"/>
  <c r="G52" i="31" s="1"/>
  <c r="C51" i="31"/>
  <c r="G51" i="31" s="1"/>
  <c r="C50" i="31"/>
  <c r="G50" i="31" s="1"/>
  <c r="C49" i="31"/>
  <c r="G49" i="31" s="1"/>
  <c r="C48" i="31"/>
  <c r="G48" i="31" s="1"/>
  <c r="C47" i="31"/>
  <c r="U47" i="31" s="1"/>
  <c r="C46" i="31"/>
  <c r="G46" i="31" s="1"/>
  <c r="C45" i="31"/>
  <c r="C44" i="31"/>
  <c r="G44" i="31" s="1"/>
  <c r="C43" i="31"/>
  <c r="G43" i="31" s="1"/>
  <c r="C42" i="31"/>
  <c r="G42" i="31" s="1"/>
  <c r="C40" i="31"/>
  <c r="G40" i="31" s="1"/>
  <c r="C39" i="31"/>
  <c r="G39" i="31" s="1"/>
  <c r="C38" i="31"/>
  <c r="U38" i="31" s="1"/>
  <c r="C37" i="31"/>
  <c r="G37" i="31" s="1"/>
  <c r="C36" i="31"/>
  <c r="C35" i="31"/>
  <c r="G35" i="31" s="1"/>
  <c r="C34" i="31"/>
  <c r="G34" i="31" s="1"/>
  <c r="C33" i="31"/>
  <c r="C31" i="31"/>
  <c r="C25" i="31"/>
  <c r="G25" i="31" s="1"/>
  <c r="C29" i="31"/>
  <c r="U29" i="31" s="1"/>
  <c r="C28" i="31"/>
  <c r="G28" i="31" s="1"/>
  <c r="C27" i="31"/>
  <c r="C26" i="31"/>
  <c r="U26" i="31" s="1"/>
  <c r="C24" i="31"/>
  <c r="G24" i="31" s="1"/>
  <c r="C23" i="31"/>
  <c r="U23" i="31" s="1"/>
  <c r="C22" i="31"/>
  <c r="C21" i="31"/>
  <c r="G21" i="31" s="1"/>
  <c r="C19" i="31"/>
  <c r="G19" i="31" s="1"/>
  <c r="C18" i="31"/>
  <c r="C17" i="31"/>
  <c r="U17" i="31" s="1"/>
  <c r="C16" i="31"/>
  <c r="C15" i="31"/>
  <c r="C14" i="31"/>
  <c r="G14" i="31" s="1"/>
  <c r="C13" i="31"/>
  <c r="G13" i="31" s="1"/>
  <c r="C12" i="31"/>
  <c r="G12" i="31" s="1"/>
  <c r="G72" i="1"/>
  <c r="G68" i="1"/>
  <c r="G64" i="1"/>
  <c r="G60" i="1"/>
  <c r="G56" i="1"/>
  <c r="G52" i="1"/>
  <c r="G48" i="1"/>
  <c r="G44" i="1"/>
  <c r="G40" i="1"/>
  <c r="G36" i="1"/>
  <c r="G32" i="1"/>
  <c r="G28" i="1"/>
  <c r="G24" i="1"/>
  <c r="G20" i="1"/>
  <c r="G12" i="1"/>
  <c r="G8" i="1"/>
  <c r="E76" i="1"/>
  <c r="E74" i="1"/>
  <c r="E71" i="1"/>
  <c r="E70" i="1"/>
  <c r="E68" i="1"/>
  <c r="E67" i="1"/>
  <c r="E66" i="1"/>
  <c r="E63" i="1"/>
  <c r="E62" i="1"/>
  <c r="E59" i="1"/>
  <c r="E58" i="1"/>
  <c r="E55" i="1"/>
  <c r="E54" i="1"/>
  <c r="E51" i="1"/>
  <c r="E50" i="1"/>
  <c r="E47" i="1"/>
  <c r="E46" i="1"/>
  <c r="E42" i="1"/>
  <c r="E39" i="1"/>
  <c r="E38" i="1"/>
  <c r="E36" i="1"/>
  <c r="E35" i="1"/>
  <c r="E34" i="1"/>
  <c r="E32" i="1"/>
  <c r="E31" i="1"/>
  <c r="E30" i="1"/>
  <c r="E27" i="1"/>
  <c r="E26" i="1"/>
  <c r="E23" i="1"/>
  <c r="E22" i="1"/>
  <c r="E20" i="1"/>
  <c r="E19" i="1"/>
  <c r="E18" i="1"/>
  <c r="E15" i="1"/>
  <c r="E14" i="1"/>
  <c r="E10" i="1"/>
  <c r="E8" i="1"/>
  <c r="B9" i="5"/>
  <c r="B8" i="5"/>
  <c r="O6" i="1"/>
  <c r="P6" i="1"/>
  <c r="Q6" i="1"/>
  <c r="R6" i="1"/>
  <c r="S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P20" i="13"/>
  <c r="J20" i="13"/>
  <c r="G56" i="81"/>
  <c r="AE77" i="33"/>
  <c r="Z69" i="13"/>
  <c r="F74" i="2"/>
  <c r="F73" i="2"/>
  <c r="G73" i="2" s="1"/>
  <c r="H73" i="2" s="1"/>
  <c r="F72" i="2"/>
  <c r="G72" i="2" s="1"/>
  <c r="H72" i="2" s="1"/>
  <c r="F71" i="2"/>
  <c r="F70" i="2"/>
  <c r="G70" i="2" s="1"/>
  <c r="H70" i="2" s="1"/>
  <c r="F69" i="2"/>
  <c r="G69" i="2" s="1"/>
  <c r="H69" i="2" s="1"/>
  <c r="F68" i="2"/>
  <c r="G68" i="2" s="1"/>
  <c r="H68" i="2" s="1"/>
  <c r="F67" i="2"/>
  <c r="F66" i="2"/>
  <c r="F65" i="2"/>
  <c r="F64" i="2"/>
  <c r="G64" i="2" s="1"/>
  <c r="H64" i="2" s="1"/>
  <c r="F63" i="2"/>
  <c r="F62" i="2"/>
  <c r="F61" i="2"/>
  <c r="F60" i="2"/>
  <c r="G60" i="2" s="1"/>
  <c r="H60" i="2" s="1"/>
  <c r="F59" i="2"/>
  <c r="F58" i="2"/>
  <c r="F57" i="2"/>
  <c r="F56" i="2"/>
  <c r="G56" i="2" s="1"/>
  <c r="H56" i="2" s="1"/>
  <c r="F55" i="2"/>
  <c r="F54" i="2"/>
  <c r="F53" i="2"/>
  <c r="F52" i="2"/>
  <c r="I52" i="2" s="1"/>
  <c r="F51" i="2"/>
  <c r="F50" i="2"/>
  <c r="F49" i="2"/>
  <c r="F48" i="2"/>
  <c r="G48" i="2" s="1"/>
  <c r="H48" i="2" s="1"/>
  <c r="F47" i="2"/>
  <c r="F46" i="2"/>
  <c r="F45" i="2"/>
  <c r="F44" i="2"/>
  <c r="G44" i="2" s="1"/>
  <c r="H44" i="2" s="1"/>
  <c r="F43" i="2"/>
  <c r="F42" i="2"/>
  <c r="F41" i="2"/>
  <c r="F40" i="2"/>
  <c r="G40" i="2" s="1"/>
  <c r="H40" i="2" s="1"/>
  <c r="F39" i="2"/>
  <c r="F38" i="2"/>
  <c r="F37" i="2"/>
  <c r="F36" i="2"/>
  <c r="F35" i="2"/>
  <c r="F34" i="2"/>
  <c r="G34" i="2" s="1"/>
  <c r="H34" i="2" s="1"/>
  <c r="F33" i="2"/>
  <c r="G33" i="2" s="1"/>
  <c r="H33" i="2" s="1"/>
  <c r="F32" i="2"/>
  <c r="G32" i="2" s="1"/>
  <c r="H32" i="2" s="1"/>
  <c r="F31" i="2"/>
  <c r="F30" i="2"/>
  <c r="F29" i="2"/>
  <c r="I29" i="2" s="1"/>
  <c r="F28" i="2"/>
  <c r="G28" i="2" s="1"/>
  <c r="H28" i="2" s="1"/>
  <c r="F27" i="2"/>
  <c r="F26" i="2"/>
  <c r="F25" i="2"/>
  <c r="G25" i="2" s="1"/>
  <c r="H25" i="2" s="1"/>
  <c r="F24" i="2"/>
  <c r="F23" i="2"/>
  <c r="F22" i="2"/>
  <c r="G22" i="2" s="1"/>
  <c r="H22" i="2" s="1"/>
  <c r="F21" i="2"/>
  <c r="F20" i="2"/>
  <c r="G20" i="2" s="1"/>
  <c r="H20" i="2" s="1"/>
  <c r="F19" i="2"/>
  <c r="F18" i="2"/>
  <c r="G18" i="2" s="1"/>
  <c r="H18" i="2" s="1"/>
  <c r="F17" i="2"/>
  <c r="F16" i="2"/>
  <c r="F15" i="2"/>
  <c r="F14" i="2"/>
  <c r="F13" i="2"/>
  <c r="F12" i="2"/>
  <c r="F11" i="2"/>
  <c r="F10" i="2"/>
  <c r="F9" i="2"/>
  <c r="G9" i="2" s="1"/>
  <c r="H9" i="2" s="1"/>
  <c r="F8" i="2"/>
  <c r="G8" i="2" s="1"/>
  <c r="H8" i="2" s="1"/>
  <c r="F7" i="2"/>
  <c r="F6" i="2"/>
  <c r="F76" i="126"/>
  <c r="G76" i="126" s="1"/>
  <c r="F75" i="126"/>
  <c r="F74" i="126"/>
  <c r="G74" i="126" s="1"/>
  <c r="F73" i="126"/>
  <c r="G73" i="126" s="1"/>
  <c r="F72" i="126"/>
  <c r="G72" i="126" s="1"/>
  <c r="F71" i="126"/>
  <c r="G71" i="126" s="1"/>
  <c r="F70" i="126"/>
  <c r="F69" i="126"/>
  <c r="G69" i="126" s="1"/>
  <c r="F68" i="126"/>
  <c r="G68" i="126" s="1"/>
  <c r="F67" i="126"/>
  <c r="F66" i="126"/>
  <c r="F65" i="126"/>
  <c r="G65" i="126" s="1"/>
  <c r="F64" i="126"/>
  <c r="F63" i="126"/>
  <c r="G63" i="126" s="1"/>
  <c r="F62" i="126"/>
  <c r="G62" i="126" s="1"/>
  <c r="F61" i="126"/>
  <c r="G61" i="126" s="1"/>
  <c r="F60" i="126"/>
  <c r="F59" i="126"/>
  <c r="G59" i="126" s="1"/>
  <c r="F58" i="126"/>
  <c r="F57" i="126"/>
  <c r="G57" i="126" s="1"/>
  <c r="F56" i="126"/>
  <c r="G56" i="126" s="1"/>
  <c r="F55" i="126"/>
  <c r="F54" i="126"/>
  <c r="G54" i="126" s="1"/>
  <c r="F53" i="126"/>
  <c r="G53" i="126" s="1"/>
  <c r="F52" i="126"/>
  <c r="G52" i="126" s="1"/>
  <c r="F51" i="126"/>
  <c r="F50" i="126"/>
  <c r="F49" i="126"/>
  <c r="G49" i="126" s="1"/>
  <c r="F48" i="126"/>
  <c r="G48" i="126" s="1"/>
  <c r="F47" i="126"/>
  <c r="G47" i="126" s="1"/>
  <c r="F45" i="126"/>
  <c r="F44" i="126"/>
  <c r="G44" i="126" s="1"/>
  <c r="F42" i="126"/>
  <c r="G42" i="126" s="1"/>
  <c r="F41" i="126"/>
  <c r="G41" i="126" s="1"/>
  <c r="F40" i="126"/>
  <c r="F39" i="126"/>
  <c r="G39" i="126" s="1"/>
  <c r="F38" i="126"/>
  <c r="G38" i="126" s="1"/>
  <c r="F37" i="126"/>
  <c r="F36" i="126"/>
  <c r="G36" i="126" s="1"/>
  <c r="F35" i="126"/>
  <c r="G35" i="126" s="1"/>
  <c r="F34" i="126"/>
  <c r="F33" i="126"/>
  <c r="F32" i="126"/>
  <c r="G32" i="126" s="1"/>
  <c r="F31" i="126"/>
  <c r="G31" i="126" s="1"/>
  <c r="F30" i="126"/>
  <c r="G30" i="126" s="1"/>
  <c r="F29" i="126"/>
  <c r="G29" i="126" s="1"/>
  <c r="F28" i="126"/>
  <c r="G28" i="126" s="1"/>
  <c r="F27" i="126"/>
  <c r="G27" i="126" s="1"/>
  <c r="F26" i="126"/>
  <c r="G26" i="126" s="1"/>
  <c r="F25" i="126"/>
  <c r="G25" i="126" s="1"/>
  <c r="F23" i="126"/>
  <c r="G23" i="126" s="1"/>
  <c r="F22" i="126"/>
  <c r="G22" i="126" s="1"/>
  <c r="F21" i="126"/>
  <c r="F20" i="126"/>
  <c r="F19" i="126"/>
  <c r="G19" i="126" s="1"/>
  <c r="F18" i="126"/>
  <c r="G18" i="126" s="1"/>
  <c r="F17" i="126"/>
  <c r="G17" i="126" s="1"/>
  <c r="F16" i="126"/>
  <c r="G16" i="126" s="1"/>
  <c r="F15" i="126"/>
  <c r="F14" i="126"/>
  <c r="G14" i="126" s="1"/>
  <c r="F13" i="126"/>
  <c r="G13" i="126" s="1"/>
  <c r="F12" i="126"/>
  <c r="G12" i="126" s="1"/>
  <c r="F11" i="126"/>
  <c r="G11" i="126" s="1"/>
  <c r="F10" i="126"/>
  <c r="G10" i="126" s="1"/>
  <c r="F9" i="126"/>
  <c r="G9" i="126" s="1"/>
  <c r="F76" i="127"/>
  <c r="F75" i="127"/>
  <c r="F74" i="127"/>
  <c r="F73" i="127"/>
  <c r="F72" i="127"/>
  <c r="F71" i="127"/>
  <c r="F70" i="127"/>
  <c r="F69" i="127"/>
  <c r="F68" i="127"/>
  <c r="F67" i="127"/>
  <c r="F66" i="127"/>
  <c r="F65" i="127"/>
  <c r="F64" i="127"/>
  <c r="F63" i="127"/>
  <c r="F62" i="127"/>
  <c r="F61" i="127"/>
  <c r="F60" i="127"/>
  <c r="F59" i="127"/>
  <c r="F58" i="127"/>
  <c r="F57" i="127"/>
  <c r="F56" i="127"/>
  <c r="F55" i="127"/>
  <c r="F54" i="127"/>
  <c r="F53" i="127"/>
  <c r="F52" i="127"/>
  <c r="F51" i="127"/>
  <c r="F50" i="127"/>
  <c r="F49" i="127"/>
  <c r="F48" i="127"/>
  <c r="F47" i="127"/>
  <c r="F45" i="127"/>
  <c r="F44" i="127"/>
  <c r="F42" i="127"/>
  <c r="F41" i="127"/>
  <c r="F40" i="127"/>
  <c r="F39" i="127"/>
  <c r="F38" i="127"/>
  <c r="F37" i="127"/>
  <c r="F36" i="127"/>
  <c r="F35" i="127"/>
  <c r="F34" i="127"/>
  <c r="F33" i="127"/>
  <c r="F32" i="127"/>
  <c r="F31" i="127"/>
  <c r="F30" i="127"/>
  <c r="F29" i="127"/>
  <c r="F28" i="127"/>
  <c r="F27" i="127"/>
  <c r="F26" i="127"/>
  <c r="F25" i="127"/>
  <c r="F23" i="127"/>
  <c r="F22" i="127"/>
  <c r="F21" i="127"/>
  <c r="F20" i="127"/>
  <c r="F19" i="127"/>
  <c r="F18" i="127"/>
  <c r="F17" i="127"/>
  <c r="F16" i="127"/>
  <c r="F15" i="127"/>
  <c r="F14" i="127"/>
  <c r="F13" i="127"/>
  <c r="F12" i="127"/>
  <c r="F11" i="127"/>
  <c r="F10" i="127"/>
  <c r="F9" i="127"/>
  <c r="F76" i="128"/>
  <c r="F75" i="128"/>
  <c r="F74" i="128"/>
  <c r="F73" i="128"/>
  <c r="F72" i="128"/>
  <c r="F71" i="128"/>
  <c r="F70" i="128"/>
  <c r="F69" i="128"/>
  <c r="F68" i="128"/>
  <c r="F67" i="128"/>
  <c r="F66" i="128"/>
  <c r="F65" i="128"/>
  <c r="F64" i="128"/>
  <c r="F63" i="128"/>
  <c r="F62" i="128"/>
  <c r="F61" i="128"/>
  <c r="F60" i="128"/>
  <c r="F59" i="128"/>
  <c r="F58" i="128"/>
  <c r="F57" i="128"/>
  <c r="F56" i="128"/>
  <c r="F55" i="128"/>
  <c r="F54" i="128"/>
  <c r="F53" i="128"/>
  <c r="F52" i="128"/>
  <c r="F51" i="128"/>
  <c r="F50" i="128"/>
  <c r="F49" i="128"/>
  <c r="F48" i="128"/>
  <c r="F47" i="128"/>
  <c r="F45" i="128"/>
  <c r="F44" i="128"/>
  <c r="F42" i="128"/>
  <c r="F41" i="128"/>
  <c r="F40" i="128"/>
  <c r="F39" i="128"/>
  <c r="F38" i="128"/>
  <c r="F37" i="128"/>
  <c r="F36" i="128"/>
  <c r="F35" i="128"/>
  <c r="F34" i="128"/>
  <c r="F33" i="128"/>
  <c r="F32" i="128"/>
  <c r="F31" i="128"/>
  <c r="F30" i="128"/>
  <c r="F29" i="128"/>
  <c r="F28" i="128"/>
  <c r="F27" i="128"/>
  <c r="F26" i="128"/>
  <c r="F25" i="128"/>
  <c r="F23" i="128"/>
  <c r="F22" i="128"/>
  <c r="F21" i="128"/>
  <c r="F20" i="128"/>
  <c r="F19" i="128"/>
  <c r="F18" i="128"/>
  <c r="F17" i="128"/>
  <c r="F16" i="128"/>
  <c r="F15" i="128"/>
  <c r="F14" i="128"/>
  <c r="F13" i="128"/>
  <c r="F12" i="128"/>
  <c r="F11" i="128"/>
  <c r="F10" i="128"/>
  <c r="F9" i="128"/>
  <c r="F76" i="129"/>
  <c r="F75" i="129"/>
  <c r="F74" i="129"/>
  <c r="F73" i="129"/>
  <c r="F72" i="129"/>
  <c r="F71" i="129"/>
  <c r="F70" i="129"/>
  <c r="F69" i="129"/>
  <c r="F68" i="129"/>
  <c r="F67" i="129"/>
  <c r="F66" i="129"/>
  <c r="F65" i="129"/>
  <c r="F64" i="129"/>
  <c r="F63" i="129"/>
  <c r="F62" i="129"/>
  <c r="F61" i="129"/>
  <c r="F60" i="129"/>
  <c r="F59" i="129"/>
  <c r="F58" i="129"/>
  <c r="F57" i="129"/>
  <c r="F56" i="129"/>
  <c r="F55" i="129"/>
  <c r="F54" i="129"/>
  <c r="F53" i="129"/>
  <c r="F52" i="129"/>
  <c r="F51" i="129"/>
  <c r="F50" i="129"/>
  <c r="F49" i="129"/>
  <c r="F48" i="129"/>
  <c r="F47" i="129"/>
  <c r="F45" i="129"/>
  <c r="F44" i="129"/>
  <c r="F42" i="129"/>
  <c r="F41" i="129"/>
  <c r="F40" i="129"/>
  <c r="F39" i="129"/>
  <c r="F38" i="129"/>
  <c r="F37" i="129"/>
  <c r="F36" i="129"/>
  <c r="F35" i="129"/>
  <c r="F34" i="129"/>
  <c r="F33" i="129"/>
  <c r="F32" i="129"/>
  <c r="F31" i="129"/>
  <c r="F30" i="129"/>
  <c r="F29" i="129"/>
  <c r="F28" i="129"/>
  <c r="F27" i="129"/>
  <c r="F26" i="129"/>
  <c r="F25" i="129"/>
  <c r="F23" i="129"/>
  <c r="F22" i="129"/>
  <c r="F21" i="129"/>
  <c r="F20" i="129"/>
  <c r="F19" i="129"/>
  <c r="F18" i="129"/>
  <c r="F17" i="129"/>
  <c r="F16" i="129"/>
  <c r="F15" i="129"/>
  <c r="F14" i="129"/>
  <c r="F13" i="129"/>
  <c r="F12" i="129"/>
  <c r="F11" i="129"/>
  <c r="F10" i="129"/>
  <c r="F9" i="129"/>
  <c r="F76" i="131"/>
  <c r="F75" i="131"/>
  <c r="G75" i="131" s="1"/>
  <c r="F74" i="131"/>
  <c r="G74" i="131" s="1"/>
  <c r="F73" i="131"/>
  <c r="F72" i="131"/>
  <c r="F71" i="131"/>
  <c r="G71" i="131" s="1"/>
  <c r="F70" i="131"/>
  <c r="F69" i="131"/>
  <c r="G69" i="131" s="1"/>
  <c r="F68" i="131"/>
  <c r="G68" i="131" s="1"/>
  <c r="F67" i="131"/>
  <c r="F66" i="131"/>
  <c r="G66" i="131" s="1"/>
  <c r="F65" i="131"/>
  <c r="G65" i="131" s="1"/>
  <c r="F64" i="131"/>
  <c r="F63" i="131"/>
  <c r="G63" i="131" s="1"/>
  <c r="F62" i="131"/>
  <c r="G62" i="131" s="1"/>
  <c r="F61" i="131"/>
  <c r="G61" i="131" s="1"/>
  <c r="F60" i="131"/>
  <c r="G60" i="131" s="1"/>
  <c r="F59" i="131"/>
  <c r="F58" i="131"/>
  <c r="G58" i="131" s="1"/>
  <c r="F57" i="131"/>
  <c r="G57" i="131" s="1"/>
  <c r="F56" i="131"/>
  <c r="F55" i="131"/>
  <c r="G55" i="131" s="1"/>
  <c r="F54" i="131"/>
  <c r="G54" i="131" s="1"/>
  <c r="F53" i="131"/>
  <c r="G53" i="131" s="1"/>
  <c r="F52" i="131"/>
  <c r="F51" i="131"/>
  <c r="G51" i="131" s="1"/>
  <c r="F50" i="131"/>
  <c r="G50" i="131" s="1"/>
  <c r="F49" i="131"/>
  <c r="G49" i="131" s="1"/>
  <c r="F48" i="131"/>
  <c r="G48" i="131" s="1"/>
  <c r="F47" i="131"/>
  <c r="F45" i="131"/>
  <c r="G45" i="131" s="1"/>
  <c r="F44" i="131"/>
  <c r="F42" i="131"/>
  <c r="F41" i="131"/>
  <c r="G41" i="131" s="1"/>
  <c r="F40" i="131"/>
  <c r="G40" i="131" s="1"/>
  <c r="F39" i="131"/>
  <c r="G39" i="131" s="1"/>
  <c r="F38" i="131"/>
  <c r="F37" i="131"/>
  <c r="G37" i="131" s="1"/>
  <c r="F36" i="131"/>
  <c r="G36" i="131" s="1"/>
  <c r="F35" i="131"/>
  <c r="G35" i="131" s="1"/>
  <c r="F34" i="131"/>
  <c r="F33" i="131"/>
  <c r="G33" i="131" s="1"/>
  <c r="F32" i="131"/>
  <c r="G32" i="131" s="1"/>
  <c r="F31" i="131"/>
  <c r="F30" i="131"/>
  <c r="F29" i="131"/>
  <c r="G29" i="131" s="1"/>
  <c r="F28" i="131"/>
  <c r="G28" i="131" s="1"/>
  <c r="F27" i="131"/>
  <c r="G27" i="131" s="1"/>
  <c r="F26" i="131"/>
  <c r="G26" i="131" s="1"/>
  <c r="F25" i="131"/>
  <c r="G25" i="131" s="1"/>
  <c r="F23" i="131"/>
  <c r="G23" i="131" s="1"/>
  <c r="F22" i="131"/>
  <c r="G22" i="131" s="1"/>
  <c r="F21" i="131"/>
  <c r="F20" i="131"/>
  <c r="F19" i="131"/>
  <c r="G19" i="131" s="1"/>
  <c r="F18" i="131"/>
  <c r="G18" i="131" s="1"/>
  <c r="F17" i="131"/>
  <c r="F16" i="131"/>
  <c r="G16" i="131" s="1"/>
  <c r="F15" i="131"/>
  <c r="G15" i="131" s="1"/>
  <c r="F14" i="131"/>
  <c r="G14" i="131" s="1"/>
  <c r="F13" i="131"/>
  <c r="G13" i="131" s="1"/>
  <c r="F12" i="131"/>
  <c r="F11" i="131"/>
  <c r="G11" i="131" s="1"/>
  <c r="F10" i="131"/>
  <c r="G10" i="131" s="1"/>
  <c r="F9" i="131"/>
  <c r="F76" i="125"/>
  <c r="G76" i="125" s="1"/>
  <c r="F75" i="125"/>
  <c r="G75" i="125" s="1"/>
  <c r="F74" i="125"/>
  <c r="G74" i="125" s="1"/>
  <c r="F73" i="125"/>
  <c r="G73" i="125" s="1"/>
  <c r="F72" i="125"/>
  <c r="F71" i="125"/>
  <c r="G71" i="125" s="1"/>
  <c r="F70" i="125"/>
  <c r="G70" i="125" s="1"/>
  <c r="F69" i="125"/>
  <c r="F68" i="125"/>
  <c r="G68" i="125" s="1"/>
  <c r="F67" i="125"/>
  <c r="G67" i="125" s="1"/>
  <c r="F66" i="125"/>
  <c r="F65" i="125"/>
  <c r="G65" i="125" s="1"/>
  <c r="F64" i="125"/>
  <c r="F63" i="125"/>
  <c r="G63" i="125" s="1"/>
  <c r="F62" i="125"/>
  <c r="G62" i="125" s="1"/>
  <c r="F61" i="125"/>
  <c r="G61" i="125" s="1"/>
  <c r="F60" i="125"/>
  <c r="F59" i="125"/>
  <c r="G59" i="125" s="1"/>
  <c r="F58" i="125"/>
  <c r="F57" i="125"/>
  <c r="F56" i="125"/>
  <c r="F55" i="125"/>
  <c r="G55" i="125" s="1"/>
  <c r="F54" i="125"/>
  <c r="G54" i="125" s="1"/>
  <c r="F53" i="125"/>
  <c r="F52" i="125"/>
  <c r="G52" i="125" s="1"/>
  <c r="F51" i="125"/>
  <c r="G51" i="125" s="1"/>
  <c r="F50" i="125"/>
  <c r="F49" i="125"/>
  <c r="F48" i="125"/>
  <c r="G48" i="125" s="1"/>
  <c r="F47" i="125"/>
  <c r="G47" i="125" s="1"/>
  <c r="F45" i="125"/>
  <c r="G45" i="125" s="1"/>
  <c r="F44" i="125"/>
  <c r="F42" i="125"/>
  <c r="F41" i="125"/>
  <c r="G41" i="125" s="1"/>
  <c r="F40" i="125"/>
  <c r="G40" i="125" s="1"/>
  <c r="F39" i="125"/>
  <c r="F38" i="125"/>
  <c r="F37" i="125"/>
  <c r="G37" i="125" s="1"/>
  <c r="F36" i="125"/>
  <c r="G36" i="125" s="1"/>
  <c r="F35" i="125"/>
  <c r="F34" i="125"/>
  <c r="F33" i="125"/>
  <c r="G33" i="125" s="1"/>
  <c r="F32" i="125"/>
  <c r="F31" i="125"/>
  <c r="F30" i="125"/>
  <c r="G30" i="125" s="1"/>
  <c r="F29" i="125"/>
  <c r="G29" i="125" s="1"/>
  <c r="F28" i="125"/>
  <c r="G28" i="125" s="1"/>
  <c r="F27" i="125"/>
  <c r="F26" i="125"/>
  <c r="G26" i="125" s="1"/>
  <c r="F25" i="125"/>
  <c r="G25" i="125" s="1"/>
  <c r="F23" i="125"/>
  <c r="F22" i="125"/>
  <c r="F21" i="125"/>
  <c r="F20" i="125"/>
  <c r="G20" i="125" s="1"/>
  <c r="F19" i="125"/>
  <c r="G19" i="125" s="1"/>
  <c r="F18" i="125"/>
  <c r="F17" i="125"/>
  <c r="G17" i="125" s="1"/>
  <c r="F16" i="125"/>
  <c r="G16" i="125" s="1"/>
  <c r="F15" i="125"/>
  <c r="G15" i="125" s="1"/>
  <c r="F14" i="125"/>
  <c r="F13" i="125"/>
  <c r="G13" i="125" s="1"/>
  <c r="F12" i="125"/>
  <c r="G12" i="125" s="1"/>
  <c r="F11" i="125"/>
  <c r="G11" i="125" s="1"/>
  <c r="F10" i="125"/>
  <c r="F9" i="125"/>
  <c r="G9" i="125" s="1"/>
  <c r="F8" i="126"/>
  <c r="G8" i="126" s="1"/>
  <c r="F8" i="127"/>
  <c r="F8" i="128"/>
  <c r="F8" i="129"/>
  <c r="F8" i="131"/>
  <c r="G8" i="131" s="1"/>
  <c r="F8" i="125"/>
  <c r="AD77" i="131"/>
  <c r="O77" i="131"/>
  <c r="F77" i="131"/>
  <c r="U76" i="131"/>
  <c r="U74" i="131"/>
  <c r="U72" i="131"/>
  <c r="U70" i="131"/>
  <c r="G70" i="131"/>
  <c r="U68" i="131"/>
  <c r="U66" i="131"/>
  <c r="U62" i="131"/>
  <c r="G59" i="131"/>
  <c r="U58" i="131"/>
  <c r="U56" i="131"/>
  <c r="G56" i="131"/>
  <c r="U54" i="131"/>
  <c r="U52" i="131"/>
  <c r="G52" i="131"/>
  <c r="U50" i="131"/>
  <c r="G47" i="131"/>
  <c r="U46" i="131"/>
  <c r="G44" i="131"/>
  <c r="U42" i="131"/>
  <c r="G42" i="131"/>
  <c r="U38" i="131"/>
  <c r="U34" i="131"/>
  <c r="U30" i="131"/>
  <c r="U22" i="131"/>
  <c r="U20" i="131"/>
  <c r="U18" i="131"/>
  <c r="G17" i="131"/>
  <c r="G12" i="131"/>
  <c r="U10" i="131"/>
  <c r="C77" i="131"/>
  <c r="D6" i="131"/>
  <c r="E6" i="131" s="1"/>
  <c r="F6" i="131" s="1"/>
  <c r="G6" i="131" s="1"/>
  <c r="H6" i="131" s="1"/>
  <c r="AD77" i="129"/>
  <c r="O77" i="129"/>
  <c r="F77" i="129"/>
  <c r="U74" i="129"/>
  <c r="U70" i="129"/>
  <c r="U68" i="129"/>
  <c r="U66" i="129"/>
  <c r="U64" i="129"/>
  <c r="U62" i="129"/>
  <c r="U60" i="129"/>
  <c r="U58" i="129"/>
  <c r="U56" i="129"/>
  <c r="U54" i="129"/>
  <c r="U52" i="129"/>
  <c r="U50" i="129"/>
  <c r="U46" i="129"/>
  <c r="U42" i="129"/>
  <c r="U38" i="129"/>
  <c r="U36" i="129"/>
  <c r="U34" i="129"/>
  <c r="U30" i="129"/>
  <c r="U28" i="129"/>
  <c r="U26" i="129"/>
  <c r="U24" i="129"/>
  <c r="U22" i="129"/>
  <c r="U18" i="129"/>
  <c r="U14" i="129"/>
  <c r="U12" i="129"/>
  <c r="U10" i="129"/>
  <c r="C77" i="129"/>
  <c r="D6" i="129"/>
  <c r="E6" i="129" s="1"/>
  <c r="F6" i="129" s="1"/>
  <c r="G6" i="129" s="1"/>
  <c r="H6" i="129" s="1"/>
  <c r="I6" i="129" s="1"/>
  <c r="AD77" i="128"/>
  <c r="O77" i="128"/>
  <c r="F77" i="128"/>
  <c r="C77" i="128"/>
  <c r="G76" i="128"/>
  <c r="U74" i="128"/>
  <c r="G73" i="128"/>
  <c r="U71" i="128"/>
  <c r="U70" i="128"/>
  <c r="U68" i="128"/>
  <c r="U66" i="128"/>
  <c r="U63" i="128"/>
  <c r="U62" i="128"/>
  <c r="U60" i="128"/>
  <c r="G60" i="128"/>
  <c r="U58" i="128"/>
  <c r="G58" i="128"/>
  <c r="U55" i="128"/>
  <c r="U54" i="128"/>
  <c r="U52" i="128"/>
  <c r="G52" i="128"/>
  <c r="U50" i="128"/>
  <c r="U46" i="128"/>
  <c r="U42" i="128"/>
  <c r="U38" i="128"/>
  <c r="U35" i="128"/>
  <c r="U34" i="128"/>
  <c r="G34" i="128"/>
  <c r="U30" i="128"/>
  <c r="U26" i="128"/>
  <c r="G26" i="128"/>
  <c r="U24" i="128"/>
  <c r="U22" i="128"/>
  <c r="G21" i="128"/>
  <c r="U20" i="128"/>
  <c r="U18" i="128"/>
  <c r="G18" i="128"/>
  <c r="U14" i="128"/>
  <c r="G13" i="128"/>
  <c r="U11" i="128"/>
  <c r="U10" i="128"/>
  <c r="U8" i="128"/>
  <c r="D6" i="128"/>
  <c r="E6" i="128"/>
  <c r="F6" i="128" s="1"/>
  <c r="G6" i="128" s="1"/>
  <c r="H6" i="128" s="1"/>
  <c r="I6" i="128" s="1"/>
  <c r="J6" i="128" s="1"/>
  <c r="K6" i="128" s="1"/>
  <c r="L6" i="128" s="1"/>
  <c r="M6" i="128" s="1"/>
  <c r="N6" i="128" s="1"/>
  <c r="O6" i="128" s="1"/>
  <c r="P6" i="128" s="1"/>
  <c r="Q6" i="128" s="1"/>
  <c r="R6" i="128" s="1"/>
  <c r="S6" i="128" s="1"/>
  <c r="T6" i="128" s="1"/>
  <c r="U6" i="128" s="1"/>
  <c r="V6" i="128" s="1"/>
  <c r="W6" i="128" s="1"/>
  <c r="AD77" i="127"/>
  <c r="O77" i="127"/>
  <c r="F77" i="127"/>
  <c r="U76" i="127"/>
  <c r="U74" i="127"/>
  <c r="U72" i="127"/>
  <c r="U70" i="127"/>
  <c r="U67" i="127"/>
  <c r="U66" i="127"/>
  <c r="U63" i="127"/>
  <c r="U62" i="127"/>
  <c r="G59" i="127"/>
  <c r="U58" i="127"/>
  <c r="U55" i="127"/>
  <c r="U54" i="127"/>
  <c r="G52" i="127"/>
  <c r="U50" i="127"/>
  <c r="U48" i="127"/>
  <c r="U46" i="127"/>
  <c r="U44" i="127"/>
  <c r="U42" i="127"/>
  <c r="U40" i="127"/>
  <c r="U38" i="127"/>
  <c r="U36" i="127"/>
  <c r="U34" i="127"/>
  <c r="U32" i="127"/>
  <c r="U30" i="127"/>
  <c r="U28" i="127"/>
  <c r="U26" i="127"/>
  <c r="G26" i="127"/>
  <c r="U22" i="127"/>
  <c r="G21" i="127"/>
  <c r="U20" i="127"/>
  <c r="U18" i="127"/>
  <c r="G17" i="127"/>
  <c r="U16" i="127"/>
  <c r="U14" i="127"/>
  <c r="U12" i="127"/>
  <c r="U10" i="127"/>
  <c r="G9" i="127"/>
  <c r="G8" i="127"/>
  <c r="D6" i="127"/>
  <c r="E6" i="127"/>
  <c r="F6" i="127" s="1"/>
  <c r="G6" i="127" s="1"/>
  <c r="H6" i="127" s="1"/>
  <c r="I6" i="127" s="1"/>
  <c r="J6" i="127" s="1"/>
  <c r="K6" i="127" s="1"/>
  <c r="L6" i="127" s="1"/>
  <c r="M6" i="127" s="1"/>
  <c r="N6" i="127" s="1"/>
  <c r="O6" i="127" s="1"/>
  <c r="P6" i="127" s="1"/>
  <c r="Q6" i="127" s="1"/>
  <c r="R6" i="127" s="1"/>
  <c r="S6" i="127" s="1"/>
  <c r="T6" i="127" s="1"/>
  <c r="U6" i="127" s="1"/>
  <c r="V6" i="127" s="1"/>
  <c r="W6" i="127" s="1"/>
  <c r="AD77" i="126"/>
  <c r="O77" i="126"/>
  <c r="F77" i="126"/>
  <c r="G75" i="126"/>
  <c r="U70" i="126"/>
  <c r="G70" i="126"/>
  <c r="U68" i="126"/>
  <c r="G67" i="126"/>
  <c r="U66" i="126"/>
  <c r="G66" i="126"/>
  <c r="G64" i="126"/>
  <c r="U62" i="126"/>
  <c r="U60" i="126"/>
  <c r="G60" i="126"/>
  <c r="U58" i="126"/>
  <c r="G58" i="126"/>
  <c r="U56" i="126"/>
  <c r="G55" i="126"/>
  <c r="U54" i="126"/>
  <c r="G51" i="126"/>
  <c r="U50" i="126"/>
  <c r="G50" i="126"/>
  <c r="U48" i="126"/>
  <c r="U46" i="126"/>
  <c r="G45" i="126"/>
  <c r="U44" i="126"/>
  <c r="U42" i="126"/>
  <c r="G40" i="126"/>
  <c r="U38" i="126"/>
  <c r="U36" i="126"/>
  <c r="U34" i="126"/>
  <c r="G33" i="126"/>
  <c r="U24" i="126"/>
  <c r="U22" i="126"/>
  <c r="U20" i="126"/>
  <c r="U18" i="126"/>
  <c r="G15" i="126"/>
  <c r="U10" i="126"/>
  <c r="U8" i="126"/>
  <c r="C77" i="126"/>
  <c r="D6" i="126"/>
  <c r="E6" i="126" s="1"/>
  <c r="F6" i="126" s="1"/>
  <c r="G6" i="126" s="1"/>
  <c r="H6" i="126" s="1"/>
  <c r="AD77" i="125"/>
  <c r="O77" i="125"/>
  <c r="F77" i="125"/>
  <c r="U76" i="125"/>
  <c r="U75" i="125"/>
  <c r="U74" i="125"/>
  <c r="U72" i="125"/>
  <c r="G72" i="125"/>
  <c r="U70" i="125"/>
  <c r="G69" i="125"/>
  <c r="U68" i="125"/>
  <c r="U66" i="125"/>
  <c r="G66" i="125"/>
  <c r="U64" i="125"/>
  <c r="G64" i="125"/>
  <c r="U62" i="125"/>
  <c r="U60" i="125"/>
  <c r="G60" i="125"/>
  <c r="U58" i="125"/>
  <c r="G58" i="125"/>
  <c r="G57" i="125"/>
  <c r="U56" i="125"/>
  <c r="G56" i="125"/>
  <c r="U54" i="125"/>
  <c r="G53" i="125"/>
  <c r="U52" i="125"/>
  <c r="U50" i="125"/>
  <c r="G50" i="125"/>
  <c r="G49" i="125"/>
  <c r="U48" i="125"/>
  <c r="U47" i="125"/>
  <c r="U46" i="125"/>
  <c r="G44" i="125"/>
  <c r="G42" i="125"/>
  <c r="G39" i="125"/>
  <c r="U38" i="125"/>
  <c r="G38" i="125"/>
  <c r="U36" i="125"/>
  <c r="U35" i="125"/>
  <c r="G35" i="125"/>
  <c r="U34" i="125"/>
  <c r="G34" i="125"/>
  <c r="U32" i="125"/>
  <c r="G32" i="125"/>
  <c r="U31" i="125"/>
  <c r="G31" i="125"/>
  <c r="U30" i="125"/>
  <c r="U28" i="125"/>
  <c r="G27" i="125"/>
  <c r="U26" i="125"/>
  <c r="U24" i="125"/>
  <c r="G23" i="125"/>
  <c r="G22" i="125"/>
  <c r="G21" i="125"/>
  <c r="G18" i="125"/>
  <c r="U16" i="125"/>
  <c r="U14" i="125"/>
  <c r="G14" i="125"/>
  <c r="U12" i="125"/>
  <c r="U11" i="125"/>
  <c r="U10" i="125"/>
  <c r="G10" i="125"/>
  <c r="G8" i="125"/>
  <c r="D6" i="125"/>
  <c r="E6" i="125"/>
  <c r="F6" i="125" s="1"/>
  <c r="G6" i="125" s="1"/>
  <c r="H6" i="125" s="1"/>
  <c r="U18" i="125"/>
  <c r="U20" i="125"/>
  <c r="U22" i="125"/>
  <c r="U40" i="125"/>
  <c r="U42" i="125"/>
  <c r="U44" i="125"/>
  <c r="C77" i="125"/>
  <c r="U12" i="126"/>
  <c r="U14" i="126"/>
  <c r="U16" i="126"/>
  <c r="G20" i="126"/>
  <c r="G21" i="126"/>
  <c r="U26" i="126"/>
  <c r="U27" i="126"/>
  <c r="U28" i="126"/>
  <c r="U30" i="126"/>
  <c r="U32" i="126"/>
  <c r="G34" i="126"/>
  <c r="G37" i="126"/>
  <c r="U40" i="126"/>
  <c r="U72" i="126"/>
  <c r="U74" i="126"/>
  <c r="U76" i="126"/>
  <c r="G13" i="127"/>
  <c r="G14" i="127"/>
  <c r="G30" i="127"/>
  <c r="G34" i="127"/>
  <c r="G38" i="127"/>
  <c r="G42" i="127"/>
  <c r="G48" i="127"/>
  <c r="G64" i="127"/>
  <c r="G72" i="127"/>
  <c r="G76" i="127"/>
  <c r="C77" i="127"/>
  <c r="U76" i="129"/>
  <c r="G9" i="131"/>
  <c r="U11" i="131"/>
  <c r="U12" i="131"/>
  <c r="U14" i="131"/>
  <c r="U16" i="131"/>
  <c r="G20" i="131"/>
  <c r="G21" i="131"/>
  <c r="U26" i="131"/>
  <c r="G30" i="131"/>
  <c r="G31" i="131"/>
  <c r="G34" i="131"/>
  <c r="G38" i="131"/>
  <c r="U8" i="131"/>
  <c r="G64" i="131"/>
  <c r="G67" i="131"/>
  <c r="G72" i="131"/>
  <c r="G73" i="131"/>
  <c r="G76" i="131"/>
  <c r="G20" i="31"/>
  <c r="G68" i="31"/>
  <c r="E8" i="13"/>
  <c r="E9" i="13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U20" i="31"/>
  <c r="AI39" i="13"/>
  <c r="Q8" i="13"/>
  <c r="P41" i="2"/>
  <c r="T43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42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6" i="2"/>
  <c r="F14" i="46"/>
  <c r="F13" i="46"/>
  <c r="P44" i="2"/>
  <c r="T44" i="2" s="1"/>
  <c r="P22" i="2"/>
  <c r="F24" i="126" s="1"/>
  <c r="G24" i="126" s="1"/>
  <c r="F29" i="46"/>
  <c r="F28" i="46"/>
  <c r="F23" i="46"/>
  <c r="F10" i="46"/>
  <c r="F17" i="46"/>
  <c r="F16" i="46"/>
  <c r="F15" i="46"/>
  <c r="F12" i="46"/>
  <c r="F11" i="46"/>
  <c r="AD77" i="120"/>
  <c r="O77" i="120"/>
  <c r="F76" i="120"/>
  <c r="G76" i="120" s="1"/>
  <c r="F75" i="120"/>
  <c r="F74" i="120"/>
  <c r="G74" i="120" s="1"/>
  <c r="F73" i="120"/>
  <c r="G73" i="120" s="1"/>
  <c r="F72" i="120"/>
  <c r="G72" i="120" s="1"/>
  <c r="F71" i="120"/>
  <c r="F70" i="120"/>
  <c r="G70" i="120" s="1"/>
  <c r="F69" i="120"/>
  <c r="G69" i="120" s="1"/>
  <c r="F68" i="120"/>
  <c r="G68" i="120" s="1"/>
  <c r="F67" i="120"/>
  <c r="F66" i="120"/>
  <c r="F65" i="120"/>
  <c r="G65" i="120" s="1"/>
  <c r="F64" i="120"/>
  <c r="F63" i="120"/>
  <c r="F62" i="120"/>
  <c r="G62" i="120" s="1"/>
  <c r="F61" i="120"/>
  <c r="G61" i="120" s="1"/>
  <c r="F60" i="120"/>
  <c r="G60" i="120" s="1"/>
  <c r="F59" i="120"/>
  <c r="G59" i="120"/>
  <c r="F58" i="120"/>
  <c r="G58" i="120" s="1"/>
  <c r="F57" i="120"/>
  <c r="G57" i="120" s="1"/>
  <c r="F56" i="120"/>
  <c r="G56" i="120" s="1"/>
  <c r="F55" i="120"/>
  <c r="G55" i="120" s="1"/>
  <c r="F54" i="120"/>
  <c r="G54" i="120" s="1"/>
  <c r="F53" i="120"/>
  <c r="G53" i="120" s="1"/>
  <c r="F52" i="120"/>
  <c r="G52" i="120" s="1"/>
  <c r="F51" i="120"/>
  <c r="G51" i="120" s="1"/>
  <c r="F50" i="120"/>
  <c r="G50" i="120" s="1"/>
  <c r="F49" i="120"/>
  <c r="G49" i="120" s="1"/>
  <c r="F48" i="120"/>
  <c r="G48" i="120" s="1"/>
  <c r="F47" i="120"/>
  <c r="G47" i="120" s="1"/>
  <c r="F46" i="120"/>
  <c r="G46" i="120" s="1"/>
  <c r="F45" i="120"/>
  <c r="G45" i="120" s="1"/>
  <c r="F44" i="120"/>
  <c r="G44" i="120" s="1"/>
  <c r="F43" i="120"/>
  <c r="G43" i="120" s="1"/>
  <c r="F42" i="120"/>
  <c r="G42" i="120" s="1"/>
  <c r="F41" i="120"/>
  <c r="G41" i="120" s="1"/>
  <c r="F40" i="120"/>
  <c r="G40" i="120" s="1"/>
  <c r="F39" i="120"/>
  <c r="F38" i="120"/>
  <c r="G38" i="120" s="1"/>
  <c r="F37" i="120"/>
  <c r="G37" i="120" s="1"/>
  <c r="F36" i="120"/>
  <c r="G36" i="120" s="1"/>
  <c r="F35" i="120"/>
  <c r="G35" i="120" s="1"/>
  <c r="F34" i="120"/>
  <c r="G34" i="120" s="1"/>
  <c r="F33" i="120"/>
  <c r="G33" i="120" s="1"/>
  <c r="F32" i="120"/>
  <c r="F31" i="120"/>
  <c r="F30" i="120"/>
  <c r="G30" i="120" s="1"/>
  <c r="F29" i="120"/>
  <c r="G29" i="120" s="1"/>
  <c r="F28" i="120"/>
  <c r="G28" i="120" s="1"/>
  <c r="F27" i="120"/>
  <c r="G27" i="120" s="1"/>
  <c r="F26" i="120"/>
  <c r="G26" i="120" s="1"/>
  <c r="F25" i="120"/>
  <c r="G25" i="120" s="1"/>
  <c r="F24" i="120"/>
  <c r="G24" i="120" s="1"/>
  <c r="F23" i="120"/>
  <c r="G23" i="120" s="1"/>
  <c r="F22" i="120"/>
  <c r="G22" i="120" s="1"/>
  <c r="F21" i="120"/>
  <c r="G21" i="120" s="1"/>
  <c r="F20" i="120"/>
  <c r="G20" i="120" s="1"/>
  <c r="F19" i="120"/>
  <c r="G19" i="120" s="1"/>
  <c r="F18" i="120"/>
  <c r="G18" i="120" s="1"/>
  <c r="F17" i="120"/>
  <c r="G17" i="120" s="1"/>
  <c r="F16" i="120"/>
  <c r="G16" i="120" s="1"/>
  <c r="F15" i="120"/>
  <c r="G15" i="120" s="1"/>
  <c r="F14" i="120"/>
  <c r="G14" i="120" s="1"/>
  <c r="F13" i="120"/>
  <c r="G13" i="120" s="1"/>
  <c r="F12" i="120"/>
  <c r="G12" i="120" s="1"/>
  <c r="F11" i="120"/>
  <c r="G11" i="120" s="1"/>
  <c r="F10" i="120"/>
  <c r="G10" i="120" s="1"/>
  <c r="F9" i="120"/>
  <c r="F8" i="120"/>
  <c r="G8" i="120" s="1"/>
  <c r="C77" i="120"/>
  <c r="D6" i="120"/>
  <c r="E6" i="120" s="1"/>
  <c r="F6" i="120" s="1"/>
  <c r="G6" i="120" s="1"/>
  <c r="H6" i="120" s="1"/>
  <c r="AD77" i="119"/>
  <c r="O77" i="119"/>
  <c r="F76" i="119"/>
  <c r="G76" i="119" s="1"/>
  <c r="F75" i="119"/>
  <c r="F74" i="119"/>
  <c r="G74" i="119" s="1"/>
  <c r="F73" i="119"/>
  <c r="F72" i="119"/>
  <c r="G72" i="119" s="1"/>
  <c r="F71" i="119"/>
  <c r="F70" i="119"/>
  <c r="G70" i="119" s="1"/>
  <c r="F69" i="119"/>
  <c r="G69" i="119" s="1"/>
  <c r="F68" i="119"/>
  <c r="G68" i="119" s="1"/>
  <c r="F67" i="119"/>
  <c r="G67" i="119" s="1"/>
  <c r="F66" i="119"/>
  <c r="G66" i="119" s="1"/>
  <c r="F65" i="119"/>
  <c r="G65" i="119" s="1"/>
  <c r="F64" i="119"/>
  <c r="G64" i="119" s="1"/>
  <c r="F63" i="119"/>
  <c r="G63" i="119" s="1"/>
  <c r="F62" i="119"/>
  <c r="G62" i="119" s="1"/>
  <c r="F61" i="119"/>
  <c r="G61" i="119" s="1"/>
  <c r="F60" i="119"/>
  <c r="G60" i="119" s="1"/>
  <c r="F59" i="119"/>
  <c r="G59" i="119" s="1"/>
  <c r="F58" i="119"/>
  <c r="G58" i="119" s="1"/>
  <c r="F57" i="119"/>
  <c r="G57" i="119" s="1"/>
  <c r="F56" i="119"/>
  <c r="F55" i="119"/>
  <c r="G55" i="119" s="1"/>
  <c r="F54" i="119"/>
  <c r="G54" i="119" s="1"/>
  <c r="F53" i="119"/>
  <c r="F52" i="119"/>
  <c r="G52" i="119" s="1"/>
  <c r="F51" i="119"/>
  <c r="G51" i="119" s="1"/>
  <c r="F50" i="119"/>
  <c r="G50" i="119" s="1"/>
  <c r="F49" i="119"/>
  <c r="G49" i="119" s="1"/>
  <c r="F48" i="119"/>
  <c r="G48" i="119" s="1"/>
  <c r="F47" i="119"/>
  <c r="G47" i="119" s="1"/>
  <c r="F46" i="119"/>
  <c r="F45" i="119"/>
  <c r="F44" i="119"/>
  <c r="G44" i="119" s="1"/>
  <c r="F43" i="119"/>
  <c r="G43" i="119" s="1"/>
  <c r="F42" i="119"/>
  <c r="G42" i="119" s="1"/>
  <c r="F41" i="119"/>
  <c r="G41" i="119" s="1"/>
  <c r="F40" i="119"/>
  <c r="G40" i="119" s="1"/>
  <c r="F39" i="119"/>
  <c r="G39" i="119" s="1"/>
  <c r="F38" i="119"/>
  <c r="G38" i="119" s="1"/>
  <c r="F37" i="119"/>
  <c r="G37" i="119" s="1"/>
  <c r="F36" i="119"/>
  <c r="G36" i="119" s="1"/>
  <c r="F35" i="119"/>
  <c r="G35" i="119" s="1"/>
  <c r="F34" i="119"/>
  <c r="G34" i="119" s="1"/>
  <c r="F33" i="119"/>
  <c r="F32" i="119"/>
  <c r="G32" i="119" s="1"/>
  <c r="F31" i="119"/>
  <c r="G31" i="119" s="1"/>
  <c r="F30" i="119"/>
  <c r="F29" i="119"/>
  <c r="F28" i="119"/>
  <c r="G28" i="119" s="1"/>
  <c r="F27" i="119"/>
  <c r="G27" i="119" s="1"/>
  <c r="F26" i="119"/>
  <c r="G26" i="119" s="1"/>
  <c r="F25" i="119"/>
  <c r="F24" i="119"/>
  <c r="F23" i="119"/>
  <c r="G23" i="119" s="1"/>
  <c r="F22" i="119"/>
  <c r="G22" i="119" s="1"/>
  <c r="F21" i="119"/>
  <c r="F20" i="119"/>
  <c r="G20" i="119" s="1"/>
  <c r="F19" i="119"/>
  <c r="G19" i="119" s="1"/>
  <c r="F18" i="119"/>
  <c r="G18" i="119" s="1"/>
  <c r="F17" i="119"/>
  <c r="F16" i="119"/>
  <c r="G16" i="119" s="1"/>
  <c r="F15" i="119"/>
  <c r="G15" i="119" s="1"/>
  <c r="F14" i="119"/>
  <c r="G14" i="119" s="1"/>
  <c r="F13" i="119"/>
  <c r="F12" i="119"/>
  <c r="G12" i="119" s="1"/>
  <c r="F11" i="119"/>
  <c r="G11" i="119" s="1"/>
  <c r="F10" i="119"/>
  <c r="G10" i="119" s="1"/>
  <c r="F9" i="119"/>
  <c r="F8" i="119"/>
  <c r="G8" i="119" s="1"/>
  <c r="D6" i="119"/>
  <c r="E6" i="119" s="1"/>
  <c r="F6" i="119" s="1"/>
  <c r="G6" i="119" s="1"/>
  <c r="H6" i="119" s="1"/>
  <c r="I6" i="119" s="1"/>
  <c r="J6" i="119" s="1"/>
  <c r="K6" i="119" s="1"/>
  <c r="L6" i="119" s="1"/>
  <c r="M6" i="119" s="1"/>
  <c r="N6" i="119" s="1"/>
  <c r="O6" i="119" s="1"/>
  <c r="P6" i="119" s="1"/>
  <c r="Q6" i="119" s="1"/>
  <c r="R6" i="119" s="1"/>
  <c r="S6" i="119" s="1"/>
  <c r="T6" i="119" s="1"/>
  <c r="U6" i="119" s="1"/>
  <c r="V6" i="119" s="1"/>
  <c r="W6" i="119" s="1"/>
  <c r="AD77" i="118"/>
  <c r="O77" i="118"/>
  <c r="F76" i="118"/>
  <c r="F75" i="118"/>
  <c r="F74" i="118"/>
  <c r="G74" i="118" s="1"/>
  <c r="F73" i="118"/>
  <c r="G73" i="118" s="1"/>
  <c r="F72" i="118"/>
  <c r="F71" i="118"/>
  <c r="F70" i="118"/>
  <c r="G70" i="118" s="1"/>
  <c r="F69" i="118"/>
  <c r="G69" i="118" s="1"/>
  <c r="F68" i="118"/>
  <c r="F67" i="118"/>
  <c r="F66" i="118"/>
  <c r="G66" i="118" s="1"/>
  <c r="F65" i="118"/>
  <c r="G65" i="118" s="1"/>
  <c r="F64" i="118"/>
  <c r="F63" i="118"/>
  <c r="F62" i="118"/>
  <c r="G62" i="118" s="1"/>
  <c r="F61" i="118"/>
  <c r="G61" i="118" s="1"/>
  <c r="F60" i="118"/>
  <c r="F59" i="118"/>
  <c r="F58" i="118"/>
  <c r="G58" i="118" s="1"/>
  <c r="F57" i="118"/>
  <c r="G57" i="118" s="1"/>
  <c r="F56" i="118"/>
  <c r="F55" i="118"/>
  <c r="F54" i="118"/>
  <c r="G54" i="118" s="1"/>
  <c r="F53" i="118"/>
  <c r="G53" i="118" s="1"/>
  <c r="F52" i="118"/>
  <c r="F51" i="118"/>
  <c r="G51" i="118" s="1"/>
  <c r="F50" i="118"/>
  <c r="G50" i="118" s="1"/>
  <c r="F49" i="118"/>
  <c r="G49" i="118" s="1"/>
  <c r="F48" i="118"/>
  <c r="F47" i="118"/>
  <c r="F46" i="118"/>
  <c r="G46" i="118" s="1"/>
  <c r="F45" i="118"/>
  <c r="F44" i="118"/>
  <c r="F43" i="118"/>
  <c r="G43" i="118" s="1"/>
  <c r="F42" i="118"/>
  <c r="G42" i="118" s="1"/>
  <c r="F41" i="118"/>
  <c r="G41" i="118" s="1"/>
  <c r="F40" i="118"/>
  <c r="G40" i="118" s="1"/>
  <c r="F39" i="118"/>
  <c r="G39" i="118" s="1"/>
  <c r="F38" i="118"/>
  <c r="G38" i="118" s="1"/>
  <c r="F37" i="118"/>
  <c r="G37" i="118" s="1"/>
  <c r="F36" i="118"/>
  <c r="G36" i="118" s="1"/>
  <c r="F35" i="118"/>
  <c r="G35" i="118" s="1"/>
  <c r="F34" i="118"/>
  <c r="F33" i="118"/>
  <c r="G33" i="118"/>
  <c r="F32" i="118"/>
  <c r="G32" i="118" s="1"/>
  <c r="F31" i="118"/>
  <c r="G31" i="118" s="1"/>
  <c r="F30" i="118"/>
  <c r="G30" i="118" s="1"/>
  <c r="F29" i="118"/>
  <c r="G29" i="118" s="1"/>
  <c r="F28" i="118"/>
  <c r="G28" i="118" s="1"/>
  <c r="F27" i="118"/>
  <c r="G27" i="118" s="1"/>
  <c r="F26" i="118"/>
  <c r="F25" i="118"/>
  <c r="G25" i="118" s="1"/>
  <c r="F24" i="118"/>
  <c r="G24" i="118" s="1"/>
  <c r="F23" i="118"/>
  <c r="G23" i="118" s="1"/>
  <c r="F22" i="118"/>
  <c r="G22" i="118" s="1"/>
  <c r="F21" i="118"/>
  <c r="G21" i="118" s="1"/>
  <c r="F20" i="118"/>
  <c r="G20" i="118" s="1"/>
  <c r="F19" i="118"/>
  <c r="G19" i="118" s="1"/>
  <c r="F18" i="118"/>
  <c r="G18" i="118" s="1"/>
  <c r="F17" i="118"/>
  <c r="G17" i="118" s="1"/>
  <c r="F16" i="118"/>
  <c r="G16" i="118" s="1"/>
  <c r="F15" i="118"/>
  <c r="G15" i="118" s="1"/>
  <c r="F14" i="118"/>
  <c r="G14" i="118" s="1"/>
  <c r="F13" i="118"/>
  <c r="G13" i="118"/>
  <c r="F12" i="118"/>
  <c r="G12" i="118" s="1"/>
  <c r="F11" i="118"/>
  <c r="G11" i="118" s="1"/>
  <c r="F10" i="118"/>
  <c r="F9" i="118"/>
  <c r="G9" i="118" s="1"/>
  <c r="F8" i="118"/>
  <c r="E6" i="118"/>
  <c r="F6" i="118" s="1"/>
  <c r="G6" i="118" s="1"/>
  <c r="H6" i="118" s="1"/>
  <c r="I6" i="118" s="1"/>
  <c r="J6" i="118" s="1"/>
  <c r="K6" i="118" s="1"/>
  <c r="L6" i="118" s="1"/>
  <c r="M6" i="118" s="1"/>
  <c r="N6" i="118" s="1"/>
  <c r="O6" i="118" s="1"/>
  <c r="P6" i="118" s="1"/>
  <c r="C77" i="117"/>
  <c r="F76" i="117"/>
  <c r="F75" i="117"/>
  <c r="F74" i="117"/>
  <c r="F73" i="117"/>
  <c r="F72" i="117"/>
  <c r="F71" i="117"/>
  <c r="F70" i="117"/>
  <c r="F69" i="117"/>
  <c r="F68" i="117"/>
  <c r="F67" i="117"/>
  <c r="F66" i="117"/>
  <c r="F65" i="117"/>
  <c r="F64" i="117"/>
  <c r="F63" i="117"/>
  <c r="F62" i="117"/>
  <c r="F61" i="117"/>
  <c r="F60" i="117"/>
  <c r="F59" i="117"/>
  <c r="F58" i="117"/>
  <c r="F57" i="117"/>
  <c r="F56" i="117"/>
  <c r="F55" i="117"/>
  <c r="F54" i="117"/>
  <c r="F53" i="117"/>
  <c r="F52" i="117"/>
  <c r="F51" i="117"/>
  <c r="F50" i="117"/>
  <c r="F49" i="117"/>
  <c r="F48" i="117"/>
  <c r="F47" i="117"/>
  <c r="F46" i="117"/>
  <c r="F45" i="117"/>
  <c r="F44" i="117"/>
  <c r="F43" i="117"/>
  <c r="F42" i="117"/>
  <c r="F41" i="117"/>
  <c r="F40" i="117"/>
  <c r="F39" i="117"/>
  <c r="F38" i="117"/>
  <c r="F37" i="117"/>
  <c r="F36" i="117"/>
  <c r="F35" i="117"/>
  <c r="F34" i="117"/>
  <c r="F33" i="117"/>
  <c r="F32" i="117"/>
  <c r="F31" i="117"/>
  <c r="F30" i="117"/>
  <c r="F29" i="117"/>
  <c r="F28" i="117"/>
  <c r="F27" i="117"/>
  <c r="F26" i="117"/>
  <c r="F25" i="117"/>
  <c r="AF77" i="117"/>
  <c r="O77" i="117"/>
  <c r="F24" i="117"/>
  <c r="F23" i="117"/>
  <c r="F22" i="117"/>
  <c r="F21" i="117"/>
  <c r="F20" i="117"/>
  <c r="F19" i="117"/>
  <c r="F18" i="117"/>
  <c r="F17" i="117"/>
  <c r="F16" i="117"/>
  <c r="F15" i="117"/>
  <c r="F14" i="117"/>
  <c r="F13" i="117"/>
  <c r="F12" i="117"/>
  <c r="F11" i="117"/>
  <c r="F10" i="117"/>
  <c r="F9" i="117"/>
  <c r="F8" i="117"/>
  <c r="D6" i="117"/>
  <c r="E6" i="117" s="1"/>
  <c r="F6" i="117" s="1"/>
  <c r="G6" i="117" s="1"/>
  <c r="H6" i="117" s="1"/>
  <c r="I6" i="117" s="1"/>
  <c r="J6" i="117" s="1"/>
  <c r="K6" i="117" s="1"/>
  <c r="L6" i="117" s="1"/>
  <c r="M6" i="117" s="1"/>
  <c r="N6" i="117" s="1"/>
  <c r="O6" i="117" s="1"/>
  <c r="P6" i="117" s="1"/>
  <c r="Q6" i="117" s="1"/>
  <c r="R6" i="117" s="1"/>
  <c r="S6" i="117" s="1"/>
  <c r="T6" i="117" s="1"/>
  <c r="U6" i="117" s="1"/>
  <c r="V6" i="117" s="1"/>
  <c r="W6" i="117" s="1"/>
  <c r="X6" i="117" s="1"/>
  <c r="Y6" i="117" s="1"/>
  <c r="C77" i="116"/>
  <c r="F76" i="116"/>
  <c r="F75" i="116"/>
  <c r="F74" i="116"/>
  <c r="F73" i="116"/>
  <c r="F72" i="116"/>
  <c r="F71" i="116"/>
  <c r="F70" i="116"/>
  <c r="F69" i="116"/>
  <c r="F68" i="116"/>
  <c r="F67" i="116"/>
  <c r="F66" i="116"/>
  <c r="F65" i="116"/>
  <c r="F64" i="116"/>
  <c r="F63" i="116"/>
  <c r="F62" i="116"/>
  <c r="F61" i="116"/>
  <c r="F60" i="116"/>
  <c r="F59" i="116"/>
  <c r="F58" i="116"/>
  <c r="F57" i="116"/>
  <c r="F56" i="116"/>
  <c r="F55" i="116"/>
  <c r="F54" i="116"/>
  <c r="F53" i="116"/>
  <c r="F52" i="116"/>
  <c r="F51" i="116"/>
  <c r="F50" i="116"/>
  <c r="F49" i="116"/>
  <c r="F48" i="116"/>
  <c r="F47" i="116"/>
  <c r="F46" i="116"/>
  <c r="F45" i="116"/>
  <c r="F44" i="116"/>
  <c r="F43" i="116"/>
  <c r="F42" i="116"/>
  <c r="F41" i="116"/>
  <c r="F40" i="116"/>
  <c r="F39" i="116"/>
  <c r="F38" i="116"/>
  <c r="F37" i="116"/>
  <c r="F36" i="116"/>
  <c r="F35" i="116"/>
  <c r="F34" i="116"/>
  <c r="F33" i="116"/>
  <c r="F32" i="116"/>
  <c r="F31" i="116"/>
  <c r="F30" i="116"/>
  <c r="F29" i="116"/>
  <c r="F28" i="116"/>
  <c r="F27" i="116"/>
  <c r="F26" i="116"/>
  <c r="F25" i="116"/>
  <c r="F24" i="116"/>
  <c r="F23" i="116"/>
  <c r="F22" i="116"/>
  <c r="F21" i="116"/>
  <c r="F20" i="116"/>
  <c r="F19" i="116"/>
  <c r="F18" i="116"/>
  <c r="F17" i="116"/>
  <c r="F16" i="116"/>
  <c r="F15" i="116"/>
  <c r="F14" i="116"/>
  <c r="F13" i="116"/>
  <c r="F12" i="116"/>
  <c r="F11" i="116"/>
  <c r="F10" i="116"/>
  <c r="F9" i="116"/>
  <c r="F8" i="116"/>
  <c r="D6" i="116"/>
  <c r="E6" i="116" s="1"/>
  <c r="F6" i="116" s="1"/>
  <c r="G6" i="116" s="1"/>
  <c r="H6" i="116" s="1"/>
  <c r="I6" i="116" s="1"/>
  <c r="J6" i="116" s="1"/>
  <c r="K6" i="116" s="1"/>
  <c r="L6" i="116" s="1"/>
  <c r="M6" i="116" s="1"/>
  <c r="N6" i="116" s="1"/>
  <c r="O6" i="116" s="1"/>
  <c r="P6" i="116" s="1"/>
  <c r="Q6" i="116" s="1"/>
  <c r="R6" i="116" s="1"/>
  <c r="S6" i="116" s="1"/>
  <c r="T6" i="116" s="1"/>
  <c r="U6" i="116" s="1"/>
  <c r="V6" i="116" s="1"/>
  <c r="W6" i="116" s="1"/>
  <c r="O77" i="115"/>
  <c r="F76" i="115"/>
  <c r="G76" i="115" s="1"/>
  <c r="F75" i="115"/>
  <c r="G75" i="115" s="1"/>
  <c r="F74" i="115"/>
  <c r="G74" i="115" s="1"/>
  <c r="F73" i="115"/>
  <c r="G73" i="115" s="1"/>
  <c r="F72" i="115"/>
  <c r="G72" i="115" s="1"/>
  <c r="F71" i="115"/>
  <c r="G71" i="115" s="1"/>
  <c r="F70" i="115"/>
  <c r="G70" i="115" s="1"/>
  <c r="F69" i="115"/>
  <c r="G69" i="115" s="1"/>
  <c r="F68" i="115"/>
  <c r="G68" i="115" s="1"/>
  <c r="F67" i="115"/>
  <c r="G67" i="115" s="1"/>
  <c r="F66" i="115"/>
  <c r="G66" i="115" s="1"/>
  <c r="F65" i="115"/>
  <c r="G65" i="115" s="1"/>
  <c r="F64" i="115"/>
  <c r="G64" i="115" s="1"/>
  <c r="F63" i="115"/>
  <c r="G63" i="115" s="1"/>
  <c r="F62" i="115"/>
  <c r="G62" i="115" s="1"/>
  <c r="F61" i="115"/>
  <c r="G61" i="115" s="1"/>
  <c r="F60" i="115"/>
  <c r="F59" i="115"/>
  <c r="G59" i="115" s="1"/>
  <c r="F58" i="115"/>
  <c r="G58" i="115" s="1"/>
  <c r="F57" i="115"/>
  <c r="G57" i="115" s="1"/>
  <c r="F56" i="115"/>
  <c r="G56" i="115" s="1"/>
  <c r="F55" i="115"/>
  <c r="G55" i="115" s="1"/>
  <c r="F54" i="115"/>
  <c r="G54" i="115" s="1"/>
  <c r="F53" i="115"/>
  <c r="G53" i="115" s="1"/>
  <c r="F52" i="115"/>
  <c r="G52" i="115" s="1"/>
  <c r="F51" i="115"/>
  <c r="F50" i="115"/>
  <c r="G50" i="115" s="1"/>
  <c r="F49" i="115"/>
  <c r="G49" i="115" s="1"/>
  <c r="F48" i="115"/>
  <c r="G48" i="115" s="1"/>
  <c r="F47" i="115"/>
  <c r="F46" i="115"/>
  <c r="G46" i="115" s="1"/>
  <c r="F45" i="115"/>
  <c r="G45" i="115" s="1"/>
  <c r="F44" i="115"/>
  <c r="G44" i="115" s="1"/>
  <c r="F43" i="115"/>
  <c r="F42" i="115"/>
  <c r="F41" i="115"/>
  <c r="G41" i="115" s="1"/>
  <c r="F40" i="115"/>
  <c r="G40" i="115" s="1"/>
  <c r="F39" i="115"/>
  <c r="G39" i="115" s="1"/>
  <c r="F38" i="115"/>
  <c r="G38" i="115" s="1"/>
  <c r="F37" i="115"/>
  <c r="G37" i="115" s="1"/>
  <c r="F36" i="115"/>
  <c r="G36" i="115" s="1"/>
  <c r="F35" i="115"/>
  <c r="G35" i="115" s="1"/>
  <c r="F34" i="115"/>
  <c r="G34" i="115" s="1"/>
  <c r="F33" i="115"/>
  <c r="G33" i="115" s="1"/>
  <c r="F32" i="115"/>
  <c r="F31" i="115"/>
  <c r="G31" i="115" s="1"/>
  <c r="F30" i="115"/>
  <c r="G30" i="115" s="1"/>
  <c r="F29" i="115"/>
  <c r="G29" i="115" s="1"/>
  <c r="F28" i="115"/>
  <c r="G28" i="115" s="1"/>
  <c r="F27" i="115"/>
  <c r="G27" i="115" s="1"/>
  <c r="F26" i="115"/>
  <c r="G26" i="115"/>
  <c r="F25" i="115"/>
  <c r="G25" i="115" s="1"/>
  <c r="AD77" i="115"/>
  <c r="F24" i="115"/>
  <c r="F23" i="115"/>
  <c r="G23" i="115" s="1"/>
  <c r="F22" i="115"/>
  <c r="G22" i="115" s="1"/>
  <c r="F21" i="115"/>
  <c r="G21" i="115" s="1"/>
  <c r="F20" i="115"/>
  <c r="G20" i="115" s="1"/>
  <c r="F19" i="115"/>
  <c r="G19" i="115" s="1"/>
  <c r="F18" i="115"/>
  <c r="G18" i="115" s="1"/>
  <c r="F17" i="115"/>
  <c r="G17" i="115" s="1"/>
  <c r="F16" i="115"/>
  <c r="G16" i="115" s="1"/>
  <c r="F15" i="115"/>
  <c r="G15" i="115" s="1"/>
  <c r="F14" i="115"/>
  <c r="G14" i="115" s="1"/>
  <c r="F13" i="115"/>
  <c r="G13" i="115" s="1"/>
  <c r="F12" i="115"/>
  <c r="G12" i="115" s="1"/>
  <c r="F11" i="115"/>
  <c r="G11" i="115" s="1"/>
  <c r="F10" i="115"/>
  <c r="G10" i="115" s="1"/>
  <c r="F9" i="115"/>
  <c r="G9" i="115" s="1"/>
  <c r="F8" i="115"/>
  <c r="G8" i="115" s="1"/>
  <c r="D6" i="115"/>
  <c r="E6" i="115" s="1"/>
  <c r="F6" i="115" s="1"/>
  <c r="G6" i="115" s="1"/>
  <c r="H6" i="115" s="1"/>
  <c r="O78" i="114"/>
  <c r="AD78" i="114"/>
  <c r="F77" i="114"/>
  <c r="F76" i="114"/>
  <c r="F75" i="114"/>
  <c r="F74" i="114"/>
  <c r="F73" i="114"/>
  <c r="F72" i="114"/>
  <c r="F71" i="114"/>
  <c r="F70" i="114"/>
  <c r="F69" i="114"/>
  <c r="F68" i="114"/>
  <c r="F67" i="114"/>
  <c r="F66" i="114"/>
  <c r="F65" i="114"/>
  <c r="F64" i="114"/>
  <c r="F63" i="114"/>
  <c r="F62" i="114"/>
  <c r="F61" i="114"/>
  <c r="F60" i="114"/>
  <c r="F59" i="114"/>
  <c r="F58" i="114"/>
  <c r="F57" i="114"/>
  <c r="F56" i="114"/>
  <c r="F55" i="114"/>
  <c r="F54" i="114"/>
  <c r="F53" i="114"/>
  <c r="F52" i="114"/>
  <c r="F51" i="114"/>
  <c r="F50" i="114"/>
  <c r="F49" i="114"/>
  <c r="F48" i="114"/>
  <c r="F47" i="114"/>
  <c r="F46" i="114"/>
  <c r="F45" i="114"/>
  <c r="F44" i="114"/>
  <c r="F43" i="114"/>
  <c r="F42" i="114"/>
  <c r="F41" i="114"/>
  <c r="F40" i="114"/>
  <c r="F39" i="114"/>
  <c r="F38" i="114"/>
  <c r="F37" i="114"/>
  <c r="F36" i="114"/>
  <c r="F35" i="114"/>
  <c r="F34" i="114"/>
  <c r="F33" i="114"/>
  <c r="F32" i="114"/>
  <c r="F31" i="114"/>
  <c r="F30" i="114"/>
  <c r="F29" i="114"/>
  <c r="F28" i="114"/>
  <c r="F27" i="114"/>
  <c r="F26" i="114"/>
  <c r="F25" i="114"/>
  <c r="F24" i="114"/>
  <c r="F23" i="114"/>
  <c r="F22" i="114"/>
  <c r="F21" i="114"/>
  <c r="F20" i="114"/>
  <c r="F19" i="114"/>
  <c r="F18" i="114"/>
  <c r="F17" i="114"/>
  <c r="G17" i="114" s="1"/>
  <c r="F16" i="114"/>
  <c r="F15" i="114"/>
  <c r="F14" i="114"/>
  <c r="F13" i="114"/>
  <c r="F12" i="114"/>
  <c r="F11" i="114"/>
  <c r="F10" i="114"/>
  <c r="F9" i="114"/>
  <c r="F8" i="114"/>
  <c r="D6" i="114"/>
  <c r="E6" i="114" s="1"/>
  <c r="F6" i="114" s="1"/>
  <c r="G6" i="114" s="1"/>
  <c r="H6" i="114" s="1"/>
  <c r="I6" i="114" s="1"/>
  <c r="J6" i="114" s="1"/>
  <c r="K6" i="114" s="1"/>
  <c r="L6" i="114" s="1"/>
  <c r="M6" i="114" s="1"/>
  <c r="N6" i="114" s="1"/>
  <c r="O6" i="114" s="1"/>
  <c r="P6" i="114" s="1"/>
  <c r="Q6" i="114" s="1"/>
  <c r="R6" i="114" s="1"/>
  <c r="S6" i="114" s="1"/>
  <c r="T6" i="114" s="1"/>
  <c r="U6" i="114" s="1"/>
  <c r="V6" i="114" s="1"/>
  <c r="W6" i="114" s="1"/>
  <c r="O77" i="113"/>
  <c r="F46" i="113"/>
  <c r="F43" i="113"/>
  <c r="F24" i="113"/>
  <c r="F76" i="113"/>
  <c r="F75" i="113"/>
  <c r="F74" i="113"/>
  <c r="F73" i="113"/>
  <c r="F72" i="113"/>
  <c r="F71" i="113"/>
  <c r="F70" i="113"/>
  <c r="F69" i="113"/>
  <c r="F68" i="113"/>
  <c r="F67" i="113"/>
  <c r="F66" i="113"/>
  <c r="F65" i="113"/>
  <c r="F64" i="113"/>
  <c r="F63" i="113"/>
  <c r="F62" i="113"/>
  <c r="F61" i="113"/>
  <c r="F60" i="113"/>
  <c r="F59" i="113"/>
  <c r="F58" i="113"/>
  <c r="F57" i="113"/>
  <c r="F56" i="113"/>
  <c r="F55" i="113"/>
  <c r="F54" i="113"/>
  <c r="F53" i="113"/>
  <c r="F52" i="113"/>
  <c r="F51" i="113"/>
  <c r="F50" i="113"/>
  <c r="F49" i="113"/>
  <c r="F48" i="113"/>
  <c r="F47" i="113"/>
  <c r="F45" i="113"/>
  <c r="F44" i="113"/>
  <c r="F42" i="113"/>
  <c r="F41" i="113"/>
  <c r="F40" i="113"/>
  <c r="F39" i="113"/>
  <c r="F38" i="113"/>
  <c r="F37" i="113"/>
  <c r="F36" i="113"/>
  <c r="F35" i="113"/>
  <c r="F34" i="113"/>
  <c r="F33" i="113"/>
  <c r="F32" i="113"/>
  <c r="F31" i="113"/>
  <c r="F30" i="113"/>
  <c r="F29" i="113"/>
  <c r="F28" i="113"/>
  <c r="F27" i="113"/>
  <c r="F26" i="113"/>
  <c r="F25" i="113"/>
  <c r="F23" i="113"/>
  <c r="F22" i="113"/>
  <c r="F21" i="113"/>
  <c r="F20" i="113"/>
  <c r="F19" i="113"/>
  <c r="F18" i="113"/>
  <c r="F17" i="113"/>
  <c r="F16" i="113"/>
  <c r="F15" i="113"/>
  <c r="F14" i="113"/>
  <c r="F13" i="113"/>
  <c r="F12" i="113"/>
  <c r="F11" i="113"/>
  <c r="F10" i="113"/>
  <c r="F9" i="113"/>
  <c r="F8" i="113"/>
  <c r="AD77" i="113"/>
  <c r="C77" i="113"/>
  <c r="D6" i="113"/>
  <c r="E6" i="113" s="1"/>
  <c r="F6" i="113" s="1"/>
  <c r="G6" i="113" s="1"/>
  <c r="H6" i="113" s="1"/>
  <c r="I6" i="113" s="1"/>
  <c r="J6" i="113" s="1"/>
  <c r="K6" i="113" s="1"/>
  <c r="L6" i="113" s="1"/>
  <c r="M6" i="113" s="1"/>
  <c r="N6" i="113" s="1"/>
  <c r="O6" i="113" s="1"/>
  <c r="P6" i="113" s="1"/>
  <c r="Q6" i="113" s="1"/>
  <c r="R6" i="113" s="1"/>
  <c r="S6" i="113" s="1"/>
  <c r="T6" i="113" s="1"/>
  <c r="U6" i="113" s="1"/>
  <c r="V6" i="113" s="1"/>
  <c r="W6" i="113" s="1"/>
  <c r="X6" i="113" s="1"/>
  <c r="Y6" i="113" s="1"/>
  <c r="Z6" i="113" s="1"/>
  <c r="AA6" i="113" s="1"/>
  <c r="AB6" i="113" s="1"/>
  <c r="AC6" i="113" s="1"/>
  <c r="AD6" i="113" s="1"/>
  <c r="AE6" i="113" s="1"/>
  <c r="AF6" i="113" s="1"/>
  <c r="AG6" i="113" s="1"/>
  <c r="AH6" i="113" s="1"/>
  <c r="AI6" i="113" s="1"/>
  <c r="AJ6" i="113" s="1"/>
  <c r="C77" i="115"/>
  <c r="C78" i="114"/>
  <c r="G32" i="114"/>
  <c r="G51" i="115"/>
  <c r="G32" i="115"/>
  <c r="G26" i="118"/>
  <c r="G34" i="118"/>
  <c r="G60" i="115"/>
  <c r="G9" i="120"/>
  <c r="G31" i="120"/>
  <c r="G32" i="120"/>
  <c r="G39" i="120"/>
  <c r="G63" i="120"/>
  <c r="G64" i="120"/>
  <c r="G66" i="120"/>
  <c r="G67" i="120"/>
  <c r="G71" i="120"/>
  <c r="G75" i="120"/>
  <c r="C77" i="119"/>
  <c r="G9" i="119"/>
  <c r="G13" i="119"/>
  <c r="G17" i="119"/>
  <c r="G21" i="119"/>
  <c r="G25" i="119"/>
  <c r="G29" i="119"/>
  <c r="G30" i="119"/>
  <c r="G33" i="119"/>
  <c r="G45" i="119"/>
  <c r="G53" i="119"/>
  <c r="G56" i="119"/>
  <c r="G71" i="119"/>
  <c r="G73" i="119"/>
  <c r="G75" i="119"/>
  <c r="C77" i="118"/>
  <c r="G8" i="118"/>
  <c r="G10" i="118"/>
  <c r="G47" i="118"/>
  <c r="G45" i="118"/>
  <c r="G44" i="118"/>
  <c r="G48" i="118"/>
  <c r="G52" i="118"/>
  <c r="G55" i="118"/>
  <c r="G56" i="118"/>
  <c r="G59" i="118"/>
  <c r="G60" i="118"/>
  <c r="G63" i="118"/>
  <c r="G64" i="118"/>
  <c r="G67" i="118"/>
  <c r="G68" i="118"/>
  <c r="G71" i="118"/>
  <c r="G72" i="118"/>
  <c r="G75" i="118"/>
  <c r="G76" i="118"/>
  <c r="G44" i="117"/>
  <c r="G13" i="117"/>
  <c r="G19" i="117"/>
  <c r="G23" i="117"/>
  <c r="G25" i="117"/>
  <c r="G29" i="117"/>
  <c r="G31" i="117"/>
  <c r="G46" i="117"/>
  <c r="G56" i="117"/>
  <c r="G60" i="117"/>
  <c r="G69" i="117"/>
  <c r="G72" i="117"/>
  <c r="G74" i="117"/>
  <c r="G76" i="117"/>
  <c r="G8" i="116"/>
  <c r="G11" i="116"/>
  <c r="G12" i="116"/>
  <c r="G15" i="116"/>
  <c r="G16" i="116"/>
  <c r="G19" i="116"/>
  <c r="G20" i="116"/>
  <c r="G23" i="116"/>
  <c r="G24" i="116"/>
  <c r="G27" i="116"/>
  <c r="G28" i="116"/>
  <c r="G31" i="116"/>
  <c r="G32" i="116"/>
  <c r="G35" i="116"/>
  <c r="G36" i="116"/>
  <c r="G45" i="116"/>
  <c r="G53" i="116"/>
  <c r="G63" i="116"/>
  <c r="G75" i="116"/>
  <c r="G24" i="115"/>
  <c r="G42" i="115"/>
  <c r="G43" i="115"/>
  <c r="G47" i="115"/>
  <c r="G51" i="114"/>
  <c r="G55" i="114"/>
  <c r="G59" i="114"/>
  <c r="G63" i="114"/>
  <c r="G67" i="114"/>
  <c r="G70" i="114"/>
  <c r="G71" i="114"/>
  <c r="G75" i="114"/>
  <c r="E4" i="100"/>
  <c r="F4" i="100" s="1"/>
  <c r="G4" i="100" s="1"/>
  <c r="H4" i="100" s="1"/>
  <c r="I4" i="100" s="1"/>
  <c r="J4" i="100" s="1"/>
  <c r="K4" i="100" s="1"/>
  <c r="L4" i="100" s="1"/>
  <c r="M4" i="100" s="1"/>
  <c r="N4" i="100" s="1"/>
  <c r="O4" i="100" s="1"/>
  <c r="P4" i="100" s="1"/>
  <c r="Q4" i="100" s="1"/>
  <c r="R4" i="100" s="1"/>
  <c r="S4" i="100" s="1"/>
  <c r="R76" i="67"/>
  <c r="R75" i="67"/>
  <c r="R74" i="67"/>
  <c r="R72" i="67"/>
  <c r="R71" i="67"/>
  <c r="R70" i="67"/>
  <c r="R69" i="67"/>
  <c r="R68" i="67"/>
  <c r="R67" i="67"/>
  <c r="R66" i="67"/>
  <c r="R65" i="67"/>
  <c r="R64" i="67"/>
  <c r="R63" i="67"/>
  <c r="R61" i="67"/>
  <c r="R60" i="67"/>
  <c r="R59" i="67"/>
  <c r="R58" i="67"/>
  <c r="R57" i="67"/>
  <c r="R55" i="67"/>
  <c r="R54" i="67"/>
  <c r="R53" i="67"/>
  <c r="R52" i="67"/>
  <c r="R51" i="67"/>
  <c r="R50" i="67"/>
  <c r="R49" i="67"/>
  <c r="R48" i="67"/>
  <c r="R46" i="67"/>
  <c r="R45" i="67"/>
  <c r="R42" i="67"/>
  <c r="R41" i="67"/>
  <c r="R40" i="67"/>
  <c r="R39" i="67"/>
  <c r="R37" i="67"/>
  <c r="R35" i="67"/>
  <c r="R34" i="67"/>
  <c r="R32" i="67"/>
  <c r="R31" i="67"/>
  <c r="R29" i="67"/>
  <c r="R28" i="67"/>
  <c r="R26" i="67"/>
  <c r="R25" i="67"/>
  <c r="R23" i="67"/>
  <c r="R22" i="67"/>
  <c r="R21" i="67"/>
  <c r="R20" i="67"/>
  <c r="R19" i="67"/>
  <c r="R18" i="67"/>
  <c r="R15" i="67"/>
  <c r="R14" i="67"/>
  <c r="R13" i="67"/>
  <c r="R12" i="67"/>
  <c r="R11" i="67"/>
  <c r="R10" i="67"/>
  <c r="R9" i="67"/>
  <c r="R8" i="67"/>
  <c r="H76" i="67"/>
  <c r="H75" i="67"/>
  <c r="H74" i="67"/>
  <c r="H72" i="67"/>
  <c r="H71" i="67"/>
  <c r="H70" i="67"/>
  <c r="H69" i="67"/>
  <c r="H68" i="67"/>
  <c r="H67" i="67"/>
  <c r="H66" i="67"/>
  <c r="H65" i="67"/>
  <c r="H64" i="67"/>
  <c r="H63" i="67"/>
  <c r="H61" i="67"/>
  <c r="H60" i="67"/>
  <c r="H59" i="67"/>
  <c r="H58" i="67"/>
  <c r="H57" i="67"/>
  <c r="H55" i="67"/>
  <c r="H54" i="67"/>
  <c r="H53" i="67"/>
  <c r="H52" i="67"/>
  <c r="H51" i="67"/>
  <c r="H50" i="67"/>
  <c r="H49" i="67"/>
  <c r="H48" i="67"/>
  <c r="H46" i="67"/>
  <c r="H45" i="67"/>
  <c r="H42" i="67"/>
  <c r="H41" i="67"/>
  <c r="H40" i="67"/>
  <c r="H39" i="67"/>
  <c r="H37" i="67"/>
  <c r="H35" i="67"/>
  <c r="H34" i="67"/>
  <c r="H32" i="67"/>
  <c r="H31" i="67"/>
  <c r="H29" i="67"/>
  <c r="H28" i="67"/>
  <c r="H26" i="67"/>
  <c r="H25" i="67"/>
  <c r="H23" i="67"/>
  <c r="H22" i="67"/>
  <c r="H21" i="67"/>
  <c r="H20" i="67"/>
  <c r="H19" i="67"/>
  <c r="H18" i="67"/>
  <c r="H15" i="67"/>
  <c r="H14" i="67"/>
  <c r="H13" i="67"/>
  <c r="H12" i="67"/>
  <c r="H11" i="67"/>
  <c r="H10" i="67"/>
  <c r="H9" i="67"/>
  <c r="H8" i="67"/>
  <c r="G78" i="81"/>
  <c r="G16" i="46"/>
  <c r="H17" i="81"/>
  <c r="H16" i="81"/>
  <c r="G16" i="1"/>
  <c r="E16" i="1"/>
  <c r="E28" i="1"/>
  <c r="G9" i="1"/>
  <c r="G13" i="1"/>
  <c r="E13" i="1"/>
  <c r="G17" i="1"/>
  <c r="E17" i="1"/>
  <c r="G21" i="1"/>
  <c r="E21" i="1"/>
  <c r="G25" i="1"/>
  <c r="E25" i="1"/>
  <c r="G29" i="1"/>
  <c r="E29" i="1"/>
  <c r="G33" i="1"/>
  <c r="E33" i="1"/>
  <c r="G37" i="1"/>
  <c r="E37" i="1"/>
  <c r="G41" i="1"/>
  <c r="E41" i="1"/>
  <c r="G45" i="1"/>
  <c r="E45" i="1"/>
  <c r="G49" i="1"/>
  <c r="E49" i="1"/>
  <c r="G53" i="1"/>
  <c r="E53" i="1"/>
  <c r="G57" i="1"/>
  <c r="G61" i="1"/>
  <c r="E61" i="1"/>
  <c r="G65" i="1"/>
  <c r="E65" i="1"/>
  <c r="G69" i="1"/>
  <c r="E69" i="1"/>
  <c r="G73" i="1"/>
  <c r="E73" i="1"/>
  <c r="G14" i="1"/>
  <c r="G22" i="1"/>
  <c r="G34" i="1"/>
  <c r="G42" i="1"/>
  <c r="G46" i="1"/>
  <c r="G50" i="1"/>
  <c r="G54" i="1"/>
  <c r="G58" i="1"/>
  <c r="G62" i="1"/>
  <c r="G66" i="1"/>
  <c r="G70" i="1"/>
  <c r="G74" i="1"/>
  <c r="G10" i="1"/>
  <c r="G18" i="1"/>
  <c r="G26" i="1"/>
  <c r="G30" i="1"/>
  <c r="G38" i="1"/>
  <c r="E11" i="1"/>
  <c r="G11" i="1"/>
  <c r="G15" i="1"/>
  <c r="G19" i="1"/>
  <c r="G23" i="1"/>
  <c r="G27" i="1"/>
  <c r="G31" i="1"/>
  <c r="G35" i="1"/>
  <c r="G39" i="1"/>
  <c r="E43" i="1"/>
  <c r="G43" i="1"/>
  <c r="G47" i="1"/>
  <c r="G51" i="1"/>
  <c r="G55" i="1"/>
  <c r="G59" i="1"/>
  <c r="G63" i="1"/>
  <c r="G67" i="1"/>
  <c r="G71" i="1"/>
  <c r="E75" i="1"/>
  <c r="G75" i="1"/>
  <c r="E12" i="1"/>
  <c r="E24" i="1"/>
  <c r="E40" i="1"/>
  <c r="E44" i="1"/>
  <c r="E48" i="1"/>
  <c r="E52" i="1"/>
  <c r="E56" i="1"/>
  <c r="E60" i="1"/>
  <c r="E64" i="1"/>
  <c r="E72" i="1"/>
  <c r="G76" i="1"/>
  <c r="AE75" i="80"/>
  <c r="AE79" i="80" s="1"/>
  <c r="P75" i="80"/>
  <c r="P79" i="80" s="1"/>
  <c r="C75" i="80"/>
  <c r="C79" i="80" s="1"/>
  <c r="F44" i="80"/>
  <c r="G44" i="80" s="1"/>
  <c r="F41" i="80"/>
  <c r="G41" i="80" s="1"/>
  <c r="F22" i="80"/>
  <c r="G22" i="80" s="1"/>
  <c r="D5" i="80"/>
  <c r="E5" i="80" s="1"/>
  <c r="F5" i="80" s="1"/>
  <c r="G5" i="80" s="1"/>
  <c r="H5" i="80" s="1"/>
  <c r="I5" i="80" s="1"/>
  <c r="J5" i="80" s="1"/>
  <c r="K5" i="80" s="1"/>
  <c r="L5" i="80" s="1"/>
  <c r="M5" i="80" s="1"/>
  <c r="N5" i="80" s="1"/>
  <c r="O5" i="80" s="1"/>
  <c r="P5" i="80" s="1"/>
  <c r="Q5" i="80" s="1"/>
  <c r="C75" i="76"/>
  <c r="C79" i="76" s="1"/>
  <c r="F44" i="76"/>
  <c r="F41" i="76"/>
  <c r="F22" i="76"/>
  <c r="G29" i="31"/>
  <c r="G33" i="46"/>
  <c r="G59" i="31"/>
  <c r="G47" i="31"/>
  <c r="G41" i="31"/>
  <c r="G64" i="31"/>
  <c r="G32" i="31"/>
  <c r="G15" i="31"/>
  <c r="G7" i="31"/>
  <c r="D5" i="76"/>
  <c r="E5" i="76" s="1"/>
  <c r="F5" i="76" s="1"/>
  <c r="G5" i="76" s="1"/>
  <c r="H5" i="76" s="1"/>
  <c r="I5" i="76" s="1"/>
  <c r="J5" i="76" s="1"/>
  <c r="X76" i="13"/>
  <c r="AH77" i="13"/>
  <c r="AG77" i="13"/>
  <c r="AS76" i="72"/>
  <c r="D5" i="72"/>
  <c r="E5" i="72" s="1"/>
  <c r="F5" i="72" s="1"/>
  <c r="G5" i="72" s="1"/>
  <c r="H5" i="72" s="1"/>
  <c r="I5" i="72" s="1"/>
  <c r="Q4" i="1"/>
  <c r="Q12" i="1"/>
  <c r="E9" i="5"/>
  <c r="E8" i="5"/>
  <c r="F8" i="5" s="1"/>
  <c r="C100" i="67"/>
  <c r="C93" i="67"/>
  <c r="C96" i="67" s="1"/>
  <c r="C97" i="67" s="1"/>
  <c r="C98" i="67"/>
  <c r="C89" i="67"/>
  <c r="E82" i="67"/>
  <c r="E84" i="67" s="1"/>
  <c r="E5" i="67" s="1"/>
  <c r="D6" i="67"/>
  <c r="E6" i="67" s="1"/>
  <c r="F6" i="67" s="1"/>
  <c r="G6" i="67" s="1"/>
  <c r="G29" i="46"/>
  <c r="V77" i="13"/>
  <c r="F77" i="13"/>
  <c r="H40" i="13"/>
  <c r="D41" i="25"/>
  <c r="H38" i="13"/>
  <c r="D39" i="25"/>
  <c r="H34" i="13"/>
  <c r="D35" i="25"/>
  <c r="H32" i="13"/>
  <c r="D33" i="25"/>
  <c r="G30" i="13"/>
  <c r="H28" i="13"/>
  <c r="D29" i="25"/>
  <c r="G26" i="13"/>
  <c r="H24" i="13"/>
  <c r="D25" i="25"/>
  <c r="G22" i="13"/>
  <c r="H16" i="13"/>
  <c r="D17" i="25"/>
  <c r="G14" i="13"/>
  <c r="H12" i="13"/>
  <c r="D13" i="25"/>
  <c r="H9" i="13"/>
  <c r="D10" i="25"/>
  <c r="H13" i="13"/>
  <c r="D14" i="25"/>
  <c r="H17" i="13"/>
  <c r="D18" i="25"/>
  <c r="H21" i="13"/>
  <c r="D22" i="25"/>
  <c r="H25" i="13"/>
  <c r="D26" i="25"/>
  <c r="H29" i="13"/>
  <c r="D30" i="25"/>
  <c r="H33" i="13"/>
  <c r="D34" i="25"/>
  <c r="G37" i="13"/>
  <c r="H44" i="13"/>
  <c r="D45" i="25"/>
  <c r="H45" i="13"/>
  <c r="D46" i="25"/>
  <c r="H46" i="13"/>
  <c r="D47" i="25"/>
  <c r="H48" i="13"/>
  <c r="D49" i="25"/>
  <c r="H49" i="13"/>
  <c r="D50" i="25"/>
  <c r="G50" i="13"/>
  <c r="H52" i="13"/>
  <c r="D53" i="25"/>
  <c r="H53" i="13"/>
  <c r="D54" i="25"/>
  <c r="H54" i="13"/>
  <c r="D55" i="25"/>
  <c r="H56" i="13"/>
  <c r="D57" i="25"/>
  <c r="H57" i="13"/>
  <c r="D58" i="25"/>
  <c r="H58" i="13"/>
  <c r="D59" i="25"/>
  <c r="G60" i="13"/>
  <c r="H62" i="13"/>
  <c r="D63" i="25"/>
  <c r="H64" i="13"/>
  <c r="D65" i="25"/>
  <c r="H65" i="13"/>
  <c r="D66" i="25"/>
  <c r="G66" i="13"/>
  <c r="H69" i="13"/>
  <c r="D70" i="25"/>
  <c r="H70" i="13"/>
  <c r="D71" i="25"/>
  <c r="H72" i="13"/>
  <c r="D73" i="25"/>
  <c r="H73" i="13"/>
  <c r="D74" i="25"/>
  <c r="H74" i="13"/>
  <c r="D75" i="25"/>
  <c r="G76" i="13"/>
  <c r="I64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46" i="25"/>
  <c r="I47" i="25"/>
  <c r="I48" i="25"/>
  <c r="I49" i="25"/>
  <c r="I50" i="25"/>
  <c r="I51" i="25"/>
  <c r="I52" i="25"/>
  <c r="I53" i="25"/>
  <c r="I54" i="25"/>
  <c r="I55" i="25"/>
  <c r="I56" i="25"/>
  <c r="I57" i="25"/>
  <c r="I58" i="25"/>
  <c r="I59" i="25"/>
  <c r="I60" i="25"/>
  <c r="I61" i="25"/>
  <c r="I62" i="25"/>
  <c r="I63" i="25"/>
  <c r="I65" i="25"/>
  <c r="I66" i="25"/>
  <c r="I67" i="25"/>
  <c r="I68" i="25"/>
  <c r="I69" i="25"/>
  <c r="I70" i="25"/>
  <c r="I71" i="25"/>
  <c r="I72" i="25"/>
  <c r="I73" i="25"/>
  <c r="I74" i="25"/>
  <c r="I75" i="25"/>
  <c r="I76" i="25"/>
  <c r="I77" i="25"/>
  <c r="G12" i="46"/>
  <c r="D6" i="46"/>
  <c r="E6" i="46" s="1"/>
  <c r="F6" i="46" s="1"/>
  <c r="G6" i="46" s="1"/>
  <c r="H6" i="46" s="1"/>
  <c r="I6" i="46" s="1"/>
  <c r="J6" i="46" s="1"/>
  <c r="K6" i="46" s="1"/>
  <c r="L6" i="46" s="1"/>
  <c r="M6" i="46" s="1"/>
  <c r="N6" i="46" s="1"/>
  <c r="O6" i="46" s="1"/>
  <c r="P6" i="46" s="1"/>
  <c r="Q6" i="46" s="1"/>
  <c r="T6" i="46" s="1"/>
  <c r="U6" i="46" s="1"/>
  <c r="V6" i="46" s="1"/>
  <c r="W6" i="46" s="1"/>
  <c r="X6" i="46" s="1"/>
  <c r="Y6" i="46" s="1"/>
  <c r="Z6" i="46" s="1"/>
  <c r="AA6" i="46" s="1"/>
  <c r="AB6" i="46" s="1"/>
  <c r="AC6" i="46" s="1"/>
  <c r="AD6" i="46" s="1"/>
  <c r="AE6" i="46" s="1"/>
  <c r="AF6" i="46" s="1"/>
  <c r="AG6" i="46" s="1"/>
  <c r="AH6" i="46" s="1"/>
  <c r="AI6" i="46" s="1"/>
  <c r="E57" i="1"/>
  <c r="D6" i="31"/>
  <c r="E6" i="31" s="1"/>
  <c r="F6" i="31" s="1"/>
  <c r="G6" i="31" s="1"/>
  <c r="H6" i="31" s="1"/>
  <c r="AI76" i="13"/>
  <c r="F77" i="25"/>
  <c r="AI75" i="13"/>
  <c r="AK75" i="13"/>
  <c r="AL75" i="13"/>
  <c r="AI74" i="13"/>
  <c r="AK74" i="13"/>
  <c r="AI73" i="13"/>
  <c r="AK73" i="13"/>
  <c r="AL73" i="13"/>
  <c r="AI72" i="13"/>
  <c r="AI71" i="13"/>
  <c r="AK71" i="13"/>
  <c r="AI70" i="13"/>
  <c r="AK70" i="13"/>
  <c r="AO70" i="13"/>
  <c r="AI69" i="13"/>
  <c r="AK69" i="13"/>
  <c r="AO69" i="13"/>
  <c r="AI68" i="13"/>
  <c r="F69" i="25"/>
  <c r="AI67" i="13"/>
  <c r="AK67" i="13"/>
  <c r="AL67" i="13"/>
  <c r="AI66" i="13"/>
  <c r="AI65" i="13"/>
  <c r="AK65" i="13"/>
  <c r="AL65" i="13"/>
  <c r="AI64" i="13"/>
  <c r="AK64" i="13"/>
  <c r="AI63" i="13"/>
  <c r="AK63" i="13"/>
  <c r="AI62" i="13"/>
  <c r="AI61" i="13"/>
  <c r="AK61" i="13"/>
  <c r="AM61" i="13"/>
  <c r="G62" i="25"/>
  <c r="AI60" i="13"/>
  <c r="F61" i="25"/>
  <c r="AI59" i="13"/>
  <c r="AK59" i="13"/>
  <c r="AL59" i="13"/>
  <c r="AI58" i="13"/>
  <c r="AK58" i="13"/>
  <c r="AI57" i="13"/>
  <c r="AK57" i="13"/>
  <c r="AL57" i="13"/>
  <c r="AI56" i="13"/>
  <c r="AI55" i="13"/>
  <c r="AK55" i="13"/>
  <c r="AI54" i="13"/>
  <c r="AK54" i="13"/>
  <c r="AN54" i="13"/>
  <c r="AI53" i="13"/>
  <c r="AK53" i="13"/>
  <c r="AL53" i="13"/>
  <c r="AI52" i="13"/>
  <c r="F53" i="25"/>
  <c r="AI51" i="13"/>
  <c r="AK51" i="13"/>
  <c r="AL51" i="13"/>
  <c r="AI50" i="13"/>
  <c r="AI49" i="13"/>
  <c r="AK49" i="13"/>
  <c r="AL49" i="13"/>
  <c r="AI48" i="13"/>
  <c r="AK48" i="13"/>
  <c r="AI47" i="13"/>
  <c r="AK47" i="13"/>
  <c r="AI46" i="13"/>
  <c r="AI45" i="13"/>
  <c r="AK45" i="13"/>
  <c r="AN45" i="13"/>
  <c r="AI44" i="13"/>
  <c r="F45" i="25"/>
  <c r="AI43" i="13"/>
  <c r="AK43" i="13"/>
  <c r="AL43" i="13"/>
  <c r="AI42" i="13"/>
  <c r="AK42" i="13"/>
  <c r="AI41" i="13"/>
  <c r="AK41" i="13"/>
  <c r="AL41" i="13"/>
  <c r="AI40" i="13"/>
  <c r="AI38" i="13"/>
  <c r="AK38" i="13"/>
  <c r="AI37" i="13"/>
  <c r="AK37" i="13"/>
  <c r="AL37" i="13"/>
  <c r="AI36" i="13"/>
  <c r="AK36" i="13"/>
  <c r="AI35" i="13"/>
  <c r="AI34" i="13"/>
  <c r="AK34" i="13"/>
  <c r="AM34" i="13"/>
  <c r="G35" i="25"/>
  <c r="AI33" i="13"/>
  <c r="AI32" i="13"/>
  <c r="AK32" i="13"/>
  <c r="AN32" i="13"/>
  <c r="AI31" i="13"/>
  <c r="AK31" i="13"/>
  <c r="AI30" i="13"/>
  <c r="AK30" i="13"/>
  <c r="AI29" i="13"/>
  <c r="AK29" i="13"/>
  <c r="AL29" i="13"/>
  <c r="AI28" i="13"/>
  <c r="AK28" i="13"/>
  <c r="AI27" i="13"/>
  <c r="AI26" i="13"/>
  <c r="AK26" i="13"/>
  <c r="AN26" i="13"/>
  <c r="AI25" i="13"/>
  <c r="AK25" i="13"/>
  <c r="AI24" i="13"/>
  <c r="AI23" i="13"/>
  <c r="AK23" i="13"/>
  <c r="AN23" i="13"/>
  <c r="AI22" i="13"/>
  <c r="AK22" i="13"/>
  <c r="AI21" i="13"/>
  <c r="AK21" i="13"/>
  <c r="AN21" i="13"/>
  <c r="AI20" i="13"/>
  <c r="AK20" i="13"/>
  <c r="AL20" i="13"/>
  <c r="AI19" i="13"/>
  <c r="F20" i="25"/>
  <c r="AI18" i="13"/>
  <c r="AK18" i="13"/>
  <c r="AL18" i="13"/>
  <c r="AI17" i="13"/>
  <c r="AI16" i="13"/>
  <c r="AK16" i="13"/>
  <c r="AM16" i="13"/>
  <c r="G17" i="25"/>
  <c r="AI15" i="13"/>
  <c r="F16" i="25"/>
  <c r="AI14" i="13"/>
  <c r="AK14" i="13"/>
  <c r="AM14" i="13"/>
  <c r="G15" i="25"/>
  <c r="AI13" i="13"/>
  <c r="AK13" i="13"/>
  <c r="AO13" i="13"/>
  <c r="AI12" i="13"/>
  <c r="AK12" i="13"/>
  <c r="AM12" i="13"/>
  <c r="G13" i="25"/>
  <c r="AI11" i="13"/>
  <c r="AI10" i="13"/>
  <c r="AK10" i="13"/>
  <c r="AI9" i="13"/>
  <c r="AK9" i="13"/>
  <c r="AM9" i="13"/>
  <c r="G10" i="25"/>
  <c r="AI8" i="13"/>
  <c r="AK8" i="13"/>
  <c r="AA76" i="13"/>
  <c r="Z76" i="13"/>
  <c r="Y76" i="13"/>
  <c r="O77" i="13"/>
  <c r="Q76" i="13"/>
  <c r="Q24" i="13"/>
  <c r="C7" i="5"/>
  <c r="D7" i="5" s="1"/>
  <c r="E7" i="5" s="1"/>
  <c r="F7" i="5" s="1"/>
  <c r="G7" i="5" s="1"/>
  <c r="H7" i="5" s="1"/>
  <c r="I7" i="5" s="1"/>
  <c r="J7" i="5" s="1"/>
  <c r="K7" i="5" s="1"/>
  <c r="L7" i="5" s="1"/>
  <c r="M7" i="5" s="1"/>
  <c r="N7" i="5" s="1"/>
  <c r="O7" i="5" s="1"/>
  <c r="P7" i="5" s="1"/>
  <c r="E6" i="2"/>
  <c r="E7" i="2"/>
  <c r="E8" i="2"/>
  <c r="E9" i="2"/>
  <c r="E10" i="2"/>
  <c r="E11" i="2"/>
  <c r="G11" i="2"/>
  <c r="H11" i="2" s="1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G43" i="2" s="1"/>
  <c r="H43" i="2" s="1"/>
  <c r="E44" i="2"/>
  <c r="E45" i="2"/>
  <c r="E46" i="2"/>
  <c r="E47" i="2"/>
  <c r="G47" i="2" s="1"/>
  <c r="H47" i="2" s="1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D75" i="2"/>
  <c r="E44" i="81"/>
  <c r="H44" i="81" s="1"/>
  <c r="Q9" i="13"/>
  <c r="X9" i="13"/>
  <c r="X8" i="13"/>
  <c r="Q10" i="13"/>
  <c r="X10" i="13"/>
  <c r="Q11" i="13"/>
  <c r="X11" i="13"/>
  <c r="Q12" i="13"/>
  <c r="X12" i="13"/>
  <c r="Q13" i="13"/>
  <c r="X13" i="13"/>
  <c r="Q14" i="13"/>
  <c r="X14" i="13"/>
  <c r="Q15" i="13"/>
  <c r="X15" i="13"/>
  <c r="Q16" i="13"/>
  <c r="X16" i="13"/>
  <c r="Q17" i="13"/>
  <c r="X17" i="13"/>
  <c r="Q18" i="13"/>
  <c r="X18" i="13"/>
  <c r="Q19" i="13"/>
  <c r="X19" i="13"/>
  <c r="Q20" i="13"/>
  <c r="X20" i="13"/>
  <c r="Q21" i="13"/>
  <c r="X21" i="13"/>
  <c r="Q22" i="13"/>
  <c r="X22" i="13"/>
  <c r="Q23" i="13"/>
  <c r="X23" i="13"/>
  <c r="X24" i="13"/>
  <c r="Q25" i="13"/>
  <c r="X25" i="13"/>
  <c r="Q26" i="13"/>
  <c r="X26" i="13"/>
  <c r="Q27" i="13"/>
  <c r="X27" i="13"/>
  <c r="Q28" i="13"/>
  <c r="X28" i="13"/>
  <c r="Q29" i="13"/>
  <c r="X29" i="13"/>
  <c r="Q30" i="13"/>
  <c r="X30" i="13"/>
  <c r="Q31" i="13"/>
  <c r="X31" i="13"/>
  <c r="Q32" i="13"/>
  <c r="X32" i="13"/>
  <c r="Q33" i="13"/>
  <c r="X33" i="13"/>
  <c r="Q34" i="13"/>
  <c r="X34" i="13"/>
  <c r="Q35" i="13"/>
  <c r="X35" i="13"/>
  <c r="Q36" i="13"/>
  <c r="X36" i="13"/>
  <c r="Q37" i="13"/>
  <c r="X37" i="13"/>
  <c r="Q38" i="13"/>
  <c r="X38" i="13"/>
  <c r="Q39" i="13"/>
  <c r="X39" i="13"/>
  <c r="Q40" i="13"/>
  <c r="X40" i="13"/>
  <c r="Q41" i="13"/>
  <c r="X41" i="13"/>
  <c r="Q42" i="13"/>
  <c r="X42" i="13"/>
  <c r="Q43" i="13"/>
  <c r="X43" i="13"/>
  <c r="Q44" i="13"/>
  <c r="X44" i="13"/>
  <c r="Q45" i="13"/>
  <c r="X45" i="13"/>
  <c r="Q46" i="13"/>
  <c r="X46" i="13"/>
  <c r="Q47" i="13"/>
  <c r="X47" i="13"/>
  <c r="Q48" i="13"/>
  <c r="X48" i="13"/>
  <c r="Q49" i="13"/>
  <c r="X49" i="13"/>
  <c r="Q50" i="13"/>
  <c r="X50" i="13"/>
  <c r="Q51" i="13"/>
  <c r="X51" i="13"/>
  <c r="Q52" i="13"/>
  <c r="X52" i="13"/>
  <c r="Q53" i="13"/>
  <c r="X53" i="13"/>
  <c r="Q54" i="13"/>
  <c r="X54" i="13"/>
  <c r="Q55" i="13"/>
  <c r="X55" i="13"/>
  <c r="Q56" i="13"/>
  <c r="X56" i="13"/>
  <c r="Q57" i="13"/>
  <c r="X57" i="13"/>
  <c r="Q58" i="13"/>
  <c r="X58" i="13"/>
  <c r="Q59" i="13"/>
  <c r="X59" i="13"/>
  <c r="Q60" i="13"/>
  <c r="X60" i="13"/>
  <c r="Q61" i="13"/>
  <c r="X61" i="13"/>
  <c r="Q62" i="13"/>
  <c r="X62" i="13"/>
  <c r="Q63" i="13"/>
  <c r="X63" i="13"/>
  <c r="Q64" i="13"/>
  <c r="X64" i="13"/>
  <c r="Q65" i="13"/>
  <c r="X65" i="13"/>
  <c r="Q66" i="13"/>
  <c r="X66" i="13"/>
  <c r="Q67" i="13"/>
  <c r="X67" i="13"/>
  <c r="Q68" i="13"/>
  <c r="X68" i="13"/>
  <c r="Q69" i="13"/>
  <c r="X69" i="13"/>
  <c r="Q70" i="13"/>
  <c r="X70" i="13"/>
  <c r="Q71" i="13"/>
  <c r="X71" i="13"/>
  <c r="Q72" i="13"/>
  <c r="X72" i="13"/>
  <c r="Q73" i="13"/>
  <c r="X73" i="13"/>
  <c r="Q74" i="13"/>
  <c r="X74" i="13"/>
  <c r="Q75" i="13"/>
  <c r="X75" i="13"/>
  <c r="C6" i="33"/>
  <c r="D6" i="33" s="1"/>
  <c r="E6" i="33" s="1"/>
  <c r="F6" i="33" s="1"/>
  <c r="G6" i="33" s="1"/>
  <c r="H6" i="33" s="1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AK6" i="13"/>
  <c r="AL6" i="13"/>
  <c r="AM6" i="13"/>
  <c r="AN6" i="13"/>
  <c r="AO6" i="13"/>
  <c r="AP6" i="13"/>
  <c r="AQ6" i="13"/>
  <c r="AR6" i="13"/>
  <c r="D6" i="13"/>
  <c r="D7" i="25"/>
  <c r="E7" i="25"/>
  <c r="F7" i="25"/>
  <c r="G7" i="25"/>
  <c r="H7" i="25"/>
  <c r="I7" i="25"/>
  <c r="J7" i="25"/>
  <c r="N4" i="1"/>
  <c r="C75" i="2"/>
  <c r="F60" i="25"/>
  <c r="AP77" i="13"/>
  <c r="E35" i="81"/>
  <c r="H35" i="81" s="1"/>
  <c r="AA8" i="13"/>
  <c r="AA9" i="13"/>
  <c r="AA10" i="13"/>
  <c r="AA11" i="13"/>
  <c r="AA12" i="13"/>
  <c r="AA13" i="13"/>
  <c r="AA14" i="13"/>
  <c r="AA15" i="13"/>
  <c r="AA16" i="13"/>
  <c r="AA17" i="13"/>
  <c r="AA18" i="13"/>
  <c r="AA19" i="13"/>
  <c r="AA20" i="13"/>
  <c r="AA21" i="13"/>
  <c r="AA22" i="13"/>
  <c r="AA23" i="13"/>
  <c r="AA24" i="13"/>
  <c r="AA25" i="13"/>
  <c r="AA26" i="13"/>
  <c r="AA27" i="13"/>
  <c r="AA28" i="13"/>
  <c r="AA29" i="13"/>
  <c r="AA30" i="13"/>
  <c r="AA31" i="13"/>
  <c r="AA32" i="13"/>
  <c r="AA33" i="13"/>
  <c r="AA34" i="13"/>
  <c r="AA35" i="13"/>
  <c r="AA36" i="13"/>
  <c r="AA37" i="13"/>
  <c r="AA38" i="13"/>
  <c r="AA39" i="13"/>
  <c r="AA40" i="13"/>
  <c r="AA41" i="13"/>
  <c r="AA42" i="13"/>
  <c r="AA43" i="13"/>
  <c r="AA44" i="13"/>
  <c r="AA45" i="13"/>
  <c r="AA46" i="13"/>
  <c r="AA47" i="13"/>
  <c r="AA48" i="13"/>
  <c r="AA49" i="13"/>
  <c r="AA50" i="13"/>
  <c r="AA51" i="13"/>
  <c r="AA52" i="13"/>
  <c r="AA53" i="13"/>
  <c r="AA54" i="13"/>
  <c r="AA55" i="13"/>
  <c r="AA56" i="13"/>
  <c r="AA57" i="13"/>
  <c r="AA58" i="13"/>
  <c r="AA59" i="13"/>
  <c r="AA60" i="13"/>
  <c r="AA61" i="13"/>
  <c r="AA62" i="13"/>
  <c r="AA63" i="13"/>
  <c r="AA64" i="13"/>
  <c r="AA65" i="13"/>
  <c r="AA66" i="13"/>
  <c r="AA67" i="13"/>
  <c r="AA68" i="13"/>
  <c r="AA69" i="13"/>
  <c r="AA70" i="13"/>
  <c r="AA71" i="13"/>
  <c r="AA72" i="13"/>
  <c r="AA73" i="13"/>
  <c r="AA74" i="13"/>
  <c r="AA75" i="13"/>
  <c r="Z21" i="13"/>
  <c r="Z8" i="13"/>
  <c r="Z9" i="13"/>
  <c r="Z10" i="13"/>
  <c r="Z11" i="13"/>
  <c r="Z12" i="13"/>
  <c r="Z13" i="13"/>
  <c r="Z14" i="13"/>
  <c r="Z15" i="13"/>
  <c r="Z16" i="13"/>
  <c r="Z17" i="13"/>
  <c r="Z18" i="13"/>
  <c r="Z19" i="13"/>
  <c r="Z20" i="13"/>
  <c r="Z22" i="13"/>
  <c r="Z23" i="13"/>
  <c r="Z24" i="13"/>
  <c r="Z25" i="13"/>
  <c r="Z26" i="13"/>
  <c r="Z27" i="13"/>
  <c r="Z28" i="13"/>
  <c r="Z29" i="13"/>
  <c r="Z30" i="13"/>
  <c r="Z31" i="13"/>
  <c r="Z32" i="13"/>
  <c r="Z33" i="13"/>
  <c r="Z34" i="13"/>
  <c r="Z35" i="13"/>
  <c r="Z36" i="13"/>
  <c r="Z37" i="13"/>
  <c r="Z38" i="13"/>
  <c r="Z39" i="13"/>
  <c r="Z40" i="13"/>
  <c r="Z41" i="13"/>
  <c r="Z42" i="13"/>
  <c r="Z43" i="13"/>
  <c r="Z44" i="13"/>
  <c r="Z45" i="13"/>
  <c r="Z46" i="13"/>
  <c r="Z47" i="13"/>
  <c r="Z48" i="13"/>
  <c r="Z49" i="13"/>
  <c r="Z50" i="13"/>
  <c r="Z51" i="13"/>
  <c r="Z52" i="13"/>
  <c r="Z53" i="13"/>
  <c r="Z54" i="13"/>
  <c r="Z55" i="13"/>
  <c r="Z56" i="13"/>
  <c r="Z57" i="13"/>
  <c r="Z58" i="13"/>
  <c r="Z59" i="13"/>
  <c r="Z60" i="13"/>
  <c r="Z61" i="13"/>
  <c r="Z62" i="13"/>
  <c r="Z63" i="13"/>
  <c r="Z64" i="13"/>
  <c r="Z65" i="13"/>
  <c r="Z66" i="13"/>
  <c r="Z67" i="13"/>
  <c r="Z68" i="13"/>
  <c r="Z70" i="13"/>
  <c r="Z71" i="13"/>
  <c r="Z72" i="13"/>
  <c r="Z73" i="13"/>
  <c r="Z74" i="13"/>
  <c r="Z75" i="13"/>
  <c r="W77" i="13"/>
  <c r="S77" i="13"/>
  <c r="P77" i="13"/>
  <c r="L77" i="13"/>
  <c r="J77" i="13"/>
  <c r="C77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AN19" i="13"/>
  <c r="AO19" i="13"/>
  <c r="D77" i="13"/>
  <c r="G13" i="46"/>
  <c r="G30" i="31"/>
  <c r="AK39" i="13"/>
  <c r="AL39" i="13"/>
  <c r="F40" i="25"/>
  <c r="AJ77" i="13"/>
  <c r="AM19" i="13"/>
  <c r="G20" i="25"/>
  <c r="AL19" i="13"/>
  <c r="D5" i="2"/>
  <c r="E5" i="2" s="1"/>
  <c r="F5" i="2" s="1"/>
  <c r="G5" i="2" s="1"/>
  <c r="H5" i="2" s="1"/>
  <c r="I5" i="2" s="1"/>
  <c r="J5" i="2" s="1"/>
  <c r="AZ77" i="1"/>
  <c r="AC28" i="13"/>
  <c r="Q16" i="1"/>
  <c r="F32" i="25"/>
  <c r="G64" i="13"/>
  <c r="AC48" i="13"/>
  <c r="F65" i="25"/>
  <c r="AC73" i="13"/>
  <c r="AC61" i="13"/>
  <c r="AC57" i="13"/>
  <c r="AC45" i="13"/>
  <c r="AC39" i="13"/>
  <c r="Q70" i="1"/>
  <c r="G29" i="13"/>
  <c r="AB37" i="13"/>
  <c r="AC21" i="13"/>
  <c r="F38" i="25"/>
  <c r="Q51" i="1"/>
  <c r="Q59" i="1"/>
  <c r="Q36" i="1"/>
  <c r="F43" i="25"/>
  <c r="F14" i="25"/>
  <c r="F55" i="25"/>
  <c r="F75" i="25"/>
  <c r="G54" i="13"/>
  <c r="F59" i="25"/>
  <c r="AC74" i="13"/>
  <c r="AC66" i="13"/>
  <c r="AC62" i="13"/>
  <c r="AC54" i="13"/>
  <c r="AC38" i="13"/>
  <c r="AB75" i="13"/>
  <c r="F74" i="25"/>
  <c r="G12" i="13"/>
  <c r="F49" i="25"/>
  <c r="F62" i="25"/>
  <c r="AB28" i="13"/>
  <c r="G28" i="13"/>
  <c r="F66" i="25"/>
  <c r="AC55" i="13"/>
  <c r="AC47" i="13"/>
  <c r="AB8" i="13"/>
  <c r="AO16" i="13"/>
  <c r="F70" i="25"/>
  <c r="AC12" i="13"/>
  <c r="AC20" i="13"/>
  <c r="F22" i="25"/>
  <c r="G8" i="13"/>
  <c r="F76" i="25"/>
  <c r="H8" i="13"/>
  <c r="D9" i="25"/>
  <c r="AL26" i="13"/>
  <c r="F72" i="25"/>
  <c r="G65" i="13"/>
  <c r="G16" i="13"/>
  <c r="G69" i="13"/>
  <c r="AB23" i="13"/>
  <c r="F11" i="25"/>
  <c r="G24" i="13"/>
  <c r="G57" i="13"/>
  <c r="AB65" i="13"/>
  <c r="AC15" i="13"/>
  <c r="AC8" i="13"/>
  <c r="Q67" i="1"/>
  <c r="Q55" i="1"/>
  <c r="Q47" i="1"/>
  <c r="Q27" i="1"/>
  <c r="AC42" i="13"/>
  <c r="AM20" i="13"/>
  <c r="G21" i="25"/>
  <c r="G58" i="13"/>
  <c r="AC25" i="13"/>
  <c r="G46" i="13"/>
  <c r="G62" i="13"/>
  <c r="G74" i="13"/>
  <c r="AK60" i="13"/>
  <c r="AO60" i="13"/>
  <c r="Q74" i="1"/>
  <c r="Q64" i="1"/>
  <c r="Q42" i="1"/>
  <c r="Q22" i="1"/>
  <c r="Q32" i="1"/>
  <c r="Q11" i="1"/>
  <c r="AN16" i="13"/>
  <c r="F50" i="25"/>
  <c r="F71" i="25"/>
  <c r="G21" i="13"/>
  <c r="AC29" i="13"/>
  <c r="AB18" i="13"/>
  <c r="AL32" i="13"/>
  <c r="AL16" i="13"/>
  <c r="F21" i="25"/>
  <c r="AB21" i="13"/>
  <c r="AC64" i="13"/>
  <c r="AB52" i="13"/>
  <c r="AB48" i="13"/>
  <c r="AL12" i="13"/>
  <c r="F9" i="25"/>
  <c r="F46" i="25"/>
  <c r="G52" i="13"/>
  <c r="AC68" i="13"/>
  <c r="AC52" i="13"/>
  <c r="AC26" i="13"/>
  <c r="AE11" i="13"/>
  <c r="C12" i="25"/>
  <c r="AK52" i="13"/>
  <c r="AM52" i="13"/>
  <c r="G53" i="25"/>
  <c r="AK44" i="13"/>
  <c r="AL44" i="13"/>
  <c r="AK68" i="13"/>
  <c r="AL68" i="13"/>
  <c r="X79" i="13"/>
  <c r="AM26" i="13"/>
  <c r="G27" i="25"/>
  <c r="F27" i="25"/>
  <c r="F39" i="25"/>
  <c r="AC9" i="13"/>
  <c r="G33" i="13"/>
  <c r="Q73" i="1"/>
  <c r="Q69" i="1"/>
  <c r="Q63" i="1"/>
  <c r="Q58" i="1"/>
  <c r="Q54" i="1"/>
  <c r="Q50" i="1"/>
  <c r="Q46" i="1"/>
  <c r="Q40" i="1"/>
  <c r="Q35" i="1"/>
  <c r="Q31" i="1"/>
  <c r="Q26" i="1"/>
  <c r="Q20" i="1"/>
  <c r="Q15" i="1"/>
  <c r="Q10" i="1"/>
  <c r="H37" i="13"/>
  <c r="D38" i="25"/>
  <c r="AB31" i="13"/>
  <c r="AN70" i="13"/>
  <c r="AM18" i="13"/>
  <c r="G19" i="25"/>
  <c r="Q77" i="1"/>
  <c r="E9" i="81"/>
  <c r="H9" i="81" s="1"/>
  <c r="F15" i="25"/>
  <c r="G38" i="13"/>
  <c r="AC60" i="13"/>
  <c r="Q76" i="1"/>
  <c r="Q72" i="1"/>
  <c r="Q68" i="1"/>
  <c r="Q66" i="1"/>
  <c r="Q62" i="1"/>
  <c r="Q52" i="1"/>
  <c r="Q48" i="1"/>
  <c r="Q44" i="1"/>
  <c r="Q39" i="1"/>
  <c r="Q34" i="1"/>
  <c r="Q30" i="1"/>
  <c r="Q24" i="1"/>
  <c r="Q19" i="1"/>
  <c r="Q14" i="1"/>
  <c r="Q8" i="1"/>
  <c r="F35" i="25"/>
  <c r="F44" i="25"/>
  <c r="G9" i="13"/>
  <c r="G17" i="13"/>
  <c r="G45" i="13"/>
  <c r="AB33" i="13"/>
  <c r="Q75" i="1"/>
  <c r="Q71" i="1"/>
  <c r="Q65" i="1"/>
  <c r="Q60" i="1"/>
  <c r="Q56" i="1"/>
  <c r="Q43" i="1"/>
  <c r="Q38" i="1"/>
  <c r="Q28" i="1"/>
  <c r="Q23" i="1"/>
  <c r="Q18" i="1"/>
  <c r="AI81" i="13"/>
  <c r="G16" i="81"/>
  <c r="G17" i="81"/>
  <c r="G27" i="2"/>
  <c r="H27" i="2" s="1"/>
  <c r="G63" i="2"/>
  <c r="H63" i="2" s="1"/>
  <c r="G55" i="2"/>
  <c r="H55" i="2" s="1"/>
  <c r="F77" i="1"/>
  <c r="E9" i="1"/>
  <c r="AK46" i="13"/>
  <c r="AO46" i="13"/>
  <c r="F47" i="25"/>
  <c r="F54" i="25"/>
  <c r="AK35" i="13"/>
  <c r="AN35" i="13"/>
  <c r="F36" i="25"/>
  <c r="AK40" i="13"/>
  <c r="AL40" i="13"/>
  <c r="F41" i="25"/>
  <c r="AE20" i="13"/>
  <c r="AD20" i="13"/>
  <c r="AB20" i="13"/>
  <c r="AK56" i="13"/>
  <c r="AL56" i="13"/>
  <c r="F57" i="25"/>
  <c r="AE69" i="13"/>
  <c r="C70" i="25"/>
  <c r="AC69" i="13"/>
  <c r="AE49" i="13"/>
  <c r="AQ49" i="13"/>
  <c r="Y49" i="1"/>
  <c r="AC49" i="13"/>
  <c r="AK50" i="13"/>
  <c r="AN50" i="13"/>
  <c r="F51" i="25"/>
  <c r="AK62" i="13"/>
  <c r="AL62" i="13"/>
  <c r="F63" i="25"/>
  <c r="AK66" i="13"/>
  <c r="AN66" i="13"/>
  <c r="F67" i="25"/>
  <c r="AK72" i="13"/>
  <c r="AO72" i="13"/>
  <c r="F73" i="25"/>
  <c r="AE50" i="13"/>
  <c r="C51" i="25"/>
  <c r="AE42" i="13"/>
  <c r="AE40" i="13"/>
  <c r="AD40" i="13"/>
  <c r="AE38" i="13"/>
  <c r="C39" i="25"/>
  <c r="H42" i="13"/>
  <c r="D43" i="25"/>
  <c r="G42" i="13"/>
  <c r="H68" i="13"/>
  <c r="D69" i="25"/>
  <c r="G68" i="13"/>
  <c r="H61" i="13"/>
  <c r="D62" i="25"/>
  <c r="G61" i="13"/>
  <c r="H20" i="13"/>
  <c r="D21" i="25"/>
  <c r="G20" i="13"/>
  <c r="G48" i="13"/>
  <c r="AN51" i="13"/>
  <c r="F10" i="25"/>
  <c r="F17" i="25"/>
  <c r="F29" i="25"/>
  <c r="F37" i="25"/>
  <c r="F42" i="25"/>
  <c r="F52" i="25"/>
  <c r="F58" i="25"/>
  <c r="F68" i="25"/>
  <c r="AB38" i="13"/>
  <c r="G23" i="46"/>
  <c r="AE47" i="13"/>
  <c r="C48" i="25"/>
  <c r="AE45" i="13"/>
  <c r="C46" i="25"/>
  <c r="AE35" i="13"/>
  <c r="AQ35" i="13"/>
  <c r="Y35" i="1"/>
  <c r="AE27" i="13"/>
  <c r="C28" i="25"/>
  <c r="I78" i="25"/>
  <c r="C36" i="46"/>
  <c r="H60" i="13"/>
  <c r="D61" i="25"/>
  <c r="G35" i="2"/>
  <c r="H35" i="2" s="1"/>
  <c r="AN69" i="13"/>
  <c r="AO43" i="13"/>
  <c r="AM69" i="13"/>
  <c r="G70" i="25"/>
  <c r="AO61" i="13"/>
  <c r="AN34" i="13"/>
  <c r="AL61" i="13"/>
  <c r="AN75" i="13"/>
  <c r="AM59" i="13"/>
  <c r="G60" i="25"/>
  <c r="AL69" i="13"/>
  <c r="AM45" i="13"/>
  <c r="G46" i="25"/>
  <c r="AM75" i="13"/>
  <c r="G76" i="25"/>
  <c r="AO67" i="13"/>
  <c r="AN61" i="13"/>
  <c r="AO53" i="13"/>
  <c r="AM51" i="13"/>
  <c r="G52" i="25"/>
  <c r="AN43" i="13"/>
  <c r="AL34" i="13"/>
  <c r="F64" i="25"/>
  <c r="AM53" i="13"/>
  <c r="G54" i="25"/>
  <c r="AL45" i="13"/>
  <c r="AN67" i="13"/>
  <c r="AO59" i="13"/>
  <c r="AN53" i="13"/>
  <c r="AO45" i="13"/>
  <c r="AM43" i="13"/>
  <c r="G44" i="25"/>
  <c r="F56" i="25"/>
  <c r="AK76" i="13"/>
  <c r="AL76" i="13"/>
  <c r="AO75" i="13"/>
  <c r="AM67" i="13"/>
  <c r="G68" i="25"/>
  <c r="AN59" i="13"/>
  <c r="AO51" i="13"/>
  <c r="AO34" i="13"/>
  <c r="F13" i="25"/>
  <c r="F48" i="25"/>
  <c r="AK15" i="13"/>
  <c r="AO15" i="13"/>
  <c r="AB35" i="13"/>
  <c r="AB42" i="13"/>
  <c r="AE67" i="13"/>
  <c r="AD67" i="13"/>
  <c r="AE61" i="13"/>
  <c r="C62" i="25"/>
  <c r="AA77" i="13"/>
  <c r="AN60" i="13"/>
  <c r="AL54" i="13"/>
  <c r="AL14" i="13"/>
  <c r="AN25" i="13"/>
  <c r="AL25" i="13"/>
  <c r="AO25" i="13"/>
  <c r="AM25" i="13"/>
  <c r="G26" i="25"/>
  <c r="AM54" i="13"/>
  <c r="G55" i="25"/>
  <c r="AM32" i="13"/>
  <c r="G33" i="25"/>
  <c r="AO18" i="13"/>
  <c r="F23" i="25"/>
  <c r="AM70" i="13"/>
  <c r="G71" i="25"/>
  <c r="AO54" i="13"/>
  <c r="AO32" i="13"/>
  <c r="AO26" i="13"/>
  <c r="AN18" i="13"/>
  <c r="F24" i="25"/>
  <c r="F30" i="25"/>
  <c r="AI77" i="13"/>
  <c r="E34" i="81"/>
  <c r="H34" i="81" s="1"/>
  <c r="AL70" i="13"/>
  <c r="F19" i="25"/>
  <c r="F33" i="25"/>
  <c r="F26" i="25"/>
  <c r="F31" i="25"/>
  <c r="AE75" i="13"/>
  <c r="AQ75" i="13"/>
  <c r="AE43" i="13"/>
  <c r="AQ43" i="13"/>
  <c r="Y43" i="1"/>
  <c r="AE41" i="13"/>
  <c r="AQ41" i="13"/>
  <c r="Y41" i="1"/>
  <c r="AE37" i="13"/>
  <c r="AQ37" i="13"/>
  <c r="AE18" i="13"/>
  <c r="AD18" i="13"/>
  <c r="AE14" i="13"/>
  <c r="C15" i="25"/>
  <c r="AE10" i="13"/>
  <c r="AQ10" i="13"/>
  <c r="Y10" i="1"/>
  <c r="AB14" i="13"/>
  <c r="AB45" i="13"/>
  <c r="AB19" i="13"/>
  <c r="AE59" i="13"/>
  <c r="C60" i="25"/>
  <c r="AE57" i="13"/>
  <c r="AQ57" i="13"/>
  <c r="AE25" i="13"/>
  <c r="AQ25" i="13"/>
  <c r="AE74" i="13"/>
  <c r="AD74" i="13"/>
  <c r="AE72" i="13"/>
  <c r="AD72" i="13"/>
  <c r="AE70" i="13"/>
  <c r="C71" i="25"/>
  <c r="AE23" i="13"/>
  <c r="C24" i="25"/>
  <c r="AE16" i="13"/>
  <c r="AD16" i="13"/>
  <c r="AE46" i="13"/>
  <c r="C47" i="25"/>
  <c r="AE32" i="13"/>
  <c r="AD32" i="13"/>
  <c r="AE30" i="13"/>
  <c r="AQ30" i="13"/>
  <c r="AE9" i="13"/>
  <c r="AC71" i="13"/>
  <c r="AC67" i="13"/>
  <c r="AC23" i="13"/>
  <c r="AC30" i="13"/>
  <c r="AE66" i="13"/>
  <c r="AD66" i="13"/>
  <c r="AE64" i="13"/>
  <c r="AE62" i="13"/>
  <c r="C63" i="25"/>
  <c r="AE55" i="13"/>
  <c r="AD55" i="13"/>
  <c r="AC41" i="13"/>
  <c r="AC10" i="13"/>
  <c r="AC18" i="13"/>
  <c r="C77" i="67"/>
  <c r="E14" i="81" s="1"/>
  <c r="H14" i="81" s="1"/>
  <c r="G71" i="2"/>
  <c r="H71" i="2" s="1"/>
  <c r="G58" i="2"/>
  <c r="H58" i="2" s="1"/>
  <c r="G51" i="2"/>
  <c r="H51" i="2" s="1"/>
  <c r="G7" i="2"/>
  <c r="H7" i="2" s="1"/>
  <c r="AB32" i="13"/>
  <c r="AC70" i="13"/>
  <c r="G25" i="13"/>
  <c r="G40" i="13"/>
  <c r="G53" i="13"/>
  <c r="H76" i="13"/>
  <c r="D77" i="25"/>
  <c r="AB13" i="13"/>
  <c r="AC16" i="13"/>
  <c r="AC32" i="13"/>
  <c r="AC37" i="13"/>
  <c r="AB40" i="13"/>
  <c r="AB44" i="13"/>
  <c r="AB46" i="13"/>
  <c r="AC56" i="13"/>
  <c r="AC72" i="13"/>
  <c r="G13" i="13"/>
  <c r="G72" i="13"/>
  <c r="AB16" i="13"/>
  <c r="G32" i="13"/>
  <c r="G70" i="13"/>
  <c r="AC31" i="13"/>
  <c r="AC13" i="13"/>
  <c r="AC17" i="13"/>
  <c r="AC24" i="13"/>
  <c r="AC40" i="13"/>
  <c r="AC44" i="13"/>
  <c r="AC46" i="13"/>
  <c r="AB49" i="13"/>
  <c r="AB53" i="13"/>
  <c r="AB57" i="13"/>
  <c r="AB69" i="13"/>
  <c r="AB73" i="13"/>
  <c r="G44" i="13"/>
  <c r="G49" i="13"/>
  <c r="G56" i="13"/>
  <c r="G73" i="13"/>
  <c r="AB9" i="13"/>
  <c r="AC14" i="13"/>
  <c r="AC22" i="13"/>
  <c r="AB25" i="13"/>
  <c r="AC34" i="13"/>
  <c r="AB47" i="13"/>
  <c r="AB55" i="13"/>
  <c r="G18" i="13"/>
  <c r="G34" i="13"/>
  <c r="G41" i="13"/>
  <c r="AC19" i="13"/>
  <c r="H66" i="13"/>
  <c r="D67" i="25"/>
  <c r="H50" i="13"/>
  <c r="D51" i="25"/>
  <c r="H41" i="13"/>
  <c r="D42" i="25"/>
  <c r="H10" i="13"/>
  <c r="D11" i="25"/>
  <c r="H14" i="13"/>
  <c r="D15" i="25"/>
  <c r="H18" i="13"/>
  <c r="D19" i="25"/>
  <c r="H22" i="13"/>
  <c r="D23" i="25"/>
  <c r="H26" i="13"/>
  <c r="D27" i="25"/>
  <c r="H30" i="13"/>
  <c r="D31" i="25"/>
  <c r="AB76" i="13"/>
  <c r="AB10" i="13"/>
  <c r="AB26" i="13"/>
  <c r="AB30" i="13"/>
  <c r="AC35" i="13"/>
  <c r="AB41" i="13"/>
  <c r="AB50" i="13"/>
  <c r="G10" i="13"/>
  <c r="AC58" i="13"/>
  <c r="AC50" i="13"/>
  <c r="AC63" i="13"/>
  <c r="AL31" i="13"/>
  <c r="AN31" i="13"/>
  <c r="AM31" i="13"/>
  <c r="G32" i="25"/>
  <c r="Q79" i="13"/>
  <c r="Q77" i="13"/>
  <c r="AE56" i="13"/>
  <c r="AB56" i="13"/>
  <c r="AE54" i="13"/>
  <c r="C55" i="25"/>
  <c r="AB54" i="13"/>
  <c r="AE33" i="13"/>
  <c r="AC33" i="13"/>
  <c r="AE12" i="13"/>
  <c r="X77" i="13"/>
  <c r="AB12" i="13"/>
  <c r="AK17" i="13"/>
  <c r="F18" i="25"/>
  <c r="H75" i="13"/>
  <c r="D76" i="25"/>
  <c r="G75" i="13"/>
  <c r="AC75" i="13"/>
  <c r="H67" i="13"/>
  <c r="D68" i="25"/>
  <c r="G67" i="13"/>
  <c r="AB67" i="13"/>
  <c r="H59" i="13"/>
  <c r="D60" i="25"/>
  <c r="G59" i="13"/>
  <c r="AC59" i="13"/>
  <c r="AB59" i="13"/>
  <c r="H51" i="13"/>
  <c r="D52" i="25"/>
  <c r="G51" i="13"/>
  <c r="AC51" i="13"/>
  <c r="H43" i="13"/>
  <c r="D44" i="25"/>
  <c r="G43" i="13"/>
  <c r="AB43" i="13"/>
  <c r="AC43" i="13"/>
  <c r="H27" i="13"/>
  <c r="D28" i="25"/>
  <c r="G27" i="13"/>
  <c r="AB27" i="13"/>
  <c r="AC27" i="13"/>
  <c r="H11" i="13"/>
  <c r="G11" i="13"/>
  <c r="E77" i="13"/>
  <c r="G77" i="13"/>
  <c r="AB11" i="13"/>
  <c r="AC11" i="13"/>
  <c r="AE53" i="13"/>
  <c r="AC53" i="13"/>
  <c r="AB29" i="13"/>
  <c r="AE29" i="13"/>
  <c r="AE24" i="13"/>
  <c r="AB24" i="13"/>
  <c r="AK27" i="13"/>
  <c r="AN27" i="13"/>
  <c r="F28" i="25"/>
  <c r="AO31" i="13"/>
  <c r="AB61" i="13"/>
  <c r="AC65" i="13"/>
  <c r="AE65" i="13"/>
  <c r="AE39" i="13"/>
  <c r="AB39" i="13"/>
  <c r="AE34" i="13"/>
  <c r="AB34" i="13"/>
  <c r="AE76" i="13"/>
  <c r="AC76" i="13"/>
  <c r="AK11" i="13"/>
  <c r="AL11" i="13"/>
  <c r="F12" i="25"/>
  <c r="AK24" i="13"/>
  <c r="F25" i="25"/>
  <c r="H36" i="13"/>
  <c r="D37" i="25"/>
  <c r="G36" i="13"/>
  <c r="AB36" i="13"/>
  <c r="AC36" i="13"/>
  <c r="AE71" i="13"/>
  <c r="AB71" i="13"/>
  <c r="AB51" i="13"/>
  <c r="AE51" i="13"/>
  <c r="AE22" i="13"/>
  <c r="AB22" i="13"/>
  <c r="AE17" i="13"/>
  <c r="AB17" i="13"/>
  <c r="AE15" i="13"/>
  <c r="C16" i="25"/>
  <c r="AB15" i="13"/>
  <c r="AL23" i="13"/>
  <c r="AM23" i="13"/>
  <c r="G24" i="25"/>
  <c r="AO23" i="13"/>
  <c r="AK33" i="13"/>
  <c r="F34" i="25"/>
  <c r="Z77" i="13"/>
  <c r="H71" i="13"/>
  <c r="D72" i="25"/>
  <c r="G71" i="13"/>
  <c r="H63" i="13"/>
  <c r="D64" i="25"/>
  <c r="G63" i="13"/>
  <c r="H55" i="13"/>
  <c r="D56" i="25"/>
  <c r="G55" i="13"/>
  <c r="H47" i="13"/>
  <c r="D48" i="25"/>
  <c r="G47" i="13"/>
  <c r="H35" i="13"/>
  <c r="D36" i="25"/>
  <c r="G35" i="13"/>
  <c r="H19" i="13"/>
  <c r="D20" i="25"/>
  <c r="G19" i="13"/>
  <c r="AE73" i="13"/>
  <c r="AE63" i="13"/>
  <c r="AB63" i="13"/>
  <c r="AE58" i="13"/>
  <c r="AB58" i="13"/>
  <c r="AE48" i="13"/>
  <c r="AE31" i="13"/>
  <c r="AE26" i="13"/>
  <c r="AE19" i="13"/>
  <c r="AE8" i="13"/>
  <c r="AD8" i="13"/>
  <c r="H39" i="13"/>
  <c r="D40" i="25"/>
  <c r="G39" i="13"/>
  <c r="H23" i="13"/>
  <c r="D24" i="25"/>
  <c r="G23" i="13"/>
  <c r="H31" i="13"/>
  <c r="D32" i="25"/>
  <c r="G31" i="13"/>
  <c r="H15" i="13"/>
  <c r="D16" i="25"/>
  <c r="G15" i="13"/>
  <c r="AE68" i="13"/>
  <c r="C69" i="25"/>
  <c r="AE60" i="13"/>
  <c r="C61" i="25"/>
  <c r="AE52" i="13"/>
  <c r="C53" i="25"/>
  <c r="AE44" i="13"/>
  <c r="C45" i="25"/>
  <c r="AE36" i="13"/>
  <c r="AQ36" i="13"/>
  <c r="AE28" i="13"/>
  <c r="AQ28" i="13"/>
  <c r="AE21" i="13"/>
  <c r="C22" i="25"/>
  <c r="AE13" i="13"/>
  <c r="C14" i="25"/>
  <c r="Q9" i="1"/>
  <c r="Q13" i="1"/>
  <c r="Q17" i="1"/>
  <c r="Q21" i="1"/>
  <c r="Q25" i="1"/>
  <c r="Q29" i="1"/>
  <c r="Q33" i="1"/>
  <c r="Q37" i="1"/>
  <c r="Q41" i="1"/>
  <c r="Q45" i="1"/>
  <c r="Q49" i="1"/>
  <c r="Q53" i="1"/>
  <c r="Q57" i="1"/>
  <c r="Q61" i="1"/>
  <c r="F7" i="80"/>
  <c r="G7" i="80" s="1"/>
  <c r="F7" i="76"/>
  <c r="F9" i="80"/>
  <c r="G9" i="80" s="1"/>
  <c r="F9" i="76"/>
  <c r="F11" i="80"/>
  <c r="G11" i="80" s="1"/>
  <c r="F11" i="76"/>
  <c r="F13" i="80"/>
  <c r="G13" i="80" s="1"/>
  <c r="F13" i="76"/>
  <c r="F15" i="80"/>
  <c r="G15" i="80" s="1"/>
  <c r="F15" i="76"/>
  <c r="F17" i="80"/>
  <c r="G17" i="80" s="1"/>
  <c r="F17" i="76"/>
  <c r="F19" i="80"/>
  <c r="G19" i="80" s="1"/>
  <c r="F19" i="76"/>
  <c r="F21" i="80"/>
  <c r="G21" i="80" s="1"/>
  <c r="F21" i="76"/>
  <c r="F24" i="80"/>
  <c r="G24" i="80" s="1"/>
  <c r="F24" i="76"/>
  <c r="F26" i="80"/>
  <c r="G26" i="80" s="1"/>
  <c r="F26" i="76"/>
  <c r="F28" i="80"/>
  <c r="G28" i="80" s="1"/>
  <c r="F28" i="76"/>
  <c r="F30" i="80"/>
  <c r="G30" i="80" s="1"/>
  <c r="F30" i="76"/>
  <c r="F32" i="80"/>
  <c r="G32" i="80" s="1"/>
  <c r="F32" i="76"/>
  <c r="F34" i="80"/>
  <c r="G34" i="80" s="1"/>
  <c r="F34" i="76"/>
  <c r="F36" i="80"/>
  <c r="G36" i="80" s="1"/>
  <c r="F36" i="76"/>
  <c r="F38" i="80"/>
  <c r="G38" i="80" s="1"/>
  <c r="F38" i="76"/>
  <c r="F40" i="80"/>
  <c r="G40" i="80" s="1"/>
  <c r="F40" i="76"/>
  <c r="F43" i="80"/>
  <c r="G43" i="80" s="1"/>
  <c r="F43" i="76"/>
  <c r="F46" i="80"/>
  <c r="G46" i="80" s="1"/>
  <c r="F46" i="76"/>
  <c r="F48" i="80"/>
  <c r="G48" i="80" s="1"/>
  <c r="F48" i="76"/>
  <c r="F50" i="80"/>
  <c r="G50" i="80" s="1"/>
  <c r="F50" i="76"/>
  <c r="F51" i="76"/>
  <c r="F51" i="80"/>
  <c r="G51" i="80" s="1"/>
  <c r="F53" i="76"/>
  <c r="F53" i="80"/>
  <c r="G53" i="80" s="1"/>
  <c r="F55" i="76"/>
  <c r="F55" i="80"/>
  <c r="G55" i="80" s="1"/>
  <c r="F57" i="76"/>
  <c r="F57" i="80"/>
  <c r="G57" i="80" s="1"/>
  <c r="F59" i="76"/>
  <c r="F59" i="80"/>
  <c r="G59" i="80" s="1"/>
  <c r="F61" i="76"/>
  <c r="F61" i="80"/>
  <c r="G61" i="80" s="1"/>
  <c r="F63" i="76"/>
  <c r="F63" i="80"/>
  <c r="G63" i="80" s="1"/>
  <c r="F65" i="76"/>
  <c r="F65" i="80"/>
  <c r="G65" i="80" s="1"/>
  <c r="F67" i="76"/>
  <c r="F67" i="80"/>
  <c r="G67" i="80" s="1"/>
  <c r="F69" i="76"/>
  <c r="F69" i="80"/>
  <c r="G69" i="80" s="1"/>
  <c r="F71" i="76"/>
  <c r="F71" i="80"/>
  <c r="G71" i="80" s="1"/>
  <c r="F6" i="76"/>
  <c r="F6" i="80"/>
  <c r="G6" i="80" s="1"/>
  <c r="F8" i="76"/>
  <c r="F8" i="80"/>
  <c r="G8" i="80" s="1"/>
  <c r="F10" i="76"/>
  <c r="F10" i="80"/>
  <c r="G10" i="80" s="1"/>
  <c r="F12" i="76"/>
  <c r="F12" i="80"/>
  <c r="G12" i="80" s="1"/>
  <c r="F14" i="76"/>
  <c r="F14" i="80"/>
  <c r="G14" i="80" s="1"/>
  <c r="F16" i="76"/>
  <c r="F16" i="80"/>
  <c r="G16" i="80" s="1"/>
  <c r="F18" i="76"/>
  <c r="F18" i="80"/>
  <c r="G18" i="80" s="1"/>
  <c r="F20" i="76"/>
  <c r="F20" i="80"/>
  <c r="G20" i="80" s="1"/>
  <c r="F23" i="76"/>
  <c r="F23" i="80"/>
  <c r="G23" i="80" s="1"/>
  <c r="F25" i="76"/>
  <c r="F25" i="80"/>
  <c r="G25" i="80" s="1"/>
  <c r="F27" i="76"/>
  <c r="F27" i="80"/>
  <c r="G27" i="80" s="1"/>
  <c r="F29" i="76"/>
  <c r="F29" i="80"/>
  <c r="G29" i="80" s="1"/>
  <c r="F31" i="76"/>
  <c r="F31" i="80"/>
  <c r="G31" i="80" s="1"/>
  <c r="F33" i="76"/>
  <c r="F33" i="80"/>
  <c r="G33" i="80" s="1"/>
  <c r="F35" i="76"/>
  <c r="F35" i="80"/>
  <c r="G35" i="80" s="1"/>
  <c r="F37" i="76"/>
  <c r="F37" i="80"/>
  <c r="G37" i="80" s="1"/>
  <c r="F39" i="76"/>
  <c r="F39" i="80"/>
  <c r="G39" i="80" s="1"/>
  <c r="F42" i="76"/>
  <c r="F42" i="80"/>
  <c r="G42" i="80" s="1"/>
  <c r="F45" i="76"/>
  <c r="F45" i="80"/>
  <c r="G45" i="80" s="1"/>
  <c r="F47" i="76"/>
  <c r="F47" i="80"/>
  <c r="G47" i="80" s="1"/>
  <c r="F49" i="76"/>
  <c r="F49" i="80"/>
  <c r="G49" i="80" s="1"/>
  <c r="F52" i="80"/>
  <c r="G52" i="80"/>
  <c r="F52" i="76"/>
  <c r="F54" i="80"/>
  <c r="G54" i="80" s="1"/>
  <c r="F54" i="76"/>
  <c r="F56" i="80"/>
  <c r="G56" i="80" s="1"/>
  <c r="F56" i="76"/>
  <c r="F58" i="80"/>
  <c r="G58" i="80" s="1"/>
  <c r="F58" i="76"/>
  <c r="F60" i="80"/>
  <c r="G60" i="80" s="1"/>
  <c r="F60" i="76"/>
  <c r="F62" i="80"/>
  <c r="G62" i="80" s="1"/>
  <c r="F62" i="76"/>
  <c r="F64" i="80"/>
  <c r="G64" i="80" s="1"/>
  <c r="F64" i="76"/>
  <c r="F66" i="80"/>
  <c r="G66" i="80" s="1"/>
  <c r="F66" i="76"/>
  <c r="F68" i="80"/>
  <c r="G68" i="80" s="1"/>
  <c r="F68" i="76"/>
  <c r="F70" i="80"/>
  <c r="G70" i="80" s="1"/>
  <c r="F70" i="76"/>
  <c r="F72" i="80"/>
  <c r="G72" i="80" s="1"/>
  <c r="F72" i="76"/>
  <c r="F74" i="80"/>
  <c r="G74" i="80" s="1"/>
  <c r="F74" i="76"/>
  <c r="F73" i="76"/>
  <c r="F73" i="80"/>
  <c r="G73" i="80" s="1"/>
  <c r="AM39" i="13"/>
  <c r="G40" i="25"/>
  <c r="AN39" i="13"/>
  <c r="AD70" i="13"/>
  <c r="AM8" i="13"/>
  <c r="AN8" i="13"/>
  <c r="AL8" i="13"/>
  <c r="AO8" i="13"/>
  <c r="AM10" i="13"/>
  <c r="G11" i="25"/>
  <c r="AL10" i="13"/>
  <c r="AO10" i="13"/>
  <c r="AN10" i="13"/>
  <c r="AN12" i="13"/>
  <c r="AO12" i="13"/>
  <c r="AN14" i="13"/>
  <c r="AO14" i="13"/>
  <c r="AO20" i="13"/>
  <c r="AN20" i="13"/>
  <c r="AL22" i="13"/>
  <c r="AO22" i="13"/>
  <c r="AM22" i="13"/>
  <c r="G23" i="25"/>
  <c r="AN22" i="13"/>
  <c r="AM28" i="13"/>
  <c r="G29" i="25"/>
  <c r="AN28" i="13"/>
  <c r="AL28" i="13"/>
  <c r="AO28" i="13"/>
  <c r="AM30" i="13"/>
  <c r="G31" i="25"/>
  <c r="AN30" i="13"/>
  <c r="AL30" i="13"/>
  <c r="AO30" i="13"/>
  <c r="AL36" i="13"/>
  <c r="AO36" i="13"/>
  <c r="AM36" i="13"/>
  <c r="G37" i="25"/>
  <c r="AN36" i="13"/>
  <c r="AL38" i="13"/>
  <c r="AO38" i="13"/>
  <c r="AM38" i="13"/>
  <c r="G39" i="25"/>
  <c r="AN38" i="13"/>
  <c r="AO41" i="13"/>
  <c r="AM41" i="13"/>
  <c r="G42" i="25"/>
  <c r="AN41" i="13"/>
  <c r="AM47" i="13"/>
  <c r="G48" i="25"/>
  <c r="AN47" i="13"/>
  <c r="AL47" i="13"/>
  <c r="AO47" i="13"/>
  <c r="AN49" i="13"/>
  <c r="AM49" i="13"/>
  <c r="G50" i="25"/>
  <c r="AO49" i="13"/>
  <c r="AO55" i="13"/>
  <c r="AL55" i="13"/>
  <c r="AM55" i="13"/>
  <c r="G56" i="25"/>
  <c r="AN55" i="13"/>
  <c r="AO57" i="13"/>
  <c r="AM57" i="13"/>
  <c r="G58" i="25"/>
  <c r="AN57" i="13"/>
  <c r="AM63" i="13"/>
  <c r="G64" i="25"/>
  <c r="AN63" i="13"/>
  <c r="AL63" i="13"/>
  <c r="AO63" i="13"/>
  <c r="AN65" i="13"/>
  <c r="AM65" i="13"/>
  <c r="G66" i="25"/>
  <c r="AO65" i="13"/>
  <c r="AO71" i="13"/>
  <c r="AL71" i="13"/>
  <c r="AM71" i="13"/>
  <c r="G72" i="25"/>
  <c r="AN71" i="13"/>
  <c r="AO73" i="13"/>
  <c r="AM73" i="13"/>
  <c r="G74" i="25"/>
  <c r="AN73" i="13"/>
  <c r="AN9" i="13"/>
  <c r="AL9" i="13"/>
  <c r="AO9" i="13"/>
  <c r="AL13" i="13"/>
  <c r="AN13" i="13"/>
  <c r="AM13" i="13"/>
  <c r="G14" i="25"/>
  <c r="AL21" i="13"/>
  <c r="AO21" i="13"/>
  <c r="AM21" i="13"/>
  <c r="G22" i="25"/>
  <c r="AN29" i="13"/>
  <c r="AM29" i="13"/>
  <c r="G30" i="25"/>
  <c r="AO29" i="13"/>
  <c r="AO37" i="13"/>
  <c r="AM37" i="13"/>
  <c r="G38" i="25"/>
  <c r="AN37" i="13"/>
  <c r="AL42" i="13"/>
  <c r="AO42" i="13"/>
  <c r="AM42" i="13"/>
  <c r="G43" i="25"/>
  <c r="AN42" i="13"/>
  <c r="AM48" i="13"/>
  <c r="G49" i="25"/>
  <c r="AN48" i="13"/>
  <c r="AL48" i="13"/>
  <c r="AO48" i="13"/>
  <c r="AL58" i="13"/>
  <c r="AO58" i="13"/>
  <c r="AM58" i="13"/>
  <c r="G59" i="25"/>
  <c r="AN58" i="13"/>
  <c r="AM64" i="13"/>
  <c r="G65" i="25"/>
  <c r="AN64" i="13"/>
  <c r="AL64" i="13"/>
  <c r="AO64" i="13"/>
  <c r="AM72" i="13"/>
  <c r="G73" i="25"/>
  <c r="AL74" i="13"/>
  <c r="AO74" i="13"/>
  <c r="AM74" i="13"/>
  <c r="G75" i="25"/>
  <c r="AN74" i="13"/>
  <c r="AO39" i="13"/>
  <c r="AB60" i="13"/>
  <c r="AB62" i="13"/>
  <c r="AB64" i="13"/>
  <c r="AB66" i="13"/>
  <c r="AB68" i="13"/>
  <c r="AB70" i="13"/>
  <c r="AB72" i="13"/>
  <c r="AB74" i="13"/>
  <c r="AO50" i="13"/>
  <c r="AD11" i="13"/>
  <c r="AQ69" i="13"/>
  <c r="Y69" i="1"/>
  <c r="AQ11" i="13"/>
  <c r="Y11" i="1"/>
  <c r="AD41" i="13"/>
  <c r="AD45" i="13"/>
  <c r="AL72" i="13"/>
  <c r="AN56" i="13"/>
  <c r="AO62" i="13"/>
  <c r="AD69" i="13"/>
  <c r="AM66" i="13"/>
  <c r="G67" i="25"/>
  <c r="AM50" i="13"/>
  <c r="G51" i="25"/>
  <c r="AM35" i="13"/>
  <c r="G36" i="25"/>
  <c r="AD27" i="13"/>
  <c r="AM60" i="13"/>
  <c r="G61" i="25"/>
  <c r="AL50" i="13"/>
  <c r="AQ20" i="13"/>
  <c r="AL60" i="13"/>
  <c r="AN72" i="13"/>
  <c r="AN62" i="13"/>
  <c r="AO68" i="13"/>
  <c r="C50" i="25"/>
  <c r="AN68" i="13"/>
  <c r="AM62" i="13"/>
  <c r="G63" i="25"/>
  <c r="AN40" i="13"/>
  <c r="AM68" i="13"/>
  <c r="G69" i="25"/>
  <c r="AQ62" i="13"/>
  <c r="C31" i="25"/>
  <c r="AL52" i="13"/>
  <c r="AO44" i="13"/>
  <c r="C76" i="25"/>
  <c r="AN44" i="13"/>
  <c r="AL46" i="13"/>
  <c r="AD54" i="13"/>
  <c r="AM46" i="13"/>
  <c r="G47" i="25"/>
  <c r="AN46" i="13"/>
  <c r="C42" i="25"/>
  <c r="C11" i="25"/>
  <c r="AN52" i="13"/>
  <c r="AO52" i="13"/>
  <c r="AD35" i="13"/>
  <c r="AQ38" i="13"/>
  <c r="AO66" i="13"/>
  <c r="AL66" i="13"/>
  <c r="AD38" i="13"/>
  <c r="C36" i="25"/>
  <c r="AD49" i="13"/>
  <c r="AQ45" i="13"/>
  <c r="AD21" i="13"/>
  <c r="AM44" i="13"/>
  <c r="G45" i="25"/>
  <c r="AQ50" i="13"/>
  <c r="AQ27" i="13"/>
  <c r="Y27" i="1"/>
  <c r="AD57" i="13"/>
  <c r="AM56" i="13"/>
  <c r="G57" i="25"/>
  <c r="AM40" i="13"/>
  <c r="G41" i="25"/>
  <c r="C29" i="25"/>
  <c r="AO56" i="13"/>
  <c r="AO40" i="13"/>
  <c r="AD60" i="13"/>
  <c r="AD14" i="13"/>
  <c r="AQ60" i="13"/>
  <c r="AD61" i="13"/>
  <c r="C68" i="25"/>
  <c r="AO76" i="13"/>
  <c r="AL35" i="13"/>
  <c r="AD46" i="13"/>
  <c r="C21" i="25"/>
  <c r="AD75" i="13"/>
  <c r="AD59" i="13"/>
  <c r="AM15" i="13"/>
  <c r="G16" i="25"/>
  <c r="AD47" i="13"/>
  <c r="AQ18" i="13"/>
  <c r="C41" i="25"/>
  <c r="AQ40" i="13"/>
  <c r="AO35" i="13"/>
  <c r="AD50" i="13"/>
  <c r="C19" i="25"/>
  <c r="AQ47" i="13"/>
  <c r="C43" i="25"/>
  <c r="AQ42" i="13"/>
  <c r="AD42" i="13"/>
  <c r="AO27" i="13"/>
  <c r="AN15" i="13"/>
  <c r="AM76" i="13"/>
  <c r="G77" i="25"/>
  <c r="AN76" i="13"/>
  <c r="AL15" i="13"/>
  <c r="AD30" i="13"/>
  <c r="C37" i="25"/>
  <c r="AD68" i="13"/>
  <c r="AD23" i="13"/>
  <c r="AQ59" i="13"/>
  <c r="C58" i="25"/>
  <c r="AD36" i="13"/>
  <c r="AQ68" i="13"/>
  <c r="Y68" i="1"/>
  <c r="AQ23" i="13"/>
  <c r="Y23" i="1"/>
  <c r="C44" i="25"/>
  <c r="AQ67" i="13"/>
  <c r="Y57" i="1"/>
  <c r="AD44" i="13"/>
  <c r="AQ54" i="13"/>
  <c r="Y54" i="1"/>
  <c r="AQ70" i="13"/>
  <c r="Y70" i="1"/>
  <c r="AD10" i="13"/>
  <c r="C26" i="25"/>
  <c r="AD28" i="13"/>
  <c r="AD52" i="13"/>
  <c r="AD62" i="13"/>
  <c r="AQ14" i="13"/>
  <c r="AD43" i="13"/>
  <c r="AQ61" i="13"/>
  <c r="AD25" i="13"/>
  <c r="C9" i="25"/>
  <c r="AM27" i="13"/>
  <c r="G28" i="25"/>
  <c r="AL27" i="13"/>
  <c r="F78" i="25"/>
  <c r="C38" i="25"/>
  <c r="AD15" i="13"/>
  <c r="AQ46" i="13"/>
  <c r="AD37" i="13"/>
  <c r="AD13" i="13"/>
  <c r="AQ44" i="13"/>
  <c r="AQ13" i="13"/>
  <c r="C10" i="25"/>
  <c r="AQ9" i="13"/>
  <c r="AD9" i="13"/>
  <c r="AQ16" i="13"/>
  <c r="Y16" i="1"/>
  <c r="C17" i="25"/>
  <c r="C75" i="25"/>
  <c r="AQ74" i="13"/>
  <c r="C65" i="25"/>
  <c r="AQ64" i="13"/>
  <c r="AD64" i="13"/>
  <c r="Y30" i="1"/>
  <c r="Y25" i="1"/>
  <c r="C67" i="25"/>
  <c r="AQ66" i="13"/>
  <c r="AQ32" i="13"/>
  <c r="C33" i="25"/>
  <c r="AQ55" i="13"/>
  <c r="C56" i="25"/>
  <c r="C73" i="25"/>
  <c r="AQ72" i="13"/>
  <c r="Y75" i="1"/>
  <c r="Y36" i="1"/>
  <c r="C20" i="25"/>
  <c r="AQ19" i="13"/>
  <c r="AD19" i="13"/>
  <c r="AD73" i="13"/>
  <c r="C74" i="25"/>
  <c r="AQ73" i="13"/>
  <c r="C18" i="25"/>
  <c r="AQ17" i="13"/>
  <c r="AD17" i="13"/>
  <c r="AQ76" i="13"/>
  <c r="C77" i="25"/>
  <c r="AD76" i="13"/>
  <c r="Y37" i="1"/>
  <c r="AD65" i="13"/>
  <c r="C66" i="25"/>
  <c r="AQ65" i="13"/>
  <c r="C30" i="25"/>
  <c r="AQ29" i="13"/>
  <c r="AD29" i="13"/>
  <c r="C13" i="25"/>
  <c r="AQ12" i="13"/>
  <c r="AD12" i="13"/>
  <c r="AC77" i="13"/>
  <c r="AQ26" i="13"/>
  <c r="AD26" i="13"/>
  <c r="C27" i="25"/>
  <c r="C59" i="25"/>
  <c r="AQ58" i="13"/>
  <c r="AD58" i="13"/>
  <c r="AL33" i="13"/>
  <c r="AN33" i="13"/>
  <c r="AO33" i="13"/>
  <c r="AM33" i="13"/>
  <c r="G34" i="25"/>
  <c r="AD22" i="13"/>
  <c r="AQ22" i="13"/>
  <c r="C23" i="25"/>
  <c r="AN24" i="13"/>
  <c r="AM24" i="13"/>
  <c r="G25" i="25"/>
  <c r="AO24" i="13"/>
  <c r="AL24" i="13"/>
  <c r="D12" i="25"/>
  <c r="H77" i="13"/>
  <c r="E29" i="81"/>
  <c r="G29" i="81" s="1"/>
  <c r="AD31" i="13"/>
  <c r="AQ31" i="13"/>
  <c r="C32" i="25"/>
  <c r="C52" i="25"/>
  <c r="AQ51" i="13"/>
  <c r="AD51" i="13"/>
  <c r="AN11" i="13"/>
  <c r="AO11" i="13"/>
  <c r="AQ34" i="13"/>
  <c r="C35" i="25"/>
  <c r="AD34" i="13"/>
  <c r="AQ33" i="13"/>
  <c r="C34" i="25"/>
  <c r="AD33" i="13"/>
  <c r="C57" i="25"/>
  <c r="AQ56" i="13"/>
  <c r="AD56" i="13"/>
  <c r="AM11" i="13"/>
  <c r="G12" i="25"/>
  <c r="AQ21" i="13"/>
  <c r="Y21" i="1"/>
  <c r="AQ52" i="13"/>
  <c r="AK77" i="13"/>
  <c r="AO77" i="13"/>
  <c r="AQ15" i="13"/>
  <c r="Y15" i="1"/>
  <c r="Y28" i="1"/>
  <c r="AQ8" i="13"/>
  <c r="AE77" i="13"/>
  <c r="C49" i="25"/>
  <c r="AD48" i="13"/>
  <c r="AQ48" i="13"/>
  <c r="AQ63" i="13"/>
  <c r="C64" i="25"/>
  <c r="AD63" i="13"/>
  <c r="AQ71" i="13"/>
  <c r="C72" i="25"/>
  <c r="AD71" i="13"/>
  <c r="AD39" i="13"/>
  <c r="AQ39" i="13"/>
  <c r="C40" i="25"/>
  <c r="AQ24" i="13"/>
  <c r="AD24" i="13"/>
  <c r="C25" i="25"/>
  <c r="AD53" i="13"/>
  <c r="AQ53" i="13"/>
  <c r="C54" i="25"/>
  <c r="AM17" i="13"/>
  <c r="G18" i="25"/>
  <c r="AN17" i="13"/>
  <c r="AO17" i="13"/>
  <c r="AL17" i="13"/>
  <c r="AB77" i="13"/>
  <c r="G9" i="25"/>
  <c r="Y20" i="1"/>
  <c r="Y62" i="1"/>
  <c r="Y38" i="1"/>
  <c r="Y45" i="1"/>
  <c r="Y67" i="1"/>
  <c r="Y50" i="1"/>
  <c r="AL77" i="13"/>
  <c r="Y60" i="1"/>
  <c r="Y18" i="1"/>
  <c r="Y44" i="1"/>
  <c r="Y59" i="1"/>
  <c r="Y61" i="1"/>
  <c r="Y42" i="1"/>
  <c r="Y47" i="1"/>
  <c r="Y40" i="1"/>
  <c r="Y13" i="1"/>
  <c r="Y14" i="1"/>
  <c r="Y46" i="1"/>
  <c r="AN77" i="13"/>
  <c r="Y72" i="1"/>
  <c r="Y52" i="1"/>
  <c r="Y32" i="1"/>
  <c r="Y74" i="1"/>
  <c r="AQ77" i="13"/>
  <c r="E28" i="81"/>
  <c r="G28" i="81" s="1"/>
  <c r="C78" i="25"/>
  <c r="Y66" i="1"/>
  <c r="Y9" i="1"/>
  <c r="Y55" i="1"/>
  <c r="Y64" i="1"/>
  <c r="Y53" i="1"/>
  <c r="Y39" i="1"/>
  <c r="Y34" i="1"/>
  <c r="Y51" i="1"/>
  <c r="D78" i="25"/>
  <c r="Y22" i="1"/>
  <c r="Y73" i="1"/>
  <c r="Y19" i="1"/>
  <c r="Y48" i="1"/>
  <c r="Y63" i="1"/>
  <c r="E33" i="81"/>
  <c r="H33" i="81" s="1"/>
  <c r="AD77" i="13"/>
  <c r="Y56" i="1"/>
  <c r="Y33" i="1"/>
  <c r="Y31" i="1"/>
  <c r="Y29" i="1"/>
  <c r="Y24" i="1"/>
  <c r="Y71" i="1"/>
  <c r="Y8" i="1"/>
  <c r="Y12" i="1"/>
  <c r="Y76" i="1"/>
  <c r="Y17" i="1"/>
  <c r="AM77" i="13"/>
  <c r="E30" i="81"/>
  <c r="G30" i="81" s="1"/>
  <c r="H29" i="81"/>
  <c r="Y58" i="1"/>
  <c r="Y26" i="1"/>
  <c r="Y65" i="1"/>
  <c r="G78" i="25"/>
  <c r="E2" i="25"/>
  <c r="H2" i="25"/>
  <c r="Y77" i="1"/>
  <c r="H53" i="25"/>
  <c r="H15" i="25"/>
  <c r="H17" i="25"/>
  <c r="H21" i="25"/>
  <c r="H62" i="25"/>
  <c r="H35" i="25"/>
  <c r="J35" i="25" s="1"/>
  <c r="S34" i="1" s="1"/>
  <c r="H20" i="25"/>
  <c r="H10" i="25"/>
  <c r="J10" i="25" s="1"/>
  <c r="S9" i="1" s="1"/>
  <c r="H13" i="25"/>
  <c r="H66" i="25"/>
  <c r="J66" i="25" s="1"/>
  <c r="S65" i="1" s="1"/>
  <c r="H23" i="25"/>
  <c r="J23" i="25" s="1"/>
  <c r="S22" i="1" s="1"/>
  <c r="H38" i="25"/>
  <c r="H45" i="25"/>
  <c r="H73" i="25"/>
  <c r="H14" i="25"/>
  <c r="H31" i="25"/>
  <c r="H76" i="25"/>
  <c r="H30" i="25"/>
  <c r="H65" i="25"/>
  <c r="H22" i="25"/>
  <c r="H68" i="25"/>
  <c r="H19" i="25"/>
  <c r="J19" i="25" s="1"/>
  <c r="S18" i="1" s="1"/>
  <c r="H71" i="25"/>
  <c r="H50" i="25"/>
  <c r="H11" i="25"/>
  <c r="H59" i="25"/>
  <c r="H36" i="25"/>
  <c r="H47" i="25"/>
  <c r="H72" i="25"/>
  <c r="H40" i="25"/>
  <c r="J40" i="25" s="1"/>
  <c r="S39" i="1" s="1"/>
  <c r="H64" i="25"/>
  <c r="H24" i="25"/>
  <c r="H55" i="25"/>
  <c r="H29" i="25"/>
  <c r="H61" i="25"/>
  <c r="H70" i="25"/>
  <c r="H74" i="25"/>
  <c r="H51" i="25"/>
  <c r="H46" i="25"/>
  <c r="H33" i="25"/>
  <c r="J33" i="25" s="1"/>
  <c r="S32" i="1" s="1"/>
  <c r="H60" i="25"/>
  <c r="H37" i="25"/>
  <c r="H52" i="25"/>
  <c r="J52" i="25" s="1"/>
  <c r="S51" i="1" s="1"/>
  <c r="H44" i="25"/>
  <c r="H67" i="25"/>
  <c r="H48" i="25"/>
  <c r="H32" i="25"/>
  <c r="H69" i="25"/>
  <c r="H63" i="25"/>
  <c r="H43" i="25"/>
  <c r="H56" i="25"/>
  <c r="J56" i="25" s="1"/>
  <c r="S55" i="1" s="1"/>
  <c r="H54" i="25"/>
  <c r="J54" i="25" s="1"/>
  <c r="S53" i="1" s="1"/>
  <c r="H39" i="25"/>
  <c r="H26" i="25"/>
  <c r="J26" i="25" s="1"/>
  <c r="S25" i="1" s="1"/>
  <c r="H75" i="25"/>
  <c r="H42" i="25"/>
  <c r="H49" i="25"/>
  <c r="H58" i="25"/>
  <c r="J58" i="25" s="1"/>
  <c r="S57" i="1" s="1"/>
  <c r="H27" i="25"/>
  <c r="H28" i="25"/>
  <c r="H34" i="25"/>
  <c r="H16" i="25"/>
  <c r="H25" i="25"/>
  <c r="H9" i="25"/>
  <c r="H77" i="25"/>
  <c r="H18" i="25"/>
  <c r="H12" i="25"/>
  <c r="H41" i="25"/>
  <c r="J41" i="25" s="1"/>
  <c r="S40" i="1" s="1"/>
  <c r="H57" i="25"/>
  <c r="E75" i="25"/>
  <c r="E33" i="25"/>
  <c r="E57" i="25"/>
  <c r="J57" i="25" s="1"/>
  <c r="S56" i="1" s="1"/>
  <c r="E59" i="25"/>
  <c r="E14" i="25"/>
  <c r="E10" i="25"/>
  <c r="E65" i="25"/>
  <c r="E13" i="25"/>
  <c r="J13" i="25"/>
  <c r="S12" i="1" s="1"/>
  <c r="E39" i="25"/>
  <c r="J39" i="25" s="1"/>
  <c r="S38" i="1" s="1"/>
  <c r="E50" i="25"/>
  <c r="J50" i="25" s="1"/>
  <c r="S49" i="1" s="1"/>
  <c r="E71" i="25"/>
  <c r="E41" i="25"/>
  <c r="E46" i="25"/>
  <c r="E74" i="25"/>
  <c r="J74" i="25" s="1"/>
  <c r="S73" i="1" s="1"/>
  <c r="E55" i="25"/>
  <c r="J55" i="25" s="1"/>
  <c r="S54" i="1" s="1"/>
  <c r="E35" i="25"/>
  <c r="E58" i="25"/>
  <c r="E29" i="25"/>
  <c r="E45" i="25"/>
  <c r="E66" i="25"/>
  <c r="E34" i="25"/>
  <c r="J34" i="25" s="1"/>
  <c r="S33" i="1" s="1"/>
  <c r="E47" i="25"/>
  <c r="J47" i="25" s="1"/>
  <c r="S46" i="1" s="1"/>
  <c r="E63" i="25"/>
  <c r="J63" i="25" s="1"/>
  <c r="S62" i="1" s="1"/>
  <c r="E26" i="25"/>
  <c r="E49" i="25"/>
  <c r="J49" i="25" s="1"/>
  <c r="S48" i="1" s="1"/>
  <c r="E17" i="25"/>
  <c r="E18" i="25"/>
  <c r="E9" i="25"/>
  <c r="E70" i="25"/>
  <c r="E30" i="25"/>
  <c r="E53" i="25"/>
  <c r="E54" i="25"/>
  <c r="E25" i="25"/>
  <c r="J25" i="25" s="1"/>
  <c r="S24" i="1" s="1"/>
  <c r="E22" i="25"/>
  <c r="E73" i="25"/>
  <c r="E16" i="25"/>
  <c r="E64" i="25"/>
  <c r="J64" i="25" s="1"/>
  <c r="S63" i="1" s="1"/>
  <c r="E28" i="25"/>
  <c r="E67" i="25"/>
  <c r="E52" i="25"/>
  <c r="E76" i="25"/>
  <c r="J76" i="25" s="1"/>
  <c r="S75" i="1" s="1"/>
  <c r="E60" i="25"/>
  <c r="J60" i="25" s="1"/>
  <c r="S59" i="1" s="1"/>
  <c r="E62" i="25"/>
  <c r="E32" i="25"/>
  <c r="E72" i="25"/>
  <c r="J72" i="25" s="1"/>
  <c r="S71" i="1" s="1"/>
  <c r="E42" i="25"/>
  <c r="E43" i="25"/>
  <c r="E56" i="25"/>
  <c r="E24" i="25"/>
  <c r="E44" i="25"/>
  <c r="E19" i="25"/>
  <c r="E27" i="25"/>
  <c r="E21" i="25"/>
  <c r="E51" i="25"/>
  <c r="E40" i="25"/>
  <c r="E68" i="25"/>
  <c r="J68" i="25"/>
  <c r="S67" i="1" s="1"/>
  <c r="E38" i="25"/>
  <c r="E48" i="25"/>
  <c r="E37" i="25"/>
  <c r="J37" i="25" s="1"/>
  <c r="S36" i="1" s="1"/>
  <c r="E15" i="25"/>
  <c r="E77" i="25"/>
  <c r="J77" i="25" s="1"/>
  <c r="S76" i="1" s="1"/>
  <c r="E23" i="25"/>
  <c r="E20" i="25"/>
  <c r="E31" i="25"/>
  <c r="E11" i="25"/>
  <c r="J11" i="25" s="1"/>
  <c r="S10" i="1" s="1"/>
  <c r="E61" i="25"/>
  <c r="E69" i="25"/>
  <c r="E36" i="25"/>
  <c r="E12" i="25"/>
  <c r="J62" i="25"/>
  <c r="S61" i="1" s="1"/>
  <c r="J67" i="25"/>
  <c r="S66" i="1" s="1"/>
  <c r="J53" i="25"/>
  <c r="S52" i="1" s="1"/>
  <c r="J48" i="25"/>
  <c r="S47" i="1"/>
  <c r="J43" i="25"/>
  <c r="S42" i="1" s="1"/>
  <c r="J15" i="25"/>
  <c r="S14" i="1" s="1"/>
  <c r="J18" i="25"/>
  <c r="S17" i="1" s="1"/>
  <c r="J16" i="25"/>
  <c r="S15" i="1" s="1"/>
  <c r="J59" i="25"/>
  <c r="S58" i="1" s="1"/>
  <c r="J73" i="25"/>
  <c r="S72" i="1" s="1"/>
  <c r="J45" i="25"/>
  <c r="S44" i="1" s="1"/>
  <c r="U47" i="115"/>
  <c r="U73" i="115"/>
  <c r="U25" i="115"/>
  <c r="U11" i="115"/>
  <c r="U19" i="115"/>
  <c r="U29" i="115"/>
  <c r="U51" i="115"/>
  <c r="U49" i="115"/>
  <c r="U33" i="115"/>
  <c r="U17" i="115"/>
  <c r="U31" i="115"/>
  <c r="U57" i="115"/>
  <c r="U41" i="115"/>
  <c r="U67" i="115"/>
  <c r="U35" i="115"/>
  <c r="U61" i="115"/>
  <c r="U45" i="115"/>
  <c r="U75" i="115"/>
  <c r="U59" i="115"/>
  <c r="U55" i="31"/>
  <c r="U43" i="115"/>
  <c r="U59" i="31"/>
  <c r="U19" i="31"/>
  <c r="U27" i="115"/>
  <c r="U69" i="115"/>
  <c r="U53" i="115"/>
  <c r="U37" i="115"/>
  <c r="U21" i="115"/>
  <c r="U24" i="115"/>
  <c r="U71" i="115"/>
  <c r="U55" i="115"/>
  <c r="U39" i="115"/>
  <c r="U23" i="115"/>
  <c r="U65" i="115"/>
  <c r="U36" i="115"/>
  <c r="U52" i="115"/>
  <c r="U63" i="115"/>
  <c r="U12" i="115"/>
  <c r="U9" i="115"/>
  <c r="U15" i="115"/>
  <c r="U13" i="115"/>
  <c r="U41" i="120"/>
  <c r="U41" i="116"/>
  <c r="U41" i="119"/>
  <c r="U41" i="113"/>
  <c r="W10" i="117"/>
  <c r="U10" i="120"/>
  <c r="U10" i="118"/>
  <c r="U10" i="114"/>
  <c r="U35" i="116"/>
  <c r="U35" i="119"/>
  <c r="U35" i="113"/>
  <c r="W30" i="117"/>
  <c r="U30" i="120"/>
  <c r="U30" i="118"/>
  <c r="U30" i="114"/>
  <c r="U45" i="116"/>
  <c r="U45" i="119"/>
  <c r="U45" i="113"/>
  <c r="W70" i="117"/>
  <c r="U70" i="120"/>
  <c r="U70" i="118"/>
  <c r="U70" i="114"/>
  <c r="U69" i="116"/>
  <c r="U69" i="119"/>
  <c r="U69" i="113"/>
  <c r="U21" i="116"/>
  <c r="U21" i="119"/>
  <c r="U21" i="113"/>
  <c r="W56" i="117"/>
  <c r="U56" i="113"/>
  <c r="U56" i="120"/>
  <c r="U56" i="118"/>
  <c r="U56" i="114"/>
  <c r="W24" i="117"/>
  <c r="U24" i="120"/>
  <c r="U24" i="118"/>
  <c r="U24" i="114"/>
  <c r="U71" i="116"/>
  <c r="U71" i="119"/>
  <c r="U71" i="113"/>
  <c r="U23" i="118"/>
  <c r="U23" i="116"/>
  <c r="U23" i="114"/>
  <c r="U23" i="119"/>
  <c r="U23" i="113"/>
  <c r="U65" i="116"/>
  <c r="U65" i="119"/>
  <c r="U65" i="113"/>
  <c r="W36" i="117"/>
  <c r="U36" i="120"/>
  <c r="U36" i="118"/>
  <c r="U36" i="114"/>
  <c r="W58" i="117"/>
  <c r="U58" i="120"/>
  <c r="U58" i="118"/>
  <c r="U58" i="114"/>
  <c r="W26" i="117"/>
  <c r="U26" i="120"/>
  <c r="U26" i="118"/>
  <c r="U26" i="114"/>
  <c r="W60" i="117"/>
  <c r="U60" i="113"/>
  <c r="U60" i="120"/>
  <c r="U60" i="118"/>
  <c r="U60" i="114"/>
  <c r="W28" i="117"/>
  <c r="U28" i="120"/>
  <c r="U28" i="118"/>
  <c r="U28" i="114"/>
  <c r="U19" i="116"/>
  <c r="U19" i="119"/>
  <c r="U19" i="113"/>
  <c r="W40" i="117"/>
  <c r="U40" i="120"/>
  <c r="U40" i="118"/>
  <c r="U40" i="114"/>
  <c r="W66" i="117"/>
  <c r="U66" i="120"/>
  <c r="U66" i="118"/>
  <c r="U66" i="114"/>
  <c r="U49" i="116"/>
  <c r="U49" i="119"/>
  <c r="U49" i="113"/>
  <c r="U17" i="116"/>
  <c r="U17" i="119"/>
  <c r="U17" i="113"/>
  <c r="U31" i="116"/>
  <c r="U31" i="119"/>
  <c r="U31" i="113"/>
  <c r="U42" i="119"/>
  <c r="W42" i="117"/>
  <c r="U42" i="120"/>
  <c r="U42" i="118"/>
  <c r="U42" i="116"/>
  <c r="U42" i="114"/>
  <c r="U57" i="120"/>
  <c r="U57" i="116"/>
  <c r="U57" i="119"/>
  <c r="U57" i="113"/>
  <c r="W76" i="117"/>
  <c r="U76" i="120"/>
  <c r="U76" i="118"/>
  <c r="U76" i="114"/>
  <c r="U67" i="116"/>
  <c r="U67" i="119"/>
  <c r="U67" i="113"/>
  <c r="W62" i="117"/>
  <c r="U62" i="120"/>
  <c r="U62" i="118"/>
  <c r="U62" i="114"/>
  <c r="U61" i="116"/>
  <c r="U61" i="119"/>
  <c r="W61" i="117"/>
  <c r="U61" i="113"/>
  <c r="U75" i="118"/>
  <c r="U75" i="116"/>
  <c r="U75" i="114"/>
  <c r="U75" i="119"/>
  <c r="U75" i="113"/>
  <c r="U43" i="116"/>
  <c r="U43" i="119"/>
  <c r="U43" i="113"/>
  <c r="U27" i="116"/>
  <c r="U27" i="119"/>
  <c r="U27" i="113"/>
  <c r="W38" i="117"/>
  <c r="U38" i="120"/>
  <c r="U38" i="118"/>
  <c r="U38" i="114"/>
  <c r="U37" i="116"/>
  <c r="U37" i="119"/>
  <c r="U37" i="113"/>
  <c r="W72" i="117"/>
  <c r="U72" i="113"/>
  <c r="U72" i="120"/>
  <c r="U72" i="118"/>
  <c r="U72" i="114"/>
  <c r="U55" i="118"/>
  <c r="U55" i="116"/>
  <c r="U55" i="114"/>
  <c r="U55" i="119"/>
  <c r="U55" i="113"/>
  <c r="W18" i="117"/>
  <c r="U18" i="120"/>
  <c r="U18" i="118"/>
  <c r="U18" i="114"/>
  <c r="W68" i="117"/>
  <c r="U68" i="113"/>
  <c r="U68" i="120"/>
  <c r="U68" i="118"/>
  <c r="U68" i="114"/>
  <c r="W54" i="117"/>
  <c r="U54" i="120"/>
  <c r="U54" i="118"/>
  <c r="U54" i="114"/>
  <c r="U51" i="116"/>
  <c r="U51" i="119"/>
  <c r="U51" i="113"/>
  <c r="W14" i="117"/>
  <c r="U14" i="120"/>
  <c r="U14" i="118"/>
  <c r="U14" i="114"/>
  <c r="U59" i="116"/>
  <c r="U59" i="119"/>
  <c r="U59" i="113"/>
  <c r="U53" i="116"/>
  <c r="U53" i="119"/>
  <c r="W53" i="117"/>
  <c r="U53" i="113"/>
  <c r="U47" i="118"/>
  <c r="U47" i="116"/>
  <c r="U47" i="114"/>
  <c r="U47" i="119"/>
  <c r="U47" i="113"/>
  <c r="U73" i="116"/>
  <c r="U73" i="119"/>
  <c r="U73" i="113"/>
  <c r="U25" i="116"/>
  <c r="U25" i="119"/>
  <c r="U25" i="113"/>
  <c r="W44" i="117"/>
  <c r="U44" i="113"/>
  <c r="U44" i="120"/>
  <c r="U44" i="118"/>
  <c r="U44" i="114"/>
  <c r="U11" i="118"/>
  <c r="U11" i="116"/>
  <c r="U11" i="114"/>
  <c r="U11" i="119"/>
  <c r="U11" i="113"/>
  <c r="U29" i="116"/>
  <c r="U29" i="119"/>
  <c r="U29" i="113"/>
  <c r="W22" i="117"/>
  <c r="U22" i="120"/>
  <c r="U22" i="118"/>
  <c r="U22" i="114"/>
  <c r="W50" i="117"/>
  <c r="U50" i="120"/>
  <c r="U50" i="118"/>
  <c r="U50" i="114"/>
  <c r="U33" i="116"/>
  <c r="U33" i="119"/>
  <c r="U33" i="113"/>
  <c r="W46" i="117"/>
  <c r="U46" i="120"/>
  <c r="U46" i="118"/>
  <c r="U46" i="114"/>
  <c r="U39" i="116"/>
  <c r="U39" i="119"/>
  <c r="U39" i="113"/>
  <c r="W34" i="117"/>
  <c r="U34" i="120"/>
  <c r="U34" i="118"/>
  <c r="U34" i="114"/>
  <c r="W12" i="117"/>
  <c r="U12" i="120"/>
  <c r="U12" i="118"/>
  <c r="U12" i="114"/>
  <c r="W32" i="117"/>
  <c r="U32" i="113"/>
  <c r="U32" i="120"/>
  <c r="U32" i="118"/>
  <c r="U32" i="114"/>
  <c r="W64" i="117"/>
  <c r="U64" i="120"/>
  <c r="U64" i="118"/>
  <c r="U64" i="114"/>
  <c r="W52" i="117"/>
  <c r="U52" i="120"/>
  <c r="U52" i="118"/>
  <c r="U52" i="114"/>
  <c r="U9" i="116"/>
  <c r="U9" i="119"/>
  <c r="U9" i="113"/>
  <c r="U15" i="116"/>
  <c r="U15" i="119"/>
  <c r="U15" i="113"/>
  <c r="W20" i="117"/>
  <c r="U20" i="120"/>
  <c r="U20" i="118"/>
  <c r="U20" i="114"/>
  <c r="U63" i="116"/>
  <c r="U63" i="119"/>
  <c r="U63" i="113"/>
  <c r="W48" i="117"/>
  <c r="U48" i="120"/>
  <c r="U48" i="118"/>
  <c r="U48" i="114"/>
  <c r="U13" i="116"/>
  <c r="U13" i="119"/>
  <c r="U13" i="113"/>
  <c r="W16" i="117"/>
  <c r="U16" i="120"/>
  <c r="U16" i="118"/>
  <c r="U16" i="114"/>
  <c r="W74" i="117"/>
  <c r="U74" i="120"/>
  <c r="U74" i="118"/>
  <c r="U74" i="114"/>
  <c r="W8" i="117"/>
  <c r="U8" i="113"/>
  <c r="U8" i="120"/>
  <c r="U8" i="118"/>
  <c r="U8" i="114"/>
  <c r="X13" i="46"/>
  <c r="X17" i="46"/>
  <c r="X11" i="46"/>
  <c r="V16" i="76"/>
  <c r="V16" i="80"/>
  <c r="V18" i="80"/>
  <c r="V18" i="76"/>
  <c r="V30" i="76"/>
  <c r="V30" i="80"/>
  <c r="Z45" i="72"/>
  <c r="V46" i="76"/>
  <c r="V46" i="80"/>
  <c r="V62" i="80"/>
  <c r="V62" i="76"/>
  <c r="V64" i="80"/>
  <c r="V64" i="76"/>
  <c r="V48" i="80"/>
  <c r="V48" i="76"/>
  <c r="V20" i="80"/>
  <c r="V20" i="76"/>
  <c r="V41" i="76"/>
  <c r="V52" i="80"/>
  <c r="V52" i="76"/>
  <c r="V24" i="80"/>
  <c r="V24" i="76"/>
  <c r="V72" i="76"/>
  <c r="V72" i="80"/>
  <c r="V10" i="80"/>
  <c r="V10" i="76"/>
  <c r="V22" i="80"/>
  <c r="V22" i="76"/>
  <c r="V40" i="80"/>
  <c r="V40" i="76"/>
  <c r="V74" i="80"/>
  <c r="V74" i="76"/>
  <c r="V60" i="80"/>
  <c r="V60" i="76"/>
  <c r="V50" i="80"/>
  <c r="V50" i="76"/>
  <c r="V73" i="80"/>
  <c r="V36" i="80"/>
  <c r="V36" i="76"/>
  <c r="V54" i="76"/>
  <c r="V54" i="80"/>
  <c r="V69" i="80"/>
  <c r="V34" i="80"/>
  <c r="V34" i="76"/>
  <c r="V7" i="80"/>
  <c r="V58" i="80"/>
  <c r="V58" i="76"/>
  <c r="V26" i="76"/>
  <c r="V26" i="80"/>
  <c r="V15" i="76"/>
  <c r="V56" i="80"/>
  <c r="V56" i="76"/>
  <c r="V71" i="76"/>
  <c r="V8" i="76"/>
  <c r="V8" i="80"/>
  <c r="V28" i="76"/>
  <c r="V28" i="80"/>
  <c r="V43" i="76"/>
  <c r="V12" i="80"/>
  <c r="V12" i="76"/>
  <c r="V68" i="76"/>
  <c r="V68" i="80"/>
  <c r="V35" i="80"/>
  <c r="V70" i="80"/>
  <c r="V70" i="76"/>
  <c r="V32" i="76"/>
  <c r="V32" i="80"/>
  <c r="V66" i="80"/>
  <c r="V66" i="76"/>
  <c r="V42" i="76"/>
  <c r="V42" i="80"/>
  <c r="V14" i="80"/>
  <c r="V14" i="76"/>
  <c r="V38" i="76"/>
  <c r="V38" i="80"/>
  <c r="V31" i="76"/>
  <c r="V44" i="80"/>
  <c r="V44" i="76"/>
  <c r="V29" i="80"/>
  <c r="Y45" i="72"/>
  <c r="V6" i="80"/>
  <c r="AD33" i="116"/>
  <c r="AD77" i="116" s="1"/>
  <c r="O33" i="116"/>
  <c r="O77" i="116" s="1"/>
  <c r="D76" i="33"/>
  <c r="D75" i="33"/>
  <c r="D74" i="33"/>
  <c r="D73" i="33"/>
  <c r="D72" i="33"/>
  <c r="D71" i="33"/>
  <c r="D70" i="33"/>
  <c r="D69" i="33"/>
  <c r="F69" i="33" s="1"/>
  <c r="G69" i="33" s="1"/>
  <c r="D68" i="33"/>
  <c r="D67" i="33"/>
  <c r="D66" i="33"/>
  <c r="D65" i="33"/>
  <c r="F65" i="33" s="1"/>
  <c r="D64" i="33"/>
  <c r="D63" i="33"/>
  <c r="D62" i="33"/>
  <c r="D61" i="33"/>
  <c r="D60" i="33"/>
  <c r="D59" i="33"/>
  <c r="D58" i="33"/>
  <c r="D57" i="33"/>
  <c r="D56" i="33"/>
  <c r="D55" i="33"/>
  <c r="D54" i="33"/>
  <c r="D53" i="33"/>
  <c r="F53" i="33" s="1"/>
  <c r="G53" i="33" s="1"/>
  <c r="D52" i="33"/>
  <c r="D51" i="33"/>
  <c r="D50" i="33"/>
  <c r="D49" i="33"/>
  <c r="F49" i="33" s="1"/>
  <c r="D48" i="33"/>
  <c r="D47" i="33"/>
  <c r="D46" i="33"/>
  <c r="D45" i="33"/>
  <c r="D44" i="33"/>
  <c r="D43" i="33"/>
  <c r="D42" i="33"/>
  <c r="D41" i="33"/>
  <c r="F41" i="33" s="1"/>
  <c r="D40" i="33"/>
  <c r="D39" i="33"/>
  <c r="D38" i="33"/>
  <c r="D37" i="33"/>
  <c r="F37" i="33" s="1"/>
  <c r="D36" i="33"/>
  <c r="D35" i="33"/>
  <c r="D34" i="33"/>
  <c r="D33" i="33"/>
  <c r="F33" i="33" s="1"/>
  <c r="D32" i="33"/>
  <c r="D31" i="33"/>
  <c r="D30" i="33"/>
  <c r="D29" i="33"/>
  <c r="D28" i="33"/>
  <c r="D27" i="33"/>
  <c r="F27" i="33" s="1"/>
  <c r="H27" i="33" s="1"/>
  <c r="D26" i="33"/>
  <c r="F26" i="33" s="1"/>
  <c r="G26" i="33" s="1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F8" i="33" s="1"/>
  <c r="G8" i="33" s="1"/>
  <c r="AI18" i="46"/>
  <c r="AI30" i="46"/>
  <c r="F73" i="33"/>
  <c r="H73" i="33" s="1"/>
  <c r="Q30" i="46"/>
  <c r="J5" i="72" l="1"/>
  <c r="K5" i="72" s="1"/>
  <c r="L5" i="72" s="1"/>
  <c r="M5" i="72" s="1"/>
  <c r="N5" i="72" s="1"/>
  <c r="O5" i="72" s="1"/>
  <c r="P5" i="72" s="1"/>
  <c r="Q5" i="72" s="1"/>
  <c r="R5" i="72" s="1"/>
  <c r="S5" i="72" s="1"/>
  <c r="T5" i="72" s="1"/>
  <c r="U5" i="72" s="1"/>
  <c r="V5" i="72" s="1"/>
  <c r="W5" i="72" s="1"/>
  <c r="X5" i="72" s="1"/>
  <c r="Y5" i="72" s="1"/>
  <c r="Z5" i="72" s="1"/>
  <c r="AA5" i="72" s="1"/>
  <c r="AB5" i="72" s="1"/>
  <c r="AC5" i="72" s="1"/>
  <c r="AD5" i="72" s="1"/>
  <c r="AE5" i="72" s="1"/>
  <c r="AF5" i="72" s="1"/>
  <c r="AG5" i="72" s="1"/>
  <c r="AH5" i="72" s="1"/>
  <c r="AI5" i="72" s="1"/>
  <c r="AJ5" i="72" s="1"/>
  <c r="AK5" i="72" s="1"/>
  <c r="AL5" i="72" s="1"/>
  <c r="AM5" i="72" s="1"/>
  <c r="AN5" i="72" s="1"/>
  <c r="AO5" i="72" s="1"/>
  <c r="AP5" i="72" s="1"/>
  <c r="AQ5" i="72" s="1"/>
  <c r="AR5" i="72" s="1"/>
  <c r="AS5" i="72" s="1"/>
  <c r="AL6" i="46"/>
  <c r="AM6" i="46" s="1"/>
  <c r="AN6" i="46" s="1"/>
  <c r="AO6" i="46" s="1"/>
  <c r="AP6" i="46" s="1"/>
  <c r="AJ6" i="46"/>
  <c r="AK6" i="46" s="1"/>
  <c r="C102" i="67"/>
  <c r="C99" i="67"/>
  <c r="C101" i="67" s="1"/>
  <c r="C103" i="67" s="1"/>
  <c r="F5" i="67" s="1"/>
  <c r="G45" i="2"/>
  <c r="H45" i="2" s="1"/>
  <c r="G21" i="2"/>
  <c r="H21" i="2" s="1"/>
  <c r="G38" i="31"/>
  <c r="F24" i="125"/>
  <c r="G24" i="125" s="1"/>
  <c r="X6" i="128"/>
  <c r="Y6" i="128" s="1"/>
  <c r="Z6" i="128" s="1"/>
  <c r="AA6" i="128" s="1"/>
  <c r="AB6" i="128" s="1"/>
  <c r="AC6" i="128" s="1"/>
  <c r="AD6" i="128" s="1"/>
  <c r="AE6" i="128" s="1"/>
  <c r="AF6" i="128" s="1"/>
  <c r="AG6" i="128" s="1"/>
  <c r="AH6" i="128" s="1"/>
  <c r="AI6" i="128" s="1"/>
  <c r="AJ6" i="128" s="1"/>
  <c r="AB6" i="127"/>
  <c r="AC6" i="127" s="1"/>
  <c r="AD6" i="127" s="1"/>
  <c r="AE6" i="127" s="1"/>
  <c r="AF6" i="127" s="1"/>
  <c r="AG6" i="127" s="1"/>
  <c r="AH6" i="127" s="1"/>
  <c r="AI6" i="127" s="1"/>
  <c r="AJ6" i="127" s="1"/>
  <c r="X6" i="127"/>
  <c r="Y6" i="127" s="1"/>
  <c r="Z6" i="127" s="1"/>
  <c r="AA6" i="127" s="1"/>
  <c r="X6" i="119"/>
  <c r="Y6" i="119" s="1"/>
  <c r="Z6" i="119" s="1"/>
  <c r="AA6" i="119" s="1"/>
  <c r="AB6" i="119" s="1"/>
  <c r="AC6" i="119" s="1"/>
  <c r="AD6" i="119" s="1"/>
  <c r="AE6" i="119" s="1"/>
  <c r="AF6" i="119" s="1"/>
  <c r="AG6" i="119" s="1"/>
  <c r="AH6" i="119" s="1"/>
  <c r="AI6" i="119" s="1"/>
  <c r="AJ6" i="119" s="1"/>
  <c r="Z6" i="117"/>
  <c r="AA6" i="117" s="1"/>
  <c r="AB6" i="117" s="1"/>
  <c r="AC6" i="117" s="1"/>
  <c r="AD6" i="117" s="1"/>
  <c r="AE6" i="117" s="1"/>
  <c r="AF6" i="117" s="1"/>
  <c r="AG6" i="117" s="1"/>
  <c r="AH6" i="117" s="1"/>
  <c r="AI6" i="117" s="1"/>
  <c r="AJ6" i="117" s="1"/>
  <c r="AK6" i="117" s="1"/>
  <c r="AL6" i="117" s="1"/>
  <c r="X6" i="114"/>
  <c r="Y6" i="114" s="1"/>
  <c r="Z6" i="114" s="1"/>
  <c r="AA6" i="114" s="1"/>
  <c r="AB6" i="114" s="1"/>
  <c r="AC6" i="114" s="1"/>
  <c r="AD6" i="114" s="1"/>
  <c r="AE6" i="114" s="1"/>
  <c r="AF6" i="114" s="1"/>
  <c r="AG6" i="114" s="1"/>
  <c r="AH6" i="114" s="1"/>
  <c r="AI6" i="114" s="1"/>
  <c r="AJ6" i="114" s="1"/>
  <c r="X6" i="116"/>
  <c r="Y6" i="116" s="1"/>
  <c r="Z6" i="116" s="1"/>
  <c r="AA6" i="116" s="1"/>
  <c r="AB6" i="116" s="1"/>
  <c r="AC6" i="116" s="1"/>
  <c r="AD6" i="116" s="1"/>
  <c r="AE6" i="116" s="1"/>
  <c r="AF6" i="116" s="1"/>
  <c r="AG6" i="116" s="1"/>
  <c r="AH6" i="116" s="1"/>
  <c r="AI6" i="116" s="1"/>
  <c r="AJ6" i="116" s="1"/>
  <c r="R5" i="80"/>
  <c r="S5" i="80" s="1"/>
  <c r="T5" i="80" s="1"/>
  <c r="U5" i="80" s="1"/>
  <c r="V5" i="80" s="1"/>
  <c r="W5" i="80" s="1"/>
  <c r="X5" i="80" s="1"/>
  <c r="Y5" i="80" s="1"/>
  <c r="Z5" i="80" s="1"/>
  <c r="AA5" i="80" s="1"/>
  <c r="AB5" i="80" s="1"/>
  <c r="AC5" i="80" s="1"/>
  <c r="AD5" i="80" s="1"/>
  <c r="AE5" i="80" s="1"/>
  <c r="AF5" i="80" s="1"/>
  <c r="AG5" i="80" s="1"/>
  <c r="AH5" i="80" s="1"/>
  <c r="AI5" i="80" s="1"/>
  <c r="AJ5" i="80" s="1"/>
  <c r="AK5" i="80" s="1"/>
  <c r="V75" i="80"/>
  <c r="V79" i="80" s="1"/>
  <c r="I6" i="31"/>
  <c r="J6" i="31" s="1"/>
  <c r="K6" i="31" s="1"/>
  <c r="L6" i="31" s="1"/>
  <c r="I6" i="67"/>
  <c r="K5" i="76"/>
  <c r="L5" i="76" s="1"/>
  <c r="M5" i="76" s="1"/>
  <c r="I6" i="115"/>
  <c r="J6" i="115" s="1"/>
  <c r="K6" i="115" s="1"/>
  <c r="L6" i="115" s="1"/>
  <c r="M6" i="115" s="1"/>
  <c r="N6" i="115" s="1"/>
  <c r="O6" i="115" s="1"/>
  <c r="P6" i="115" s="1"/>
  <c r="I6" i="131"/>
  <c r="J6" i="131" s="1"/>
  <c r="K6" i="131" s="1"/>
  <c r="L6" i="131" s="1"/>
  <c r="M6" i="131" s="1"/>
  <c r="N6" i="131" s="1"/>
  <c r="O6" i="131" s="1"/>
  <c r="P6" i="131" s="1"/>
  <c r="G10" i="128"/>
  <c r="G12" i="128"/>
  <c r="G14" i="128"/>
  <c r="G16" i="128"/>
  <c r="G20" i="128"/>
  <c r="G22" i="128"/>
  <c r="G25" i="128"/>
  <c r="G27" i="128"/>
  <c r="G29" i="128"/>
  <c r="G31" i="128"/>
  <c r="G33" i="128"/>
  <c r="G35" i="128"/>
  <c r="G37" i="128"/>
  <c r="G39" i="128"/>
  <c r="G41" i="128"/>
  <c r="G44" i="128"/>
  <c r="G47" i="128"/>
  <c r="G49" i="128"/>
  <c r="G51" i="128"/>
  <c r="G53" i="128"/>
  <c r="G55" i="128"/>
  <c r="G57" i="128"/>
  <c r="G59" i="128"/>
  <c r="G61" i="128"/>
  <c r="G63" i="128"/>
  <c r="G65" i="128"/>
  <c r="G67" i="128"/>
  <c r="G69" i="128"/>
  <c r="G71" i="128"/>
  <c r="G75" i="128"/>
  <c r="G8" i="128"/>
  <c r="G9" i="128"/>
  <c r="G11" i="128"/>
  <c r="G15" i="128"/>
  <c r="G17" i="128"/>
  <c r="G19" i="128"/>
  <c r="G23" i="128"/>
  <c r="G28" i="128"/>
  <c r="G30" i="128"/>
  <c r="G32" i="128"/>
  <c r="G36" i="128"/>
  <c r="G38" i="128"/>
  <c r="G40" i="128"/>
  <c r="G42" i="128"/>
  <c r="G45" i="128"/>
  <c r="G48" i="128"/>
  <c r="G50" i="128"/>
  <c r="G54" i="128"/>
  <c r="G56" i="128"/>
  <c r="G62" i="128"/>
  <c r="G64" i="128"/>
  <c r="G66" i="128"/>
  <c r="G68" i="128"/>
  <c r="G70" i="128"/>
  <c r="G72" i="128"/>
  <c r="G74" i="128"/>
  <c r="I6" i="120"/>
  <c r="J6" i="120" s="1"/>
  <c r="K6" i="120" s="1"/>
  <c r="L6" i="120" s="1"/>
  <c r="M6" i="120" s="1"/>
  <c r="N6" i="120" s="1"/>
  <c r="O6" i="120" s="1"/>
  <c r="P6" i="120" s="1"/>
  <c r="Q6" i="120" s="1"/>
  <c r="R6" i="120" s="1"/>
  <c r="S6" i="120" s="1"/>
  <c r="T6" i="120" s="1"/>
  <c r="U6" i="120" s="1"/>
  <c r="I6" i="125"/>
  <c r="J6" i="125" s="1"/>
  <c r="K6" i="125" s="1"/>
  <c r="L6" i="125" s="1"/>
  <c r="M6" i="125" s="1"/>
  <c r="N6" i="125" s="1"/>
  <c r="O6" i="125" s="1"/>
  <c r="P6" i="125" s="1"/>
  <c r="Q6" i="125" s="1"/>
  <c r="R6" i="125" s="1"/>
  <c r="S6" i="125" s="1"/>
  <c r="T6" i="125" s="1"/>
  <c r="U6" i="125" s="1"/>
  <c r="I6" i="126"/>
  <c r="J6" i="126" s="1"/>
  <c r="K6" i="126" s="1"/>
  <c r="L6" i="126" s="1"/>
  <c r="M6" i="126" s="1"/>
  <c r="N6" i="126" s="1"/>
  <c r="O6" i="126" s="1"/>
  <c r="P6" i="126" s="1"/>
  <c r="Q6" i="126" s="1"/>
  <c r="R6" i="126" s="1"/>
  <c r="S6" i="126" s="1"/>
  <c r="T6" i="126" s="1"/>
  <c r="U6" i="126" s="1"/>
  <c r="Q6" i="118"/>
  <c r="R6" i="118" s="1"/>
  <c r="S6" i="118" s="1"/>
  <c r="T6" i="118" s="1"/>
  <c r="U6" i="118" s="1"/>
  <c r="G8" i="114"/>
  <c r="G10" i="114"/>
  <c r="G12" i="114"/>
  <c r="G14" i="114"/>
  <c r="G16" i="114"/>
  <c r="G19" i="114"/>
  <c r="G21" i="114"/>
  <c r="G23" i="114"/>
  <c r="G25" i="114"/>
  <c r="G27" i="114"/>
  <c r="G29" i="114"/>
  <c r="G31" i="114"/>
  <c r="G33" i="114"/>
  <c r="G35" i="114"/>
  <c r="G36" i="114"/>
  <c r="G38" i="114"/>
  <c r="G40" i="114"/>
  <c r="G42" i="114"/>
  <c r="G44" i="114"/>
  <c r="G48" i="114"/>
  <c r="G50" i="114"/>
  <c r="G52" i="114"/>
  <c r="G54" i="114"/>
  <c r="G56" i="114"/>
  <c r="G58" i="114"/>
  <c r="G60" i="114"/>
  <c r="G62" i="114"/>
  <c r="G64" i="114"/>
  <c r="G66" i="114"/>
  <c r="G68" i="114"/>
  <c r="G72" i="114"/>
  <c r="G74" i="114"/>
  <c r="G76" i="114"/>
  <c r="G9" i="114"/>
  <c r="G11" i="114"/>
  <c r="G13" i="114"/>
  <c r="G15" i="114"/>
  <c r="G18" i="114"/>
  <c r="G20" i="114"/>
  <c r="G22" i="114"/>
  <c r="G26" i="114"/>
  <c r="G28" i="114"/>
  <c r="G30" i="114"/>
  <c r="G34" i="114"/>
  <c r="G37" i="114"/>
  <c r="G39" i="114"/>
  <c r="G41" i="114"/>
  <c r="G43" i="114"/>
  <c r="G45" i="114"/>
  <c r="G47" i="114"/>
  <c r="G49" i="114"/>
  <c r="G53" i="114"/>
  <c r="G57" i="114"/>
  <c r="G61" i="114"/>
  <c r="G65" i="114"/>
  <c r="G69" i="114"/>
  <c r="G73" i="114"/>
  <c r="G77" i="114"/>
  <c r="F24" i="129"/>
  <c r="G24" i="129" s="1"/>
  <c r="F24" i="131"/>
  <c r="G24" i="131" s="1"/>
  <c r="F24" i="127"/>
  <c r="G67" i="31"/>
  <c r="G14" i="129"/>
  <c r="G22" i="129"/>
  <c r="G27" i="129"/>
  <c r="G39" i="129"/>
  <c r="G49" i="129"/>
  <c r="G57" i="129"/>
  <c r="G65" i="129"/>
  <c r="G73" i="129"/>
  <c r="G15" i="129"/>
  <c r="G23" i="129"/>
  <c r="G32" i="129"/>
  <c r="G45" i="129"/>
  <c r="G54" i="129"/>
  <c r="G62" i="129"/>
  <c r="G70" i="129"/>
  <c r="G12" i="129"/>
  <c r="G16" i="129"/>
  <c r="G20" i="129"/>
  <c r="G25" i="129"/>
  <c r="G29" i="129"/>
  <c r="G33" i="129"/>
  <c r="G37" i="129"/>
  <c r="G41" i="129"/>
  <c r="G47" i="129"/>
  <c r="G51" i="129"/>
  <c r="G55" i="129"/>
  <c r="G59" i="129"/>
  <c r="G63" i="129"/>
  <c r="G67" i="129"/>
  <c r="G71" i="129"/>
  <c r="G75" i="129"/>
  <c r="G10" i="129"/>
  <c r="G18" i="129"/>
  <c r="G31" i="129"/>
  <c r="G35" i="129"/>
  <c r="G44" i="129"/>
  <c r="G53" i="129"/>
  <c r="G61" i="129"/>
  <c r="G69" i="129"/>
  <c r="G8" i="129"/>
  <c r="G11" i="129"/>
  <c r="G19" i="129"/>
  <c r="G28" i="129"/>
  <c r="G36" i="129"/>
  <c r="G40" i="129"/>
  <c r="G50" i="129"/>
  <c r="G58" i="129"/>
  <c r="G66" i="129"/>
  <c r="G74" i="129"/>
  <c r="G9" i="129"/>
  <c r="G13" i="129"/>
  <c r="G17" i="129"/>
  <c r="G21" i="129"/>
  <c r="G26" i="129"/>
  <c r="G30" i="129"/>
  <c r="G34" i="129"/>
  <c r="G38" i="129"/>
  <c r="G42" i="129"/>
  <c r="G48" i="129"/>
  <c r="G52" i="129"/>
  <c r="G56" i="129"/>
  <c r="G60" i="129"/>
  <c r="G64" i="129"/>
  <c r="G68" i="129"/>
  <c r="G72" i="129"/>
  <c r="G76" i="129"/>
  <c r="G16" i="2"/>
  <c r="H16" i="2" s="1"/>
  <c r="G12" i="2"/>
  <c r="H12" i="2" s="1"/>
  <c r="I68" i="2"/>
  <c r="J6" i="129"/>
  <c r="K6" i="129" s="1"/>
  <c r="G66" i="2"/>
  <c r="H66" i="2" s="1"/>
  <c r="G62" i="2"/>
  <c r="H62" i="2" s="1"/>
  <c r="G54" i="2"/>
  <c r="H54" i="2" s="1"/>
  <c r="G50" i="2"/>
  <c r="H50" i="2" s="1"/>
  <c r="G26" i="2"/>
  <c r="H26" i="2" s="1"/>
  <c r="G14" i="2"/>
  <c r="H14" i="2" s="1"/>
  <c r="I6" i="33"/>
  <c r="J6" i="33" s="1"/>
  <c r="K6" i="33" s="1"/>
  <c r="L6" i="33" s="1"/>
  <c r="M6" i="33" s="1"/>
  <c r="N6" i="33" s="1"/>
  <c r="O6" i="33" s="1"/>
  <c r="P6" i="33" s="1"/>
  <c r="Q6" i="33" s="1"/>
  <c r="R6" i="33" s="1"/>
  <c r="S6" i="33" s="1"/>
  <c r="T6" i="33" s="1"/>
  <c r="U6" i="33" s="1"/>
  <c r="V6" i="33" s="1"/>
  <c r="W6" i="33" s="1"/>
  <c r="X6" i="33" s="1"/>
  <c r="Y6" i="33" s="1"/>
  <c r="Z6" i="33" s="1"/>
  <c r="AA6" i="33" s="1"/>
  <c r="AB6" i="33" s="1"/>
  <c r="AC6" i="33" s="1"/>
  <c r="AD6" i="33" s="1"/>
  <c r="AE6" i="33" s="1"/>
  <c r="AF6" i="33" s="1"/>
  <c r="G52" i="2"/>
  <c r="H52" i="2" s="1"/>
  <c r="G36" i="2"/>
  <c r="H36" i="2" s="1"/>
  <c r="I20" i="2"/>
  <c r="G26" i="31"/>
  <c r="G24" i="2"/>
  <c r="H24" i="2" s="1"/>
  <c r="B10" i="5"/>
  <c r="E13" i="81" s="1"/>
  <c r="G13" i="81" s="1"/>
  <c r="Q21" i="2"/>
  <c r="AF22" i="136"/>
  <c r="R77" i="67"/>
  <c r="G46" i="114"/>
  <c r="G24" i="119"/>
  <c r="G46" i="119"/>
  <c r="G24" i="114"/>
  <c r="G74" i="76"/>
  <c r="G72" i="76"/>
  <c r="G64" i="76"/>
  <c r="G62" i="76"/>
  <c r="G60" i="76"/>
  <c r="G58" i="76"/>
  <c r="G56" i="76"/>
  <c r="G54" i="76"/>
  <c r="G52" i="76"/>
  <c r="G49" i="76"/>
  <c r="G47" i="76"/>
  <c r="G45" i="76"/>
  <c r="G42" i="76"/>
  <c r="G39" i="76"/>
  <c r="G37" i="76"/>
  <c r="G35" i="76"/>
  <c r="G33" i="76"/>
  <c r="G31" i="76"/>
  <c r="G29" i="76"/>
  <c r="G27" i="76"/>
  <c r="G25" i="76"/>
  <c r="G23" i="76"/>
  <c r="G20" i="76"/>
  <c r="G18" i="76"/>
  <c r="G16" i="76"/>
  <c r="G14" i="76"/>
  <c r="G12" i="76"/>
  <c r="G10" i="76"/>
  <c r="G8" i="76"/>
  <c r="G71" i="76"/>
  <c r="G69" i="76"/>
  <c r="G67" i="76"/>
  <c r="G65" i="76"/>
  <c r="G63" i="76"/>
  <c r="G61" i="76"/>
  <c r="G59" i="76"/>
  <c r="G57" i="76"/>
  <c r="G55" i="76"/>
  <c r="G53" i="76"/>
  <c r="G51" i="76"/>
  <c r="G38" i="76"/>
  <c r="G32" i="76"/>
  <c r="G28" i="76"/>
  <c r="G26" i="76"/>
  <c r="G24" i="76"/>
  <c r="G21" i="76"/>
  <c r="G19" i="76"/>
  <c r="G17" i="76"/>
  <c r="G15" i="76"/>
  <c r="G13" i="76"/>
  <c r="G22" i="76"/>
  <c r="G44" i="76"/>
  <c r="G73" i="76"/>
  <c r="G70" i="76"/>
  <c r="G68" i="76"/>
  <c r="G66" i="76"/>
  <c r="G50" i="76"/>
  <c r="G48" i="76"/>
  <c r="G46" i="76"/>
  <c r="G43" i="76"/>
  <c r="G40" i="76"/>
  <c r="G36" i="76"/>
  <c r="G34" i="76"/>
  <c r="G30" i="76"/>
  <c r="G11" i="76"/>
  <c r="G9" i="76"/>
  <c r="G7" i="76"/>
  <c r="G41" i="76"/>
  <c r="G6" i="76"/>
  <c r="G63" i="127"/>
  <c r="G37" i="127"/>
  <c r="G35" i="127"/>
  <c r="G51" i="127"/>
  <c r="G10" i="127"/>
  <c r="G12" i="127"/>
  <c r="G16" i="127"/>
  <c r="G18" i="127"/>
  <c r="G20" i="127"/>
  <c r="G22" i="127"/>
  <c r="G25" i="127"/>
  <c r="G27" i="127"/>
  <c r="G29" i="127"/>
  <c r="G31" i="127"/>
  <c r="G33" i="127"/>
  <c r="G39" i="127"/>
  <c r="G41" i="127"/>
  <c r="G44" i="127"/>
  <c r="G47" i="127"/>
  <c r="G49" i="127"/>
  <c r="G53" i="127"/>
  <c r="G55" i="127"/>
  <c r="G57" i="127"/>
  <c r="G61" i="127"/>
  <c r="G65" i="127"/>
  <c r="G67" i="127"/>
  <c r="G69" i="127"/>
  <c r="G71" i="127"/>
  <c r="G73" i="127"/>
  <c r="G75" i="127"/>
  <c r="G24" i="127"/>
  <c r="G11" i="127"/>
  <c r="G15" i="127"/>
  <c r="G19" i="127"/>
  <c r="G23" i="127"/>
  <c r="G28" i="127"/>
  <c r="G32" i="127"/>
  <c r="G36" i="127"/>
  <c r="G40" i="127"/>
  <c r="G45" i="127"/>
  <c r="G50" i="127"/>
  <c r="G54" i="127"/>
  <c r="G56" i="127"/>
  <c r="G58" i="127"/>
  <c r="G60" i="127"/>
  <c r="G62" i="127"/>
  <c r="G66" i="127"/>
  <c r="G68" i="127"/>
  <c r="G70" i="127"/>
  <c r="G74" i="127"/>
  <c r="G40" i="117"/>
  <c r="G8" i="117"/>
  <c r="G10" i="117"/>
  <c r="G12" i="117"/>
  <c r="G14" i="117"/>
  <c r="G16" i="117"/>
  <c r="G18" i="117"/>
  <c r="G20" i="117"/>
  <c r="G22" i="117"/>
  <c r="G24" i="117"/>
  <c r="G26" i="117"/>
  <c r="G28" i="117"/>
  <c r="G30" i="117"/>
  <c r="G32" i="117"/>
  <c r="G34" i="117"/>
  <c r="G36" i="117"/>
  <c r="G38" i="117"/>
  <c r="G41" i="117"/>
  <c r="G43" i="117"/>
  <c r="G45" i="117"/>
  <c r="G47" i="117"/>
  <c r="G49" i="117"/>
  <c r="G51" i="117"/>
  <c r="G53" i="117"/>
  <c r="G55" i="117"/>
  <c r="G57" i="117"/>
  <c r="G59" i="117"/>
  <c r="G61" i="117"/>
  <c r="G63" i="117"/>
  <c r="G65" i="117"/>
  <c r="G67" i="117"/>
  <c r="G71" i="117"/>
  <c r="G73" i="117"/>
  <c r="G75" i="117"/>
  <c r="G9" i="117"/>
  <c r="G11" i="117"/>
  <c r="G15" i="117"/>
  <c r="G17" i="117"/>
  <c r="G21" i="117"/>
  <c r="G27" i="117"/>
  <c r="G33" i="117"/>
  <c r="G35" i="117"/>
  <c r="G37" i="117"/>
  <c r="G39" i="117"/>
  <c r="G42" i="117"/>
  <c r="G48" i="117"/>
  <c r="G50" i="117"/>
  <c r="G52" i="117"/>
  <c r="G54" i="117"/>
  <c r="G58" i="117"/>
  <c r="G62" i="117"/>
  <c r="G64" i="117"/>
  <c r="G66" i="117"/>
  <c r="G68" i="117"/>
  <c r="G70" i="117"/>
  <c r="G10" i="116"/>
  <c r="G14" i="116"/>
  <c r="G18" i="116"/>
  <c r="G22" i="116"/>
  <c r="G26" i="116"/>
  <c r="G30" i="116"/>
  <c r="G34" i="116"/>
  <c r="G38" i="116"/>
  <c r="G40" i="116"/>
  <c r="G42" i="116"/>
  <c r="G44" i="116"/>
  <c r="G46" i="116"/>
  <c r="G48" i="116"/>
  <c r="G50" i="116"/>
  <c r="G52" i="116"/>
  <c r="G54" i="116"/>
  <c r="G56" i="116"/>
  <c r="G58" i="116"/>
  <c r="G60" i="116"/>
  <c r="G62" i="116"/>
  <c r="G64" i="116"/>
  <c r="G66" i="116"/>
  <c r="G68" i="116"/>
  <c r="G70" i="116"/>
  <c r="G72" i="116"/>
  <c r="G74" i="116"/>
  <c r="G76" i="116"/>
  <c r="G9" i="116"/>
  <c r="G13" i="116"/>
  <c r="G17" i="116"/>
  <c r="G21" i="116"/>
  <c r="G25" i="116"/>
  <c r="G29" i="116"/>
  <c r="G33" i="116"/>
  <c r="G37" i="116"/>
  <c r="G39" i="116"/>
  <c r="G41" i="116"/>
  <c r="G43" i="116"/>
  <c r="G47" i="116"/>
  <c r="G49" i="116"/>
  <c r="G51" i="116"/>
  <c r="G55" i="116"/>
  <c r="G57" i="116"/>
  <c r="G59" i="116"/>
  <c r="G61" i="116"/>
  <c r="G65" i="116"/>
  <c r="G67" i="116"/>
  <c r="G69" i="116"/>
  <c r="G71" i="116"/>
  <c r="G73" i="116"/>
  <c r="G8" i="113"/>
  <c r="G10" i="113"/>
  <c r="G12" i="113"/>
  <c r="G14" i="113"/>
  <c r="G16" i="113"/>
  <c r="G18" i="113"/>
  <c r="G20" i="113"/>
  <c r="G22" i="113"/>
  <c r="G25" i="113"/>
  <c r="G27" i="113"/>
  <c r="G29" i="113"/>
  <c r="G31" i="113"/>
  <c r="G33" i="113"/>
  <c r="G35" i="113"/>
  <c r="G37" i="113"/>
  <c r="G39" i="113"/>
  <c r="G41" i="113"/>
  <c r="G44" i="113"/>
  <c r="G47" i="113"/>
  <c r="G49" i="113"/>
  <c r="G51" i="113"/>
  <c r="G53" i="113"/>
  <c r="G55" i="113"/>
  <c r="G57" i="113"/>
  <c r="G59" i="113"/>
  <c r="G61" i="113"/>
  <c r="G63" i="113"/>
  <c r="G65" i="113"/>
  <c r="G67" i="113"/>
  <c r="G69" i="113"/>
  <c r="G71" i="113"/>
  <c r="G73" i="113"/>
  <c r="G75" i="113"/>
  <c r="G24" i="113"/>
  <c r="G46" i="113"/>
  <c r="G9" i="113"/>
  <c r="G11" i="113"/>
  <c r="G13" i="113"/>
  <c r="G15" i="113"/>
  <c r="G17" i="113"/>
  <c r="G19" i="113"/>
  <c r="G21" i="113"/>
  <c r="G23" i="113"/>
  <c r="G26" i="113"/>
  <c r="G28" i="113"/>
  <c r="G30" i="113"/>
  <c r="G32" i="113"/>
  <c r="G34" i="113"/>
  <c r="G36" i="113"/>
  <c r="G38" i="113"/>
  <c r="G40" i="113"/>
  <c r="G42" i="113"/>
  <c r="G45" i="113"/>
  <c r="G48" i="113"/>
  <c r="G50" i="113"/>
  <c r="G52" i="113"/>
  <c r="G54" i="113"/>
  <c r="G56" i="113"/>
  <c r="G58" i="113"/>
  <c r="G60" i="113"/>
  <c r="G62" i="113"/>
  <c r="G64" i="113"/>
  <c r="G66" i="113"/>
  <c r="G68" i="113"/>
  <c r="G70" i="113"/>
  <c r="G72" i="113"/>
  <c r="G74" i="113"/>
  <c r="G76" i="113"/>
  <c r="G43" i="113"/>
  <c r="G17" i="46"/>
  <c r="G28" i="46"/>
  <c r="G30" i="46" s="1"/>
  <c r="G31" i="46" s="1"/>
  <c r="G15" i="46"/>
  <c r="G10" i="46"/>
  <c r="G14" i="46"/>
  <c r="U27" i="31"/>
  <c r="U31" i="31"/>
  <c r="X23" i="46"/>
  <c r="P75" i="76"/>
  <c r="P79" i="76" s="1"/>
  <c r="AE75" i="76"/>
  <c r="AE79" i="76" s="1"/>
  <c r="X16" i="46"/>
  <c r="X12" i="46"/>
  <c r="X10" i="46"/>
  <c r="X14" i="46"/>
  <c r="E15" i="81"/>
  <c r="H15" i="81" s="1"/>
  <c r="Q79" i="136"/>
  <c r="S34" i="136"/>
  <c r="S63" i="136"/>
  <c r="S58" i="136"/>
  <c r="C30" i="46"/>
  <c r="C31" i="46" s="1"/>
  <c r="X29" i="46"/>
  <c r="C23" i="1"/>
  <c r="U21" i="2"/>
  <c r="V21" i="2" s="1"/>
  <c r="S56" i="136"/>
  <c r="S20" i="136"/>
  <c r="AF20" i="136" s="1"/>
  <c r="S52" i="136"/>
  <c r="AF52" i="136" s="1"/>
  <c r="S51" i="136"/>
  <c r="S61" i="136"/>
  <c r="S62" i="136"/>
  <c r="S72" i="136"/>
  <c r="S36" i="136"/>
  <c r="S71" i="136"/>
  <c r="S30" i="136"/>
  <c r="AF30" i="136" s="1"/>
  <c r="S44" i="136"/>
  <c r="AF44" i="136" s="1"/>
  <c r="S12" i="136"/>
  <c r="S76" i="136"/>
  <c r="S25" i="136"/>
  <c r="S46" i="136"/>
  <c r="S64" i="136"/>
  <c r="S28" i="136"/>
  <c r="U27" i="2" s="1"/>
  <c r="V27" i="2" s="1"/>
  <c r="S59" i="136"/>
  <c r="S10" i="136"/>
  <c r="S69" i="136"/>
  <c r="AF69" i="136" s="1"/>
  <c r="U73" i="2"/>
  <c r="V73" i="2" s="1"/>
  <c r="C75" i="1"/>
  <c r="Q73" i="2"/>
  <c r="S73" i="136"/>
  <c r="AF73" i="136" s="1"/>
  <c r="S65" i="136"/>
  <c r="AF65" i="136" s="1"/>
  <c r="S57" i="136"/>
  <c r="AF57" i="136" s="1"/>
  <c r="S53" i="136"/>
  <c r="AF53" i="136" s="1"/>
  <c r="S49" i="136"/>
  <c r="AF49" i="136" s="1"/>
  <c r="S45" i="136"/>
  <c r="S41" i="136"/>
  <c r="AF41" i="136" s="1"/>
  <c r="S37" i="136"/>
  <c r="AF37" i="136" s="1"/>
  <c r="S29" i="136"/>
  <c r="AF29" i="136" s="1"/>
  <c r="S21" i="136"/>
  <c r="AF21" i="136" s="1"/>
  <c r="S17" i="136"/>
  <c r="AF17" i="136" s="1"/>
  <c r="S13" i="136"/>
  <c r="AF13" i="136" s="1"/>
  <c r="S9" i="136"/>
  <c r="AF9" i="136" s="1"/>
  <c r="C24" i="46"/>
  <c r="G21" i="46"/>
  <c r="G24" i="46" s="1"/>
  <c r="S33" i="136"/>
  <c r="AF33" i="136" s="1"/>
  <c r="S35" i="136"/>
  <c r="AF35" i="136" s="1"/>
  <c r="S39" i="136"/>
  <c r="AF39" i="136" s="1"/>
  <c r="S75" i="136"/>
  <c r="AF75" i="136" s="1"/>
  <c r="S67" i="136"/>
  <c r="AF67" i="136" s="1"/>
  <c r="S55" i="136"/>
  <c r="AF55" i="136" s="1"/>
  <c r="S47" i="136"/>
  <c r="AF47" i="136" s="1"/>
  <c r="S43" i="136"/>
  <c r="AF43" i="136" s="1"/>
  <c r="S31" i="136"/>
  <c r="AF31" i="136" s="1"/>
  <c r="S23" i="136"/>
  <c r="S19" i="136"/>
  <c r="AF19" i="136" s="1"/>
  <c r="S15" i="136"/>
  <c r="S11" i="136"/>
  <c r="AF11" i="136" s="1"/>
  <c r="S7" i="136"/>
  <c r="AF7" i="136" s="1"/>
  <c r="S27" i="136"/>
  <c r="AF27" i="136" s="1"/>
  <c r="S70" i="136"/>
  <c r="AF70" i="136" s="1"/>
  <c r="S38" i="136"/>
  <c r="AF38" i="136" s="1"/>
  <c r="S14" i="136"/>
  <c r="AF14" i="136" s="1"/>
  <c r="S60" i="136"/>
  <c r="AF60" i="136" s="1"/>
  <c r="S40" i="136"/>
  <c r="AF40" i="136" s="1"/>
  <c r="S24" i="136"/>
  <c r="AF24" i="136" s="1"/>
  <c r="S8" i="136"/>
  <c r="AF8" i="136" s="1"/>
  <c r="S50" i="136"/>
  <c r="AF50" i="136" s="1"/>
  <c r="S42" i="136"/>
  <c r="AF42" i="136" s="1"/>
  <c r="S54" i="136"/>
  <c r="AF54" i="136" s="1"/>
  <c r="S26" i="136"/>
  <c r="AF26" i="136" s="1"/>
  <c r="S68" i="136"/>
  <c r="AF68" i="136" s="1"/>
  <c r="S48" i="136"/>
  <c r="AF48" i="136" s="1"/>
  <c r="S32" i="136"/>
  <c r="AF32" i="136" s="1"/>
  <c r="S16" i="136"/>
  <c r="AF16" i="136" s="1"/>
  <c r="S66" i="136"/>
  <c r="AF66" i="136" s="1"/>
  <c r="S18" i="136"/>
  <c r="AF18" i="136" s="1"/>
  <c r="AI38" i="46"/>
  <c r="F21" i="33"/>
  <c r="G21" i="33" s="1"/>
  <c r="F29" i="33"/>
  <c r="G29" i="33" s="1"/>
  <c r="F35" i="33"/>
  <c r="H35" i="33" s="1"/>
  <c r="F59" i="33"/>
  <c r="H59" i="33" s="1"/>
  <c r="F61" i="33"/>
  <c r="G61" i="33" s="1"/>
  <c r="Q18" i="46"/>
  <c r="Q38" i="46" s="1"/>
  <c r="H77" i="67"/>
  <c r="E67" i="81" s="1"/>
  <c r="K77" i="1"/>
  <c r="E23" i="81" s="1"/>
  <c r="G23" i="81" s="1"/>
  <c r="G36" i="46"/>
  <c r="C18" i="46"/>
  <c r="F51" i="33"/>
  <c r="H51" i="33" s="1"/>
  <c r="F67" i="33"/>
  <c r="H67" i="33" s="1"/>
  <c r="F71" i="33"/>
  <c r="H71" i="33" s="1"/>
  <c r="U77" i="129"/>
  <c r="F11" i="33"/>
  <c r="G11" i="33" s="1"/>
  <c r="F17" i="33"/>
  <c r="H17" i="33" s="1"/>
  <c r="F75" i="33"/>
  <c r="G75" i="33" s="1"/>
  <c r="X35" i="46"/>
  <c r="AD35" i="46" s="1"/>
  <c r="D51" i="100" s="1"/>
  <c r="X28" i="46"/>
  <c r="X15" i="46"/>
  <c r="G19" i="2"/>
  <c r="H19" i="2" s="1"/>
  <c r="G39" i="2"/>
  <c r="H39" i="2" s="1"/>
  <c r="G15" i="2"/>
  <c r="H15" i="2" s="1"/>
  <c r="G67" i="2"/>
  <c r="H67" i="2" s="1"/>
  <c r="G13" i="2"/>
  <c r="H13" i="2" s="1"/>
  <c r="G53" i="2"/>
  <c r="H53" i="2" s="1"/>
  <c r="G41" i="2"/>
  <c r="H41" i="2" s="1"/>
  <c r="G59" i="2"/>
  <c r="H59" i="2" s="1"/>
  <c r="G23" i="2"/>
  <c r="H23" i="2" s="1"/>
  <c r="G31" i="2"/>
  <c r="H31" i="2" s="1"/>
  <c r="I43" i="2"/>
  <c r="G11" i="46"/>
  <c r="G65" i="2"/>
  <c r="H65" i="2" s="1"/>
  <c r="G61" i="2"/>
  <c r="H61" i="2" s="1"/>
  <c r="G57" i="2"/>
  <c r="H57" i="2" s="1"/>
  <c r="G49" i="2"/>
  <c r="H49" i="2" s="1"/>
  <c r="G37" i="2"/>
  <c r="H37" i="2" s="1"/>
  <c r="G29" i="2"/>
  <c r="H29" i="2" s="1"/>
  <c r="G17" i="2"/>
  <c r="H17" i="2" s="1"/>
  <c r="I25" i="2"/>
  <c r="I31" i="2"/>
  <c r="U66" i="31"/>
  <c r="I22" i="2"/>
  <c r="G30" i="2"/>
  <c r="H30" i="2" s="1"/>
  <c r="G38" i="2"/>
  <c r="H38" i="2" s="1"/>
  <c r="I50" i="2"/>
  <c r="F9" i="5"/>
  <c r="F10" i="5" s="1"/>
  <c r="U18" i="31"/>
  <c r="U33" i="31"/>
  <c r="U54" i="31"/>
  <c r="U43" i="31"/>
  <c r="U77" i="126"/>
  <c r="U77" i="127"/>
  <c r="U77" i="115"/>
  <c r="G54" i="31"/>
  <c r="G63" i="31"/>
  <c r="G33" i="31"/>
  <c r="G17" i="31"/>
  <c r="U42" i="31"/>
  <c r="G27" i="31"/>
  <c r="AF69" i="31"/>
  <c r="AF70" i="31" s="1"/>
  <c r="AF72" i="31" s="1"/>
  <c r="U58" i="31"/>
  <c r="U14" i="31"/>
  <c r="U16" i="31"/>
  <c r="U65" i="31"/>
  <c r="U34" i="31"/>
  <c r="U51" i="31"/>
  <c r="Q69" i="31"/>
  <c r="Q70" i="31" s="1"/>
  <c r="U25" i="31"/>
  <c r="U50" i="31"/>
  <c r="U21" i="31"/>
  <c r="G16" i="31"/>
  <c r="U22" i="31"/>
  <c r="U36" i="31"/>
  <c r="U45" i="31"/>
  <c r="U53" i="31"/>
  <c r="U57" i="31"/>
  <c r="U15" i="31"/>
  <c r="U35" i="31"/>
  <c r="U39" i="31"/>
  <c r="U44" i="31"/>
  <c r="U48" i="31"/>
  <c r="U52" i="31"/>
  <c r="U56" i="31"/>
  <c r="U64" i="31"/>
  <c r="U24" i="31"/>
  <c r="U12" i="31"/>
  <c r="U61" i="31"/>
  <c r="G18" i="31"/>
  <c r="U40" i="31"/>
  <c r="U13" i="31"/>
  <c r="G22" i="31"/>
  <c r="G36" i="31"/>
  <c r="U37" i="31"/>
  <c r="U46" i="31"/>
  <c r="U60" i="31"/>
  <c r="G23" i="31"/>
  <c r="G31" i="31"/>
  <c r="G62" i="31"/>
  <c r="C69" i="31"/>
  <c r="C70" i="31" s="1"/>
  <c r="C72" i="31" s="1"/>
  <c r="G43" i="129"/>
  <c r="U49" i="31"/>
  <c r="G45" i="31"/>
  <c r="U28" i="31"/>
  <c r="T4" i="100"/>
  <c r="U4" i="100" s="1"/>
  <c r="V4" i="100" s="1"/>
  <c r="W4" i="100" s="1"/>
  <c r="X4" i="100" s="1"/>
  <c r="H65" i="33"/>
  <c r="G65" i="33"/>
  <c r="H41" i="33"/>
  <c r="G41" i="33"/>
  <c r="F19" i="33"/>
  <c r="G19" i="33" s="1"/>
  <c r="F39" i="33"/>
  <c r="H39" i="33" s="1"/>
  <c r="F43" i="33"/>
  <c r="G43" i="33" s="1"/>
  <c r="F58" i="33"/>
  <c r="G58" i="33" s="1"/>
  <c r="F46" i="33"/>
  <c r="H46" i="33" s="1"/>
  <c r="G73" i="33"/>
  <c r="F14" i="33"/>
  <c r="G14" i="33" s="1"/>
  <c r="F13" i="33"/>
  <c r="H13" i="33" s="1"/>
  <c r="F25" i="33"/>
  <c r="G25" i="33" s="1"/>
  <c r="F45" i="33"/>
  <c r="G45" i="33" s="1"/>
  <c r="F57" i="33"/>
  <c r="G57" i="33" s="1"/>
  <c r="H49" i="33"/>
  <c r="G49" i="33"/>
  <c r="F18" i="33"/>
  <c r="H18" i="33" s="1"/>
  <c r="F38" i="33"/>
  <c r="F50" i="33"/>
  <c r="H50" i="33" s="1"/>
  <c r="F70" i="33"/>
  <c r="F15" i="33"/>
  <c r="G15" i="33" s="1"/>
  <c r="F23" i="33"/>
  <c r="H23" i="33" s="1"/>
  <c r="F31" i="33"/>
  <c r="G31" i="33" s="1"/>
  <c r="F47" i="33"/>
  <c r="H47" i="33" s="1"/>
  <c r="F55" i="33"/>
  <c r="H55" i="33" s="1"/>
  <c r="F63" i="33"/>
  <c r="H63" i="33" s="1"/>
  <c r="E77" i="33"/>
  <c r="G27" i="33"/>
  <c r="F10" i="33"/>
  <c r="G10" i="33" s="1"/>
  <c r="F30" i="33"/>
  <c r="F42" i="33"/>
  <c r="H42" i="33" s="1"/>
  <c r="F62" i="33"/>
  <c r="F74" i="33"/>
  <c r="H74" i="33" s="1"/>
  <c r="D77" i="33"/>
  <c r="F22" i="33"/>
  <c r="F34" i="33"/>
  <c r="G34" i="33" s="1"/>
  <c r="F54" i="33"/>
  <c r="F66" i="33"/>
  <c r="H66" i="33" s="1"/>
  <c r="G37" i="33"/>
  <c r="H37" i="33"/>
  <c r="H8" i="33"/>
  <c r="H69" i="33"/>
  <c r="H33" i="33"/>
  <c r="G33" i="33"/>
  <c r="F9" i="33"/>
  <c r="F12" i="33"/>
  <c r="F16" i="33"/>
  <c r="F20" i="33"/>
  <c r="F24" i="33"/>
  <c r="F28" i="33"/>
  <c r="F32" i="33"/>
  <c r="F36" i="33"/>
  <c r="F40" i="33"/>
  <c r="F44" i="33"/>
  <c r="F48" i="33"/>
  <c r="F52" i="33"/>
  <c r="F56" i="33"/>
  <c r="F60" i="33"/>
  <c r="F64" i="33"/>
  <c r="F68" i="33"/>
  <c r="F72" i="33"/>
  <c r="F76" i="33"/>
  <c r="H53" i="33"/>
  <c r="H26" i="33"/>
  <c r="H56" i="81"/>
  <c r="G9" i="81"/>
  <c r="G14" i="81"/>
  <c r="H30" i="81"/>
  <c r="G33" i="81"/>
  <c r="H28" i="81"/>
  <c r="G35" i="81"/>
  <c r="G34" i="81"/>
  <c r="G63" i="81"/>
  <c r="H63" i="81"/>
  <c r="W77" i="117"/>
  <c r="U77" i="119"/>
  <c r="U77" i="120"/>
  <c r="U77" i="116"/>
  <c r="V75" i="76"/>
  <c r="V79" i="76" s="1"/>
  <c r="U78" i="114"/>
  <c r="U77" i="113"/>
  <c r="U77" i="118"/>
  <c r="U77" i="125"/>
  <c r="U77" i="131"/>
  <c r="U77" i="128"/>
  <c r="J51" i="25"/>
  <c r="S50" i="1" s="1"/>
  <c r="J30" i="25"/>
  <c r="S29" i="1" s="1"/>
  <c r="J29" i="25"/>
  <c r="S28" i="1" s="1"/>
  <c r="H78" i="25"/>
  <c r="J12" i="25"/>
  <c r="S11" i="1" s="1"/>
  <c r="J20" i="25"/>
  <c r="S19" i="1" s="1"/>
  <c r="J42" i="25"/>
  <c r="S41" i="1" s="1"/>
  <c r="E78" i="25"/>
  <c r="J28" i="25"/>
  <c r="S27" i="1" s="1"/>
  <c r="J65" i="25"/>
  <c r="S64" i="1" s="1"/>
  <c r="J69" i="25"/>
  <c r="S68" i="1" s="1"/>
  <c r="J24" i="25"/>
  <c r="S23" i="1" s="1"/>
  <c r="J61" i="25"/>
  <c r="S60" i="1" s="1"/>
  <c r="J27" i="25"/>
  <c r="S26" i="1" s="1"/>
  <c r="J32" i="25"/>
  <c r="S31" i="1" s="1"/>
  <c r="J21" i="25"/>
  <c r="S20" i="1" s="1"/>
  <c r="J70" i="25"/>
  <c r="S69" i="1" s="1"/>
  <c r="J22" i="25"/>
  <c r="S21" i="1" s="1"/>
  <c r="J31" i="25"/>
  <c r="S30" i="1" s="1"/>
  <c r="J38" i="25"/>
  <c r="S37" i="1" s="1"/>
  <c r="J46" i="25"/>
  <c r="S45" i="1" s="1"/>
  <c r="J36" i="25"/>
  <c r="S35" i="1" s="1"/>
  <c r="J44" i="25"/>
  <c r="S43" i="1" s="1"/>
  <c r="J17" i="25"/>
  <c r="S16" i="1" s="1"/>
  <c r="J14" i="25"/>
  <c r="S13" i="1" s="1"/>
  <c r="J75" i="25"/>
  <c r="S74" i="1" s="1"/>
  <c r="J9" i="25"/>
  <c r="J71" i="25"/>
  <c r="S70" i="1" s="1"/>
  <c r="F46" i="125"/>
  <c r="G46" i="125" s="1"/>
  <c r="E75" i="2"/>
  <c r="E45" i="81" s="1"/>
  <c r="G10" i="2"/>
  <c r="H10" i="2" s="1"/>
  <c r="G42" i="2"/>
  <c r="H42" i="2" s="1"/>
  <c r="N5" i="2"/>
  <c r="O5" i="2" s="1"/>
  <c r="P5" i="2" s="1"/>
  <c r="Q5" i="2" s="1"/>
  <c r="R5" i="2" s="1"/>
  <c r="K5" i="2"/>
  <c r="L5" i="2" s="1"/>
  <c r="M5" i="2" s="1"/>
  <c r="G6" i="2"/>
  <c r="H6" i="2" s="1"/>
  <c r="G74" i="2"/>
  <c r="H74" i="2" s="1"/>
  <c r="F46" i="128"/>
  <c r="G46" i="2"/>
  <c r="H46" i="2" s="1"/>
  <c r="F46" i="126"/>
  <c r="G46" i="126" s="1"/>
  <c r="F75" i="2"/>
  <c r="G77" i="120"/>
  <c r="G77" i="119"/>
  <c r="G44" i="81"/>
  <c r="G77" i="116"/>
  <c r="F46" i="127"/>
  <c r="F46" i="129"/>
  <c r="F46" i="131"/>
  <c r="G46" i="131" s="1"/>
  <c r="G78" i="114"/>
  <c r="G77" i="117"/>
  <c r="T22" i="2"/>
  <c r="F24" i="128"/>
  <c r="G75" i="80"/>
  <c r="G79" i="80" s="1"/>
  <c r="A82" i="80" s="1"/>
  <c r="G77" i="115"/>
  <c r="G77" i="118"/>
  <c r="G43" i="126"/>
  <c r="G77" i="126" s="1"/>
  <c r="G43" i="128"/>
  <c r="G43" i="125"/>
  <c r="G77" i="125" s="1"/>
  <c r="G43" i="127"/>
  <c r="G43" i="131"/>
  <c r="G77" i="1"/>
  <c r="E21" i="81" s="1"/>
  <c r="G21" i="81" s="1"/>
  <c r="I77" i="1"/>
  <c r="E22" i="81" s="1"/>
  <c r="G22" i="81" s="1"/>
  <c r="E77" i="1"/>
  <c r="E20" i="81" s="1"/>
  <c r="H20" i="81" s="1"/>
  <c r="D77" i="1"/>
  <c r="H13" i="81" l="1"/>
  <c r="E64" i="81"/>
  <c r="H64" i="81" s="1"/>
  <c r="G67" i="81"/>
  <c r="H67" i="81"/>
  <c r="M6" i="31"/>
  <c r="N6" i="31" s="1"/>
  <c r="O6" i="31" s="1"/>
  <c r="P6" i="31" s="1"/>
  <c r="Q6" i="31" s="1"/>
  <c r="S6" i="31" s="1"/>
  <c r="T6" i="31" s="1"/>
  <c r="U6" i="31" s="1"/>
  <c r="V6" i="31" s="1"/>
  <c r="W6" i="31" s="1"/>
  <c r="X6" i="31" s="1"/>
  <c r="Y6" i="31" s="1"/>
  <c r="Z6" i="31" s="1"/>
  <c r="AA6" i="31" s="1"/>
  <c r="AB6" i="31" s="1"/>
  <c r="AC6" i="31" s="1"/>
  <c r="AD6" i="31" s="1"/>
  <c r="AE6" i="31" s="1"/>
  <c r="AF6" i="31" s="1"/>
  <c r="AH6" i="31" s="1"/>
  <c r="AI6" i="31" s="1"/>
  <c r="AJ6" i="31" s="1"/>
  <c r="AK6" i="31" s="1"/>
  <c r="N5" i="76"/>
  <c r="O5" i="76" s="1"/>
  <c r="P5" i="76" s="1"/>
  <c r="Q5" i="76" s="1"/>
  <c r="R5" i="76" s="1"/>
  <c r="S5" i="76" s="1"/>
  <c r="T5" i="76" s="1"/>
  <c r="U5" i="76" s="1"/>
  <c r="V5" i="76" s="1"/>
  <c r="W5" i="76" s="1"/>
  <c r="X5" i="76" s="1"/>
  <c r="Y5" i="76" s="1"/>
  <c r="Z5" i="76" s="1"/>
  <c r="AA5" i="76" s="1"/>
  <c r="AB5" i="76" s="1"/>
  <c r="AC5" i="76" s="1"/>
  <c r="AD5" i="76" s="1"/>
  <c r="AE5" i="76" s="1"/>
  <c r="AF5" i="76" s="1"/>
  <c r="AG5" i="76" s="1"/>
  <c r="AH5" i="76" s="1"/>
  <c r="AI5" i="76" s="1"/>
  <c r="AJ5" i="76" s="1"/>
  <c r="AK5" i="76" s="1"/>
  <c r="W21" i="2"/>
  <c r="J6" i="67"/>
  <c r="K6" i="67" s="1"/>
  <c r="L6" i="67" s="1"/>
  <c r="M6" i="67" s="1"/>
  <c r="N6" i="67" s="1"/>
  <c r="O6" i="67" s="1"/>
  <c r="P6" i="67" s="1"/>
  <c r="Q6" i="67" s="1"/>
  <c r="R6" i="67" s="1"/>
  <c r="G75" i="76"/>
  <c r="G79" i="76" s="1"/>
  <c r="A82" i="76" s="1"/>
  <c r="Q6" i="115"/>
  <c r="R6" i="115" s="1"/>
  <c r="S6" i="115" s="1"/>
  <c r="T6" i="115" s="1"/>
  <c r="U6" i="115" s="1"/>
  <c r="Q6" i="131"/>
  <c r="R6" i="131" s="1"/>
  <c r="S6" i="131" s="1"/>
  <c r="T6" i="131" s="1"/>
  <c r="U6" i="131" s="1"/>
  <c r="V6" i="125"/>
  <c r="W6" i="125" s="1"/>
  <c r="X6" i="125" s="1"/>
  <c r="Y6" i="125" s="1"/>
  <c r="Z6" i="125" s="1"/>
  <c r="AA6" i="125" s="1"/>
  <c r="AB6" i="125" s="1"/>
  <c r="AC6" i="125" s="1"/>
  <c r="AD6" i="125" s="1"/>
  <c r="AE6" i="125" s="1"/>
  <c r="V6" i="126"/>
  <c r="W6" i="126" s="1"/>
  <c r="X6" i="126" s="1"/>
  <c r="Y6" i="126" s="1"/>
  <c r="Z6" i="126" s="1"/>
  <c r="AA6" i="126" s="1"/>
  <c r="AB6" i="126" s="1"/>
  <c r="AC6" i="126" s="1"/>
  <c r="AD6" i="126" s="1"/>
  <c r="AE6" i="126" s="1"/>
  <c r="V6" i="120"/>
  <c r="W6" i="120" s="1"/>
  <c r="X6" i="120" s="1"/>
  <c r="Y6" i="120" s="1"/>
  <c r="Z6" i="120" s="1"/>
  <c r="AA6" i="120" s="1"/>
  <c r="AB6" i="120" s="1"/>
  <c r="AC6" i="120" s="1"/>
  <c r="AD6" i="120" s="1"/>
  <c r="AE6" i="120" s="1"/>
  <c r="V6" i="118"/>
  <c r="W6" i="118" s="1"/>
  <c r="X6" i="118" s="1"/>
  <c r="Y6" i="118" s="1"/>
  <c r="Z6" i="118" s="1"/>
  <c r="AA6" i="118" s="1"/>
  <c r="AB6" i="118" s="1"/>
  <c r="AC6" i="118" s="1"/>
  <c r="AD6" i="118" s="1"/>
  <c r="AE6" i="118" s="1"/>
  <c r="G51" i="33"/>
  <c r="G46" i="129"/>
  <c r="G77" i="129" s="1"/>
  <c r="L6" i="129"/>
  <c r="M6" i="129" s="1"/>
  <c r="N6" i="129" s="1"/>
  <c r="O6" i="129" s="1"/>
  <c r="P6" i="129" s="1"/>
  <c r="X30" i="46"/>
  <c r="H75" i="33"/>
  <c r="H21" i="33"/>
  <c r="H25" i="33"/>
  <c r="H61" i="33"/>
  <c r="H11" i="33"/>
  <c r="G17" i="33"/>
  <c r="G59" i="33"/>
  <c r="G71" i="33"/>
  <c r="G35" i="33"/>
  <c r="G46" i="33"/>
  <c r="C38" i="46"/>
  <c r="G18" i="46"/>
  <c r="G38" i="46" s="1"/>
  <c r="F78" i="33"/>
  <c r="H19" i="33"/>
  <c r="C46" i="1"/>
  <c r="N46" i="67" s="1"/>
  <c r="O46" i="67" s="1"/>
  <c r="AF45" i="136"/>
  <c r="Q9" i="2"/>
  <c r="AF10" i="136"/>
  <c r="Q27" i="2"/>
  <c r="W27" i="2" s="1"/>
  <c r="AF28" i="136"/>
  <c r="C47" i="1"/>
  <c r="L47" i="1" s="1"/>
  <c r="M47" i="1" s="1"/>
  <c r="N47" i="1" s="1"/>
  <c r="O47" i="1" s="1"/>
  <c r="P47" i="1" s="1"/>
  <c r="AF46" i="136"/>
  <c r="U35" i="2"/>
  <c r="V35" i="2" s="1"/>
  <c r="AF36" i="136"/>
  <c r="U61" i="2"/>
  <c r="V61" i="2" s="1"/>
  <c r="AF62" i="136"/>
  <c r="Q57" i="2"/>
  <c r="AF58" i="136"/>
  <c r="Q33" i="2"/>
  <c r="AF34" i="136"/>
  <c r="U14" i="2"/>
  <c r="V14" i="2" s="1"/>
  <c r="AF15" i="136"/>
  <c r="U22" i="2"/>
  <c r="V22" i="2" s="1"/>
  <c r="AF23" i="136"/>
  <c r="C60" i="1"/>
  <c r="I58" i="2" s="1"/>
  <c r="AF59" i="136"/>
  <c r="C65" i="1"/>
  <c r="I63" i="2" s="1"/>
  <c r="AF64" i="136"/>
  <c r="Q24" i="2"/>
  <c r="AF25" i="136"/>
  <c r="Q11" i="2"/>
  <c r="AF12" i="136"/>
  <c r="C72" i="1"/>
  <c r="M70" i="2" s="1"/>
  <c r="N70" i="2" s="1"/>
  <c r="AF71" i="136"/>
  <c r="U71" i="2"/>
  <c r="V71" i="2" s="1"/>
  <c r="AF72" i="136"/>
  <c r="Q60" i="2"/>
  <c r="AF61" i="136"/>
  <c r="U50" i="2"/>
  <c r="V50" i="2" s="1"/>
  <c r="AF51" i="136"/>
  <c r="Q55" i="2"/>
  <c r="AF56" i="136"/>
  <c r="Q62" i="2"/>
  <c r="AF63" i="136"/>
  <c r="G24" i="128"/>
  <c r="G46" i="128"/>
  <c r="G46" i="127"/>
  <c r="G77" i="127" s="1"/>
  <c r="G77" i="113"/>
  <c r="H23" i="81"/>
  <c r="E65" i="81"/>
  <c r="G65" i="81" s="1"/>
  <c r="H29" i="33"/>
  <c r="G23" i="33"/>
  <c r="G67" i="33"/>
  <c r="H43" i="33"/>
  <c r="G63" i="33"/>
  <c r="X18" i="46"/>
  <c r="C19" i="46"/>
  <c r="G15" i="81"/>
  <c r="C35" i="1"/>
  <c r="I33" i="2" s="1"/>
  <c r="U33" i="2"/>
  <c r="V33" i="2" s="1"/>
  <c r="C59" i="1"/>
  <c r="I57" i="2" s="1"/>
  <c r="C64" i="1"/>
  <c r="I62" i="2" s="1"/>
  <c r="U57" i="2"/>
  <c r="V57" i="2" s="1"/>
  <c r="U62" i="2"/>
  <c r="V62" i="2" s="1"/>
  <c r="U60" i="2"/>
  <c r="V60" i="2" s="1"/>
  <c r="U55" i="2"/>
  <c r="V55" i="2" s="1"/>
  <c r="C26" i="1"/>
  <c r="Q70" i="2"/>
  <c r="U70" i="2"/>
  <c r="V70" i="2" s="1"/>
  <c r="AR23" i="13"/>
  <c r="C63" i="1"/>
  <c r="I61" i="2" s="1"/>
  <c r="N23" i="67"/>
  <c r="O23" i="67" s="1"/>
  <c r="U58" i="2"/>
  <c r="V58" i="2" s="1"/>
  <c r="U24" i="2"/>
  <c r="V24" i="2" s="1"/>
  <c r="I21" i="2"/>
  <c r="C57" i="1"/>
  <c r="I55" i="2" s="1"/>
  <c r="Q61" i="2"/>
  <c r="W61" i="2" s="1"/>
  <c r="M21" i="2"/>
  <c r="N21" i="2" s="1"/>
  <c r="Q58" i="2"/>
  <c r="L23" i="1"/>
  <c r="M23" i="1" s="1"/>
  <c r="N23" i="1" s="1"/>
  <c r="O23" i="1" s="1"/>
  <c r="P23" i="1" s="1"/>
  <c r="R23" i="1" s="1"/>
  <c r="C13" i="1"/>
  <c r="Q71" i="2"/>
  <c r="W73" i="2"/>
  <c r="C73" i="1"/>
  <c r="I71" i="2" s="1"/>
  <c r="C62" i="1"/>
  <c r="L62" i="1" s="1"/>
  <c r="M62" i="1" s="1"/>
  <c r="N62" i="1" s="1"/>
  <c r="O62" i="1" s="1"/>
  <c r="P62" i="1" s="1"/>
  <c r="C29" i="1"/>
  <c r="I27" i="2" s="1"/>
  <c r="Q51" i="2"/>
  <c r="C53" i="1"/>
  <c r="U51" i="2"/>
  <c r="V51" i="2" s="1"/>
  <c r="Q45" i="2"/>
  <c r="U45" i="2"/>
  <c r="V45" i="2" s="1"/>
  <c r="C24" i="1"/>
  <c r="N24" i="67" s="1"/>
  <c r="O24" i="67" s="1"/>
  <c r="U9" i="2"/>
  <c r="V9" i="2" s="1"/>
  <c r="W9" i="2" s="1"/>
  <c r="U11" i="2"/>
  <c r="V11" i="2" s="1"/>
  <c r="C37" i="1"/>
  <c r="AR37" i="13" s="1"/>
  <c r="U63" i="2"/>
  <c r="V63" i="2" s="1"/>
  <c r="Q43" i="2"/>
  <c r="C45" i="1"/>
  <c r="U43" i="2"/>
  <c r="V43" i="2" s="1"/>
  <c r="Q29" i="2"/>
  <c r="U29" i="2"/>
  <c r="V29" i="2" s="1"/>
  <c r="C31" i="1"/>
  <c r="Q19" i="2"/>
  <c r="U19" i="2"/>
  <c r="V19" i="2" s="1"/>
  <c r="C21" i="1"/>
  <c r="S78" i="136"/>
  <c r="AF79" i="136" s="1"/>
  <c r="Q63" i="2"/>
  <c r="Q44" i="2"/>
  <c r="C11" i="1"/>
  <c r="AR11" i="13" s="1"/>
  <c r="Q35" i="2"/>
  <c r="I70" i="2"/>
  <c r="Q50" i="2"/>
  <c r="C52" i="1"/>
  <c r="Q22" i="2"/>
  <c r="C33" i="1"/>
  <c r="U31" i="2"/>
  <c r="V31" i="2" s="1"/>
  <c r="Q31" i="2"/>
  <c r="C51" i="1"/>
  <c r="U49" i="2"/>
  <c r="V49" i="2" s="1"/>
  <c r="Q49" i="2"/>
  <c r="M45" i="2"/>
  <c r="N45" i="2" s="1"/>
  <c r="Q14" i="2"/>
  <c r="U17" i="2"/>
  <c r="V17" i="2" s="1"/>
  <c r="C19" i="1"/>
  <c r="Q17" i="2"/>
  <c r="C49" i="1"/>
  <c r="U47" i="2"/>
  <c r="V47" i="2" s="1"/>
  <c r="Q47" i="2"/>
  <c r="C43" i="1"/>
  <c r="U41" i="2"/>
  <c r="Q7" i="2"/>
  <c r="U7" i="2"/>
  <c r="V7" i="2" s="1"/>
  <c r="C9" i="1"/>
  <c r="Q13" i="2"/>
  <c r="C15" i="1"/>
  <c r="U13" i="2"/>
  <c r="V13" i="2" s="1"/>
  <c r="C12" i="1"/>
  <c r="Q10" i="2"/>
  <c r="U10" i="2"/>
  <c r="V10" i="2" s="1"/>
  <c r="Q18" i="2"/>
  <c r="U18" i="2"/>
  <c r="V18" i="2" s="1"/>
  <c r="C20" i="1"/>
  <c r="C32" i="1"/>
  <c r="Q30" i="2"/>
  <c r="U30" i="2"/>
  <c r="V30" i="2" s="1"/>
  <c r="Q46" i="2"/>
  <c r="C48" i="1"/>
  <c r="U46" i="2"/>
  <c r="V46" i="2" s="1"/>
  <c r="U66" i="2"/>
  <c r="V66" i="2" s="1"/>
  <c r="Q66" i="2"/>
  <c r="C68" i="1"/>
  <c r="C40" i="1"/>
  <c r="Q38" i="2"/>
  <c r="U38" i="2"/>
  <c r="V38" i="2" s="1"/>
  <c r="Q32" i="2"/>
  <c r="U32" i="2"/>
  <c r="V32" i="2" s="1"/>
  <c r="C34" i="1"/>
  <c r="Q8" i="2"/>
  <c r="U8" i="2"/>
  <c r="V8" i="2" s="1"/>
  <c r="C10" i="1"/>
  <c r="Q16" i="2"/>
  <c r="U16" i="2"/>
  <c r="V16" i="2" s="1"/>
  <c r="C18" i="1"/>
  <c r="Q28" i="2"/>
  <c r="C30" i="1"/>
  <c r="U28" i="2"/>
  <c r="V28" i="2" s="1"/>
  <c r="Q40" i="2"/>
  <c r="U40" i="2"/>
  <c r="V40" i="2" s="1"/>
  <c r="C42" i="1"/>
  <c r="U48" i="2"/>
  <c r="V48" i="2" s="1"/>
  <c r="C50" i="1"/>
  <c r="Q48" i="2"/>
  <c r="U56" i="2"/>
  <c r="V56" i="2" s="1"/>
  <c r="C58" i="1"/>
  <c r="Q56" i="2"/>
  <c r="Q72" i="2"/>
  <c r="C74" i="1"/>
  <c r="U72" i="2"/>
  <c r="V72" i="2" s="1"/>
  <c r="N59" i="67"/>
  <c r="O59" i="67" s="1"/>
  <c r="U15" i="2"/>
  <c r="V15" i="2" s="1"/>
  <c r="C17" i="1"/>
  <c r="Q15" i="2"/>
  <c r="C27" i="1"/>
  <c r="U25" i="2"/>
  <c r="V25" i="2" s="1"/>
  <c r="Q25" i="2"/>
  <c r="U39" i="2"/>
  <c r="V39" i="2" s="1"/>
  <c r="C41" i="1"/>
  <c r="Q39" i="2"/>
  <c r="Q69" i="2"/>
  <c r="C71" i="1"/>
  <c r="U69" i="2"/>
  <c r="V69" i="2" s="1"/>
  <c r="Q26" i="2"/>
  <c r="C28" i="1"/>
  <c r="U26" i="2"/>
  <c r="V26" i="2" s="1"/>
  <c r="C44" i="1"/>
  <c r="Q42" i="2"/>
  <c r="U42" i="2"/>
  <c r="V42" i="2" s="1"/>
  <c r="Q54" i="2"/>
  <c r="U54" i="2"/>
  <c r="V54" i="2" s="1"/>
  <c r="C56" i="1"/>
  <c r="U74" i="2"/>
  <c r="V74" i="2" s="1"/>
  <c r="Q74" i="2"/>
  <c r="C76" i="1"/>
  <c r="Q12" i="2"/>
  <c r="C14" i="1"/>
  <c r="U12" i="2"/>
  <c r="V12" i="2" s="1"/>
  <c r="Q20" i="2"/>
  <c r="C22" i="1"/>
  <c r="U20" i="2"/>
  <c r="V20" i="2" s="1"/>
  <c r="Q36" i="2"/>
  <c r="C38" i="1"/>
  <c r="U36" i="2"/>
  <c r="V36" i="2" s="1"/>
  <c r="C54" i="1"/>
  <c r="U52" i="2"/>
  <c r="V52" i="2" s="1"/>
  <c r="Q52" i="2"/>
  <c r="Q64" i="2"/>
  <c r="C66" i="1"/>
  <c r="U64" i="2"/>
  <c r="V64" i="2" s="1"/>
  <c r="C16" i="1"/>
  <c r="I14" i="2" s="1"/>
  <c r="U44" i="2"/>
  <c r="V44" i="2" s="1"/>
  <c r="Q53" i="2"/>
  <c r="U53" i="2"/>
  <c r="V53" i="2" s="1"/>
  <c r="C55" i="1"/>
  <c r="Q59" i="2"/>
  <c r="U59" i="2"/>
  <c r="V59" i="2" s="1"/>
  <c r="C61" i="1"/>
  <c r="N60" i="67"/>
  <c r="O60" i="67" s="1"/>
  <c r="C67" i="1"/>
  <c r="U65" i="2"/>
  <c r="V65" i="2" s="1"/>
  <c r="Q65" i="2"/>
  <c r="Q67" i="2"/>
  <c r="C69" i="1"/>
  <c r="U67" i="2"/>
  <c r="V67" i="2" s="1"/>
  <c r="Q23" i="2"/>
  <c r="U23" i="2"/>
  <c r="V23" i="2" s="1"/>
  <c r="C25" i="1"/>
  <c r="Q37" i="2"/>
  <c r="U37" i="2"/>
  <c r="V37" i="2" s="1"/>
  <c r="C39" i="1"/>
  <c r="Q6" i="2"/>
  <c r="C8" i="1"/>
  <c r="U6" i="2"/>
  <c r="C36" i="1"/>
  <c r="Q34" i="2"/>
  <c r="U34" i="2"/>
  <c r="V34" i="2" s="1"/>
  <c r="N75" i="67"/>
  <c r="O75" i="67" s="1"/>
  <c r="M73" i="2"/>
  <c r="N73" i="2" s="1"/>
  <c r="L75" i="1"/>
  <c r="M75" i="1" s="1"/>
  <c r="N75" i="1" s="1"/>
  <c r="O75" i="1" s="1"/>
  <c r="P75" i="1" s="1"/>
  <c r="AR75" i="13"/>
  <c r="I73" i="2"/>
  <c r="C70" i="1"/>
  <c r="Q68" i="2"/>
  <c r="U68" i="2"/>
  <c r="V68" i="2" s="1"/>
  <c r="H75" i="2"/>
  <c r="E46" i="81" s="1"/>
  <c r="H46" i="81" s="1"/>
  <c r="H45" i="33"/>
  <c r="H10" i="33"/>
  <c r="H58" i="33"/>
  <c r="G13" i="33"/>
  <c r="G55" i="33"/>
  <c r="H15" i="33"/>
  <c r="G74" i="33"/>
  <c r="G66" i="33"/>
  <c r="G18" i="33"/>
  <c r="G69" i="31"/>
  <c r="G70" i="31" s="1"/>
  <c r="U69" i="31"/>
  <c r="U70" i="31" s="1"/>
  <c r="G39" i="33"/>
  <c r="H57" i="33"/>
  <c r="G50" i="33"/>
  <c r="H34" i="33"/>
  <c r="H14" i="33"/>
  <c r="H62" i="33"/>
  <c r="G62" i="33"/>
  <c r="H70" i="33"/>
  <c r="G70" i="33"/>
  <c r="H54" i="33"/>
  <c r="G54" i="33"/>
  <c r="G47" i="33"/>
  <c r="H31" i="33"/>
  <c r="G30" i="33"/>
  <c r="H30" i="33"/>
  <c r="G38" i="33"/>
  <c r="H38" i="33"/>
  <c r="G42" i="33"/>
  <c r="G22" i="33"/>
  <c r="H22" i="33"/>
  <c r="G64" i="33"/>
  <c r="H64" i="33"/>
  <c r="G48" i="33"/>
  <c r="H48" i="33"/>
  <c r="G32" i="33"/>
  <c r="H32" i="33"/>
  <c r="G16" i="33"/>
  <c r="H16" i="33"/>
  <c r="G76" i="33"/>
  <c r="H76" i="33"/>
  <c r="G60" i="33"/>
  <c r="H60" i="33"/>
  <c r="G44" i="33"/>
  <c r="H44" i="33"/>
  <c r="H28" i="33"/>
  <c r="G28" i="33"/>
  <c r="G12" i="33"/>
  <c r="H12" i="33"/>
  <c r="H72" i="33"/>
  <c r="G72" i="33"/>
  <c r="G56" i="33"/>
  <c r="H56" i="33"/>
  <c r="G40" i="33"/>
  <c r="H40" i="33"/>
  <c r="G24" i="33"/>
  <c r="H24" i="33"/>
  <c r="H9" i="33"/>
  <c r="G9" i="33"/>
  <c r="F77" i="33"/>
  <c r="E62" i="81" s="1"/>
  <c r="H68" i="33"/>
  <c r="G68" i="33"/>
  <c r="H52" i="33"/>
  <c r="G52" i="33"/>
  <c r="H36" i="33"/>
  <c r="G36" i="33"/>
  <c r="H20" i="33"/>
  <c r="G20" i="33"/>
  <c r="H22" i="81"/>
  <c r="R81" i="1"/>
  <c r="J78" i="25"/>
  <c r="S8" i="1"/>
  <c r="S77" i="1" s="1"/>
  <c r="G77" i="131"/>
  <c r="H45" i="81"/>
  <c r="G45" i="81"/>
  <c r="G75" i="2"/>
  <c r="G77" i="128"/>
  <c r="H21" i="81"/>
  <c r="G20" i="81"/>
  <c r="G64" i="81" l="1"/>
  <c r="G46" i="81"/>
  <c r="M63" i="2"/>
  <c r="N63" i="2" s="1"/>
  <c r="N65" i="67"/>
  <c r="O65" i="67" s="1"/>
  <c r="N47" i="67"/>
  <c r="O47" i="67" s="1"/>
  <c r="R47" i="1"/>
  <c r="AB47" i="1" s="1"/>
  <c r="AR65" i="13"/>
  <c r="L65" i="1"/>
  <c r="M65" i="1" s="1"/>
  <c r="N65" i="1" s="1"/>
  <c r="O65" i="1" s="1"/>
  <c r="P65" i="1" s="1"/>
  <c r="R65" i="1" s="1"/>
  <c r="I45" i="2"/>
  <c r="AR47" i="13"/>
  <c r="W50" i="2"/>
  <c r="W11" i="2"/>
  <c r="W71" i="2"/>
  <c r="L59" i="1"/>
  <c r="M59" i="1" s="1"/>
  <c r="N59" i="1" s="1"/>
  <c r="O59" i="1" s="1"/>
  <c r="P59" i="1" s="1"/>
  <c r="AF6" i="126"/>
  <c r="AG6" i="126" s="1"/>
  <c r="AH6" i="126" s="1"/>
  <c r="AI6" i="126" s="1"/>
  <c r="AJ6" i="126" s="1"/>
  <c r="AF6" i="125"/>
  <c r="AG6" i="125" s="1"/>
  <c r="AH6" i="125" s="1"/>
  <c r="AI6" i="125" s="1"/>
  <c r="AJ6" i="125" s="1"/>
  <c r="AF6" i="120"/>
  <c r="AG6" i="120" s="1"/>
  <c r="AH6" i="120" s="1"/>
  <c r="AI6" i="120" s="1"/>
  <c r="AJ6" i="120" s="1"/>
  <c r="AF6" i="118"/>
  <c r="AG6" i="118" s="1"/>
  <c r="AH6" i="118" s="1"/>
  <c r="AI6" i="118" s="1"/>
  <c r="AJ6" i="118" s="1"/>
  <c r="AR59" i="13"/>
  <c r="M57" i="2"/>
  <c r="N57" i="2" s="1"/>
  <c r="W62" i="2"/>
  <c r="W33" i="2"/>
  <c r="W70" i="2"/>
  <c r="U72" i="31"/>
  <c r="V6" i="115"/>
  <c r="W6" i="115" s="1"/>
  <c r="X6" i="115" s="1"/>
  <c r="Y6" i="115" s="1"/>
  <c r="Z6" i="115" s="1"/>
  <c r="AA6" i="115" s="1"/>
  <c r="AB6" i="115" s="1"/>
  <c r="AC6" i="115" s="1"/>
  <c r="AD6" i="115" s="1"/>
  <c r="AE6" i="115" s="1"/>
  <c r="V6" i="131"/>
  <c r="W6" i="131" s="1"/>
  <c r="X6" i="131" s="1"/>
  <c r="Y6" i="131" s="1"/>
  <c r="N72" i="67"/>
  <c r="O72" i="67" s="1"/>
  <c r="N64" i="67"/>
  <c r="O64" i="67" s="1"/>
  <c r="W55" i="2"/>
  <c r="W60" i="2"/>
  <c r="AF78" i="136"/>
  <c r="AF80" i="136" s="1"/>
  <c r="Q6" i="129"/>
  <c r="R6" i="129" s="1"/>
  <c r="S6" i="129" s="1"/>
  <c r="T6" i="129" s="1"/>
  <c r="U6" i="129" s="1"/>
  <c r="V6" i="129" s="1"/>
  <c r="W6" i="129" s="1"/>
  <c r="M33" i="2"/>
  <c r="N33" i="2" s="1"/>
  <c r="L35" i="1"/>
  <c r="M35" i="1" s="1"/>
  <c r="N35" i="1" s="1"/>
  <c r="O35" i="1" s="1"/>
  <c r="P35" i="1" s="1"/>
  <c r="G19" i="46"/>
  <c r="I44" i="2"/>
  <c r="M58" i="2"/>
  <c r="N58" i="2" s="1"/>
  <c r="W14" i="2"/>
  <c r="AR72" i="13"/>
  <c r="L72" i="1"/>
  <c r="M72" i="1" s="1"/>
  <c r="N72" i="1" s="1"/>
  <c r="O72" i="1" s="1"/>
  <c r="P72" i="1" s="1"/>
  <c r="R72" i="1" s="1"/>
  <c r="AB72" i="1" s="1"/>
  <c r="W24" i="2"/>
  <c r="AR46" i="13"/>
  <c r="M44" i="2"/>
  <c r="N44" i="2" s="1"/>
  <c r="AR60" i="13"/>
  <c r="L60" i="1"/>
  <c r="M60" i="1" s="1"/>
  <c r="N60" i="1" s="1"/>
  <c r="O60" i="1" s="1"/>
  <c r="P60" i="1" s="1"/>
  <c r="L46" i="1"/>
  <c r="M46" i="1" s="1"/>
  <c r="N46" i="1" s="1"/>
  <c r="O46" i="1" s="1"/>
  <c r="P46" i="1" s="1"/>
  <c r="L63" i="1"/>
  <c r="M63" i="1" s="1"/>
  <c r="N63" i="1" s="1"/>
  <c r="O63" i="1" s="1"/>
  <c r="P63" i="1" s="1"/>
  <c r="W35" i="2"/>
  <c r="W57" i="2"/>
  <c r="X38" i="46"/>
  <c r="AR64" i="13"/>
  <c r="L64" i="1"/>
  <c r="M64" i="1" s="1"/>
  <c r="N64" i="1" s="1"/>
  <c r="O64" i="1" s="1"/>
  <c r="P64" i="1" s="1"/>
  <c r="R64" i="1" s="1"/>
  <c r="AB64" i="1" s="1"/>
  <c r="M62" i="2"/>
  <c r="N62" i="2" s="1"/>
  <c r="W22" i="2"/>
  <c r="H65" i="81"/>
  <c r="N35" i="67"/>
  <c r="O35" i="67" s="1"/>
  <c r="AR35" i="13"/>
  <c r="W58" i="2"/>
  <c r="L37" i="1"/>
  <c r="M37" i="1" s="1"/>
  <c r="N37" i="1" s="1"/>
  <c r="O37" i="1" s="1"/>
  <c r="P37" i="1" s="1"/>
  <c r="L13" i="1"/>
  <c r="M13" i="1" s="1"/>
  <c r="N13" i="1" s="1"/>
  <c r="O13" i="1" s="1"/>
  <c r="P13" i="1" s="1"/>
  <c r="R13" i="1" s="1"/>
  <c r="T13" i="1" s="1"/>
  <c r="U13" i="1" s="1"/>
  <c r="I11" i="2"/>
  <c r="W68" i="2"/>
  <c r="L26" i="1"/>
  <c r="M26" i="1" s="1"/>
  <c r="N26" i="1" s="1"/>
  <c r="O26" i="1" s="1"/>
  <c r="P26" i="1" s="1"/>
  <c r="W30" i="2"/>
  <c r="W18" i="2"/>
  <c r="N29" i="67"/>
  <c r="O29" i="67" s="1"/>
  <c r="N13" i="67"/>
  <c r="O13" i="67" s="1"/>
  <c r="W19" i="2"/>
  <c r="N16" i="67"/>
  <c r="O16" i="67" s="1"/>
  <c r="I24" i="2"/>
  <c r="AR26" i="13"/>
  <c r="AR57" i="13"/>
  <c r="W44" i="2"/>
  <c r="N26" i="67"/>
  <c r="O26" i="67" s="1"/>
  <c r="M24" i="2"/>
  <c r="N24" i="2" s="1"/>
  <c r="AR29" i="13"/>
  <c r="N57" i="67"/>
  <c r="O57" i="67" s="1"/>
  <c r="M27" i="2"/>
  <c r="N27" i="2" s="1"/>
  <c r="R62" i="1"/>
  <c r="AB62" i="1" s="1"/>
  <c r="AR24" i="13"/>
  <c r="L24" i="1"/>
  <c r="M24" i="1" s="1"/>
  <c r="N24" i="1" s="1"/>
  <c r="O24" i="1" s="1"/>
  <c r="P24" i="1" s="1"/>
  <c r="M55" i="2"/>
  <c r="N55" i="2" s="1"/>
  <c r="W63" i="2"/>
  <c r="AR62" i="13"/>
  <c r="AR63" i="13"/>
  <c r="M61" i="2"/>
  <c r="N61" i="2" s="1"/>
  <c r="I60" i="2"/>
  <c r="M22" i="2"/>
  <c r="N22" i="2" s="1"/>
  <c r="L57" i="1"/>
  <c r="M57" i="1" s="1"/>
  <c r="N57" i="1" s="1"/>
  <c r="O57" i="1" s="1"/>
  <c r="P57" i="1" s="1"/>
  <c r="W23" i="2"/>
  <c r="W59" i="2"/>
  <c r="W42" i="2"/>
  <c r="W16" i="2"/>
  <c r="W45" i="2"/>
  <c r="N63" i="67"/>
  <c r="O63" i="67" s="1"/>
  <c r="AR73" i="13"/>
  <c r="L16" i="1"/>
  <c r="M16" i="1" s="1"/>
  <c r="N16" i="1" s="1"/>
  <c r="W20" i="2"/>
  <c r="W74" i="2"/>
  <c r="W72" i="2"/>
  <c r="W48" i="2"/>
  <c r="W28" i="2"/>
  <c r="M35" i="2"/>
  <c r="N35" i="2" s="1"/>
  <c r="W66" i="2"/>
  <c r="N73" i="67"/>
  <c r="O73" i="67" s="1"/>
  <c r="M11" i="2"/>
  <c r="N11" i="2" s="1"/>
  <c r="M14" i="2"/>
  <c r="N14" i="2" s="1"/>
  <c r="AR16" i="13"/>
  <c r="W37" i="2"/>
  <c r="W36" i="2"/>
  <c r="W15" i="2"/>
  <c r="W56" i="2"/>
  <c r="W46" i="2"/>
  <c r="W13" i="2"/>
  <c r="W7" i="2"/>
  <c r="L29" i="1"/>
  <c r="M29" i="1" s="1"/>
  <c r="N29" i="1" s="1"/>
  <c r="O29" i="1" s="1"/>
  <c r="P29" i="1" s="1"/>
  <c r="L73" i="1"/>
  <c r="M73" i="1" s="1"/>
  <c r="N73" i="1" s="1"/>
  <c r="O73" i="1" s="1"/>
  <c r="P73" i="1" s="1"/>
  <c r="M71" i="2"/>
  <c r="N71" i="2" s="1"/>
  <c r="AR13" i="13"/>
  <c r="W29" i="2"/>
  <c r="M60" i="2"/>
  <c r="N60" i="2" s="1"/>
  <c r="N62" i="67"/>
  <c r="O62" i="67" s="1"/>
  <c r="N21" i="67"/>
  <c r="O21" i="67" s="1"/>
  <c r="M19" i="2"/>
  <c r="N19" i="2" s="1"/>
  <c r="I19" i="2"/>
  <c r="L21" i="1"/>
  <c r="M21" i="1" s="1"/>
  <c r="N21" i="1" s="1"/>
  <c r="O21" i="1" s="1"/>
  <c r="P21" i="1" s="1"/>
  <c r="AR21" i="13"/>
  <c r="R75" i="1"/>
  <c r="AB75" i="1" s="1"/>
  <c r="W43" i="2"/>
  <c r="I35" i="2"/>
  <c r="N37" i="67"/>
  <c r="O37" i="67" s="1"/>
  <c r="L53" i="1"/>
  <c r="M53" i="1" s="1"/>
  <c r="N53" i="1" s="1"/>
  <c r="O53" i="1" s="1"/>
  <c r="P53" i="1" s="1"/>
  <c r="N53" i="67"/>
  <c r="O53" i="67" s="1"/>
  <c r="M51" i="2"/>
  <c r="N51" i="2" s="1"/>
  <c r="I51" i="2"/>
  <c r="AR53" i="13"/>
  <c r="M9" i="2"/>
  <c r="N9" i="2" s="1"/>
  <c r="N11" i="67"/>
  <c r="O11" i="67" s="1"/>
  <c r="I9" i="2"/>
  <c r="L11" i="1"/>
  <c r="M11" i="1" s="1"/>
  <c r="N11" i="1" s="1"/>
  <c r="O11" i="1" s="1"/>
  <c r="P11" i="1" s="1"/>
  <c r="W52" i="2"/>
  <c r="W49" i="2"/>
  <c r="M50" i="2"/>
  <c r="N50" i="2" s="1"/>
  <c r="AR52" i="13"/>
  <c r="L52" i="1"/>
  <c r="M52" i="1" s="1"/>
  <c r="N52" i="1" s="1"/>
  <c r="O52" i="1" s="1"/>
  <c r="P52" i="1" s="1"/>
  <c r="N52" i="67"/>
  <c r="O52" i="67" s="1"/>
  <c r="L31" i="1"/>
  <c r="M31" i="1" s="1"/>
  <c r="N31" i="1" s="1"/>
  <c r="O31" i="1" s="1"/>
  <c r="P31" i="1" s="1"/>
  <c r="M29" i="2"/>
  <c r="N29" i="2" s="1"/>
  <c r="N31" i="67"/>
  <c r="O31" i="67" s="1"/>
  <c r="AR31" i="13"/>
  <c r="N45" i="67"/>
  <c r="O45" i="67" s="1"/>
  <c r="L45" i="1"/>
  <c r="M45" i="1" s="1"/>
  <c r="N45" i="1" s="1"/>
  <c r="O45" i="1" s="1"/>
  <c r="P45" i="1" s="1"/>
  <c r="AR45" i="13"/>
  <c r="M43" i="2"/>
  <c r="N43" i="2" s="1"/>
  <c r="W51" i="2"/>
  <c r="L8" i="1"/>
  <c r="M8" i="1" s="1"/>
  <c r="N8" i="1" s="1"/>
  <c r="O8" i="1" s="1"/>
  <c r="P8" i="1" s="1"/>
  <c r="AR8" i="13"/>
  <c r="I6" i="2"/>
  <c r="M6" i="2"/>
  <c r="N6" i="2" s="1"/>
  <c r="N8" i="67"/>
  <c r="O8" i="67" s="1"/>
  <c r="N39" i="67"/>
  <c r="O39" i="67" s="1"/>
  <c r="L39" i="1"/>
  <c r="M39" i="1" s="1"/>
  <c r="N39" i="1" s="1"/>
  <c r="O39" i="1" s="1"/>
  <c r="P39" i="1" s="1"/>
  <c r="M37" i="2"/>
  <c r="N37" i="2" s="1"/>
  <c r="AR39" i="13"/>
  <c r="I37" i="2"/>
  <c r="N14" i="67"/>
  <c r="O14" i="67" s="1"/>
  <c r="I12" i="2"/>
  <c r="M12" i="2"/>
  <c r="N12" i="2" s="1"/>
  <c r="L14" i="1"/>
  <c r="M14" i="1" s="1"/>
  <c r="N14" i="1" s="1"/>
  <c r="O14" i="1" s="1"/>
  <c r="P14" i="1" s="1"/>
  <c r="AR14" i="13"/>
  <c r="N17" i="67"/>
  <c r="O17" i="67" s="1"/>
  <c r="M15" i="2"/>
  <c r="N15" i="2" s="1"/>
  <c r="I15" i="2"/>
  <c r="AR17" i="13"/>
  <c r="L17" i="1"/>
  <c r="M17" i="1" s="1"/>
  <c r="N17" i="1" s="1"/>
  <c r="O17" i="1" s="1"/>
  <c r="P17" i="1" s="1"/>
  <c r="N12" i="67"/>
  <c r="O12" i="67" s="1"/>
  <c r="L12" i="1"/>
  <c r="M12" i="1" s="1"/>
  <c r="N12" i="1" s="1"/>
  <c r="O12" i="1" s="1"/>
  <c r="P12" i="1" s="1"/>
  <c r="AR12" i="13"/>
  <c r="M10" i="2"/>
  <c r="N10" i="2" s="1"/>
  <c r="I10" i="2"/>
  <c r="N43" i="67"/>
  <c r="O43" i="67" s="1"/>
  <c r="AR43" i="13"/>
  <c r="M41" i="2"/>
  <c r="N41" i="2" s="1"/>
  <c r="I41" i="2"/>
  <c r="L43" i="1"/>
  <c r="M43" i="1" s="1"/>
  <c r="N43" i="1" s="1"/>
  <c r="O43" i="1" s="1"/>
  <c r="P43" i="1" s="1"/>
  <c r="N51" i="67"/>
  <c r="O51" i="67" s="1"/>
  <c r="I49" i="2"/>
  <c r="L51" i="1"/>
  <c r="M51" i="1" s="1"/>
  <c r="N51" i="1" s="1"/>
  <c r="O51" i="1" s="1"/>
  <c r="P51" i="1" s="1"/>
  <c r="AR51" i="13"/>
  <c r="M49" i="2"/>
  <c r="N49" i="2" s="1"/>
  <c r="C77" i="1"/>
  <c r="E12" i="81" s="1"/>
  <c r="W25" i="2"/>
  <c r="L30" i="1"/>
  <c r="M30" i="1" s="1"/>
  <c r="N30" i="1" s="1"/>
  <c r="O30" i="1" s="1"/>
  <c r="P30" i="1" s="1"/>
  <c r="N30" i="67"/>
  <c r="O30" i="67" s="1"/>
  <c r="M28" i="2"/>
  <c r="N28" i="2" s="1"/>
  <c r="I28" i="2"/>
  <c r="AR30" i="13"/>
  <c r="N34" i="67"/>
  <c r="O34" i="67" s="1"/>
  <c r="L34" i="1"/>
  <c r="M34" i="1" s="1"/>
  <c r="N34" i="1" s="1"/>
  <c r="O34" i="1" s="1"/>
  <c r="P34" i="1" s="1"/>
  <c r="I32" i="2"/>
  <c r="AR34" i="13"/>
  <c r="M32" i="2"/>
  <c r="N32" i="2" s="1"/>
  <c r="I38" i="2"/>
  <c r="N40" i="67"/>
  <c r="O40" i="67" s="1"/>
  <c r="M38" i="2"/>
  <c r="N38" i="2" s="1"/>
  <c r="L40" i="1"/>
  <c r="M40" i="1" s="1"/>
  <c r="N40" i="1" s="1"/>
  <c r="O40" i="1" s="1"/>
  <c r="P40" i="1" s="1"/>
  <c r="AR40" i="13"/>
  <c r="N70" i="67"/>
  <c r="O70" i="67" s="1"/>
  <c r="AR70" i="13"/>
  <c r="L70" i="1"/>
  <c r="M70" i="1" s="1"/>
  <c r="N70" i="1" s="1"/>
  <c r="O70" i="1" s="1"/>
  <c r="P70" i="1" s="1"/>
  <c r="M68" i="2"/>
  <c r="N68" i="2" s="1"/>
  <c r="W67" i="2"/>
  <c r="W65" i="2"/>
  <c r="L55" i="1"/>
  <c r="M55" i="1" s="1"/>
  <c r="N55" i="1" s="1"/>
  <c r="O55" i="1" s="1"/>
  <c r="P55" i="1" s="1"/>
  <c r="N55" i="67"/>
  <c r="O55" i="67" s="1"/>
  <c r="AR55" i="13"/>
  <c r="M53" i="2"/>
  <c r="N53" i="2" s="1"/>
  <c r="I53" i="2"/>
  <c r="N38" i="67"/>
  <c r="O38" i="67" s="1"/>
  <c r="M36" i="2"/>
  <c r="N36" i="2" s="1"/>
  <c r="L38" i="1"/>
  <c r="M38" i="1" s="1"/>
  <c r="N38" i="1" s="1"/>
  <c r="O38" i="1" s="1"/>
  <c r="P38" i="1" s="1"/>
  <c r="AR38" i="13"/>
  <c r="I36" i="2"/>
  <c r="N76" i="67"/>
  <c r="O76" i="67" s="1"/>
  <c r="L76" i="1"/>
  <c r="M76" i="1" s="1"/>
  <c r="N76" i="1" s="1"/>
  <c r="O76" i="1" s="1"/>
  <c r="P76" i="1" s="1"/>
  <c r="AR76" i="13"/>
  <c r="D79" i="1"/>
  <c r="M74" i="2"/>
  <c r="N74" i="2" s="1"/>
  <c r="I74" i="2"/>
  <c r="W54" i="2"/>
  <c r="N44" i="67"/>
  <c r="O44" i="67" s="1"/>
  <c r="L44" i="1"/>
  <c r="M44" i="1" s="1"/>
  <c r="N44" i="1" s="1"/>
  <c r="O44" i="1" s="1"/>
  <c r="P44" i="1" s="1"/>
  <c r="M42" i="2"/>
  <c r="N42" i="2" s="1"/>
  <c r="AR44" i="13"/>
  <c r="I42" i="2"/>
  <c r="W69" i="2"/>
  <c r="M39" i="2"/>
  <c r="N39" i="2" s="1"/>
  <c r="N41" i="67"/>
  <c r="O41" i="67" s="1"/>
  <c r="I39" i="2"/>
  <c r="L41" i="1"/>
  <c r="M41" i="1" s="1"/>
  <c r="N41" i="1" s="1"/>
  <c r="O41" i="1" s="1"/>
  <c r="P41" i="1" s="1"/>
  <c r="AR41" i="13"/>
  <c r="M25" i="2"/>
  <c r="N25" i="2" s="1"/>
  <c r="L27" i="1"/>
  <c r="M27" i="1" s="1"/>
  <c r="N27" i="1" s="1"/>
  <c r="O27" i="1" s="1"/>
  <c r="P27" i="1" s="1"/>
  <c r="AR27" i="13"/>
  <c r="N27" i="67"/>
  <c r="O27" i="67" s="1"/>
  <c r="W40" i="2"/>
  <c r="I8" i="2"/>
  <c r="N10" i="67"/>
  <c r="O10" i="67" s="1"/>
  <c r="L10" i="1"/>
  <c r="M10" i="1" s="1"/>
  <c r="N10" i="1" s="1"/>
  <c r="O10" i="1" s="1"/>
  <c r="P10" i="1" s="1"/>
  <c r="M8" i="2"/>
  <c r="N8" i="2" s="1"/>
  <c r="AR10" i="13"/>
  <c r="W32" i="2"/>
  <c r="L68" i="1"/>
  <c r="M68" i="1" s="1"/>
  <c r="N68" i="1" s="1"/>
  <c r="O68" i="1" s="1"/>
  <c r="P68" i="1" s="1"/>
  <c r="N68" i="67"/>
  <c r="O68" i="67" s="1"/>
  <c r="AR68" i="13"/>
  <c r="M66" i="2"/>
  <c r="N66" i="2" s="1"/>
  <c r="I66" i="2"/>
  <c r="M46" i="2"/>
  <c r="N46" i="2" s="1"/>
  <c r="N48" i="67"/>
  <c r="O48" i="67" s="1"/>
  <c r="L48" i="1"/>
  <c r="M48" i="1" s="1"/>
  <c r="N48" i="1" s="1"/>
  <c r="O48" i="1" s="1"/>
  <c r="P48" i="1" s="1"/>
  <c r="AR48" i="13"/>
  <c r="I46" i="2"/>
  <c r="L32" i="1"/>
  <c r="M32" i="1" s="1"/>
  <c r="N32" i="1" s="1"/>
  <c r="O32" i="1" s="1"/>
  <c r="P32" i="1" s="1"/>
  <c r="M30" i="2"/>
  <c r="N30" i="2" s="1"/>
  <c r="N32" i="67"/>
  <c r="O32" i="67" s="1"/>
  <c r="AR32" i="13"/>
  <c r="I30" i="2"/>
  <c r="W10" i="2"/>
  <c r="L15" i="1"/>
  <c r="M15" i="1" s="1"/>
  <c r="N15" i="1" s="1"/>
  <c r="O15" i="1" s="1"/>
  <c r="P15" i="1" s="1"/>
  <c r="M13" i="2"/>
  <c r="N13" i="2" s="1"/>
  <c r="N15" i="67"/>
  <c r="O15" i="67" s="1"/>
  <c r="AR15" i="13"/>
  <c r="I13" i="2"/>
  <c r="W47" i="2"/>
  <c r="W17" i="2"/>
  <c r="W31" i="2"/>
  <c r="M64" i="2"/>
  <c r="N64" i="2" s="1"/>
  <c r="I64" i="2"/>
  <c r="L66" i="1"/>
  <c r="M66" i="1" s="1"/>
  <c r="N66" i="1" s="1"/>
  <c r="O66" i="1" s="1"/>
  <c r="P66" i="1" s="1"/>
  <c r="N66" i="67"/>
  <c r="O66" i="67" s="1"/>
  <c r="AR66" i="13"/>
  <c r="M52" i="2"/>
  <c r="N52" i="2" s="1"/>
  <c r="N54" i="67"/>
  <c r="O54" i="67" s="1"/>
  <c r="L54" i="1"/>
  <c r="M54" i="1" s="1"/>
  <c r="N54" i="1" s="1"/>
  <c r="O54" i="1" s="1"/>
  <c r="P54" i="1" s="1"/>
  <c r="AR54" i="13"/>
  <c r="N28" i="67"/>
  <c r="O28" i="67" s="1"/>
  <c r="L28" i="1"/>
  <c r="M28" i="1" s="1"/>
  <c r="N28" i="1" s="1"/>
  <c r="O28" i="1" s="1"/>
  <c r="P28" i="1" s="1"/>
  <c r="M26" i="2"/>
  <c r="N26" i="2" s="1"/>
  <c r="AR28" i="13"/>
  <c r="I26" i="2"/>
  <c r="M56" i="2"/>
  <c r="N56" i="2" s="1"/>
  <c r="L58" i="1"/>
  <c r="M58" i="1" s="1"/>
  <c r="N58" i="1" s="1"/>
  <c r="O58" i="1" s="1"/>
  <c r="P58" i="1" s="1"/>
  <c r="N58" i="67"/>
  <c r="O58" i="67" s="1"/>
  <c r="AR58" i="13"/>
  <c r="I56" i="2"/>
  <c r="M7" i="2"/>
  <c r="N7" i="2" s="1"/>
  <c r="N9" i="67"/>
  <c r="O9" i="67" s="1"/>
  <c r="L9" i="1"/>
  <c r="M9" i="1" s="1"/>
  <c r="N9" i="1" s="1"/>
  <c r="O9" i="1" s="1"/>
  <c r="P9" i="1" s="1"/>
  <c r="AR9" i="13"/>
  <c r="I7" i="2"/>
  <c r="L36" i="1"/>
  <c r="M36" i="1" s="1"/>
  <c r="N36" i="1" s="1"/>
  <c r="O36" i="1" s="1"/>
  <c r="P36" i="1" s="1"/>
  <c r="M34" i="2"/>
  <c r="N34" i="2" s="1"/>
  <c r="AR36" i="13"/>
  <c r="N36" i="67"/>
  <c r="O36" i="67" s="1"/>
  <c r="I34" i="2"/>
  <c r="M20" i="2"/>
  <c r="N20" i="2" s="1"/>
  <c r="L22" i="1"/>
  <c r="M22" i="1" s="1"/>
  <c r="N22" i="1" s="1"/>
  <c r="O22" i="1" s="1"/>
  <c r="P22" i="1" s="1"/>
  <c r="AR22" i="13"/>
  <c r="N22" i="67"/>
  <c r="O22" i="67" s="1"/>
  <c r="M54" i="2"/>
  <c r="N54" i="2" s="1"/>
  <c r="L56" i="1"/>
  <c r="M56" i="1" s="1"/>
  <c r="N56" i="1" s="1"/>
  <c r="O56" i="1" s="1"/>
  <c r="P56" i="1" s="1"/>
  <c r="N56" i="67"/>
  <c r="O56" i="67" s="1"/>
  <c r="AR56" i="13"/>
  <c r="I54" i="2"/>
  <c r="M72" i="2"/>
  <c r="N72" i="2" s="1"/>
  <c r="N74" i="67"/>
  <c r="O74" i="67" s="1"/>
  <c r="I72" i="2"/>
  <c r="AR74" i="13"/>
  <c r="L74" i="1"/>
  <c r="M74" i="1" s="1"/>
  <c r="N74" i="1" s="1"/>
  <c r="O74" i="1" s="1"/>
  <c r="P74" i="1" s="1"/>
  <c r="L42" i="1"/>
  <c r="M42" i="1" s="1"/>
  <c r="N42" i="1" s="1"/>
  <c r="O42" i="1" s="1"/>
  <c r="P42" i="1" s="1"/>
  <c r="N42" i="67"/>
  <c r="O42" i="67" s="1"/>
  <c r="AR42" i="13"/>
  <c r="M40" i="2"/>
  <c r="N40" i="2" s="1"/>
  <c r="I40" i="2"/>
  <c r="I17" i="2"/>
  <c r="AR19" i="13"/>
  <c r="L19" i="1"/>
  <c r="M19" i="1" s="1"/>
  <c r="N19" i="1" s="1"/>
  <c r="O19" i="1" s="1"/>
  <c r="P19" i="1" s="1"/>
  <c r="M17" i="2"/>
  <c r="N17" i="2" s="1"/>
  <c r="N19" i="67"/>
  <c r="O19" i="67" s="1"/>
  <c r="W34" i="2"/>
  <c r="V6" i="2"/>
  <c r="W6" i="2" s="1"/>
  <c r="U75" i="2"/>
  <c r="L25" i="1"/>
  <c r="M25" i="1" s="1"/>
  <c r="N25" i="1" s="1"/>
  <c r="O25" i="1" s="1"/>
  <c r="P25" i="1" s="1"/>
  <c r="I23" i="2"/>
  <c r="AR25" i="13"/>
  <c r="N25" i="67"/>
  <c r="O25" i="67" s="1"/>
  <c r="M23" i="2"/>
  <c r="N23" i="2" s="1"/>
  <c r="M67" i="2"/>
  <c r="N67" i="2" s="1"/>
  <c r="N69" i="67"/>
  <c r="O69" i="67" s="1"/>
  <c r="L69" i="1"/>
  <c r="M69" i="1" s="1"/>
  <c r="N69" i="1" s="1"/>
  <c r="O69" i="1" s="1"/>
  <c r="P69" i="1" s="1"/>
  <c r="AR69" i="13"/>
  <c r="I67" i="2"/>
  <c r="M65" i="2"/>
  <c r="N65" i="2" s="1"/>
  <c r="N67" i="67"/>
  <c r="O67" i="67" s="1"/>
  <c r="L67" i="1"/>
  <c r="M67" i="1" s="1"/>
  <c r="N67" i="1" s="1"/>
  <c r="O67" i="1" s="1"/>
  <c r="P67" i="1" s="1"/>
  <c r="AR67" i="13"/>
  <c r="I65" i="2"/>
  <c r="M59" i="2"/>
  <c r="N59" i="2" s="1"/>
  <c r="N61" i="67"/>
  <c r="O61" i="67" s="1"/>
  <c r="L61" i="1"/>
  <c r="M61" i="1" s="1"/>
  <c r="N61" i="1" s="1"/>
  <c r="O61" i="1" s="1"/>
  <c r="P61" i="1" s="1"/>
  <c r="AR61" i="13"/>
  <c r="I59" i="2"/>
  <c r="W53" i="2"/>
  <c r="W64" i="2"/>
  <c r="W12" i="2"/>
  <c r="W26" i="2"/>
  <c r="L71" i="1"/>
  <c r="M71" i="1" s="1"/>
  <c r="N71" i="1" s="1"/>
  <c r="O71" i="1" s="1"/>
  <c r="P71" i="1" s="1"/>
  <c r="I69" i="2"/>
  <c r="AR71" i="13"/>
  <c r="N71" i="67"/>
  <c r="O71" i="67" s="1"/>
  <c r="M69" i="2"/>
  <c r="N69" i="2" s="1"/>
  <c r="W39" i="2"/>
  <c r="L50" i="1"/>
  <c r="M50" i="1" s="1"/>
  <c r="N50" i="1" s="1"/>
  <c r="O50" i="1" s="1"/>
  <c r="P50" i="1" s="1"/>
  <c r="M48" i="2"/>
  <c r="N48" i="2" s="1"/>
  <c r="AR50" i="13"/>
  <c r="I48" i="2"/>
  <c r="N50" i="67"/>
  <c r="O50" i="67" s="1"/>
  <c r="N18" i="67"/>
  <c r="O18" i="67" s="1"/>
  <c r="L18" i="1"/>
  <c r="M18" i="1" s="1"/>
  <c r="N18" i="1" s="1"/>
  <c r="O18" i="1" s="1"/>
  <c r="P18" i="1" s="1"/>
  <c r="M16" i="2"/>
  <c r="N16" i="2" s="1"/>
  <c r="I16" i="2"/>
  <c r="AR18" i="13"/>
  <c r="W8" i="2"/>
  <c r="W38" i="2"/>
  <c r="M18" i="2"/>
  <c r="N18" i="2" s="1"/>
  <c r="AR20" i="13"/>
  <c r="I18" i="2"/>
  <c r="N20" i="67"/>
  <c r="O20" i="67" s="1"/>
  <c r="L20" i="1"/>
  <c r="M20" i="1" s="1"/>
  <c r="N20" i="1" s="1"/>
  <c r="O20" i="1" s="1"/>
  <c r="P20" i="1" s="1"/>
  <c r="N49" i="67"/>
  <c r="O49" i="67" s="1"/>
  <c r="L49" i="1"/>
  <c r="M49" i="1" s="1"/>
  <c r="N49" i="1" s="1"/>
  <c r="O49" i="1" s="1"/>
  <c r="P49" i="1" s="1"/>
  <c r="M47" i="2"/>
  <c r="N47" i="2" s="1"/>
  <c r="AR49" i="13"/>
  <c r="I47" i="2"/>
  <c r="N33" i="67"/>
  <c r="O33" i="67" s="1"/>
  <c r="AR33" i="13"/>
  <c r="L33" i="1"/>
  <c r="M33" i="1" s="1"/>
  <c r="N33" i="1" s="1"/>
  <c r="O33" i="1" s="1"/>
  <c r="P33" i="1" s="1"/>
  <c r="M31" i="2"/>
  <c r="N31" i="2" s="1"/>
  <c r="G72" i="31"/>
  <c r="H77" i="33"/>
  <c r="G62" i="81"/>
  <c r="H62" i="81"/>
  <c r="G77" i="33"/>
  <c r="T23" i="1"/>
  <c r="AB23" i="1"/>
  <c r="T47" i="1" l="1"/>
  <c r="X47" i="1" s="1"/>
  <c r="R59" i="1"/>
  <c r="T59" i="1" s="1"/>
  <c r="X59" i="1" s="1"/>
  <c r="R60" i="1"/>
  <c r="AB60" i="1" s="1"/>
  <c r="R46" i="1"/>
  <c r="T46" i="1" s="1"/>
  <c r="AA46" i="1" s="1"/>
  <c r="X6" i="129"/>
  <c r="Y6" i="129" s="1"/>
  <c r="Z6" i="129" s="1"/>
  <c r="AA6" i="129" s="1"/>
  <c r="AB6" i="129" s="1"/>
  <c r="AC6" i="129" s="1"/>
  <c r="AD6" i="129" s="1"/>
  <c r="AE6" i="129" s="1"/>
  <c r="AF6" i="129" s="1"/>
  <c r="AG6" i="129" s="1"/>
  <c r="AH6" i="129" s="1"/>
  <c r="AI6" i="129" s="1"/>
  <c r="AJ6" i="129" s="1"/>
  <c r="AF6" i="115"/>
  <c r="AG6" i="115" s="1"/>
  <c r="AH6" i="115" s="1"/>
  <c r="AI6" i="115" s="1"/>
  <c r="AJ6" i="115" s="1"/>
  <c r="S6" i="67"/>
  <c r="Z6" i="131"/>
  <c r="AA6" i="131" s="1"/>
  <c r="AB6" i="131" s="1"/>
  <c r="AC6" i="131" s="1"/>
  <c r="AD6" i="131" s="1"/>
  <c r="AE6" i="131" s="1"/>
  <c r="R63" i="1"/>
  <c r="AB63" i="1" s="1"/>
  <c r="T64" i="1"/>
  <c r="Z64" i="1" s="1"/>
  <c r="AC64" i="1" s="1"/>
  <c r="T72" i="1"/>
  <c r="AA72" i="1" s="1"/>
  <c r="R35" i="1"/>
  <c r="T35" i="1" s="1"/>
  <c r="W35" i="1" s="1"/>
  <c r="V41" i="2"/>
  <c r="Q41" i="2"/>
  <c r="Q75" i="2" s="1"/>
  <c r="E40" i="81" s="1"/>
  <c r="G40" i="81" s="1"/>
  <c r="AB13" i="1"/>
  <c r="W72" i="1"/>
  <c r="R26" i="1"/>
  <c r="AB26" i="1" s="1"/>
  <c r="T62" i="1"/>
  <c r="Z62" i="1" s="1"/>
  <c r="AC62" i="1" s="1"/>
  <c r="R37" i="1"/>
  <c r="C95" i="1"/>
  <c r="R24" i="1"/>
  <c r="T24" i="1" s="1"/>
  <c r="R57" i="1"/>
  <c r="AR77" i="13"/>
  <c r="R73" i="1"/>
  <c r="AA59" i="1"/>
  <c r="T60" i="1"/>
  <c r="R29" i="1"/>
  <c r="W59" i="1"/>
  <c r="I75" i="2"/>
  <c r="J4" i="2" s="1"/>
  <c r="J64" i="2" s="1"/>
  <c r="O64" i="2" s="1"/>
  <c r="R8" i="1"/>
  <c r="AB8" i="1" s="1"/>
  <c r="T75" i="1"/>
  <c r="W75" i="1" s="1"/>
  <c r="L77" i="1"/>
  <c r="R52" i="1"/>
  <c r="U59" i="1"/>
  <c r="V59" i="1" s="1"/>
  <c r="R45" i="1"/>
  <c r="N75" i="2"/>
  <c r="E42" i="81" s="1"/>
  <c r="G42" i="81" s="1"/>
  <c r="R31" i="1"/>
  <c r="R11" i="1"/>
  <c r="R53" i="1"/>
  <c r="R21" i="1"/>
  <c r="R17" i="1"/>
  <c r="R14" i="1"/>
  <c r="R32" i="1"/>
  <c r="R20" i="1"/>
  <c r="R28" i="1"/>
  <c r="R38" i="1"/>
  <c r="R55" i="1"/>
  <c r="R30" i="1"/>
  <c r="R12" i="1"/>
  <c r="R39" i="1"/>
  <c r="Z47" i="1"/>
  <c r="AC47" i="1" s="1"/>
  <c r="AS47" i="1" s="1"/>
  <c r="M47" i="67" s="1"/>
  <c r="P47" i="67" s="1"/>
  <c r="R61" i="1"/>
  <c r="R48" i="1"/>
  <c r="AB65" i="1"/>
  <c r="T65" i="1"/>
  <c r="R34" i="1"/>
  <c r="N77" i="67"/>
  <c r="R33" i="1"/>
  <c r="R71" i="1"/>
  <c r="R25" i="1"/>
  <c r="R74" i="1"/>
  <c r="R36" i="1"/>
  <c r="R9" i="1"/>
  <c r="R58" i="1"/>
  <c r="R66" i="1"/>
  <c r="R15" i="1"/>
  <c r="R68" i="1"/>
  <c r="R10" i="1"/>
  <c r="R27" i="1"/>
  <c r="R41" i="1"/>
  <c r="R51" i="1"/>
  <c r="R43" i="1"/>
  <c r="R18" i="1"/>
  <c r="R42" i="1"/>
  <c r="R70" i="1"/>
  <c r="R49" i="1"/>
  <c r="R69" i="1"/>
  <c r="R40" i="1"/>
  <c r="O77" i="67"/>
  <c r="M75" i="2"/>
  <c r="R50" i="1"/>
  <c r="R67" i="1"/>
  <c r="R19" i="1"/>
  <c r="R56" i="1"/>
  <c r="R22" i="1"/>
  <c r="R54" i="1"/>
  <c r="R44" i="1"/>
  <c r="R76" i="1"/>
  <c r="AA47" i="1"/>
  <c r="E19" i="81"/>
  <c r="G12" i="81"/>
  <c r="H12" i="81"/>
  <c r="O16" i="1"/>
  <c r="N77" i="1"/>
  <c r="E24" i="81" s="1"/>
  <c r="E10" i="81" s="1"/>
  <c r="U47" i="1"/>
  <c r="W47" i="1"/>
  <c r="U23" i="1"/>
  <c r="X23" i="1"/>
  <c r="W23" i="1"/>
  <c r="AA23" i="1"/>
  <c r="Z23" i="1"/>
  <c r="AC23" i="1" s="1"/>
  <c r="V13" i="1"/>
  <c r="AA13" i="1"/>
  <c r="W13" i="1"/>
  <c r="X13" i="1"/>
  <c r="Z13" i="1"/>
  <c r="U46" i="1"/>
  <c r="Z46" i="1" l="1"/>
  <c r="AC46" i="1" s="1"/>
  <c r="AD46" i="1" s="1"/>
  <c r="AE46" i="1" s="1"/>
  <c r="J10" i="2"/>
  <c r="O10" i="2" s="1"/>
  <c r="X46" i="1"/>
  <c r="AA64" i="1"/>
  <c r="W46" i="1"/>
  <c r="AB59" i="1"/>
  <c r="Z59" i="1"/>
  <c r="AB46" i="1"/>
  <c r="AB35" i="1"/>
  <c r="AF6" i="131"/>
  <c r="AG6" i="131" s="1"/>
  <c r="AH6" i="131" s="1"/>
  <c r="AI6" i="131" s="1"/>
  <c r="AJ6" i="131" s="1"/>
  <c r="T63" i="1"/>
  <c r="U63" i="1" s="1"/>
  <c r="V63" i="1" s="1"/>
  <c r="T6" i="67"/>
  <c r="U6" i="67" s="1"/>
  <c r="V6" i="67" s="1"/>
  <c r="W6" i="67" s="1"/>
  <c r="X6" i="67" s="1"/>
  <c r="Y6" i="67" s="1"/>
  <c r="Q47" i="67"/>
  <c r="S47" i="67" s="1"/>
  <c r="X64" i="1"/>
  <c r="X72" i="1"/>
  <c r="U72" i="1"/>
  <c r="W64" i="1"/>
  <c r="U64" i="1"/>
  <c r="Z72" i="1"/>
  <c r="AC72" i="1" s="1"/>
  <c r="AD72" i="1" s="1"/>
  <c r="AE72" i="1" s="1"/>
  <c r="U35" i="1"/>
  <c r="V35" i="1" s="1"/>
  <c r="Z35" i="1"/>
  <c r="AC35" i="1" s="1"/>
  <c r="AS35" i="1" s="1"/>
  <c r="AT35" i="1" s="1"/>
  <c r="AA35" i="1"/>
  <c r="X35" i="1"/>
  <c r="AC13" i="1"/>
  <c r="AS13" i="1" s="1"/>
  <c r="V72" i="1"/>
  <c r="T26" i="1"/>
  <c r="X26" i="1" s="1"/>
  <c r="W62" i="1"/>
  <c r="AD62" i="1" s="1"/>
  <c r="AE62" i="1" s="1"/>
  <c r="AA62" i="1"/>
  <c r="W63" i="1"/>
  <c r="U62" i="1"/>
  <c r="V62" i="1" s="1"/>
  <c r="X62" i="1"/>
  <c r="J74" i="2"/>
  <c r="O74" i="2" s="1"/>
  <c r="AI76" i="1" s="1"/>
  <c r="AJ76" i="1" s="1"/>
  <c r="AB24" i="1"/>
  <c r="T37" i="1"/>
  <c r="AB37" i="1"/>
  <c r="J37" i="2"/>
  <c r="O37" i="2" s="1"/>
  <c r="R37" i="2" s="1"/>
  <c r="AM39" i="1" s="1"/>
  <c r="AN39" i="1" s="1"/>
  <c r="J15" i="2"/>
  <c r="O15" i="2" s="1"/>
  <c r="AI17" i="1" s="1"/>
  <c r="AJ17" i="1" s="1"/>
  <c r="J17" i="2"/>
  <c r="O17" i="2" s="1"/>
  <c r="AI19" i="1" s="1"/>
  <c r="AJ19" i="1" s="1"/>
  <c r="J61" i="2"/>
  <c r="O61" i="2" s="1"/>
  <c r="R61" i="2" s="1"/>
  <c r="AM63" i="1" s="1"/>
  <c r="AN63" i="1" s="1"/>
  <c r="J53" i="2"/>
  <c r="O53" i="2" s="1"/>
  <c r="R53" i="2" s="1"/>
  <c r="AM55" i="1" s="1"/>
  <c r="AN55" i="1" s="1"/>
  <c r="AD47" i="1"/>
  <c r="AE47" i="1" s="1"/>
  <c r="AF47" i="1" s="1"/>
  <c r="J72" i="2"/>
  <c r="O72" i="2" s="1"/>
  <c r="AI74" i="1" s="1"/>
  <c r="AJ74" i="1" s="1"/>
  <c r="J31" i="2"/>
  <c r="O31" i="2" s="1"/>
  <c r="R31" i="2" s="1"/>
  <c r="AM33" i="1" s="1"/>
  <c r="AN33" i="1" s="1"/>
  <c r="J46" i="2"/>
  <c r="O46" i="2" s="1"/>
  <c r="R46" i="2" s="1"/>
  <c r="AM48" i="1" s="1"/>
  <c r="AN48" i="1" s="1"/>
  <c r="J58" i="2"/>
  <c r="O58" i="2" s="1"/>
  <c r="R58" i="2" s="1"/>
  <c r="AM60" i="1" s="1"/>
  <c r="AN60" i="1" s="1"/>
  <c r="J11" i="2"/>
  <c r="O11" i="2" s="1"/>
  <c r="AI13" i="1" s="1"/>
  <c r="AJ13" i="1" s="1"/>
  <c r="J42" i="2"/>
  <c r="O42" i="2" s="1"/>
  <c r="R42" i="2" s="1"/>
  <c r="AM44" i="1" s="1"/>
  <c r="AN44" i="1" s="1"/>
  <c r="AC59" i="1"/>
  <c r="AD59" i="1" s="1"/>
  <c r="AE59" i="1" s="1"/>
  <c r="AG59" i="1" s="1"/>
  <c r="T57" i="1"/>
  <c r="U57" i="1" s="1"/>
  <c r="AB57" i="1"/>
  <c r="J18" i="2"/>
  <c r="O18" i="2" s="1"/>
  <c r="AI20" i="1" s="1"/>
  <c r="AJ20" i="1" s="1"/>
  <c r="J28" i="2"/>
  <c r="O28" i="2" s="1"/>
  <c r="R28" i="2" s="1"/>
  <c r="AM30" i="1" s="1"/>
  <c r="AN30" i="1" s="1"/>
  <c r="J23" i="2"/>
  <c r="O23" i="2" s="1"/>
  <c r="AI25" i="1" s="1"/>
  <c r="AJ25" i="1" s="1"/>
  <c r="J30" i="2"/>
  <c r="O30" i="2" s="1"/>
  <c r="R30" i="2" s="1"/>
  <c r="AM32" i="1" s="1"/>
  <c r="AN32" i="1" s="1"/>
  <c r="J34" i="2"/>
  <c r="O34" i="2" s="1"/>
  <c r="AI36" i="1" s="1"/>
  <c r="AJ36" i="1" s="1"/>
  <c r="J50" i="2"/>
  <c r="O50" i="2" s="1"/>
  <c r="R50" i="2" s="1"/>
  <c r="AM52" i="1" s="1"/>
  <c r="AN52" i="1" s="1"/>
  <c r="U75" i="1"/>
  <c r="J13" i="2"/>
  <c r="O13" i="2" s="1"/>
  <c r="J48" i="2"/>
  <c r="O48" i="2" s="1"/>
  <c r="AI50" i="1" s="1"/>
  <c r="AJ50" i="1" s="1"/>
  <c r="J68" i="2"/>
  <c r="O68" i="2" s="1"/>
  <c r="R68" i="2" s="1"/>
  <c r="AM70" i="1" s="1"/>
  <c r="AN70" i="1" s="1"/>
  <c r="J60" i="2"/>
  <c r="O60" i="2" s="1"/>
  <c r="AI62" i="1" s="1"/>
  <c r="AJ62" i="1" s="1"/>
  <c r="J26" i="2"/>
  <c r="O26" i="2" s="1"/>
  <c r="R26" i="2" s="1"/>
  <c r="AM28" i="1" s="1"/>
  <c r="AN28" i="1" s="1"/>
  <c r="J35" i="2"/>
  <c r="O35" i="2" s="1"/>
  <c r="R35" i="2" s="1"/>
  <c r="AM37" i="1" s="1"/>
  <c r="AN37" i="1" s="1"/>
  <c r="J69" i="2"/>
  <c r="O69" i="2" s="1"/>
  <c r="AI71" i="1" s="1"/>
  <c r="AJ71" i="1" s="1"/>
  <c r="T29" i="1"/>
  <c r="AB29" i="1"/>
  <c r="X75" i="1"/>
  <c r="U60" i="1"/>
  <c r="AA60" i="1"/>
  <c r="J52" i="2"/>
  <c r="O52" i="2" s="1"/>
  <c r="R52" i="2" s="1"/>
  <c r="AM54" i="1" s="1"/>
  <c r="AN54" i="1" s="1"/>
  <c r="J22" i="2"/>
  <c r="O22" i="2" s="1"/>
  <c r="J70" i="2"/>
  <c r="O70" i="2" s="1"/>
  <c r="AI72" i="1" s="1"/>
  <c r="AJ72" i="1" s="1"/>
  <c r="J65" i="2"/>
  <c r="O65" i="2" s="1"/>
  <c r="R65" i="2" s="1"/>
  <c r="AM67" i="1" s="1"/>
  <c r="AN67" i="1" s="1"/>
  <c r="J27" i="2"/>
  <c r="O27" i="2" s="1"/>
  <c r="R27" i="2" s="1"/>
  <c r="AM29" i="1" s="1"/>
  <c r="AN29" i="1" s="1"/>
  <c r="J36" i="2"/>
  <c r="O36" i="2" s="1"/>
  <c r="J51" i="2"/>
  <c r="O51" i="2" s="1"/>
  <c r="R51" i="2" s="1"/>
  <c r="AM53" i="1" s="1"/>
  <c r="AN53" i="1" s="1"/>
  <c r="J62" i="2"/>
  <c r="O62" i="2" s="1"/>
  <c r="J39" i="2"/>
  <c r="O39" i="2" s="1"/>
  <c r="R39" i="2" s="1"/>
  <c r="AM41" i="1" s="1"/>
  <c r="AN41" i="1" s="1"/>
  <c r="J38" i="2"/>
  <c r="O38" i="2" s="1"/>
  <c r="AI40" i="1" s="1"/>
  <c r="AJ40" i="1" s="1"/>
  <c r="T73" i="1"/>
  <c r="AB73" i="1"/>
  <c r="Z75" i="1"/>
  <c r="AC75" i="1" s="1"/>
  <c r="AS75" i="1" s="1"/>
  <c r="J54" i="2"/>
  <c r="O54" i="2" s="1"/>
  <c r="J9" i="2"/>
  <c r="O9" i="2" s="1"/>
  <c r="AI11" i="1" s="1"/>
  <c r="AJ11" i="1" s="1"/>
  <c r="J32" i="2"/>
  <c r="O32" i="2" s="1"/>
  <c r="AI34" i="1" s="1"/>
  <c r="AJ34" i="1" s="1"/>
  <c r="H42" i="81"/>
  <c r="Z60" i="1"/>
  <c r="AC60" i="1" s="1"/>
  <c r="W60" i="1"/>
  <c r="J45" i="2"/>
  <c r="O45" i="2" s="1"/>
  <c r="AI47" i="1" s="1"/>
  <c r="AJ47" i="1" s="1"/>
  <c r="J24" i="2"/>
  <c r="O24" i="2" s="1"/>
  <c r="AI26" i="1" s="1"/>
  <c r="AJ26" i="1" s="1"/>
  <c r="J66" i="2"/>
  <c r="O66" i="2" s="1"/>
  <c r="J25" i="2"/>
  <c r="O25" i="2" s="1"/>
  <c r="AI27" i="1" s="1"/>
  <c r="AJ27" i="1" s="1"/>
  <c r="J20" i="2"/>
  <c r="O20" i="2" s="1"/>
  <c r="R20" i="2" s="1"/>
  <c r="AM22" i="1" s="1"/>
  <c r="AN22" i="1" s="1"/>
  <c r="J41" i="2"/>
  <c r="O41" i="2" s="1"/>
  <c r="AI43" i="1" s="1"/>
  <c r="AJ43" i="1" s="1"/>
  <c r="J19" i="2"/>
  <c r="O19" i="2" s="1"/>
  <c r="AI21" i="1" s="1"/>
  <c r="AJ21" i="1" s="1"/>
  <c r="J44" i="2"/>
  <c r="O44" i="2" s="1"/>
  <c r="R44" i="2" s="1"/>
  <c r="AM46" i="1" s="1"/>
  <c r="AN46" i="1" s="1"/>
  <c r="J14" i="2"/>
  <c r="O14" i="2" s="1"/>
  <c r="R14" i="2" s="1"/>
  <c r="AM16" i="1" s="1"/>
  <c r="AN16" i="1" s="1"/>
  <c r="J21" i="2"/>
  <c r="O21" i="2" s="1"/>
  <c r="AI23" i="1" s="1"/>
  <c r="AJ23" i="1" s="1"/>
  <c r="J67" i="2"/>
  <c r="O67" i="2" s="1"/>
  <c r="R67" i="2" s="1"/>
  <c r="AM69" i="1" s="1"/>
  <c r="AN69" i="1" s="1"/>
  <c r="J63" i="2"/>
  <c r="O63" i="2" s="1"/>
  <c r="R63" i="2" s="1"/>
  <c r="AM65" i="1" s="1"/>
  <c r="AN65" i="1" s="1"/>
  <c r="J33" i="2"/>
  <c r="O33" i="2" s="1"/>
  <c r="AI35" i="1" s="1"/>
  <c r="AJ35" i="1" s="1"/>
  <c r="X60" i="1"/>
  <c r="T53" i="1"/>
  <c r="AB53" i="1"/>
  <c r="AB31" i="1"/>
  <c r="T31" i="1"/>
  <c r="T52" i="1"/>
  <c r="U52" i="1" s="1"/>
  <c r="AB52" i="1"/>
  <c r="T21" i="1"/>
  <c r="AB21" i="1"/>
  <c r="AB11" i="1"/>
  <c r="T11" i="1"/>
  <c r="T8" i="1"/>
  <c r="U8" i="1" s="1"/>
  <c r="V8" i="1" s="1"/>
  <c r="AA75" i="1"/>
  <c r="J40" i="2"/>
  <c r="O40" i="2" s="1"/>
  <c r="R40" i="2" s="1"/>
  <c r="AM42" i="1" s="1"/>
  <c r="AN42" i="1" s="1"/>
  <c r="J57" i="2"/>
  <c r="O57" i="2" s="1"/>
  <c r="J8" i="2"/>
  <c r="O8" i="2" s="1"/>
  <c r="AI10" i="1" s="1"/>
  <c r="AJ10" i="1" s="1"/>
  <c r="J29" i="2"/>
  <c r="O29" i="2" s="1"/>
  <c r="J73" i="2"/>
  <c r="O73" i="2" s="1"/>
  <c r="AI75" i="1" s="1"/>
  <c r="AJ75" i="1" s="1"/>
  <c r="J6" i="2"/>
  <c r="O6" i="2" s="1"/>
  <c r="J16" i="2"/>
  <c r="O16" i="2" s="1"/>
  <c r="R16" i="2" s="1"/>
  <c r="AM18" i="1" s="1"/>
  <c r="AN18" i="1" s="1"/>
  <c r="J7" i="2"/>
  <c r="O7" i="2" s="1"/>
  <c r="J43" i="2"/>
  <c r="O43" i="2" s="1"/>
  <c r="R43" i="2" s="1"/>
  <c r="AM45" i="1" s="1"/>
  <c r="AN45" i="1" s="1"/>
  <c r="J55" i="2"/>
  <c r="O55" i="2" s="1"/>
  <c r="AI57" i="1" s="1"/>
  <c r="J49" i="2"/>
  <c r="O49" i="2" s="1"/>
  <c r="R49" i="2" s="1"/>
  <c r="AM51" i="1" s="1"/>
  <c r="AN51" i="1" s="1"/>
  <c r="J47" i="2"/>
  <c r="O47" i="2" s="1"/>
  <c r="J59" i="2"/>
  <c r="O59" i="2" s="1"/>
  <c r="J71" i="2"/>
  <c r="O71" i="2" s="1"/>
  <c r="AI73" i="1" s="1"/>
  <c r="AJ73" i="1" s="1"/>
  <c r="J56" i="2"/>
  <c r="O56" i="2" s="1"/>
  <c r="R56" i="2" s="1"/>
  <c r="AM58" i="1" s="1"/>
  <c r="AN58" i="1" s="1"/>
  <c r="J12" i="2"/>
  <c r="O12" i="2" s="1"/>
  <c r="R12" i="2" s="1"/>
  <c r="AM14" i="1" s="1"/>
  <c r="AN14" i="1" s="1"/>
  <c r="AB45" i="1"/>
  <c r="T45" i="1"/>
  <c r="AB56" i="1"/>
  <c r="T56" i="1"/>
  <c r="AB9" i="1"/>
  <c r="T9" i="1"/>
  <c r="U9" i="1" s="1"/>
  <c r="U65" i="1"/>
  <c r="AA65" i="1"/>
  <c r="X65" i="1"/>
  <c r="Z65" i="1"/>
  <c r="AC65" i="1" s="1"/>
  <c r="W65" i="1"/>
  <c r="T20" i="1"/>
  <c r="AB20" i="1"/>
  <c r="T14" i="1"/>
  <c r="AB14" i="1"/>
  <c r="AB19" i="1"/>
  <c r="T19" i="1"/>
  <c r="T40" i="1"/>
  <c r="AB40" i="1"/>
  <c r="T70" i="1"/>
  <c r="AB70" i="1"/>
  <c r="AB27" i="1"/>
  <c r="T27" i="1"/>
  <c r="U27" i="1" s="1"/>
  <c r="T55" i="1"/>
  <c r="AB55" i="1"/>
  <c r="AB44" i="1"/>
  <c r="T44" i="1"/>
  <c r="AB49" i="1"/>
  <c r="T49" i="1"/>
  <c r="AB36" i="1"/>
  <c r="T36" i="1"/>
  <c r="T25" i="1"/>
  <c r="AB25" i="1"/>
  <c r="AB33" i="1"/>
  <c r="T33" i="1"/>
  <c r="AB34" i="1"/>
  <c r="T34" i="1"/>
  <c r="AB32" i="1"/>
  <c r="T32" i="1"/>
  <c r="R64" i="2"/>
  <c r="AM66" i="1" s="1"/>
  <c r="AN66" i="1" s="1"/>
  <c r="AI66" i="1"/>
  <c r="AJ66" i="1" s="1"/>
  <c r="T69" i="1"/>
  <c r="AB69" i="1"/>
  <c r="T61" i="1"/>
  <c r="U61" i="1" s="1"/>
  <c r="AB61" i="1"/>
  <c r="AB30" i="1"/>
  <c r="T30" i="1"/>
  <c r="AI12" i="1"/>
  <c r="AJ12" i="1" s="1"/>
  <c r="R10" i="2"/>
  <c r="AM12" i="1" s="1"/>
  <c r="AN12" i="1" s="1"/>
  <c r="T22" i="1"/>
  <c r="AB22" i="1"/>
  <c r="AB50" i="1"/>
  <c r="T50" i="1"/>
  <c r="T18" i="1"/>
  <c r="AB18" i="1"/>
  <c r="T51" i="1"/>
  <c r="AB51" i="1"/>
  <c r="T68" i="1"/>
  <c r="AB68" i="1"/>
  <c r="T66" i="1"/>
  <c r="U66" i="1" s="1"/>
  <c r="AB66" i="1"/>
  <c r="T74" i="1"/>
  <c r="AB74" i="1"/>
  <c r="T71" i="1"/>
  <c r="AB71" i="1"/>
  <c r="T12" i="1"/>
  <c r="U12" i="1" s="1"/>
  <c r="AB12" i="1"/>
  <c r="AB28" i="1"/>
  <c r="T28" i="1"/>
  <c r="T17" i="1"/>
  <c r="AB17" i="1"/>
  <c r="AB76" i="1"/>
  <c r="T76" i="1"/>
  <c r="AB54" i="1"/>
  <c r="T54" i="1"/>
  <c r="AB67" i="1"/>
  <c r="T67" i="1"/>
  <c r="U67" i="1" s="1"/>
  <c r="AB42" i="1"/>
  <c r="T42" i="1"/>
  <c r="T43" i="1"/>
  <c r="AB43" i="1"/>
  <c r="AB41" i="1"/>
  <c r="T41" i="1"/>
  <c r="T10" i="1"/>
  <c r="AB10" i="1"/>
  <c r="T15" i="1"/>
  <c r="AB15" i="1"/>
  <c r="T58" i="1"/>
  <c r="U58" i="1" s="1"/>
  <c r="AB58" i="1"/>
  <c r="AB48" i="1"/>
  <c r="T48" i="1"/>
  <c r="AB39" i="1"/>
  <c r="T39" i="1"/>
  <c r="T38" i="1"/>
  <c r="AB38" i="1"/>
  <c r="U24" i="1"/>
  <c r="W24" i="1"/>
  <c r="Z24" i="1"/>
  <c r="AA24" i="1"/>
  <c r="X24" i="1"/>
  <c r="G24" i="81"/>
  <c r="H24" i="81"/>
  <c r="P16" i="1"/>
  <c r="O77" i="1"/>
  <c r="H10" i="81"/>
  <c r="G10" i="81"/>
  <c r="G19" i="81"/>
  <c r="H19" i="81"/>
  <c r="V75" i="2"/>
  <c r="V77" i="2" s="1"/>
  <c r="W41" i="2"/>
  <c r="H40" i="81"/>
  <c r="P75" i="2"/>
  <c r="E20" i="5" s="1"/>
  <c r="F20" i="5" s="1"/>
  <c r="AT47" i="1"/>
  <c r="V47" i="1"/>
  <c r="AS23" i="1"/>
  <c r="AD23" i="1"/>
  <c r="AE23" i="1" s="1"/>
  <c r="V23" i="1"/>
  <c r="AS64" i="1"/>
  <c r="AD64" i="1"/>
  <c r="AE64" i="1" s="1"/>
  <c r="AG64" i="1" s="1"/>
  <c r="AS62" i="1"/>
  <c r="V46" i="1"/>
  <c r="AS72" i="1" l="1"/>
  <c r="M72" i="67" s="1"/>
  <c r="P72" i="67" s="1"/>
  <c r="Q72" i="67" s="1"/>
  <c r="S72" i="67" s="1"/>
  <c r="AA63" i="1"/>
  <c r="Z63" i="1"/>
  <c r="AC63" i="1" s="1"/>
  <c r="AS63" i="1" s="1"/>
  <c r="AT63" i="1" s="1"/>
  <c r="X63" i="1"/>
  <c r="V64" i="1"/>
  <c r="AG72" i="1"/>
  <c r="AH72" i="1" s="1"/>
  <c r="AI53" i="1"/>
  <c r="AJ53" i="1" s="1"/>
  <c r="AD13" i="1"/>
  <c r="AE13" i="1" s="1"/>
  <c r="AF13" i="1" s="1"/>
  <c r="R19" i="2"/>
  <c r="AM21" i="1" s="1"/>
  <c r="AN21" i="1" s="1"/>
  <c r="AF72" i="1"/>
  <c r="AS46" i="1"/>
  <c r="AT46" i="1" s="1"/>
  <c r="U26" i="1"/>
  <c r="V26" i="1" s="1"/>
  <c r="AI63" i="1"/>
  <c r="AJ63" i="1" s="1"/>
  <c r="AC24" i="1"/>
  <c r="AS24" i="1" s="1"/>
  <c r="W26" i="1"/>
  <c r="R70" i="2"/>
  <c r="AM72" i="1" s="1"/>
  <c r="AN72" i="1" s="1"/>
  <c r="AI67" i="1"/>
  <c r="AJ67" i="1" s="1"/>
  <c r="AI52" i="1"/>
  <c r="AJ52" i="1" s="1"/>
  <c r="R15" i="2"/>
  <c r="AM17" i="1" s="1"/>
  <c r="AN17" i="1" s="1"/>
  <c r="X8" i="1"/>
  <c r="M35" i="67"/>
  <c r="P35" i="67" s="1"/>
  <c r="W8" i="1"/>
  <c r="AD35" i="1"/>
  <c r="AE35" i="1" s="1"/>
  <c r="AG47" i="1"/>
  <c r="AK47" i="1" s="1"/>
  <c r="AL47" i="1" s="1"/>
  <c r="AI14" i="1"/>
  <c r="AJ14" i="1" s="1"/>
  <c r="R69" i="2"/>
  <c r="AM71" i="1" s="1"/>
  <c r="AN71" i="1" s="1"/>
  <c r="AA26" i="1"/>
  <c r="Z26" i="1"/>
  <c r="AC26" i="1" s="1"/>
  <c r="R60" i="2"/>
  <c r="AM62" i="1" s="1"/>
  <c r="AN62" i="1" s="1"/>
  <c r="AI60" i="1"/>
  <c r="AJ60" i="1" s="1"/>
  <c r="R17" i="2"/>
  <c r="AM19" i="1" s="1"/>
  <c r="AN19" i="1" s="1"/>
  <c r="V75" i="1"/>
  <c r="R23" i="2"/>
  <c r="AM25" i="1" s="1"/>
  <c r="AN25" i="1" s="1"/>
  <c r="AI45" i="1"/>
  <c r="AJ45" i="1" s="1"/>
  <c r="R72" i="2"/>
  <c r="AM74" i="1" s="1"/>
  <c r="AN74" i="1" s="1"/>
  <c r="R74" i="2"/>
  <c r="AM76" i="1" s="1"/>
  <c r="AN76" i="1" s="1"/>
  <c r="AI44" i="1"/>
  <c r="AJ44" i="1" s="1"/>
  <c r="AI33" i="1"/>
  <c r="AJ33" i="1" s="1"/>
  <c r="M63" i="67"/>
  <c r="P63" i="67" s="1"/>
  <c r="AI39" i="1"/>
  <c r="AJ39" i="1" s="1"/>
  <c r="AI55" i="1"/>
  <c r="AJ55" i="1" s="1"/>
  <c r="X37" i="1"/>
  <c r="W37" i="1"/>
  <c r="U37" i="1"/>
  <c r="Z37" i="1"/>
  <c r="AC37" i="1" s="1"/>
  <c r="AA37" i="1"/>
  <c r="AI70" i="1"/>
  <c r="AJ70" i="1" s="1"/>
  <c r="R24" i="2"/>
  <c r="AM26" i="1" s="1"/>
  <c r="AN26" i="1" s="1"/>
  <c r="R48" i="2"/>
  <c r="AM50" i="1" s="1"/>
  <c r="AN50" i="1" s="1"/>
  <c r="AI30" i="1"/>
  <c r="AJ30" i="1" s="1"/>
  <c r="R21" i="2"/>
  <c r="AM23" i="1" s="1"/>
  <c r="AN23" i="1" s="1"/>
  <c r="R41" i="2"/>
  <c r="AM43" i="1" s="1"/>
  <c r="AN43" i="1" s="1"/>
  <c r="AI48" i="1"/>
  <c r="AJ48" i="1" s="1"/>
  <c r="AI65" i="1"/>
  <c r="AJ65" i="1" s="1"/>
  <c r="AI32" i="1"/>
  <c r="AJ32" i="1" s="1"/>
  <c r="R11" i="2"/>
  <c r="AM13" i="1" s="1"/>
  <c r="AN13" i="1" s="1"/>
  <c r="AI37" i="1"/>
  <c r="AJ37" i="1" s="1"/>
  <c r="AI41" i="1"/>
  <c r="AJ41" i="1" s="1"/>
  <c r="AI29" i="1"/>
  <c r="AJ29" i="1" s="1"/>
  <c r="AA8" i="1"/>
  <c r="Z8" i="1"/>
  <c r="AC8" i="1" s="1"/>
  <c r="AI22" i="1"/>
  <c r="AJ22" i="1" s="1"/>
  <c r="R34" i="2"/>
  <c r="AM36" i="1" s="1"/>
  <c r="AN36" i="1" s="1"/>
  <c r="V57" i="1"/>
  <c r="R18" i="2"/>
  <c r="AM20" i="1" s="1"/>
  <c r="AN20" i="1" s="1"/>
  <c r="O75" i="2"/>
  <c r="AI87" i="1" s="1"/>
  <c r="AI15" i="1"/>
  <c r="AJ15" i="1" s="1"/>
  <c r="R13" i="2"/>
  <c r="AM15" i="1" s="1"/>
  <c r="AN15" i="1" s="1"/>
  <c r="AI69" i="1"/>
  <c r="AJ69" i="1" s="1"/>
  <c r="R9" i="2"/>
  <c r="AM11" i="1" s="1"/>
  <c r="AN11" i="1" s="1"/>
  <c r="R38" i="2"/>
  <c r="AM40" i="1" s="1"/>
  <c r="AN40" i="1" s="1"/>
  <c r="AS59" i="1"/>
  <c r="AI28" i="1"/>
  <c r="AJ28" i="1" s="1"/>
  <c r="AF59" i="1"/>
  <c r="R25" i="2"/>
  <c r="AM27" i="1" s="1"/>
  <c r="AN27" i="1" s="1"/>
  <c r="R55" i="2"/>
  <c r="AM57" i="1" s="1"/>
  <c r="AN57" i="1" s="1"/>
  <c r="R32" i="2"/>
  <c r="AM34" i="1" s="1"/>
  <c r="AN34" i="1" s="1"/>
  <c r="AI54" i="1"/>
  <c r="AJ54" i="1" s="1"/>
  <c r="Z57" i="1"/>
  <c r="AC57" i="1" s="1"/>
  <c r="W57" i="1"/>
  <c r="X57" i="1"/>
  <c r="AA57" i="1"/>
  <c r="R22" i="2"/>
  <c r="AM24" i="1" s="1"/>
  <c r="AN24" i="1" s="1"/>
  <c r="AI24" i="1"/>
  <c r="AJ24" i="1" s="1"/>
  <c r="AD75" i="1"/>
  <c r="AE75" i="1" s="1"/>
  <c r="AI58" i="1"/>
  <c r="AJ58" i="1" s="1"/>
  <c r="AI16" i="1"/>
  <c r="AJ16" i="1" s="1"/>
  <c r="R6" i="2"/>
  <c r="AM8" i="1" s="1"/>
  <c r="AN8" i="1" s="1"/>
  <c r="AI46" i="1"/>
  <c r="AJ46" i="1" s="1"/>
  <c r="AI68" i="1"/>
  <c r="AJ68" i="1" s="1"/>
  <c r="R66" i="2"/>
  <c r="AM68" i="1" s="1"/>
  <c r="AN68" i="1" s="1"/>
  <c r="AS60" i="1"/>
  <c r="AD60" i="1"/>
  <c r="AE60" i="1" s="1"/>
  <c r="W73" i="1"/>
  <c r="AA73" i="1"/>
  <c r="Z73" i="1"/>
  <c r="AC73" i="1" s="1"/>
  <c r="X73" i="1"/>
  <c r="U73" i="1"/>
  <c r="AI64" i="1"/>
  <c r="AJ64" i="1" s="1"/>
  <c r="R62" i="2"/>
  <c r="AM64" i="1" s="1"/>
  <c r="AN64" i="1" s="1"/>
  <c r="R36" i="2"/>
  <c r="AM38" i="1" s="1"/>
  <c r="AN38" i="1" s="1"/>
  <c r="AI38" i="1"/>
  <c r="AJ38" i="1" s="1"/>
  <c r="V60" i="1"/>
  <c r="AG60" i="1"/>
  <c r="R33" i="2"/>
  <c r="AM35" i="1" s="1"/>
  <c r="AN35" i="1" s="1"/>
  <c r="AI18" i="1"/>
  <c r="AJ18" i="1" s="1"/>
  <c r="R8" i="2"/>
  <c r="AM10" i="1" s="1"/>
  <c r="AN10" i="1" s="1"/>
  <c r="F78" i="114"/>
  <c r="R73" i="2"/>
  <c r="AM75" i="1" s="1"/>
  <c r="AN75" i="1" s="1"/>
  <c r="R45" i="2"/>
  <c r="AM47" i="1" s="1"/>
  <c r="AN47" i="1" s="1"/>
  <c r="AI51" i="1"/>
  <c r="AJ51" i="1" s="1"/>
  <c r="R54" i="2"/>
  <c r="AM56" i="1" s="1"/>
  <c r="AN56" i="1" s="1"/>
  <c r="AI56" i="1"/>
  <c r="AJ56" i="1" s="1"/>
  <c r="U29" i="1"/>
  <c r="Z29" i="1"/>
  <c r="AC29" i="1" s="1"/>
  <c r="AA29" i="1"/>
  <c r="X29" i="1"/>
  <c r="W29" i="1"/>
  <c r="W11" i="1"/>
  <c r="Z11" i="1"/>
  <c r="AC11" i="1" s="1"/>
  <c r="X11" i="1"/>
  <c r="AA11" i="1"/>
  <c r="V52" i="1"/>
  <c r="J75" i="2"/>
  <c r="E47" i="81" s="1"/>
  <c r="AI8" i="1"/>
  <c r="AJ8" i="1" s="1"/>
  <c r="R59" i="2"/>
  <c r="AM61" i="1" s="1"/>
  <c r="AN61" i="1" s="1"/>
  <c r="AI61" i="1"/>
  <c r="AJ61" i="1" s="1"/>
  <c r="U11" i="1"/>
  <c r="R71" i="2"/>
  <c r="AM73" i="1" s="1"/>
  <c r="AN73" i="1" s="1"/>
  <c r="AI42" i="1"/>
  <c r="AJ42" i="1" s="1"/>
  <c r="R47" i="2"/>
  <c r="AM49" i="1" s="1"/>
  <c r="AN49" i="1" s="1"/>
  <c r="AI49" i="1"/>
  <c r="AJ49" i="1" s="1"/>
  <c r="R7" i="2"/>
  <c r="AM9" i="1" s="1"/>
  <c r="AN9" i="1" s="1"/>
  <c r="AI9" i="1"/>
  <c r="AJ9" i="1" s="1"/>
  <c r="AI31" i="1"/>
  <c r="AJ31" i="1" s="1"/>
  <c r="R29" i="2"/>
  <c r="AM31" i="1" s="1"/>
  <c r="AN31" i="1" s="1"/>
  <c r="AA52" i="1"/>
  <c r="W52" i="1"/>
  <c r="X52" i="1"/>
  <c r="Z52" i="1"/>
  <c r="AC52" i="1" s="1"/>
  <c r="U45" i="1"/>
  <c r="AA45" i="1"/>
  <c r="X45" i="1"/>
  <c r="W45" i="1"/>
  <c r="Z45" i="1"/>
  <c r="AC45" i="1" s="1"/>
  <c r="AI59" i="1"/>
  <c r="AJ59" i="1" s="1"/>
  <c r="R57" i="2"/>
  <c r="AM59" i="1" s="1"/>
  <c r="AN59" i="1" s="1"/>
  <c r="X31" i="1"/>
  <c r="Z31" i="1"/>
  <c r="AC31" i="1" s="1"/>
  <c r="AA31" i="1"/>
  <c r="W31" i="1"/>
  <c r="U21" i="1"/>
  <c r="W21" i="1"/>
  <c r="Z21" i="1"/>
  <c r="AC21" i="1" s="1"/>
  <c r="X21" i="1"/>
  <c r="AA21" i="1"/>
  <c r="U31" i="1"/>
  <c r="U53" i="1"/>
  <c r="W53" i="1"/>
  <c r="X53" i="1"/>
  <c r="AA53" i="1"/>
  <c r="Z53" i="1"/>
  <c r="AC53" i="1" s="1"/>
  <c r="V61" i="1"/>
  <c r="AA42" i="1"/>
  <c r="X42" i="1"/>
  <c r="U42" i="1"/>
  <c r="W42" i="1"/>
  <c r="Z42" i="1"/>
  <c r="AC42" i="1" s="1"/>
  <c r="V12" i="1"/>
  <c r="U30" i="1"/>
  <c r="X30" i="1"/>
  <c r="Z30" i="1"/>
  <c r="AC30" i="1" s="1"/>
  <c r="AA30" i="1"/>
  <c r="W30" i="1"/>
  <c r="U14" i="1"/>
  <c r="Z14" i="1"/>
  <c r="AC14" i="1" s="1"/>
  <c r="AA14" i="1"/>
  <c r="W14" i="1"/>
  <c r="X14" i="1"/>
  <c r="V9" i="1"/>
  <c r="U39" i="1"/>
  <c r="AA39" i="1"/>
  <c r="Z39" i="1"/>
  <c r="AC39" i="1" s="1"/>
  <c r="X39" i="1"/>
  <c r="W39" i="1"/>
  <c r="U15" i="1"/>
  <c r="W15" i="1"/>
  <c r="Z15" i="1"/>
  <c r="AC15" i="1" s="1"/>
  <c r="AA15" i="1"/>
  <c r="X15" i="1"/>
  <c r="U54" i="1"/>
  <c r="Z54" i="1"/>
  <c r="AC54" i="1" s="1"/>
  <c r="W54" i="1"/>
  <c r="X54" i="1"/>
  <c r="AA54" i="1"/>
  <c r="U18" i="1"/>
  <c r="X18" i="1"/>
  <c r="Z18" i="1"/>
  <c r="AC18" i="1" s="1"/>
  <c r="AA18" i="1"/>
  <c r="W18" i="1"/>
  <c r="AA55" i="1"/>
  <c r="Z55" i="1"/>
  <c r="AC55" i="1" s="1"/>
  <c r="W55" i="1"/>
  <c r="X55" i="1"/>
  <c r="W9" i="1"/>
  <c r="X9" i="1"/>
  <c r="Z9" i="1"/>
  <c r="AC9" i="1" s="1"/>
  <c r="AA9" i="1"/>
  <c r="V67" i="1"/>
  <c r="U28" i="1"/>
  <c r="X28" i="1"/>
  <c r="Z28" i="1"/>
  <c r="AC28" i="1" s="1"/>
  <c r="AA28" i="1"/>
  <c r="W28" i="1"/>
  <c r="X12" i="1"/>
  <c r="AA12" i="1"/>
  <c r="W12" i="1"/>
  <c r="Z12" i="1"/>
  <c r="AC12" i="1" s="1"/>
  <c r="AA66" i="1"/>
  <c r="X66" i="1"/>
  <c r="W66" i="1"/>
  <c r="Z66" i="1"/>
  <c r="AC66" i="1" s="1"/>
  <c r="U50" i="1"/>
  <c r="AA50" i="1"/>
  <c r="X50" i="1"/>
  <c r="Z50" i="1"/>
  <c r="AC50" i="1" s="1"/>
  <c r="W50" i="1"/>
  <c r="AA69" i="1"/>
  <c r="X69" i="1"/>
  <c r="W69" i="1"/>
  <c r="Z69" i="1"/>
  <c r="AC69" i="1" s="1"/>
  <c r="AJ57" i="1"/>
  <c r="U25" i="1"/>
  <c r="X25" i="1"/>
  <c r="Z25" i="1"/>
  <c r="AC25" i="1" s="1"/>
  <c r="AA25" i="1"/>
  <c r="W25" i="1"/>
  <c r="V27" i="1"/>
  <c r="U70" i="1"/>
  <c r="W70" i="1"/>
  <c r="X70" i="1"/>
  <c r="AA70" i="1"/>
  <c r="Z70" i="1"/>
  <c r="AC70" i="1" s="1"/>
  <c r="U19" i="1"/>
  <c r="Z19" i="1"/>
  <c r="AC19" i="1" s="1"/>
  <c r="W19" i="1"/>
  <c r="X19" i="1"/>
  <c r="AA19" i="1"/>
  <c r="U20" i="1"/>
  <c r="W20" i="1"/>
  <c r="AA20" i="1"/>
  <c r="Z20" i="1"/>
  <c r="AC20" i="1" s="1"/>
  <c r="X20" i="1"/>
  <c r="X38" i="1"/>
  <c r="W38" i="1"/>
  <c r="AA38" i="1"/>
  <c r="Z38" i="1"/>
  <c r="AC38" i="1" s="1"/>
  <c r="U41" i="1"/>
  <c r="Z41" i="1"/>
  <c r="AC41" i="1" s="1"/>
  <c r="X41" i="1"/>
  <c r="W41" i="1"/>
  <c r="AA41" i="1"/>
  <c r="V66" i="1"/>
  <c r="W61" i="1"/>
  <c r="X61" i="1"/>
  <c r="AA61" i="1"/>
  <c r="Z61" i="1"/>
  <c r="AC61" i="1" s="1"/>
  <c r="AS65" i="1"/>
  <c r="AD65" i="1"/>
  <c r="AE65" i="1" s="1"/>
  <c r="V58" i="1"/>
  <c r="U17" i="1"/>
  <c r="Z17" i="1"/>
  <c r="AC17" i="1" s="1"/>
  <c r="AA17" i="1"/>
  <c r="W17" i="1"/>
  <c r="X17" i="1"/>
  <c r="W71" i="1"/>
  <c r="AA71" i="1"/>
  <c r="Z71" i="1"/>
  <c r="AC71" i="1" s="1"/>
  <c r="X71" i="1"/>
  <c r="W68" i="1"/>
  <c r="X68" i="1"/>
  <c r="Z68" i="1"/>
  <c r="AC68" i="1" s="1"/>
  <c r="AA68" i="1"/>
  <c r="U22" i="1"/>
  <c r="X22" i="1"/>
  <c r="AA22" i="1"/>
  <c r="W22" i="1"/>
  <c r="Z22" i="1"/>
  <c r="AC22" i="1" s="1"/>
  <c r="X34" i="1"/>
  <c r="U34" i="1"/>
  <c r="Z34" i="1"/>
  <c r="AC34" i="1" s="1"/>
  <c r="AA34" i="1"/>
  <c r="W34" i="1"/>
  <c r="U49" i="1"/>
  <c r="W49" i="1"/>
  <c r="X49" i="1"/>
  <c r="Z49" i="1"/>
  <c r="AC49" i="1" s="1"/>
  <c r="AA49" i="1"/>
  <c r="X40" i="1"/>
  <c r="W40" i="1"/>
  <c r="Z40" i="1"/>
  <c r="AC40" i="1" s="1"/>
  <c r="AA40" i="1"/>
  <c r="U38" i="1"/>
  <c r="U48" i="1"/>
  <c r="X48" i="1"/>
  <c r="W48" i="1"/>
  <c r="AA48" i="1"/>
  <c r="Z48" i="1"/>
  <c r="AC48" i="1" s="1"/>
  <c r="X58" i="1"/>
  <c r="AA58" i="1"/>
  <c r="Z58" i="1"/>
  <c r="AC58" i="1" s="1"/>
  <c r="W58" i="1"/>
  <c r="U10" i="1"/>
  <c r="W10" i="1"/>
  <c r="Z10" i="1"/>
  <c r="AC10" i="1" s="1"/>
  <c r="X10" i="1"/>
  <c r="AA10" i="1"/>
  <c r="U43" i="1"/>
  <c r="X43" i="1"/>
  <c r="Z43" i="1"/>
  <c r="AC43" i="1" s="1"/>
  <c r="W43" i="1"/>
  <c r="AA43" i="1"/>
  <c r="Z67" i="1"/>
  <c r="AC67" i="1" s="1"/>
  <c r="AA67" i="1"/>
  <c r="X67" i="1"/>
  <c r="W67" i="1"/>
  <c r="AA76" i="1"/>
  <c r="X76" i="1"/>
  <c r="W76" i="1"/>
  <c r="U76" i="1"/>
  <c r="Z76" i="1"/>
  <c r="AC76" i="1" s="1"/>
  <c r="U71" i="1"/>
  <c r="Z74" i="1"/>
  <c r="AC74" i="1" s="1"/>
  <c r="X74" i="1"/>
  <c r="AA74" i="1"/>
  <c r="W74" i="1"/>
  <c r="U74" i="1"/>
  <c r="U68" i="1"/>
  <c r="U51" i="1"/>
  <c r="X51" i="1"/>
  <c r="W51" i="1"/>
  <c r="Z51" i="1"/>
  <c r="AC51" i="1" s="1"/>
  <c r="AA51" i="1"/>
  <c r="U32" i="1"/>
  <c r="AA32" i="1"/>
  <c r="X32" i="1"/>
  <c r="W32" i="1"/>
  <c r="Z32" i="1"/>
  <c r="AC32" i="1" s="1"/>
  <c r="U33" i="1"/>
  <c r="W33" i="1"/>
  <c r="X33" i="1"/>
  <c r="Z33" i="1"/>
  <c r="AC33" i="1" s="1"/>
  <c r="AA33" i="1"/>
  <c r="U36" i="1"/>
  <c r="X36" i="1"/>
  <c r="AA36" i="1"/>
  <c r="W36" i="1"/>
  <c r="Z36" i="1"/>
  <c r="AC36" i="1" s="1"/>
  <c r="U44" i="1"/>
  <c r="W44" i="1"/>
  <c r="Z44" i="1"/>
  <c r="AC44" i="1" s="1"/>
  <c r="AA44" i="1"/>
  <c r="X44" i="1"/>
  <c r="U55" i="1"/>
  <c r="X27" i="1"/>
  <c r="W27" i="1"/>
  <c r="AA27" i="1"/>
  <c r="Z27" i="1"/>
  <c r="AC27" i="1" s="1"/>
  <c r="U40" i="1"/>
  <c r="V65" i="1"/>
  <c r="U56" i="1"/>
  <c r="W56" i="1"/>
  <c r="X56" i="1"/>
  <c r="AA56" i="1"/>
  <c r="Z56" i="1"/>
  <c r="AC56" i="1" s="1"/>
  <c r="U69" i="1"/>
  <c r="F77" i="119"/>
  <c r="E21" i="5"/>
  <c r="F21" i="5" s="1"/>
  <c r="F22" i="5" s="1"/>
  <c r="V24" i="1"/>
  <c r="F77" i="113"/>
  <c r="F77" i="117"/>
  <c r="F77" i="118"/>
  <c r="F77" i="120"/>
  <c r="R16" i="1"/>
  <c r="P77" i="1"/>
  <c r="F77" i="116"/>
  <c r="F77" i="115"/>
  <c r="AH59" i="1"/>
  <c r="AF23" i="1"/>
  <c r="AG23" i="1"/>
  <c r="M23" i="67"/>
  <c r="P23" i="67" s="1"/>
  <c r="AT23" i="1"/>
  <c r="AG62" i="1"/>
  <c r="AF62" i="1"/>
  <c r="M13" i="67"/>
  <c r="P13" i="67" s="1"/>
  <c r="AT13" i="1"/>
  <c r="AH64" i="1"/>
  <c r="AF64" i="1"/>
  <c r="AT64" i="1"/>
  <c r="M64" i="67"/>
  <c r="P64" i="67" s="1"/>
  <c r="AG46" i="1"/>
  <c r="AF46" i="1"/>
  <c r="M75" i="67"/>
  <c r="P75" i="67" s="1"/>
  <c r="AT75" i="1"/>
  <c r="AT62" i="1"/>
  <c r="M62" i="67"/>
  <c r="P62" i="67" s="1"/>
  <c r="AK72" i="1"/>
  <c r="AL72" i="1" s="1"/>
  <c r="E10" i="137" s="1"/>
  <c r="AT72" i="1" l="1"/>
  <c r="M46" i="67"/>
  <c r="P46" i="67" s="1"/>
  <c r="Q46" i="67" s="1"/>
  <c r="S46" i="67" s="1"/>
  <c r="AG13" i="1"/>
  <c r="AK13" i="1" s="1"/>
  <c r="AL13" i="1" s="1"/>
  <c r="D13" i="118" s="1"/>
  <c r="AD63" i="1"/>
  <c r="AE63" i="1" s="1"/>
  <c r="AF63" i="1" s="1"/>
  <c r="Q62" i="67"/>
  <c r="S62" i="67" s="1"/>
  <c r="Q13" i="67"/>
  <c r="S13" i="67" s="1"/>
  <c r="Q63" i="67"/>
  <c r="S63" i="67" s="1"/>
  <c r="Q35" i="67"/>
  <c r="S35" i="67" s="1"/>
  <c r="Q75" i="67"/>
  <c r="S75" i="67" s="1"/>
  <c r="Q64" i="67"/>
  <c r="S64" i="67" s="1"/>
  <c r="Q23" i="67"/>
  <c r="S23" i="67" s="1"/>
  <c r="AO72" i="1"/>
  <c r="C72" i="33" s="1"/>
  <c r="AD24" i="1"/>
  <c r="AE24" i="1" s="1"/>
  <c r="AF24" i="1" s="1"/>
  <c r="AK60" i="1"/>
  <c r="AL60" i="1" s="1"/>
  <c r="D60" i="118" s="1"/>
  <c r="E60" i="118" s="1"/>
  <c r="H60" i="118" s="1"/>
  <c r="AH47" i="1"/>
  <c r="AG35" i="1"/>
  <c r="AK35" i="1" s="1"/>
  <c r="AL35" i="1" s="1"/>
  <c r="D35" i="131" s="1"/>
  <c r="E35" i="131" s="1"/>
  <c r="H35" i="131" s="1"/>
  <c r="D47" i="131"/>
  <c r="E47" i="131" s="1"/>
  <c r="H47" i="131" s="1"/>
  <c r="D47" i="129"/>
  <c r="D47" i="114"/>
  <c r="D47" i="119"/>
  <c r="D47" i="125"/>
  <c r="E47" i="125" s="1"/>
  <c r="H47" i="125" s="1"/>
  <c r="AS26" i="1"/>
  <c r="AD26" i="1"/>
  <c r="AE26" i="1" s="1"/>
  <c r="AF35" i="1"/>
  <c r="AK64" i="1"/>
  <c r="AL64" i="1" s="1"/>
  <c r="D64" i="118" s="1"/>
  <c r="E64" i="118" s="1"/>
  <c r="H64" i="118" s="1"/>
  <c r="D47" i="128"/>
  <c r="D47" i="117"/>
  <c r="D45" i="76"/>
  <c r="D47" i="120"/>
  <c r="E47" i="120" s="1"/>
  <c r="H47" i="120" s="1"/>
  <c r="V37" i="1"/>
  <c r="D47" i="127"/>
  <c r="D47" i="116"/>
  <c r="D47" i="115"/>
  <c r="E47" i="115" s="1"/>
  <c r="H47" i="115" s="1"/>
  <c r="D45" i="80"/>
  <c r="E45" i="80" s="1"/>
  <c r="H45" i="80" s="1"/>
  <c r="D47" i="113"/>
  <c r="D47" i="126"/>
  <c r="E47" i="126" s="1"/>
  <c r="H47" i="126" s="1"/>
  <c r="D47" i="118"/>
  <c r="E47" i="118" s="1"/>
  <c r="H47" i="118" s="1"/>
  <c r="AD37" i="1"/>
  <c r="AE37" i="1" s="1"/>
  <c r="AS37" i="1"/>
  <c r="AO60" i="1"/>
  <c r="AP60" i="1" s="1"/>
  <c r="AG75" i="1"/>
  <c r="AK75" i="1" s="1"/>
  <c r="AL75" i="1" s="1"/>
  <c r="AF75" i="1"/>
  <c r="AT59" i="1"/>
  <c r="M59" i="67"/>
  <c r="P59" i="67" s="1"/>
  <c r="AS57" i="1"/>
  <c r="AD57" i="1"/>
  <c r="AE57" i="1" s="1"/>
  <c r="AO47" i="1"/>
  <c r="AW47" i="1" s="1"/>
  <c r="AV47" i="1" s="1"/>
  <c r="AH60" i="1"/>
  <c r="AS73" i="1"/>
  <c r="AD73" i="1"/>
  <c r="AE73" i="1" s="1"/>
  <c r="M60" i="67"/>
  <c r="P60" i="67" s="1"/>
  <c r="AT60" i="1"/>
  <c r="AO64" i="1"/>
  <c r="AP64" i="1" s="1"/>
  <c r="AD29" i="1"/>
  <c r="AE29" i="1" s="1"/>
  <c r="V29" i="1"/>
  <c r="AF60" i="1"/>
  <c r="AS29" i="1"/>
  <c r="AK59" i="1"/>
  <c r="AL59" i="1" s="1"/>
  <c r="D59" i="114" s="1"/>
  <c r="AO59" i="1"/>
  <c r="C59" i="33" s="1"/>
  <c r="V73" i="1"/>
  <c r="E43" i="81"/>
  <c r="G47" i="81"/>
  <c r="H47" i="81"/>
  <c r="AD21" i="1"/>
  <c r="AE21" i="1" s="1"/>
  <c r="AS21" i="1"/>
  <c r="BA59" i="1"/>
  <c r="R75" i="2"/>
  <c r="AM87" i="1" s="1"/>
  <c r="AI77" i="1"/>
  <c r="AJ77" i="1" s="1"/>
  <c r="V31" i="1"/>
  <c r="AS11" i="1"/>
  <c r="AD11" i="1"/>
  <c r="AE11" i="1" s="1"/>
  <c r="AS52" i="1"/>
  <c r="AD52" i="1"/>
  <c r="AE52" i="1" s="1"/>
  <c r="AF52" i="1" s="1"/>
  <c r="V11" i="1"/>
  <c r="AS53" i="1"/>
  <c r="AD53" i="1"/>
  <c r="AE53" i="1" s="1"/>
  <c r="V53" i="1"/>
  <c r="AM77" i="1"/>
  <c r="AN77" i="1" s="1"/>
  <c r="V21" i="1"/>
  <c r="AD31" i="1"/>
  <c r="AE31" i="1" s="1"/>
  <c r="AS31" i="1"/>
  <c r="AD45" i="1"/>
  <c r="AE45" i="1" s="1"/>
  <c r="AS45" i="1"/>
  <c r="V45" i="1"/>
  <c r="AD36" i="1"/>
  <c r="AE36" i="1" s="1"/>
  <c r="AF36" i="1" s="1"/>
  <c r="AS36" i="1"/>
  <c r="V68" i="1"/>
  <c r="V49" i="1"/>
  <c r="V34" i="1"/>
  <c r="V22" i="1"/>
  <c r="AD17" i="1"/>
  <c r="AE17" i="1" s="1"/>
  <c r="AS17" i="1"/>
  <c r="V41" i="1"/>
  <c r="AS25" i="1"/>
  <c r="AD25" i="1"/>
  <c r="AE25" i="1" s="1"/>
  <c r="AF25" i="1" s="1"/>
  <c r="V18" i="1"/>
  <c r="AD15" i="1"/>
  <c r="AE15" i="1" s="1"/>
  <c r="AS15" i="1"/>
  <c r="V30" i="1"/>
  <c r="V40" i="1"/>
  <c r="V33" i="1"/>
  <c r="V74" i="1"/>
  <c r="AS40" i="1"/>
  <c r="AD40" i="1"/>
  <c r="AE40" i="1" s="1"/>
  <c r="V17" i="1"/>
  <c r="AS38" i="1"/>
  <c r="AD38" i="1"/>
  <c r="AE38" i="1" s="1"/>
  <c r="V20" i="1"/>
  <c r="V50" i="1"/>
  <c r="AD9" i="1"/>
  <c r="AE9" i="1" s="1"/>
  <c r="AS9" i="1"/>
  <c r="V54" i="1"/>
  <c r="AS39" i="1"/>
  <c r="AD39" i="1"/>
  <c r="AE39" i="1" s="1"/>
  <c r="AG39" i="1" s="1"/>
  <c r="AD56" i="1"/>
  <c r="AE56" i="1" s="1"/>
  <c r="AG56" i="1" s="1"/>
  <c r="AS56" i="1"/>
  <c r="V56" i="1"/>
  <c r="AS27" i="1"/>
  <c r="AD27" i="1"/>
  <c r="AE27" i="1" s="1"/>
  <c r="AF27" i="1" s="1"/>
  <c r="V55" i="1"/>
  <c r="AD33" i="1"/>
  <c r="AE33" i="1" s="1"/>
  <c r="AS33" i="1"/>
  <c r="AD32" i="1"/>
  <c r="AE32" i="1" s="1"/>
  <c r="AG32" i="1" s="1"/>
  <c r="AS32" i="1"/>
  <c r="V32" i="1"/>
  <c r="V71" i="1"/>
  <c r="AS43" i="1"/>
  <c r="AD43" i="1"/>
  <c r="AE43" i="1" s="1"/>
  <c r="AG43" i="1" s="1"/>
  <c r="AD48" i="1"/>
  <c r="AE48" i="1" s="1"/>
  <c r="AS48" i="1"/>
  <c r="V48" i="1"/>
  <c r="AS68" i="1"/>
  <c r="AD68" i="1"/>
  <c r="AE68" i="1" s="1"/>
  <c r="AS71" i="1"/>
  <c r="AD71" i="1"/>
  <c r="AE71" i="1" s="1"/>
  <c r="AG71" i="1" s="1"/>
  <c r="AS61" i="1"/>
  <c r="AD61" i="1"/>
  <c r="AE61" i="1" s="1"/>
  <c r="AD20" i="1"/>
  <c r="AE20" i="1" s="1"/>
  <c r="AS20" i="1"/>
  <c r="V19" i="1"/>
  <c r="V25" i="1"/>
  <c r="AD50" i="1"/>
  <c r="AE50" i="1" s="1"/>
  <c r="AG50" i="1" s="1"/>
  <c r="AS50" i="1"/>
  <c r="AD66" i="1"/>
  <c r="AE66" i="1" s="1"/>
  <c r="AS66" i="1"/>
  <c r="AD12" i="1"/>
  <c r="AE12" i="1" s="1"/>
  <c r="AF12" i="1" s="1"/>
  <c r="AS12" i="1"/>
  <c r="V28" i="1"/>
  <c r="AD55" i="1"/>
  <c r="AE55" i="1" s="1"/>
  <c r="AS55" i="1"/>
  <c r="AS18" i="1"/>
  <c r="AD18" i="1"/>
  <c r="AE18" i="1" s="1"/>
  <c r="V15" i="1"/>
  <c r="AD14" i="1"/>
  <c r="AE14" i="1" s="1"/>
  <c r="AS14" i="1"/>
  <c r="AD30" i="1"/>
  <c r="AE30" i="1" s="1"/>
  <c r="AS30" i="1"/>
  <c r="V42" i="1"/>
  <c r="V36" i="1"/>
  <c r="AD51" i="1"/>
  <c r="AE51" i="1" s="1"/>
  <c r="AS51" i="1"/>
  <c r="V76" i="1"/>
  <c r="V43" i="1"/>
  <c r="AD22" i="1"/>
  <c r="AE22" i="1" s="1"/>
  <c r="AS22" i="1"/>
  <c r="AF65" i="1"/>
  <c r="AG65" i="1"/>
  <c r="AS28" i="1"/>
  <c r="AD28" i="1"/>
  <c r="AE28" i="1" s="1"/>
  <c r="AS54" i="1"/>
  <c r="AD54" i="1"/>
  <c r="AE54" i="1" s="1"/>
  <c r="AG54" i="1" s="1"/>
  <c r="AO54" i="1" s="1"/>
  <c r="AS42" i="1"/>
  <c r="AD42" i="1"/>
  <c r="AE42" i="1" s="1"/>
  <c r="V69" i="1"/>
  <c r="AD44" i="1"/>
  <c r="AE44" i="1" s="1"/>
  <c r="AS44" i="1"/>
  <c r="AS74" i="1"/>
  <c r="AD74" i="1"/>
  <c r="AE74" i="1" s="1"/>
  <c r="V10" i="1"/>
  <c r="AD49" i="1"/>
  <c r="AE49" i="1" s="1"/>
  <c r="AS49" i="1"/>
  <c r="M65" i="67"/>
  <c r="P65" i="67" s="1"/>
  <c r="AT65" i="1"/>
  <c r="AS19" i="1"/>
  <c r="AD19" i="1"/>
  <c r="AE19" i="1" s="1"/>
  <c r="AD69" i="1"/>
  <c r="AE69" i="1" s="1"/>
  <c r="AS69" i="1"/>
  <c r="V44" i="1"/>
  <c r="V51" i="1"/>
  <c r="AS76" i="1"/>
  <c r="AD76" i="1"/>
  <c r="AE76" i="1" s="1"/>
  <c r="AD67" i="1"/>
  <c r="AE67" i="1" s="1"/>
  <c r="AS67" i="1"/>
  <c r="AS10" i="1"/>
  <c r="AD10" i="1"/>
  <c r="AE10" i="1" s="1"/>
  <c r="AD58" i="1"/>
  <c r="AE58" i="1" s="1"/>
  <c r="AS58" i="1"/>
  <c r="V38" i="1"/>
  <c r="AD34" i="1"/>
  <c r="AE34" i="1" s="1"/>
  <c r="AS34" i="1"/>
  <c r="AD41" i="1"/>
  <c r="AE41" i="1" s="1"/>
  <c r="AG41" i="1" s="1"/>
  <c r="AS41" i="1"/>
  <c r="AD70" i="1"/>
  <c r="AE70" i="1" s="1"/>
  <c r="AG70" i="1" s="1"/>
  <c r="AS70" i="1"/>
  <c r="V70" i="1"/>
  <c r="V39" i="1"/>
  <c r="V14" i="1"/>
  <c r="M24" i="67"/>
  <c r="P24" i="67" s="1"/>
  <c r="AT24" i="1"/>
  <c r="AB16" i="1"/>
  <c r="AB77" i="1" s="1"/>
  <c r="T16" i="1"/>
  <c r="R77" i="1"/>
  <c r="H10" i="137"/>
  <c r="AK23" i="1"/>
  <c r="AL23" i="1" s="1"/>
  <c r="AO23" i="1"/>
  <c r="AH23" i="1"/>
  <c r="AH62" i="1"/>
  <c r="AK62" i="1"/>
  <c r="AL62" i="1" s="1"/>
  <c r="AO62" i="1"/>
  <c r="AO46" i="1"/>
  <c r="AH46" i="1"/>
  <c r="AK46" i="1"/>
  <c r="AL46" i="1" s="1"/>
  <c r="D72" i="129"/>
  <c r="D70" i="80"/>
  <c r="E70" i="80" s="1"/>
  <c r="H70" i="80" s="1"/>
  <c r="D72" i="115"/>
  <c r="E72" i="115" s="1"/>
  <c r="H72" i="115" s="1"/>
  <c r="D72" i="127"/>
  <c r="D72" i="126"/>
  <c r="E72" i="126" s="1"/>
  <c r="H72" i="126" s="1"/>
  <c r="D72" i="119"/>
  <c r="D72" i="113"/>
  <c r="D72" i="118"/>
  <c r="E72" i="118" s="1"/>
  <c r="H72" i="118" s="1"/>
  <c r="D72" i="131"/>
  <c r="E72" i="131" s="1"/>
  <c r="H72" i="131" s="1"/>
  <c r="D70" i="76"/>
  <c r="D72" i="125"/>
  <c r="E72" i="125" s="1"/>
  <c r="H72" i="125" s="1"/>
  <c r="D72" i="116"/>
  <c r="D72" i="128"/>
  <c r="D72" i="120"/>
  <c r="E72" i="120" s="1"/>
  <c r="H72" i="120" s="1"/>
  <c r="D72" i="114"/>
  <c r="D72" i="117"/>
  <c r="AS8" i="1"/>
  <c r="AD8" i="1"/>
  <c r="BA72" i="1" l="1"/>
  <c r="AO13" i="1"/>
  <c r="AW72" i="1"/>
  <c r="AV72" i="1" s="1"/>
  <c r="AH13" i="1"/>
  <c r="AP72" i="1"/>
  <c r="AG63" i="1"/>
  <c r="AH63" i="1" s="1"/>
  <c r="Q24" i="67"/>
  <c r="S24" i="67" s="1"/>
  <c r="Q65" i="67"/>
  <c r="S65" i="67" s="1"/>
  <c r="Q59" i="67"/>
  <c r="S59" i="67" s="1"/>
  <c r="Q60" i="67"/>
  <c r="S60" i="67" s="1"/>
  <c r="E47" i="129"/>
  <c r="H47" i="129" s="1"/>
  <c r="E72" i="129"/>
  <c r="H72" i="129" s="1"/>
  <c r="E72" i="114"/>
  <c r="H72" i="114" s="1"/>
  <c r="E72" i="128"/>
  <c r="H72" i="128" s="1"/>
  <c r="E47" i="128"/>
  <c r="H47" i="128" s="1"/>
  <c r="E47" i="119"/>
  <c r="H47" i="119" s="1"/>
  <c r="E72" i="119"/>
  <c r="H72" i="119" s="1"/>
  <c r="E59" i="114"/>
  <c r="H59" i="114" s="1"/>
  <c r="E47" i="114"/>
  <c r="H47" i="114" s="1"/>
  <c r="E45" i="76"/>
  <c r="H45" i="76" s="1"/>
  <c r="E70" i="76"/>
  <c r="H70" i="76" s="1"/>
  <c r="E72" i="127"/>
  <c r="H72" i="127" s="1"/>
  <c r="E47" i="127"/>
  <c r="H47" i="127" s="1"/>
  <c r="E72" i="117"/>
  <c r="H72" i="117" s="1"/>
  <c r="E47" i="117"/>
  <c r="H47" i="117" s="1"/>
  <c r="E72" i="116"/>
  <c r="H72" i="116" s="1"/>
  <c r="E47" i="116"/>
  <c r="H47" i="116" s="1"/>
  <c r="E72" i="113"/>
  <c r="H72" i="113" s="1"/>
  <c r="E47" i="113"/>
  <c r="H47" i="113" s="1"/>
  <c r="D33" i="80"/>
  <c r="E33" i="80" s="1"/>
  <c r="H33" i="80" s="1"/>
  <c r="D35" i="127"/>
  <c r="D35" i="126"/>
  <c r="E35" i="126" s="1"/>
  <c r="H35" i="126" s="1"/>
  <c r="D35" i="129"/>
  <c r="D35" i="119"/>
  <c r="D35" i="117"/>
  <c r="AG24" i="1"/>
  <c r="AH24" i="1" s="1"/>
  <c r="D35" i="115"/>
  <c r="E35" i="115" s="1"/>
  <c r="H35" i="115" s="1"/>
  <c r="D35" i="125"/>
  <c r="E35" i="125" s="1"/>
  <c r="H35" i="125" s="1"/>
  <c r="D60" i="119"/>
  <c r="D60" i="129"/>
  <c r="D58" i="80"/>
  <c r="E58" i="80" s="1"/>
  <c r="H58" i="80" s="1"/>
  <c r="D60" i="116"/>
  <c r="D60" i="113"/>
  <c r="D60" i="115"/>
  <c r="E60" i="115" s="1"/>
  <c r="H60" i="115" s="1"/>
  <c r="D64" i="120"/>
  <c r="E64" i="120" s="1"/>
  <c r="H64" i="120" s="1"/>
  <c r="D60" i="126"/>
  <c r="E60" i="126" s="1"/>
  <c r="H60" i="126" s="1"/>
  <c r="D60" i="114"/>
  <c r="D64" i="125"/>
  <c r="E64" i="125" s="1"/>
  <c r="H64" i="125" s="1"/>
  <c r="D60" i="128"/>
  <c r="D60" i="117"/>
  <c r="D60" i="120"/>
  <c r="E60" i="120" s="1"/>
  <c r="H60" i="120" s="1"/>
  <c r="D60" i="125"/>
  <c r="E60" i="125" s="1"/>
  <c r="H60" i="125" s="1"/>
  <c r="D64" i="113"/>
  <c r="D60" i="127"/>
  <c r="D58" i="76"/>
  <c r="D60" i="131"/>
  <c r="E60" i="131" s="1"/>
  <c r="H60" i="131" s="1"/>
  <c r="D64" i="131"/>
  <c r="E64" i="131" s="1"/>
  <c r="H64" i="131" s="1"/>
  <c r="I45" i="80"/>
  <c r="D64" i="128"/>
  <c r="D33" i="76"/>
  <c r="D64" i="114"/>
  <c r="AH35" i="1"/>
  <c r="D62" i="76"/>
  <c r="D64" i="119"/>
  <c r="D64" i="115"/>
  <c r="E64" i="115" s="1"/>
  <c r="H64" i="115" s="1"/>
  <c r="D35" i="113"/>
  <c r="D35" i="120"/>
  <c r="E35" i="120" s="1"/>
  <c r="H35" i="120" s="1"/>
  <c r="D35" i="128"/>
  <c r="D64" i="126"/>
  <c r="E64" i="126" s="1"/>
  <c r="H64" i="126" s="1"/>
  <c r="D64" i="116"/>
  <c r="D64" i="129"/>
  <c r="D35" i="118"/>
  <c r="E35" i="118" s="1"/>
  <c r="H35" i="118" s="1"/>
  <c r="D35" i="114"/>
  <c r="D35" i="116"/>
  <c r="D62" i="80"/>
  <c r="E62" i="80" s="1"/>
  <c r="H62" i="80" s="1"/>
  <c r="D64" i="127"/>
  <c r="D64" i="117"/>
  <c r="AO75" i="1"/>
  <c r="AP75" i="1" s="1"/>
  <c r="AO35" i="1"/>
  <c r="AP35" i="1" s="1"/>
  <c r="D35" i="67" s="1"/>
  <c r="E35" i="67" s="1"/>
  <c r="F35" i="67" s="1"/>
  <c r="G35" i="67" s="1"/>
  <c r="I35" i="67" s="1"/>
  <c r="AG26" i="1"/>
  <c r="AT26" i="1"/>
  <c r="M26" i="67"/>
  <c r="P26" i="67" s="1"/>
  <c r="AF26" i="1"/>
  <c r="I45" i="76"/>
  <c r="AH75" i="1"/>
  <c r="AG14" i="1"/>
  <c r="AO14" i="1" s="1"/>
  <c r="C60" i="33"/>
  <c r="AW64" i="1"/>
  <c r="AQ64" i="1" s="1"/>
  <c r="AW60" i="1"/>
  <c r="AV60" i="1" s="1"/>
  <c r="AT37" i="1"/>
  <c r="M37" i="67"/>
  <c r="P37" i="67" s="1"/>
  <c r="D59" i="117"/>
  <c r="AF37" i="1"/>
  <c r="BA60" i="1"/>
  <c r="AG37" i="1"/>
  <c r="AQ47" i="1"/>
  <c r="AX47" i="1"/>
  <c r="BA47" i="1"/>
  <c r="D59" i="118"/>
  <c r="E59" i="118" s="1"/>
  <c r="H59" i="118" s="1"/>
  <c r="C47" i="33"/>
  <c r="D57" i="80"/>
  <c r="E57" i="80" s="1"/>
  <c r="H57" i="80" s="1"/>
  <c r="D59" i="127"/>
  <c r="AP47" i="1"/>
  <c r="D47" i="67" s="1"/>
  <c r="E47" i="67" s="1"/>
  <c r="F47" i="67" s="1"/>
  <c r="G47" i="67" s="1"/>
  <c r="I47" i="67" s="1"/>
  <c r="AG57" i="1"/>
  <c r="BA64" i="1"/>
  <c r="C64" i="33"/>
  <c r="D59" i="115"/>
  <c r="E59" i="115" s="1"/>
  <c r="H59" i="115" s="1"/>
  <c r="D57" i="76"/>
  <c r="AG40" i="1"/>
  <c r="AH40" i="1" s="1"/>
  <c r="AF53" i="1"/>
  <c r="AT57" i="1"/>
  <c r="M57" i="67"/>
  <c r="P57" i="67" s="1"/>
  <c r="D59" i="119"/>
  <c r="D59" i="113"/>
  <c r="AF57" i="1"/>
  <c r="AP59" i="1"/>
  <c r="AW59" i="1"/>
  <c r="AG73" i="1"/>
  <c r="AF73" i="1"/>
  <c r="D59" i="116"/>
  <c r="D59" i="128"/>
  <c r="D59" i="126"/>
  <c r="E59" i="126" s="1"/>
  <c r="H59" i="126" s="1"/>
  <c r="D59" i="120"/>
  <c r="E59" i="120" s="1"/>
  <c r="H59" i="120" s="1"/>
  <c r="AF40" i="1"/>
  <c r="AF29" i="1"/>
  <c r="AG29" i="1"/>
  <c r="M73" i="67"/>
  <c r="P73" i="67" s="1"/>
  <c r="AT73" i="1"/>
  <c r="D59" i="125"/>
  <c r="E59" i="125" s="1"/>
  <c r="H59" i="125" s="1"/>
  <c r="D59" i="129"/>
  <c r="D59" i="131"/>
  <c r="E59" i="131" s="1"/>
  <c r="H59" i="131" s="1"/>
  <c r="M29" i="67"/>
  <c r="P29" i="67" s="1"/>
  <c r="AT29" i="1"/>
  <c r="AP54" i="1"/>
  <c r="BA54" i="1"/>
  <c r="C54" i="33"/>
  <c r="AW54" i="1"/>
  <c r="AQ54" i="1" s="1"/>
  <c r="AO43" i="1"/>
  <c r="BA43" i="1" s="1"/>
  <c r="AK43" i="1"/>
  <c r="AL43" i="1" s="1"/>
  <c r="E18" i="137" s="1"/>
  <c r="H18" i="137" s="1"/>
  <c r="AH43" i="1"/>
  <c r="M52" i="67"/>
  <c r="P52" i="67" s="1"/>
  <c r="AT52" i="1"/>
  <c r="AG28" i="1"/>
  <c r="AH28" i="1" s="1"/>
  <c r="M45" i="67"/>
  <c r="P45" i="67" s="1"/>
  <c r="AT45" i="1"/>
  <c r="AF11" i="1"/>
  <c r="AG15" i="1"/>
  <c r="AH15" i="1" s="1"/>
  <c r="AF15" i="1"/>
  <c r="AF45" i="1"/>
  <c r="AG45" i="1"/>
  <c r="AT53" i="1"/>
  <c r="M53" i="67"/>
  <c r="P53" i="67" s="1"/>
  <c r="AT11" i="1"/>
  <c r="M11" i="67"/>
  <c r="P11" i="67" s="1"/>
  <c r="AT21" i="1"/>
  <c r="M21" i="67"/>
  <c r="P21" i="67" s="1"/>
  <c r="H43" i="81"/>
  <c r="E39" i="81"/>
  <c r="G43" i="81"/>
  <c r="M31" i="67"/>
  <c r="P31" i="67" s="1"/>
  <c r="AT31" i="1"/>
  <c r="AG53" i="1"/>
  <c r="AF28" i="1"/>
  <c r="AF14" i="1"/>
  <c r="AF20" i="1"/>
  <c r="AG20" i="1"/>
  <c r="AH20" i="1" s="1"/>
  <c r="AF31" i="1"/>
  <c r="AG52" i="1"/>
  <c r="AG31" i="1"/>
  <c r="AG21" i="1"/>
  <c r="AF21" i="1"/>
  <c r="AG11" i="1"/>
  <c r="AO41" i="1"/>
  <c r="AH41" i="1"/>
  <c r="AK41" i="1"/>
  <c r="AL41" i="1" s="1"/>
  <c r="M69" i="67"/>
  <c r="P69" i="67" s="1"/>
  <c r="AT69" i="1"/>
  <c r="AT44" i="1"/>
  <c r="M44" i="67"/>
  <c r="P44" i="67" s="1"/>
  <c r="AG55" i="1"/>
  <c r="AF55" i="1"/>
  <c r="AG66" i="1"/>
  <c r="AF66" i="1"/>
  <c r="AG9" i="1"/>
  <c r="AF9" i="1"/>
  <c r="AG38" i="1"/>
  <c r="AF17" i="1"/>
  <c r="AG17" i="1"/>
  <c r="M70" i="67"/>
  <c r="P70" i="67" s="1"/>
  <c r="AT70" i="1"/>
  <c r="M34" i="67"/>
  <c r="P34" i="67" s="1"/>
  <c r="AT34" i="1"/>
  <c r="M67" i="67"/>
  <c r="P67" i="67" s="1"/>
  <c r="AT67" i="1"/>
  <c r="AG18" i="1"/>
  <c r="AF18" i="1"/>
  <c r="AT12" i="1"/>
  <c r="M12" i="67"/>
  <c r="P12" i="67" s="1"/>
  <c r="M27" i="67"/>
  <c r="P27" i="67" s="1"/>
  <c r="AT27" i="1"/>
  <c r="M56" i="67"/>
  <c r="P56" i="67" s="1"/>
  <c r="AT56" i="1"/>
  <c r="AK54" i="1"/>
  <c r="AL54" i="1" s="1"/>
  <c r="D52" i="80" s="1"/>
  <c r="E52" i="80" s="1"/>
  <c r="H52" i="80" s="1"/>
  <c r="AH54" i="1"/>
  <c r="AO70" i="1"/>
  <c r="AH70" i="1"/>
  <c r="AK70" i="1"/>
  <c r="AL70" i="1" s="1"/>
  <c r="AF70" i="1"/>
  <c r="AG58" i="1"/>
  <c r="AF58" i="1"/>
  <c r="AG67" i="1"/>
  <c r="AF67" i="1"/>
  <c r="AT54" i="1"/>
  <c r="M54" i="67"/>
  <c r="P54" i="67" s="1"/>
  <c r="AO65" i="1"/>
  <c r="AH65" i="1"/>
  <c r="AK65" i="1"/>
  <c r="AL65" i="1" s="1"/>
  <c r="AG22" i="1"/>
  <c r="AF22" i="1"/>
  <c r="AF30" i="1"/>
  <c r="AG30" i="1"/>
  <c r="M18" i="67"/>
  <c r="P18" i="67" s="1"/>
  <c r="AT18" i="1"/>
  <c r="AG61" i="1"/>
  <c r="AF61" i="1"/>
  <c r="AF68" i="1"/>
  <c r="M43" i="67"/>
  <c r="P43" i="67" s="1"/>
  <c r="AT43" i="1"/>
  <c r="AO32" i="1"/>
  <c r="AK32" i="1"/>
  <c r="AL32" i="1" s="1"/>
  <c r="AH32" i="1"/>
  <c r="AF32" i="1"/>
  <c r="AH56" i="1"/>
  <c r="AK56" i="1"/>
  <c r="AL56" i="1" s="1"/>
  <c r="AO56" i="1"/>
  <c r="AF56" i="1"/>
  <c r="AT40" i="1"/>
  <c r="M40" i="67"/>
  <c r="P40" i="67" s="1"/>
  <c r="AT15" i="1"/>
  <c r="M15" i="67"/>
  <c r="P15" i="67" s="1"/>
  <c r="AT36" i="1"/>
  <c r="M36" i="67"/>
  <c r="P36" i="67" s="1"/>
  <c r="AF41" i="1"/>
  <c r="AT20" i="1"/>
  <c r="M20" i="67"/>
  <c r="P20" i="67" s="1"/>
  <c r="M39" i="67"/>
  <c r="P39" i="67" s="1"/>
  <c r="AT39" i="1"/>
  <c r="AK39" i="1"/>
  <c r="AL39" i="1" s="1"/>
  <c r="AH39" i="1"/>
  <c r="AO39" i="1"/>
  <c r="AF10" i="1"/>
  <c r="AG10" i="1"/>
  <c r="AT19" i="1"/>
  <c r="M19" i="67"/>
  <c r="P19" i="67" s="1"/>
  <c r="AF49" i="1"/>
  <c r="AG49" i="1"/>
  <c r="AT74" i="1"/>
  <c r="M74" i="67"/>
  <c r="P74" i="67" s="1"/>
  <c r="AG42" i="1"/>
  <c r="AF42" i="1"/>
  <c r="AT51" i="1"/>
  <c r="M51" i="67"/>
  <c r="P51" i="67" s="1"/>
  <c r="AT66" i="1"/>
  <c r="M66" i="67"/>
  <c r="P66" i="67" s="1"/>
  <c r="AT61" i="1"/>
  <c r="M61" i="67"/>
  <c r="P61" i="67" s="1"/>
  <c r="M48" i="67"/>
  <c r="P48" i="67" s="1"/>
  <c r="AT48" i="1"/>
  <c r="AK71" i="1"/>
  <c r="AL71" i="1" s="1"/>
  <c r="AH71" i="1"/>
  <c r="AO71" i="1"/>
  <c r="AT33" i="1"/>
  <c r="M33" i="67"/>
  <c r="P33" i="67" s="1"/>
  <c r="AT9" i="1"/>
  <c r="M9" i="67"/>
  <c r="P9" i="67" s="1"/>
  <c r="AF38" i="1"/>
  <c r="M17" i="67"/>
  <c r="P17" i="67" s="1"/>
  <c r="AT17" i="1"/>
  <c r="AG68" i="1"/>
  <c r="AG36" i="1"/>
  <c r="AG34" i="1"/>
  <c r="AF34" i="1"/>
  <c r="AT10" i="1"/>
  <c r="M10" i="67"/>
  <c r="P10" i="67" s="1"/>
  <c r="AG76" i="1"/>
  <c r="AF76" i="1"/>
  <c r="AF69" i="1"/>
  <c r="AF44" i="1"/>
  <c r="AG44" i="1"/>
  <c r="AT42" i="1"/>
  <c r="M42" i="67"/>
  <c r="P42" i="67" s="1"/>
  <c r="AF51" i="1"/>
  <c r="AG51" i="1"/>
  <c r="AT14" i="1"/>
  <c r="M14" i="67"/>
  <c r="P14" i="67" s="1"/>
  <c r="M55" i="67"/>
  <c r="P55" i="67" s="1"/>
  <c r="AT55" i="1"/>
  <c r="AG12" i="1"/>
  <c r="M50" i="67"/>
  <c r="P50" i="67" s="1"/>
  <c r="AT50" i="1"/>
  <c r="AF71" i="1"/>
  <c r="M68" i="67"/>
  <c r="P68" i="67" s="1"/>
  <c r="AT68" i="1"/>
  <c r="AF48" i="1"/>
  <c r="AG48" i="1"/>
  <c r="AF33" i="1"/>
  <c r="AG74" i="1"/>
  <c r="AO50" i="1"/>
  <c r="AK50" i="1"/>
  <c r="AL50" i="1" s="1"/>
  <c r="AH50" i="1"/>
  <c r="AT38" i="1"/>
  <c r="M38" i="67"/>
  <c r="P38" i="67" s="1"/>
  <c r="AG25" i="1"/>
  <c r="AF74" i="1"/>
  <c r="M41" i="67"/>
  <c r="P41" i="67" s="1"/>
  <c r="AT41" i="1"/>
  <c r="M58" i="67"/>
  <c r="P58" i="67" s="1"/>
  <c r="AT58" i="1"/>
  <c r="AT76" i="1"/>
  <c r="M76" i="67"/>
  <c r="P76" i="67" s="1"/>
  <c r="AG69" i="1"/>
  <c r="AG19" i="1"/>
  <c r="AF19" i="1"/>
  <c r="M49" i="67"/>
  <c r="P49" i="67" s="1"/>
  <c r="AT49" i="1"/>
  <c r="AF54" i="1"/>
  <c r="AT28" i="1"/>
  <c r="M28" i="67"/>
  <c r="P28" i="67" s="1"/>
  <c r="AT22" i="1"/>
  <c r="M22" i="67"/>
  <c r="P22" i="67" s="1"/>
  <c r="AT30" i="1"/>
  <c r="M30" i="67"/>
  <c r="P30" i="67" s="1"/>
  <c r="AF50" i="1"/>
  <c r="AT71" i="1"/>
  <c r="M71" i="67"/>
  <c r="P71" i="67" s="1"/>
  <c r="AF43" i="1"/>
  <c r="M32" i="67"/>
  <c r="P32" i="67" s="1"/>
  <c r="AT32" i="1"/>
  <c r="AG27" i="1"/>
  <c r="AF39" i="1"/>
  <c r="AG33" i="1"/>
  <c r="M25" i="67"/>
  <c r="P25" i="67" s="1"/>
  <c r="AT25" i="1"/>
  <c r="I70" i="80"/>
  <c r="U16" i="1"/>
  <c r="X16" i="1"/>
  <c r="Z16" i="1"/>
  <c r="W16" i="1"/>
  <c r="AA16" i="1"/>
  <c r="AA77" i="1" s="1"/>
  <c r="T77" i="1"/>
  <c r="E25" i="81"/>
  <c r="R79" i="1"/>
  <c r="U79" i="1" s="1"/>
  <c r="C23" i="33"/>
  <c r="AP23" i="1"/>
  <c r="BA23" i="1"/>
  <c r="AW23" i="1"/>
  <c r="D23" i="116"/>
  <c r="D23" i="115"/>
  <c r="E23" i="115" s="1"/>
  <c r="H23" i="115" s="1"/>
  <c r="D21" i="76"/>
  <c r="D23" i="128"/>
  <c r="D23" i="127"/>
  <c r="D23" i="113"/>
  <c r="D23" i="117"/>
  <c r="D23" i="120"/>
  <c r="E23" i="120" s="1"/>
  <c r="H23" i="120" s="1"/>
  <c r="D23" i="119"/>
  <c r="D23" i="118"/>
  <c r="E23" i="118" s="1"/>
  <c r="H23" i="118" s="1"/>
  <c r="D23" i="126"/>
  <c r="E23" i="126" s="1"/>
  <c r="H23" i="126" s="1"/>
  <c r="D21" i="80"/>
  <c r="E21" i="80" s="1"/>
  <c r="H21" i="80" s="1"/>
  <c r="D23" i="125"/>
  <c r="E23" i="125" s="1"/>
  <c r="H23" i="125" s="1"/>
  <c r="D23" i="114"/>
  <c r="D23" i="129"/>
  <c r="D23" i="131"/>
  <c r="E23" i="131" s="1"/>
  <c r="H23" i="131" s="1"/>
  <c r="D62" i="120"/>
  <c r="E62" i="120" s="1"/>
  <c r="H62" i="120" s="1"/>
  <c r="D62" i="117"/>
  <c r="D62" i="119"/>
  <c r="D62" i="113"/>
  <c r="D62" i="114"/>
  <c r="D62" i="115"/>
  <c r="E62" i="115" s="1"/>
  <c r="H62" i="115" s="1"/>
  <c r="D62" i="128"/>
  <c r="D62" i="116"/>
  <c r="D62" i="125"/>
  <c r="E62" i="125" s="1"/>
  <c r="H62" i="125" s="1"/>
  <c r="D62" i="129"/>
  <c r="D62" i="131"/>
  <c r="E62" i="131" s="1"/>
  <c r="H62" i="131" s="1"/>
  <c r="D62" i="127"/>
  <c r="D60" i="76"/>
  <c r="D60" i="80"/>
  <c r="E60" i="80" s="1"/>
  <c r="H60" i="80" s="1"/>
  <c r="D62" i="126"/>
  <c r="E62" i="126" s="1"/>
  <c r="H62" i="126" s="1"/>
  <c r="D62" i="118"/>
  <c r="E62" i="118" s="1"/>
  <c r="H62" i="118" s="1"/>
  <c r="D13" i="128"/>
  <c r="D13" i="125"/>
  <c r="E13" i="125" s="1"/>
  <c r="H13" i="125" s="1"/>
  <c r="D13" i="131"/>
  <c r="E13" i="131" s="1"/>
  <c r="H13" i="131" s="1"/>
  <c r="D13" i="119"/>
  <c r="D13" i="127"/>
  <c r="D11" i="80"/>
  <c r="E11" i="80" s="1"/>
  <c r="H11" i="80" s="1"/>
  <c r="D13" i="113"/>
  <c r="D13" i="120"/>
  <c r="E13" i="120" s="1"/>
  <c r="H13" i="120" s="1"/>
  <c r="E13" i="118"/>
  <c r="H13" i="118" s="1"/>
  <c r="D11" i="76"/>
  <c r="D13" i="117"/>
  <c r="D13" i="126"/>
  <c r="E13" i="126" s="1"/>
  <c r="H13" i="126" s="1"/>
  <c r="D13" i="114"/>
  <c r="D13" i="115"/>
  <c r="E13" i="115" s="1"/>
  <c r="H13" i="115" s="1"/>
  <c r="D13" i="116"/>
  <c r="D13" i="129"/>
  <c r="D44" i="80"/>
  <c r="D46" i="114"/>
  <c r="D46" i="120"/>
  <c r="E46" i="120" s="1"/>
  <c r="H46" i="120" s="1"/>
  <c r="D46" i="119"/>
  <c r="D46" i="128"/>
  <c r="D21" i="46"/>
  <c r="E21" i="46" s="1"/>
  <c r="D46" i="117"/>
  <c r="D46" i="118"/>
  <c r="E46" i="118" s="1"/>
  <c r="H46" i="118" s="1"/>
  <c r="D46" i="116"/>
  <c r="D46" i="125"/>
  <c r="E46" i="125" s="1"/>
  <c r="H46" i="125" s="1"/>
  <c r="D46" i="131"/>
  <c r="E46" i="131" s="1"/>
  <c r="H46" i="131" s="1"/>
  <c r="D44" i="76"/>
  <c r="D23" i="46"/>
  <c r="D46" i="113"/>
  <c r="D46" i="126"/>
  <c r="E46" i="126" s="1"/>
  <c r="H46" i="126" s="1"/>
  <c r="D46" i="115"/>
  <c r="E46" i="115" s="1"/>
  <c r="H46" i="115" s="1"/>
  <c r="D46" i="127"/>
  <c r="D46" i="129"/>
  <c r="D73" i="76"/>
  <c r="D75" i="118"/>
  <c r="E75" i="118" s="1"/>
  <c r="H75" i="118" s="1"/>
  <c r="D75" i="119"/>
  <c r="D75" i="117"/>
  <c r="D75" i="120"/>
  <c r="E75" i="120" s="1"/>
  <c r="H75" i="120" s="1"/>
  <c r="D73" i="80"/>
  <c r="E73" i="80" s="1"/>
  <c r="H73" i="80" s="1"/>
  <c r="D75" i="115"/>
  <c r="E75" i="115" s="1"/>
  <c r="H75" i="115" s="1"/>
  <c r="D75" i="128"/>
  <c r="D75" i="114"/>
  <c r="D75" i="126"/>
  <c r="E75" i="126" s="1"/>
  <c r="H75" i="126" s="1"/>
  <c r="D75" i="127"/>
  <c r="D75" i="125"/>
  <c r="E75" i="125" s="1"/>
  <c r="H75" i="125" s="1"/>
  <c r="D75" i="129"/>
  <c r="D75" i="113"/>
  <c r="D75" i="116"/>
  <c r="D75" i="131"/>
  <c r="E75" i="131" s="1"/>
  <c r="H75" i="131" s="1"/>
  <c r="D64" i="67"/>
  <c r="E64" i="67" s="1"/>
  <c r="F64" i="67" s="1"/>
  <c r="G64" i="67" s="1"/>
  <c r="I64" i="67" s="1"/>
  <c r="AP46" i="1"/>
  <c r="AW46" i="1"/>
  <c r="C46" i="33"/>
  <c r="BA46" i="1"/>
  <c r="AP62" i="1"/>
  <c r="C62" i="33"/>
  <c r="AW62" i="1"/>
  <c r="AQ62" i="1" s="1"/>
  <c r="BA62" i="1"/>
  <c r="BA13" i="1"/>
  <c r="C13" i="33"/>
  <c r="AP13" i="1"/>
  <c r="AW13" i="1"/>
  <c r="AQ13" i="1" s="1"/>
  <c r="I70" i="76"/>
  <c r="D72" i="67"/>
  <c r="E72" i="67" s="1"/>
  <c r="F72" i="67" s="1"/>
  <c r="G72" i="67" s="1"/>
  <c r="I72" i="67" s="1"/>
  <c r="AX72" i="1"/>
  <c r="D60" i="67"/>
  <c r="E60" i="67" s="1"/>
  <c r="F60" i="67" s="1"/>
  <c r="G60" i="67" s="1"/>
  <c r="I60" i="67" s="1"/>
  <c r="M8" i="67"/>
  <c r="AT8" i="1"/>
  <c r="AE8" i="1"/>
  <c r="AQ72" i="1" l="1"/>
  <c r="AO63" i="1"/>
  <c r="AK63" i="1"/>
  <c r="AL63" i="1" s="1"/>
  <c r="D61" i="76" s="1"/>
  <c r="Q25" i="67"/>
  <c r="S25" i="67" s="1"/>
  <c r="Q71" i="67"/>
  <c r="S71" i="67" s="1"/>
  <c r="Q30" i="67"/>
  <c r="S30" i="67" s="1"/>
  <c r="Q22" i="67"/>
  <c r="S22" i="67" s="1"/>
  <c r="Q28" i="67"/>
  <c r="S28" i="67" s="1"/>
  <c r="Q76" i="67"/>
  <c r="S76" i="67" s="1"/>
  <c r="Q14" i="67"/>
  <c r="S14" i="67" s="1"/>
  <c r="Q17" i="67"/>
  <c r="S17" i="67" s="1"/>
  <c r="Q9" i="67"/>
  <c r="S9" i="67" s="1"/>
  <c r="Q33" i="67"/>
  <c r="S33" i="67" s="1"/>
  <c r="Q48" i="67"/>
  <c r="S48" i="67" s="1"/>
  <c r="Q74" i="67"/>
  <c r="S74" i="67" s="1"/>
  <c r="Q39" i="67"/>
  <c r="S39" i="67" s="1"/>
  <c r="Q43" i="67"/>
  <c r="S43" i="67" s="1"/>
  <c r="Q18" i="67"/>
  <c r="S18" i="67" s="1"/>
  <c r="Q54" i="67"/>
  <c r="S54" i="67" s="1"/>
  <c r="Q56" i="67"/>
  <c r="S56" i="67" s="1"/>
  <c r="Q27" i="67"/>
  <c r="S27" i="67" s="1"/>
  <c r="Q44" i="67"/>
  <c r="S44" i="67" s="1"/>
  <c r="Q52" i="67"/>
  <c r="S52" i="67" s="1"/>
  <c r="Q73" i="67"/>
  <c r="S73" i="67" s="1"/>
  <c r="Q57" i="67"/>
  <c r="S57" i="67" s="1"/>
  <c r="Q26" i="67"/>
  <c r="S26" i="67" s="1"/>
  <c r="Q32" i="67"/>
  <c r="S32" i="67" s="1"/>
  <c r="Q49" i="67"/>
  <c r="S49" i="67" s="1"/>
  <c r="Q58" i="67"/>
  <c r="S58" i="67" s="1"/>
  <c r="Q41" i="67"/>
  <c r="S41" i="67" s="1"/>
  <c r="Q38" i="67"/>
  <c r="S38" i="67" s="1"/>
  <c r="Q68" i="67"/>
  <c r="S68" i="67" s="1"/>
  <c r="Q50" i="67"/>
  <c r="S50" i="67" s="1"/>
  <c r="Q55" i="67"/>
  <c r="S55" i="67" s="1"/>
  <c r="Q42" i="67"/>
  <c r="S42" i="67" s="1"/>
  <c r="Q10" i="67"/>
  <c r="S10" i="67" s="1"/>
  <c r="Q61" i="67"/>
  <c r="S61" i="67" s="1"/>
  <c r="Q66" i="67"/>
  <c r="S66" i="67" s="1"/>
  <c r="Q51" i="67"/>
  <c r="S51" i="67" s="1"/>
  <c r="Q19" i="67"/>
  <c r="S19" i="67" s="1"/>
  <c r="Q20" i="67"/>
  <c r="S20" i="67" s="1"/>
  <c r="Q36" i="67"/>
  <c r="S36" i="67" s="1"/>
  <c r="Q15" i="67"/>
  <c r="S15" i="67" s="1"/>
  <c r="Q40" i="67"/>
  <c r="S40" i="67" s="1"/>
  <c r="Q12" i="67"/>
  <c r="S12" i="67" s="1"/>
  <c r="Q67" i="67"/>
  <c r="S67" i="67" s="1"/>
  <c r="Q34" i="67"/>
  <c r="S34" i="67" s="1"/>
  <c r="Q70" i="67"/>
  <c r="S70" i="67" s="1"/>
  <c r="Q69" i="67"/>
  <c r="S69" i="67" s="1"/>
  <c r="Q31" i="67"/>
  <c r="S31" i="67" s="1"/>
  <c r="Q21" i="67"/>
  <c r="S21" i="67" s="1"/>
  <c r="Q11" i="67"/>
  <c r="S11" i="67" s="1"/>
  <c r="Q53" i="67"/>
  <c r="S53" i="67" s="1"/>
  <c r="Q45" i="67"/>
  <c r="S45" i="67" s="1"/>
  <c r="Q29" i="67"/>
  <c r="S29" i="67" s="1"/>
  <c r="Q37" i="67"/>
  <c r="S37" i="67" s="1"/>
  <c r="AH14" i="1"/>
  <c r="E75" i="129"/>
  <c r="H75" i="129" s="1"/>
  <c r="E13" i="129"/>
  <c r="H13" i="129" s="1"/>
  <c r="E64" i="129"/>
  <c r="H64" i="129" s="1"/>
  <c r="E35" i="129"/>
  <c r="H35" i="129" s="1"/>
  <c r="E46" i="129"/>
  <c r="H46" i="129" s="1"/>
  <c r="E59" i="129"/>
  <c r="H59" i="129" s="1"/>
  <c r="E60" i="129"/>
  <c r="H60" i="129" s="1"/>
  <c r="E23" i="129"/>
  <c r="H23" i="129" s="1"/>
  <c r="E62" i="129"/>
  <c r="H62" i="129" s="1"/>
  <c r="E23" i="46"/>
  <c r="H23" i="46" s="1"/>
  <c r="E75" i="128"/>
  <c r="H75" i="128" s="1"/>
  <c r="E46" i="119"/>
  <c r="H46" i="119" s="1"/>
  <c r="E46" i="114"/>
  <c r="H46" i="114" s="1"/>
  <c r="E13" i="114"/>
  <c r="H13" i="114" s="1"/>
  <c r="E13" i="128"/>
  <c r="H13" i="128" s="1"/>
  <c r="E62" i="128"/>
  <c r="H62" i="128" s="1"/>
  <c r="E62" i="114"/>
  <c r="H62" i="114" s="1"/>
  <c r="E62" i="119"/>
  <c r="H62" i="119" s="1"/>
  <c r="E23" i="114"/>
  <c r="H23" i="114" s="1"/>
  <c r="E23" i="128"/>
  <c r="H23" i="128" s="1"/>
  <c r="E59" i="119"/>
  <c r="H59" i="119" s="1"/>
  <c r="E35" i="128"/>
  <c r="H35" i="128" s="1"/>
  <c r="E64" i="114"/>
  <c r="H64" i="114" s="1"/>
  <c r="E64" i="128"/>
  <c r="H64" i="128" s="1"/>
  <c r="E60" i="119"/>
  <c r="H60" i="119" s="1"/>
  <c r="E75" i="114"/>
  <c r="H75" i="114" s="1"/>
  <c r="E75" i="119"/>
  <c r="H75" i="119" s="1"/>
  <c r="E46" i="128"/>
  <c r="H46" i="128" s="1"/>
  <c r="E13" i="119"/>
  <c r="H13" i="119" s="1"/>
  <c r="E23" i="119"/>
  <c r="H23" i="119" s="1"/>
  <c r="E59" i="128"/>
  <c r="H59" i="128" s="1"/>
  <c r="E35" i="114"/>
  <c r="H35" i="114" s="1"/>
  <c r="E64" i="119"/>
  <c r="H64" i="119" s="1"/>
  <c r="E60" i="128"/>
  <c r="H60" i="128" s="1"/>
  <c r="E60" i="114"/>
  <c r="H60" i="114" s="1"/>
  <c r="E35" i="119"/>
  <c r="H35" i="119" s="1"/>
  <c r="E60" i="76"/>
  <c r="H60" i="76" s="1"/>
  <c r="E57" i="76"/>
  <c r="H57" i="76" s="1"/>
  <c r="E33" i="76"/>
  <c r="H33" i="76" s="1"/>
  <c r="E58" i="76"/>
  <c r="H58" i="76" s="1"/>
  <c r="E73" i="76"/>
  <c r="H73" i="76" s="1"/>
  <c r="E11" i="76"/>
  <c r="H11" i="76" s="1"/>
  <c r="E21" i="76"/>
  <c r="H21" i="76" s="1"/>
  <c r="E62" i="76"/>
  <c r="H62" i="76" s="1"/>
  <c r="E13" i="127"/>
  <c r="H13" i="127" s="1"/>
  <c r="E35" i="127"/>
  <c r="H35" i="127" s="1"/>
  <c r="E75" i="127"/>
  <c r="H75" i="127" s="1"/>
  <c r="E46" i="127"/>
  <c r="H46" i="127" s="1"/>
  <c r="E62" i="127"/>
  <c r="H62" i="127" s="1"/>
  <c r="E23" i="127"/>
  <c r="H23" i="127" s="1"/>
  <c r="E59" i="127"/>
  <c r="H59" i="127" s="1"/>
  <c r="E64" i="127"/>
  <c r="H64" i="127" s="1"/>
  <c r="E60" i="127"/>
  <c r="H60" i="127" s="1"/>
  <c r="E46" i="117"/>
  <c r="H46" i="117" s="1"/>
  <c r="E62" i="117"/>
  <c r="H62" i="117" s="1"/>
  <c r="E23" i="117"/>
  <c r="H23" i="117" s="1"/>
  <c r="E64" i="117"/>
  <c r="H64" i="117" s="1"/>
  <c r="E75" i="117"/>
  <c r="H75" i="117" s="1"/>
  <c r="E13" i="117"/>
  <c r="H13" i="117" s="1"/>
  <c r="E59" i="117"/>
  <c r="H59" i="117" s="1"/>
  <c r="E60" i="117"/>
  <c r="H60" i="117" s="1"/>
  <c r="E35" i="117"/>
  <c r="H35" i="117" s="1"/>
  <c r="E75" i="116"/>
  <c r="H75" i="116" s="1"/>
  <c r="E46" i="116"/>
  <c r="H46" i="116" s="1"/>
  <c r="E62" i="116"/>
  <c r="H62" i="116" s="1"/>
  <c r="E23" i="116"/>
  <c r="H23" i="116" s="1"/>
  <c r="E59" i="116"/>
  <c r="H59" i="116" s="1"/>
  <c r="E60" i="116"/>
  <c r="H60" i="116" s="1"/>
  <c r="E13" i="116"/>
  <c r="H13" i="116" s="1"/>
  <c r="E35" i="116"/>
  <c r="H35" i="116" s="1"/>
  <c r="E64" i="116"/>
  <c r="H64" i="116" s="1"/>
  <c r="E62" i="113"/>
  <c r="H62" i="113" s="1"/>
  <c r="E64" i="113"/>
  <c r="H64" i="113" s="1"/>
  <c r="E75" i="113"/>
  <c r="H75" i="113" s="1"/>
  <c r="E46" i="113"/>
  <c r="H46" i="113" s="1"/>
  <c r="E13" i="113"/>
  <c r="H13" i="113" s="1"/>
  <c r="E23" i="113"/>
  <c r="H23" i="113" s="1"/>
  <c r="E59" i="113"/>
  <c r="H59" i="113" s="1"/>
  <c r="E35" i="113"/>
  <c r="H35" i="113" s="1"/>
  <c r="E60" i="113"/>
  <c r="H60" i="113" s="1"/>
  <c r="I33" i="80"/>
  <c r="AK24" i="1"/>
  <c r="AL24" i="1" s="1"/>
  <c r="D24" i="117" s="1"/>
  <c r="AO24" i="1"/>
  <c r="BA24" i="1" s="1"/>
  <c r="I58" i="80"/>
  <c r="I58" i="76"/>
  <c r="BA75" i="1"/>
  <c r="I62" i="76"/>
  <c r="AW75" i="1"/>
  <c r="AQ75" i="1" s="1"/>
  <c r="C75" i="33"/>
  <c r="I62" i="80"/>
  <c r="BA35" i="1"/>
  <c r="AQ60" i="1"/>
  <c r="I33" i="76"/>
  <c r="AW35" i="1"/>
  <c r="AQ35" i="1" s="1"/>
  <c r="C35" i="33"/>
  <c r="AO26" i="1"/>
  <c r="AK26" i="1"/>
  <c r="AL26" i="1" s="1"/>
  <c r="AH26" i="1"/>
  <c r="AV64" i="1"/>
  <c r="AK14" i="1"/>
  <c r="AL14" i="1" s="1"/>
  <c r="D14" i="115" s="1"/>
  <c r="E14" i="115" s="1"/>
  <c r="H14" i="115" s="1"/>
  <c r="AX64" i="1"/>
  <c r="AX60" i="1"/>
  <c r="W47" i="67"/>
  <c r="AO37" i="1"/>
  <c r="AH37" i="1"/>
  <c r="AK37" i="1"/>
  <c r="AL37" i="1" s="1"/>
  <c r="BA63" i="1"/>
  <c r="C63" i="33"/>
  <c r="AW63" i="1"/>
  <c r="AP63" i="1"/>
  <c r="D43" i="129"/>
  <c r="D63" i="118"/>
  <c r="E63" i="118" s="1"/>
  <c r="H63" i="118" s="1"/>
  <c r="D61" i="80"/>
  <c r="D63" i="115"/>
  <c r="E63" i="115" s="1"/>
  <c r="H63" i="115" s="1"/>
  <c r="D63" i="116"/>
  <c r="D63" i="125"/>
  <c r="E63" i="125" s="1"/>
  <c r="H63" i="125" s="1"/>
  <c r="D63" i="129"/>
  <c r="D63" i="128"/>
  <c r="D63" i="131"/>
  <c r="E63" i="131" s="1"/>
  <c r="H63" i="131" s="1"/>
  <c r="D63" i="113"/>
  <c r="I57" i="76"/>
  <c r="D54" i="127"/>
  <c r="AO40" i="1"/>
  <c r="AP40" i="1" s="1"/>
  <c r="AK28" i="1"/>
  <c r="AL28" i="1" s="1"/>
  <c r="D28" i="119" s="1"/>
  <c r="D43" i="127"/>
  <c r="D43" i="113"/>
  <c r="D43" i="117"/>
  <c r="I57" i="80"/>
  <c r="D43" i="116"/>
  <c r="D43" i="126"/>
  <c r="E43" i="126" s="1"/>
  <c r="H43" i="126" s="1"/>
  <c r="D54" i="125"/>
  <c r="E54" i="125" s="1"/>
  <c r="H54" i="125" s="1"/>
  <c r="D41" i="76"/>
  <c r="D43" i="119"/>
  <c r="D43" i="120"/>
  <c r="E43" i="120" s="1"/>
  <c r="H43" i="120" s="1"/>
  <c r="D43" i="118"/>
  <c r="E43" i="118" s="1"/>
  <c r="H43" i="118" s="1"/>
  <c r="D54" i="120"/>
  <c r="E54" i="120" s="1"/>
  <c r="H54" i="120" s="1"/>
  <c r="D54" i="118"/>
  <c r="E54" i="118" s="1"/>
  <c r="H54" i="118" s="1"/>
  <c r="D54" i="115"/>
  <c r="E54" i="115" s="1"/>
  <c r="H54" i="115" s="1"/>
  <c r="E12" i="137"/>
  <c r="AK40" i="1"/>
  <c r="AL40" i="1" s="1"/>
  <c r="D40" i="116" s="1"/>
  <c r="AH57" i="1"/>
  <c r="AO57" i="1"/>
  <c r="AK57" i="1"/>
  <c r="AL57" i="1" s="1"/>
  <c r="D41" i="80"/>
  <c r="E41" i="80" s="1"/>
  <c r="H41" i="80" s="1"/>
  <c r="D43" i="131"/>
  <c r="E43" i="131" s="1"/>
  <c r="H43" i="131" s="1"/>
  <c r="D43" i="114"/>
  <c r="D54" i="128"/>
  <c r="AP43" i="1"/>
  <c r="D43" i="67" s="1"/>
  <c r="E43" i="67" s="1"/>
  <c r="F43" i="67" s="1"/>
  <c r="G43" i="67" s="1"/>
  <c r="I43" i="67" s="1"/>
  <c r="D3" i="31"/>
  <c r="D16" i="31" s="1"/>
  <c r="E16" i="31" s="1"/>
  <c r="H16" i="31" s="1"/>
  <c r="D43" i="125"/>
  <c r="E43" i="125" s="1"/>
  <c r="H43" i="125" s="1"/>
  <c r="D43" i="115"/>
  <c r="E43" i="115" s="1"/>
  <c r="H43" i="115" s="1"/>
  <c r="D43" i="128"/>
  <c r="D54" i="114"/>
  <c r="D54" i="131"/>
  <c r="E54" i="131" s="1"/>
  <c r="H54" i="131" s="1"/>
  <c r="D52" i="76"/>
  <c r="AO28" i="1"/>
  <c r="AW28" i="1" s="1"/>
  <c r="C43" i="33"/>
  <c r="D54" i="67"/>
  <c r="E54" i="67" s="1"/>
  <c r="F54" i="67" s="1"/>
  <c r="G54" i="67" s="1"/>
  <c r="I54" i="67" s="1"/>
  <c r="AW43" i="1"/>
  <c r="AV43" i="1" s="1"/>
  <c r="AQ59" i="1"/>
  <c r="AX59" i="1"/>
  <c r="AV59" i="1"/>
  <c r="AK73" i="1"/>
  <c r="AL73" i="1" s="1"/>
  <c r="AO73" i="1"/>
  <c r="AH73" i="1"/>
  <c r="AV54" i="1"/>
  <c r="AK15" i="1"/>
  <c r="AL15" i="1" s="1"/>
  <c r="D15" i="128" s="1"/>
  <c r="AO29" i="1"/>
  <c r="AK29" i="1"/>
  <c r="AL29" i="1" s="1"/>
  <c r="AH29" i="1"/>
  <c r="D59" i="67"/>
  <c r="E59" i="67" s="1"/>
  <c r="F59" i="67" s="1"/>
  <c r="G59" i="67" s="1"/>
  <c r="I59" i="67" s="1"/>
  <c r="AH31" i="1"/>
  <c r="AO31" i="1"/>
  <c r="AK31" i="1"/>
  <c r="AL31" i="1" s="1"/>
  <c r="G39" i="81"/>
  <c r="H39" i="81"/>
  <c r="AO45" i="1"/>
  <c r="AH45" i="1"/>
  <c r="AK45" i="1"/>
  <c r="AL45" i="1" s="1"/>
  <c r="AX54" i="1"/>
  <c r="AO20" i="1"/>
  <c r="BA20" i="1" s="1"/>
  <c r="AO15" i="1"/>
  <c r="BA15" i="1" s="1"/>
  <c r="AK20" i="1"/>
  <c r="AL20" i="1" s="1"/>
  <c r="D20" i="126" s="1"/>
  <c r="E20" i="126" s="1"/>
  <c r="H20" i="126" s="1"/>
  <c r="AK11" i="1"/>
  <c r="AL11" i="1" s="1"/>
  <c r="D11" i="118" s="1"/>
  <c r="AH11" i="1"/>
  <c r="AO11" i="1"/>
  <c r="AO53" i="1"/>
  <c r="AH53" i="1"/>
  <c r="AK53" i="1"/>
  <c r="AL53" i="1" s="1"/>
  <c r="AO52" i="1"/>
  <c r="AK52" i="1"/>
  <c r="AL52" i="1" s="1"/>
  <c r="AH52" i="1"/>
  <c r="AK21" i="1"/>
  <c r="AL21" i="1" s="1"/>
  <c r="AH21" i="1"/>
  <c r="AO21" i="1"/>
  <c r="AO17" i="1"/>
  <c r="AH17" i="1"/>
  <c r="AK17" i="1"/>
  <c r="AL17" i="1" s="1"/>
  <c r="AO66" i="1"/>
  <c r="AK66" i="1"/>
  <c r="AL66" i="1" s="1"/>
  <c r="AH66" i="1"/>
  <c r="AO33" i="1"/>
  <c r="AK33" i="1"/>
  <c r="AL33" i="1" s="1"/>
  <c r="AH33" i="1"/>
  <c r="AK12" i="1"/>
  <c r="AL12" i="1" s="1"/>
  <c r="D12" i="118" s="1"/>
  <c r="AH12" i="1"/>
  <c r="AO12" i="1"/>
  <c r="AO42" i="1"/>
  <c r="AK42" i="1"/>
  <c r="AL42" i="1" s="1"/>
  <c r="AH42" i="1"/>
  <c r="C39" i="33"/>
  <c r="BA39" i="1"/>
  <c r="AP39" i="1"/>
  <c r="AW39" i="1"/>
  <c r="AW32" i="1"/>
  <c r="AP32" i="1"/>
  <c r="BA32" i="1"/>
  <c r="C32" i="33"/>
  <c r="AO19" i="1"/>
  <c r="AK19" i="1"/>
  <c r="AL19" i="1" s="1"/>
  <c r="AH19" i="1"/>
  <c r="AO74" i="1"/>
  <c r="AK74" i="1"/>
  <c r="AL74" i="1" s="1"/>
  <c r="AH74" i="1"/>
  <c r="AH49" i="1"/>
  <c r="AO49" i="1"/>
  <c r="AK49" i="1"/>
  <c r="AL49" i="1" s="1"/>
  <c r="D65" i="120"/>
  <c r="E65" i="120" s="1"/>
  <c r="H65" i="120" s="1"/>
  <c r="D65" i="128"/>
  <c r="D63" i="76"/>
  <c r="D65" i="131"/>
  <c r="E65" i="131" s="1"/>
  <c r="H65" i="131" s="1"/>
  <c r="D65" i="129"/>
  <c r="D65" i="127"/>
  <c r="D65" i="116"/>
  <c r="D65" i="126"/>
  <c r="E65" i="126" s="1"/>
  <c r="H65" i="126" s="1"/>
  <c r="D65" i="117"/>
  <c r="D65" i="114"/>
  <c r="D65" i="119"/>
  <c r="D63" i="80"/>
  <c r="D65" i="125"/>
  <c r="E65" i="125" s="1"/>
  <c r="H65" i="125" s="1"/>
  <c r="D65" i="115"/>
  <c r="E65" i="115" s="1"/>
  <c r="H65" i="115" s="1"/>
  <c r="D65" i="113"/>
  <c r="D65" i="118"/>
  <c r="E65" i="118" s="1"/>
  <c r="H65" i="118" s="1"/>
  <c r="AK36" i="1"/>
  <c r="AL36" i="1" s="1"/>
  <c r="AH36" i="1"/>
  <c r="AO36" i="1"/>
  <c r="AK10" i="1"/>
  <c r="AL10" i="1" s="1"/>
  <c r="D10" i="118" s="1"/>
  <c r="AO10" i="1"/>
  <c r="AH10" i="1"/>
  <c r="D70" i="131"/>
  <c r="E70" i="131" s="1"/>
  <c r="H70" i="131" s="1"/>
  <c r="D70" i="128"/>
  <c r="D70" i="127"/>
  <c r="D70" i="117"/>
  <c r="D68" i="80"/>
  <c r="D70" i="116"/>
  <c r="D70" i="120"/>
  <c r="E70" i="120" s="1"/>
  <c r="H70" i="120" s="1"/>
  <c r="D70" i="119"/>
  <c r="D70" i="125"/>
  <c r="E70" i="125" s="1"/>
  <c r="H70" i="125" s="1"/>
  <c r="D70" i="115"/>
  <c r="E70" i="115" s="1"/>
  <c r="H70" i="115" s="1"/>
  <c r="D70" i="129"/>
  <c r="D68" i="76"/>
  <c r="D70" i="126"/>
  <c r="E70" i="126" s="1"/>
  <c r="H70" i="126" s="1"/>
  <c r="D70" i="113"/>
  <c r="D70" i="118"/>
  <c r="E70" i="118" s="1"/>
  <c r="H70" i="118" s="1"/>
  <c r="D70" i="114"/>
  <c r="AK18" i="1"/>
  <c r="AL18" i="1" s="1"/>
  <c r="AH18" i="1"/>
  <c r="AO18" i="1"/>
  <c r="AO9" i="1"/>
  <c r="AK9" i="1"/>
  <c r="AL9" i="1" s="1"/>
  <c r="D9" i="118" s="1"/>
  <c r="AH9" i="1"/>
  <c r="D54" i="126"/>
  <c r="E54" i="126" s="1"/>
  <c r="H54" i="126" s="1"/>
  <c r="D54" i="129"/>
  <c r="D54" i="113"/>
  <c r="D54" i="119"/>
  <c r="AH69" i="1"/>
  <c r="AO69" i="1"/>
  <c r="AK69" i="1"/>
  <c r="AL69" i="1" s="1"/>
  <c r="AO25" i="1"/>
  <c r="AH25" i="1"/>
  <c r="AK25" i="1"/>
  <c r="AL25" i="1" s="1"/>
  <c r="D50" i="115"/>
  <c r="E50" i="115" s="1"/>
  <c r="H50" i="115" s="1"/>
  <c r="D50" i="129"/>
  <c r="D50" i="118"/>
  <c r="E50" i="118" s="1"/>
  <c r="H50" i="118" s="1"/>
  <c r="D50" i="119"/>
  <c r="D50" i="128"/>
  <c r="D48" i="80"/>
  <c r="D50" i="127"/>
  <c r="D50" i="114"/>
  <c r="D48" i="76"/>
  <c r="D50" i="126"/>
  <c r="E50" i="126" s="1"/>
  <c r="H50" i="126" s="1"/>
  <c r="D50" i="113"/>
  <c r="D50" i="125"/>
  <c r="E50" i="125" s="1"/>
  <c r="H50" i="125" s="1"/>
  <c r="D50" i="131"/>
  <c r="E50" i="131" s="1"/>
  <c r="H50" i="131" s="1"/>
  <c r="D50" i="120"/>
  <c r="E50" i="120" s="1"/>
  <c r="H50" i="120" s="1"/>
  <c r="D50" i="117"/>
  <c r="D50" i="116"/>
  <c r="D39" i="128"/>
  <c r="D37" i="76"/>
  <c r="D39" i="120"/>
  <c r="E39" i="120" s="1"/>
  <c r="H39" i="120" s="1"/>
  <c r="D39" i="117"/>
  <c r="D39" i="127"/>
  <c r="D39" i="116"/>
  <c r="D39" i="129"/>
  <c r="D39" i="118"/>
  <c r="E39" i="118" s="1"/>
  <c r="H39" i="118" s="1"/>
  <c r="D39" i="113"/>
  <c r="D39" i="115"/>
  <c r="E39" i="115" s="1"/>
  <c r="H39" i="115" s="1"/>
  <c r="D39" i="114"/>
  <c r="D39" i="126"/>
  <c r="E39" i="126" s="1"/>
  <c r="H39" i="126" s="1"/>
  <c r="D39" i="119"/>
  <c r="D39" i="131"/>
  <c r="E39" i="131" s="1"/>
  <c r="H39" i="131" s="1"/>
  <c r="D39" i="125"/>
  <c r="E39" i="125" s="1"/>
  <c r="H39" i="125" s="1"/>
  <c r="D37" i="80"/>
  <c r="D56" i="127"/>
  <c r="D56" i="113"/>
  <c r="D56" i="117"/>
  <c r="D56" i="116"/>
  <c r="D56" i="126"/>
  <c r="E56" i="126" s="1"/>
  <c r="H56" i="126" s="1"/>
  <c r="D56" i="120"/>
  <c r="E56" i="120" s="1"/>
  <c r="H56" i="120" s="1"/>
  <c r="D56" i="125"/>
  <c r="E56" i="125" s="1"/>
  <c r="H56" i="125" s="1"/>
  <c r="D56" i="131"/>
  <c r="E56" i="131" s="1"/>
  <c r="H56" i="131" s="1"/>
  <c r="D56" i="115"/>
  <c r="E56" i="115" s="1"/>
  <c r="H56" i="115" s="1"/>
  <c r="D56" i="118"/>
  <c r="E56" i="118" s="1"/>
  <c r="H56" i="118" s="1"/>
  <c r="D54" i="80"/>
  <c r="E54" i="80" s="1"/>
  <c r="H54" i="80" s="1"/>
  <c r="D56" i="129"/>
  <c r="D54" i="76"/>
  <c r="D56" i="114"/>
  <c r="D56" i="119"/>
  <c r="D56" i="128"/>
  <c r="I54" i="76"/>
  <c r="AK30" i="1"/>
  <c r="AL30" i="1" s="1"/>
  <c r="AH30" i="1"/>
  <c r="AO30" i="1"/>
  <c r="AO22" i="1"/>
  <c r="AK22" i="1"/>
  <c r="AL22" i="1" s="1"/>
  <c r="AH22" i="1"/>
  <c r="C65" i="33"/>
  <c r="AW65" i="1"/>
  <c r="BA65" i="1"/>
  <c r="AP65" i="1"/>
  <c r="AK67" i="1"/>
  <c r="AL67" i="1" s="1"/>
  <c r="AH67" i="1"/>
  <c r="AO67" i="1"/>
  <c r="AO34" i="1"/>
  <c r="AH34" i="1"/>
  <c r="AK34" i="1"/>
  <c r="AL34" i="1" s="1"/>
  <c r="D71" i="126"/>
  <c r="E71" i="126" s="1"/>
  <c r="H71" i="126" s="1"/>
  <c r="D71" i="125"/>
  <c r="E71" i="125" s="1"/>
  <c r="H71" i="125" s="1"/>
  <c r="D71" i="131"/>
  <c r="E71" i="131" s="1"/>
  <c r="H71" i="131" s="1"/>
  <c r="D71" i="113"/>
  <c r="D71" i="118"/>
  <c r="E71" i="118" s="1"/>
  <c r="H71" i="118" s="1"/>
  <c r="D71" i="116"/>
  <c r="D69" i="80"/>
  <c r="E69" i="80" s="1"/>
  <c r="H69" i="80" s="1"/>
  <c r="D71" i="128"/>
  <c r="D71" i="114"/>
  <c r="D71" i="115"/>
  <c r="E71" i="115" s="1"/>
  <c r="H71" i="115" s="1"/>
  <c r="D71" i="119"/>
  <c r="D71" i="117"/>
  <c r="D71" i="127"/>
  <c r="D69" i="76"/>
  <c r="D71" i="120"/>
  <c r="E71" i="120" s="1"/>
  <c r="H71" i="120" s="1"/>
  <c r="D71" i="129"/>
  <c r="AW56" i="1"/>
  <c r="AQ56" i="1" s="1"/>
  <c r="C56" i="33"/>
  <c r="BA56" i="1"/>
  <c r="AP56" i="1"/>
  <c r="AH58" i="1"/>
  <c r="AK58" i="1"/>
  <c r="AL58" i="1" s="1"/>
  <c r="AO58" i="1"/>
  <c r="D41" i="126"/>
  <c r="E41" i="126" s="1"/>
  <c r="H41" i="126" s="1"/>
  <c r="D41" i="116"/>
  <c r="D41" i="125"/>
  <c r="E41" i="125" s="1"/>
  <c r="H41" i="125" s="1"/>
  <c r="D41" i="128"/>
  <c r="D41" i="127"/>
  <c r="D39" i="76"/>
  <c r="D41" i="118"/>
  <c r="E41" i="118" s="1"/>
  <c r="H41" i="118" s="1"/>
  <c r="D41" i="120"/>
  <c r="E41" i="120" s="1"/>
  <c r="H41" i="120" s="1"/>
  <c r="D41" i="129"/>
  <c r="D41" i="114"/>
  <c r="D41" i="119"/>
  <c r="D41" i="113"/>
  <c r="D41" i="115"/>
  <c r="E41" i="115" s="1"/>
  <c r="H41" i="115" s="1"/>
  <c r="D39" i="80"/>
  <c r="E39" i="80" s="1"/>
  <c r="H39" i="80" s="1"/>
  <c r="D41" i="131"/>
  <c r="E41" i="131" s="1"/>
  <c r="H41" i="131" s="1"/>
  <c r="D41" i="117"/>
  <c r="D54" i="117"/>
  <c r="D54" i="116"/>
  <c r="AH27" i="1"/>
  <c r="AK27" i="1"/>
  <c r="AL27" i="1" s="1"/>
  <c r="AO27" i="1"/>
  <c r="AP50" i="1"/>
  <c r="C50" i="33"/>
  <c r="BA50" i="1"/>
  <c r="AW50" i="1"/>
  <c r="AH48" i="1"/>
  <c r="AK48" i="1"/>
  <c r="AL48" i="1" s="1"/>
  <c r="AO48" i="1"/>
  <c r="AO51" i="1"/>
  <c r="AK51" i="1"/>
  <c r="AL51" i="1" s="1"/>
  <c r="AH51" i="1"/>
  <c r="AH44" i="1"/>
  <c r="AO44" i="1"/>
  <c r="AK44" i="1"/>
  <c r="AL44" i="1" s="1"/>
  <c r="AK76" i="1"/>
  <c r="AL76" i="1" s="1"/>
  <c r="AH76" i="1"/>
  <c r="AO76" i="1"/>
  <c r="AW14" i="1"/>
  <c r="AP14" i="1"/>
  <c r="BA14" i="1"/>
  <c r="C14" i="33"/>
  <c r="AO68" i="1"/>
  <c r="AH68" i="1"/>
  <c r="AK68" i="1"/>
  <c r="AL68" i="1" s="1"/>
  <c r="AW71" i="1"/>
  <c r="C71" i="33"/>
  <c r="BA71" i="1"/>
  <c r="AP71" i="1"/>
  <c r="D32" i="131"/>
  <c r="E32" i="131" s="1"/>
  <c r="H32" i="131" s="1"/>
  <c r="D32" i="119"/>
  <c r="D32" i="117"/>
  <c r="D32" i="128"/>
  <c r="D32" i="120"/>
  <c r="E32" i="120" s="1"/>
  <c r="H32" i="120" s="1"/>
  <c r="D32" i="113"/>
  <c r="D32" i="125"/>
  <c r="E32" i="125" s="1"/>
  <c r="H32" i="125" s="1"/>
  <c r="D30" i="76"/>
  <c r="D32" i="129"/>
  <c r="D32" i="116"/>
  <c r="D32" i="127"/>
  <c r="D32" i="114"/>
  <c r="D32" i="126"/>
  <c r="E32" i="126" s="1"/>
  <c r="H32" i="126" s="1"/>
  <c r="D32" i="115"/>
  <c r="E32" i="115" s="1"/>
  <c r="H32" i="115" s="1"/>
  <c r="D32" i="118"/>
  <c r="E32" i="118" s="1"/>
  <c r="H32" i="118" s="1"/>
  <c r="D30" i="80"/>
  <c r="AO61" i="1"/>
  <c r="AH61" i="1"/>
  <c r="AK61" i="1"/>
  <c r="AL61" i="1" s="1"/>
  <c r="C70" i="33"/>
  <c r="AP70" i="1"/>
  <c r="AW70" i="1"/>
  <c r="BA70" i="1"/>
  <c r="AK38" i="1"/>
  <c r="AL38" i="1" s="1"/>
  <c r="AO38" i="1"/>
  <c r="AH38" i="1"/>
  <c r="AH55" i="1"/>
  <c r="AO55" i="1"/>
  <c r="AK55" i="1"/>
  <c r="AL55" i="1" s="1"/>
  <c r="AP41" i="1"/>
  <c r="BA41" i="1"/>
  <c r="AW41" i="1"/>
  <c r="C41" i="33"/>
  <c r="D24" i="113"/>
  <c r="D24" i="126"/>
  <c r="E24" i="126" s="1"/>
  <c r="H24" i="126" s="1"/>
  <c r="D22" i="76"/>
  <c r="D24" i="114"/>
  <c r="D24" i="125"/>
  <c r="E24" i="125" s="1"/>
  <c r="H24" i="125" s="1"/>
  <c r="D24" i="127"/>
  <c r="AP24" i="1"/>
  <c r="G25" i="81"/>
  <c r="H25" i="81"/>
  <c r="X77" i="1"/>
  <c r="W77" i="1"/>
  <c r="G82" i="81" s="1"/>
  <c r="E27" i="81"/>
  <c r="AC16" i="1"/>
  <c r="Z77" i="1"/>
  <c r="V16" i="1"/>
  <c r="U77" i="1"/>
  <c r="I11" i="80"/>
  <c r="I52" i="80"/>
  <c r="I73" i="76"/>
  <c r="I11" i="76"/>
  <c r="AQ23" i="1"/>
  <c r="AV23" i="1"/>
  <c r="AX23" i="1"/>
  <c r="I73" i="80"/>
  <c r="I21" i="80"/>
  <c r="I21" i="76"/>
  <c r="D23" i="67"/>
  <c r="E23" i="67" s="1"/>
  <c r="F23" i="67" s="1"/>
  <c r="G23" i="67" s="1"/>
  <c r="I23" i="67" s="1"/>
  <c r="AX13" i="1"/>
  <c r="AV13" i="1"/>
  <c r="AV62" i="1"/>
  <c r="AX62" i="1"/>
  <c r="I60" i="80"/>
  <c r="D13" i="67"/>
  <c r="E13" i="67" s="1"/>
  <c r="F13" i="67" s="1"/>
  <c r="G13" i="67" s="1"/>
  <c r="I13" i="67" s="1"/>
  <c r="W64" i="67"/>
  <c r="E44" i="76"/>
  <c r="H44" i="76" s="1"/>
  <c r="I44" i="76"/>
  <c r="D62" i="67"/>
  <c r="E62" i="67" s="1"/>
  <c r="F62" i="67" s="1"/>
  <c r="G62" i="67" s="1"/>
  <c r="I62" i="67" s="1"/>
  <c r="AX46" i="1"/>
  <c r="AV46" i="1"/>
  <c r="AQ46" i="1"/>
  <c r="I44" i="80"/>
  <c r="E44" i="80"/>
  <c r="H44" i="80" s="1"/>
  <c r="D75" i="67"/>
  <c r="E75" i="67" s="1"/>
  <c r="F75" i="67" s="1"/>
  <c r="G75" i="67" s="1"/>
  <c r="I75" i="67" s="1"/>
  <c r="D46" i="67"/>
  <c r="E46" i="67" s="1"/>
  <c r="F46" i="67" s="1"/>
  <c r="G46" i="67" s="1"/>
  <c r="I46" i="67" s="1"/>
  <c r="H21" i="46"/>
  <c r="L21" i="46" s="1"/>
  <c r="I60" i="76"/>
  <c r="W72" i="67"/>
  <c r="W60" i="67"/>
  <c r="W35" i="67"/>
  <c r="AG8" i="1"/>
  <c r="AF8" i="1"/>
  <c r="P8" i="67"/>
  <c r="D24" i="131" l="1"/>
  <c r="E24" i="131" s="1"/>
  <c r="H24" i="131" s="1"/>
  <c r="D24" i="119"/>
  <c r="D10" i="46"/>
  <c r="D11" i="46"/>
  <c r="D63" i="119"/>
  <c r="D63" i="127"/>
  <c r="D63" i="120"/>
  <c r="E63" i="120" s="1"/>
  <c r="H63" i="120" s="1"/>
  <c r="D63" i="117"/>
  <c r="E63" i="117" s="1"/>
  <c r="H63" i="117" s="1"/>
  <c r="D15" i="46"/>
  <c r="D24" i="118"/>
  <c r="E24" i="118" s="1"/>
  <c r="H24" i="118" s="1"/>
  <c r="D24" i="129"/>
  <c r="E24" i="129" s="1"/>
  <c r="H24" i="129" s="1"/>
  <c r="D77" i="114"/>
  <c r="E77" i="114" s="1"/>
  <c r="H77" i="114" s="1"/>
  <c r="D63" i="126"/>
  <c r="E63" i="126" s="1"/>
  <c r="H63" i="126" s="1"/>
  <c r="D63" i="114"/>
  <c r="Q8" i="67"/>
  <c r="S8" i="67" s="1"/>
  <c r="H24" i="46"/>
  <c r="D33" i="31"/>
  <c r="E33" i="31" s="1"/>
  <c r="H33" i="31" s="1"/>
  <c r="E24" i="46"/>
  <c r="E39" i="129"/>
  <c r="H39" i="129" s="1"/>
  <c r="H12" i="137"/>
  <c r="H14" i="137" s="1"/>
  <c r="E14" i="137"/>
  <c r="E63" i="129"/>
  <c r="H63" i="129" s="1"/>
  <c r="E43" i="129"/>
  <c r="H43" i="129" s="1"/>
  <c r="D50" i="31"/>
  <c r="E50" i="31" s="1"/>
  <c r="H50" i="31" s="1"/>
  <c r="E32" i="129"/>
  <c r="H32" i="129" s="1"/>
  <c r="E65" i="129"/>
  <c r="H65" i="129" s="1"/>
  <c r="E41" i="129"/>
  <c r="H41" i="129" s="1"/>
  <c r="E71" i="129"/>
  <c r="H71" i="129" s="1"/>
  <c r="E70" i="129"/>
  <c r="H70" i="129" s="1"/>
  <c r="E56" i="129"/>
  <c r="H56" i="129" s="1"/>
  <c r="E50" i="129"/>
  <c r="H50" i="129" s="1"/>
  <c r="E54" i="129"/>
  <c r="H54" i="129" s="1"/>
  <c r="D24" i="128"/>
  <c r="E24" i="128" s="1"/>
  <c r="H24" i="128" s="1"/>
  <c r="D14" i="46"/>
  <c r="E14" i="46" s="1"/>
  <c r="H14" i="46" s="1"/>
  <c r="D13" i="46"/>
  <c r="E13" i="46" s="1"/>
  <c r="H13" i="46" s="1"/>
  <c r="D24" i="116"/>
  <c r="E24" i="116" s="1"/>
  <c r="H24" i="116" s="1"/>
  <c r="D24" i="120"/>
  <c r="E24" i="120" s="1"/>
  <c r="H24" i="120" s="1"/>
  <c r="D7" i="46"/>
  <c r="E7" i="46" s="1"/>
  <c r="H7" i="46" s="1"/>
  <c r="D12" i="46"/>
  <c r="E12" i="46" s="1"/>
  <c r="D22" i="80"/>
  <c r="E22" i="80" s="1"/>
  <c r="H22" i="80" s="1"/>
  <c r="D24" i="115"/>
  <c r="E24" i="115" s="1"/>
  <c r="H24" i="115" s="1"/>
  <c r="D16" i="46"/>
  <c r="D17" i="46"/>
  <c r="E15" i="46"/>
  <c r="H15" i="46" s="1"/>
  <c r="E10" i="46"/>
  <c r="H10" i="46" s="1"/>
  <c r="E11" i="46"/>
  <c r="H11" i="46" s="1"/>
  <c r="C24" i="33"/>
  <c r="E24" i="119"/>
  <c r="H24" i="119" s="1"/>
  <c r="E24" i="114"/>
  <c r="H24" i="114" s="1"/>
  <c r="E32" i="114"/>
  <c r="H32" i="114" s="1"/>
  <c r="E32" i="128"/>
  <c r="H32" i="128" s="1"/>
  <c r="E32" i="119"/>
  <c r="H32" i="119" s="1"/>
  <c r="E41" i="114"/>
  <c r="H41" i="114" s="1"/>
  <c r="E41" i="128"/>
  <c r="H41" i="128" s="1"/>
  <c r="E71" i="119"/>
  <c r="H71" i="119" s="1"/>
  <c r="E71" i="114"/>
  <c r="H71" i="114" s="1"/>
  <c r="E56" i="128"/>
  <c r="H56" i="128" s="1"/>
  <c r="E56" i="114"/>
  <c r="H56" i="114" s="1"/>
  <c r="E50" i="114"/>
  <c r="H50" i="114" s="1"/>
  <c r="E50" i="119"/>
  <c r="H50" i="119" s="1"/>
  <c r="E54" i="119"/>
  <c r="H54" i="119" s="1"/>
  <c r="E70" i="114"/>
  <c r="H70" i="114" s="1"/>
  <c r="E70" i="119"/>
  <c r="H70" i="119" s="1"/>
  <c r="E70" i="128"/>
  <c r="H70" i="128" s="1"/>
  <c r="E65" i="114"/>
  <c r="H65" i="114" s="1"/>
  <c r="E65" i="128"/>
  <c r="H65" i="128" s="1"/>
  <c r="E54" i="114"/>
  <c r="H54" i="114" s="1"/>
  <c r="E54" i="128"/>
  <c r="H54" i="128" s="1"/>
  <c r="E63" i="128"/>
  <c r="H63" i="128" s="1"/>
  <c r="E41" i="119"/>
  <c r="H41" i="119" s="1"/>
  <c r="E71" i="128"/>
  <c r="H71" i="128" s="1"/>
  <c r="E56" i="119"/>
  <c r="H56" i="119" s="1"/>
  <c r="E39" i="119"/>
  <c r="H39" i="119" s="1"/>
  <c r="E39" i="114"/>
  <c r="H39" i="114" s="1"/>
  <c r="E39" i="128"/>
  <c r="H39" i="128" s="1"/>
  <c r="E50" i="128"/>
  <c r="H50" i="128" s="1"/>
  <c r="E65" i="119"/>
  <c r="H65" i="119" s="1"/>
  <c r="E15" i="128"/>
  <c r="H15" i="128" s="1"/>
  <c r="E43" i="128"/>
  <c r="H43" i="128" s="1"/>
  <c r="E43" i="114"/>
  <c r="H43" i="114" s="1"/>
  <c r="E43" i="119"/>
  <c r="H43" i="119" s="1"/>
  <c r="E28" i="119"/>
  <c r="H28" i="119" s="1"/>
  <c r="E63" i="119"/>
  <c r="H63" i="119" s="1"/>
  <c r="E63" i="114"/>
  <c r="H63" i="114" s="1"/>
  <c r="E54" i="76"/>
  <c r="H54" i="76" s="1"/>
  <c r="E63" i="76"/>
  <c r="H63" i="76" s="1"/>
  <c r="E39" i="76"/>
  <c r="H39" i="76" s="1"/>
  <c r="E52" i="76"/>
  <c r="H52" i="76" s="1"/>
  <c r="E41" i="76"/>
  <c r="H41" i="76" s="1"/>
  <c r="E24" i="127"/>
  <c r="H24" i="127" s="1"/>
  <c r="E71" i="127"/>
  <c r="H71" i="127" s="1"/>
  <c r="E65" i="127"/>
  <c r="H65" i="127" s="1"/>
  <c r="E43" i="127"/>
  <c r="H43" i="127" s="1"/>
  <c r="E54" i="127"/>
  <c r="H54" i="127" s="1"/>
  <c r="E32" i="127"/>
  <c r="H32" i="127" s="1"/>
  <c r="E41" i="127"/>
  <c r="H41" i="127" s="1"/>
  <c r="E56" i="127"/>
  <c r="H56" i="127" s="1"/>
  <c r="E39" i="127"/>
  <c r="H39" i="127" s="1"/>
  <c r="E50" i="127"/>
  <c r="H50" i="127" s="1"/>
  <c r="E70" i="127"/>
  <c r="H70" i="127" s="1"/>
  <c r="E63" i="127"/>
  <c r="H63" i="127" s="1"/>
  <c r="E24" i="117"/>
  <c r="H24" i="117" s="1"/>
  <c r="E32" i="117"/>
  <c r="H32" i="117" s="1"/>
  <c r="E54" i="117"/>
  <c r="H54" i="117" s="1"/>
  <c r="E71" i="117"/>
  <c r="H71" i="117" s="1"/>
  <c r="E56" i="117"/>
  <c r="H56" i="117" s="1"/>
  <c r="E50" i="117"/>
  <c r="H50" i="117" s="1"/>
  <c r="E65" i="117"/>
  <c r="H65" i="117" s="1"/>
  <c r="E43" i="117"/>
  <c r="H43" i="117" s="1"/>
  <c r="E41" i="117"/>
  <c r="H41" i="117" s="1"/>
  <c r="E39" i="117"/>
  <c r="H39" i="117" s="1"/>
  <c r="E70" i="117"/>
  <c r="H70" i="117" s="1"/>
  <c r="E32" i="116"/>
  <c r="H32" i="116" s="1"/>
  <c r="E54" i="116"/>
  <c r="H54" i="116" s="1"/>
  <c r="E41" i="116"/>
  <c r="H41" i="116" s="1"/>
  <c r="E56" i="116"/>
  <c r="H56" i="116" s="1"/>
  <c r="E39" i="116"/>
  <c r="H39" i="116" s="1"/>
  <c r="E50" i="116"/>
  <c r="H50" i="116" s="1"/>
  <c r="E70" i="116"/>
  <c r="H70" i="116" s="1"/>
  <c r="E43" i="116"/>
  <c r="H43" i="116" s="1"/>
  <c r="E71" i="116"/>
  <c r="H71" i="116" s="1"/>
  <c r="E65" i="116"/>
  <c r="H65" i="116" s="1"/>
  <c r="E40" i="116"/>
  <c r="H40" i="116" s="1"/>
  <c r="E63" i="116"/>
  <c r="H63" i="116" s="1"/>
  <c r="E24" i="113"/>
  <c r="H24" i="113" s="1"/>
  <c r="E32" i="113"/>
  <c r="H32" i="113" s="1"/>
  <c r="E41" i="113"/>
  <c r="H41" i="113" s="1"/>
  <c r="E56" i="113"/>
  <c r="H56" i="113" s="1"/>
  <c r="E70" i="113"/>
  <c r="H70" i="113" s="1"/>
  <c r="E43" i="113"/>
  <c r="H43" i="113" s="1"/>
  <c r="E63" i="113"/>
  <c r="H63" i="113" s="1"/>
  <c r="E71" i="113"/>
  <c r="H71" i="113" s="1"/>
  <c r="E39" i="113"/>
  <c r="H39" i="113" s="1"/>
  <c r="E50" i="113"/>
  <c r="H50" i="113" s="1"/>
  <c r="E54" i="113"/>
  <c r="H54" i="113" s="1"/>
  <c r="E65" i="113"/>
  <c r="H65" i="113" s="1"/>
  <c r="D46" i="31"/>
  <c r="E46" i="31" s="1"/>
  <c r="H46" i="31" s="1"/>
  <c r="D52" i="31"/>
  <c r="E52" i="31" s="1"/>
  <c r="H52" i="31" s="1"/>
  <c r="AW24" i="1"/>
  <c r="AX24" i="1" s="1"/>
  <c r="AX43" i="1"/>
  <c r="AX75" i="1"/>
  <c r="D43" i="31"/>
  <c r="E43" i="31" s="1"/>
  <c r="H43" i="31" s="1"/>
  <c r="D65" i="31"/>
  <c r="E65" i="31" s="1"/>
  <c r="H65" i="31" s="1"/>
  <c r="AV75" i="1"/>
  <c r="D25" i="31"/>
  <c r="E25" i="31" s="1"/>
  <c r="H25" i="31" s="1"/>
  <c r="D66" i="31"/>
  <c r="E66" i="31" s="1"/>
  <c r="H66" i="31" s="1"/>
  <c r="AX35" i="1"/>
  <c r="C40" i="33"/>
  <c r="AV35" i="1"/>
  <c r="D14" i="113"/>
  <c r="BA40" i="1"/>
  <c r="D14" i="118"/>
  <c r="E14" i="118" s="1"/>
  <c r="H14" i="118" s="1"/>
  <c r="D15" i="125"/>
  <c r="E15" i="125" s="1"/>
  <c r="H15" i="125" s="1"/>
  <c r="D14" i="117"/>
  <c r="D14" i="126"/>
  <c r="E14" i="126" s="1"/>
  <c r="H14" i="126" s="1"/>
  <c r="D14" i="116"/>
  <c r="D14" i="128"/>
  <c r="D14" i="131"/>
  <c r="E14" i="131" s="1"/>
  <c r="H14" i="131" s="1"/>
  <c r="D14" i="129"/>
  <c r="D28" i="131"/>
  <c r="E28" i="131" s="1"/>
  <c r="H28" i="131" s="1"/>
  <c r="D26" i="126"/>
  <c r="E26" i="126" s="1"/>
  <c r="H26" i="126" s="1"/>
  <c r="D26" i="118"/>
  <c r="E26" i="118" s="1"/>
  <c r="H26" i="118" s="1"/>
  <c r="D26" i="131"/>
  <c r="E26" i="131" s="1"/>
  <c r="H26" i="131" s="1"/>
  <c r="D26" i="115"/>
  <c r="E26" i="115" s="1"/>
  <c r="H26" i="115" s="1"/>
  <c r="D26" i="119"/>
  <c r="D26" i="120"/>
  <c r="E26" i="120" s="1"/>
  <c r="H26" i="120" s="1"/>
  <c r="D26" i="127"/>
  <c r="D26" i="125"/>
  <c r="E26" i="125" s="1"/>
  <c r="H26" i="125" s="1"/>
  <c r="D26" i="129"/>
  <c r="D26" i="128"/>
  <c r="D26" i="116"/>
  <c r="D24" i="80"/>
  <c r="D26" i="114"/>
  <c r="D26" i="117"/>
  <c r="D24" i="76"/>
  <c r="D26" i="113"/>
  <c r="AW26" i="1"/>
  <c r="AQ26" i="1" s="1"/>
  <c r="C26" i="33"/>
  <c r="AP26" i="1"/>
  <c r="BA26" i="1"/>
  <c r="D45" i="31"/>
  <c r="E45" i="31" s="1"/>
  <c r="H45" i="31" s="1"/>
  <c r="D14" i="31"/>
  <c r="E14" i="31" s="1"/>
  <c r="H14" i="31" s="1"/>
  <c r="D34" i="31"/>
  <c r="E34" i="31" s="1"/>
  <c r="H34" i="31" s="1"/>
  <c r="D13" i="31"/>
  <c r="E13" i="31" s="1"/>
  <c r="H13" i="31" s="1"/>
  <c r="D37" i="31"/>
  <c r="E37" i="31" s="1"/>
  <c r="H37" i="31" s="1"/>
  <c r="D48" i="31"/>
  <c r="E48" i="31" s="1"/>
  <c r="H48" i="31" s="1"/>
  <c r="D39" i="31"/>
  <c r="E39" i="31" s="1"/>
  <c r="H39" i="31" s="1"/>
  <c r="D63" i="31"/>
  <c r="E63" i="31" s="1"/>
  <c r="H63" i="31" s="1"/>
  <c r="D62" i="31"/>
  <c r="E62" i="31" s="1"/>
  <c r="H62" i="31" s="1"/>
  <c r="D61" i="31"/>
  <c r="E61" i="31" s="1"/>
  <c r="H61" i="31" s="1"/>
  <c r="D9" i="31"/>
  <c r="E9" i="31" s="1"/>
  <c r="H9" i="31" s="1"/>
  <c r="D51" i="31"/>
  <c r="E51" i="31" s="1"/>
  <c r="H51" i="31" s="1"/>
  <c r="D40" i="31"/>
  <c r="E40" i="31" s="1"/>
  <c r="H40" i="31" s="1"/>
  <c r="D17" i="31"/>
  <c r="E17" i="31" s="1"/>
  <c r="H17" i="31" s="1"/>
  <c r="D56" i="31"/>
  <c r="E56" i="31" s="1"/>
  <c r="H56" i="31" s="1"/>
  <c r="D68" i="31"/>
  <c r="E68" i="31" s="1"/>
  <c r="H68" i="31" s="1"/>
  <c r="D41" i="31"/>
  <c r="E41" i="31" s="1"/>
  <c r="H41" i="31" s="1"/>
  <c r="D26" i="31"/>
  <c r="E26" i="31" s="1"/>
  <c r="H26" i="31" s="1"/>
  <c r="D28" i="31"/>
  <c r="E28" i="31" s="1"/>
  <c r="H28" i="31" s="1"/>
  <c r="D38" i="31"/>
  <c r="E38" i="31" s="1"/>
  <c r="H38" i="31" s="1"/>
  <c r="AQ43" i="1"/>
  <c r="D67" i="31"/>
  <c r="E67" i="31" s="1"/>
  <c r="H67" i="31" s="1"/>
  <c r="D21" i="31"/>
  <c r="E21" i="31" s="1"/>
  <c r="H21" i="31" s="1"/>
  <c r="D14" i="125"/>
  <c r="E14" i="125" s="1"/>
  <c r="H14" i="125" s="1"/>
  <c r="D14" i="119"/>
  <c r="D14" i="114"/>
  <c r="D12" i="76"/>
  <c r="I39" i="76"/>
  <c r="D12" i="80"/>
  <c r="E12" i="80" s="1"/>
  <c r="H12" i="80" s="1"/>
  <c r="D14" i="120"/>
  <c r="E14" i="120" s="1"/>
  <c r="H14" i="120" s="1"/>
  <c r="D14" i="127"/>
  <c r="D28" i="118"/>
  <c r="E28" i="118" s="1"/>
  <c r="H28" i="118" s="1"/>
  <c r="AW20" i="1"/>
  <c r="AQ20" i="1" s="1"/>
  <c r="AP28" i="1"/>
  <c r="E61" i="76"/>
  <c r="H61" i="76" s="1"/>
  <c r="I61" i="76"/>
  <c r="D63" i="67"/>
  <c r="E63" i="67" s="1"/>
  <c r="F63" i="67" s="1"/>
  <c r="G63" i="67" s="1"/>
  <c r="I63" i="67" s="1"/>
  <c r="I41" i="80"/>
  <c r="C28" i="33"/>
  <c r="AV63" i="1"/>
  <c r="AX63" i="1"/>
  <c r="D28" i="114"/>
  <c r="AP20" i="1"/>
  <c r="D20" i="67" s="1"/>
  <c r="E20" i="67" s="1"/>
  <c r="F20" i="67" s="1"/>
  <c r="G20" i="67" s="1"/>
  <c r="I20" i="67" s="1"/>
  <c r="BA28" i="1"/>
  <c r="AW37" i="1"/>
  <c r="AQ37" i="1" s="1"/>
  <c r="AP37" i="1"/>
  <c r="C37" i="33"/>
  <c r="BA37" i="1"/>
  <c r="D37" i="131"/>
  <c r="E37" i="131" s="1"/>
  <c r="H37" i="131" s="1"/>
  <c r="D37" i="114"/>
  <c r="D37" i="117"/>
  <c r="D35" i="76"/>
  <c r="D37" i="127"/>
  <c r="D37" i="125"/>
  <c r="E37" i="125" s="1"/>
  <c r="H37" i="125" s="1"/>
  <c r="D37" i="115"/>
  <c r="E37" i="115" s="1"/>
  <c r="H37" i="115" s="1"/>
  <c r="D35" i="80"/>
  <c r="E35" i="80" s="1"/>
  <c r="H35" i="80" s="1"/>
  <c r="D37" i="116"/>
  <c r="D37" i="118"/>
  <c r="E37" i="118" s="1"/>
  <c r="H37" i="118" s="1"/>
  <c r="D37" i="120"/>
  <c r="E37" i="120" s="1"/>
  <c r="H37" i="120" s="1"/>
  <c r="D37" i="129"/>
  <c r="D37" i="126"/>
  <c r="E37" i="126" s="1"/>
  <c r="H37" i="126" s="1"/>
  <c r="D37" i="128"/>
  <c r="D37" i="119"/>
  <c r="D37" i="113"/>
  <c r="D28" i="125"/>
  <c r="E28" i="125" s="1"/>
  <c r="H28" i="125" s="1"/>
  <c r="E61" i="80"/>
  <c r="H61" i="80" s="1"/>
  <c r="I61" i="80"/>
  <c r="AQ63" i="1"/>
  <c r="D15" i="116"/>
  <c r="D26" i="76"/>
  <c r="D28" i="117"/>
  <c r="D28" i="116"/>
  <c r="D28" i="115"/>
  <c r="E28" i="115" s="1"/>
  <c r="H28" i="115" s="1"/>
  <c r="D28" i="120"/>
  <c r="E28" i="120" s="1"/>
  <c r="H28" i="120" s="1"/>
  <c r="D26" i="80"/>
  <c r="E26" i="80" s="1"/>
  <c r="H26" i="80" s="1"/>
  <c r="AW40" i="1"/>
  <c r="AQ40" i="1" s="1"/>
  <c r="D40" i="113"/>
  <c r="D28" i="127"/>
  <c r="D28" i="126"/>
  <c r="E28" i="126" s="1"/>
  <c r="H28" i="126" s="1"/>
  <c r="D20" i="131"/>
  <c r="E20" i="131" s="1"/>
  <c r="H20" i="131" s="1"/>
  <c r="D28" i="113"/>
  <c r="D28" i="128"/>
  <c r="D28" i="129"/>
  <c r="D40" i="126"/>
  <c r="E40" i="126" s="1"/>
  <c r="H40" i="126" s="1"/>
  <c r="D36" i="31"/>
  <c r="E36" i="31" s="1"/>
  <c r="H36" i="31" s="1"/>
  <c r="D47" i="31"/>
  <c r="E47" i="31" s="1"/>
  <c r="H47" i="31" s="1"/>
  <c r="D32" i="31"/>
  <c r="E32" i="31" s="1"/>
  <c r="H32" i="31" s="1"/>
  <c r="D19" i="31"/>
  <c r="E19" i="31" s="1"/>
  <c r="H19" i="31" s="1"/>
  <c r="D64" i="31"/>
  <c r="E64" i="31" s="1"/>
  <c r="H64" i="31" s="1"/>
  <c r="D24" i="31"/>
  <c r="E24" i="31" s="1"/>
  <c r="H24" i="31" s="1"/>
  <c r="D58" i="31"/>
  <c r="E58" i="31" s="1"/>
  <c r="H58" i="31" s="1"/>
  <c r="D55" i="31"/>
  <c r="E55" i="31" s="1"/>
  <c r="H55" i="31" s="1"/>
  <c r="D49" i="31"/>
  <c r="E49" i="31" s="1"/>
  <c r="H49" i="31" s="1"/>
  <c r="D59" i="31"/>
  <c r="E59" i="31" s="1"/>
  <c r="H59" i="31" s="1"/>
  <c r="D29" i="31"/>
  <c r="E29" i="31" s="1"/>
  <c r="H29" i="31" s="1"/>
  <c r="D30" i="31"/>
  <c r="E30" i="31" s="1"/>
  <c r="H30" i="31" s="1"/>
  <c r="D23" i="31"/>
  <c r="E23" i="31" s="1"/>
  <c r="H23" i="31" s="1"/>
  <c r="D53" i="31"/>
  <c r="E53" i="31" s="1"/>
  <c r="H53" i="31" s="1"/>
  <c r="I41" i="76"/>
  <c r="C20" i="33"/>
  <c r="AP15" i="1"/>
  <c r="D15" i="67" s="1"/>
  <c r="E15" i="67" s="1"/>
  <c r="F15" i="67" s="1"/>
  <c r="G15" i="67" s="1"/>
  <c r="I15" i="67" s="1"/>
  <c r="D40" i="125"/>
  <c r="E40" i="125" s="1"/>
  <c r="H40" i="125" s="1"/>
  <c r="D38" i="76"/>
  <c r="D40" i="128"/>
  <c r="D40" i="127"/>
  <c r="D54" i="31"/>
  <c r="E54" i="31" s="1"/>
  <c r="H54" i="31" s="1"/>
  <c r="D27" i="31"/>
  <c r="E27" i="31" s="1"/>
  <c r="H27" i="31" s="1"/>
  <c r="D22" i="31"/>
  <c r="E22" i="31" s="1"/>
  <c r="H22" i="31" s="1"/>
  <c r="D12" i="31"/>
  <c r="E12" i="31" s="1"/>
  <c r="H12" i="31" s="1"/>
  <c r="D60" i="31"/>
  <c r="E60" i="31" s="1"/>
  <c r="H60" i="31" s="1"/>
  <c r="D31" i="31"/>
  <c r="E31" i="31" s="1"/>
  <c r="H31" i="31" s="1"/>
  <c r="D15" i="31"/>
  <c r="E15" i="31" s="1"/>
  <c r="H15" i="31" s="1"/>
  <c r="D20" i="31"/>
  <c r="E20" i="31" s="1"/>
  <c r="H20" i="31" s="1"/>
  <c r="D44" i="31"/>
  <c r="E44" i="31" s="1"/>
  <c r="H44" i="31" s="1"/>
  <c r="D57" i="31"/>
  <c r="E57" i="31" s="1"/>
  <c r="H57" i="31" s="1"/>
  <c r="D18" i="31"/>
  <c r="E18" i="31" s="1"/>
  <c r="H18" i="31" s="1"/>
  <c r="D7" i="31"/>
  <c r="E7" i="31" s="1"/>
  <c r="H7" i="31" s="1"/>
  <c r="D42" i="31"/>
  <c r="E42" i="31" s="1"/>
  <c r="H42" i="31" s="1"/>
  <c r="D35" i="31"/>
  <c r="E35" i="31" s="1"/>
  <c r="H35" i="31" s="1"/>
  <c r="AW15" i="1"/>
  <c r="AQ15" i="1" s="1"/>
  <c r="D40" i="120"/>
  <c r="E40" i="120" s="1"/>
  <c r="H40" i="120" s="1"/>
  <c r="D40" i="114"/>
  <c r="D15" i="114"/>
  <c r="D15" i="126"/>
  <c r="E15" i="126" s="1"/>
  <c r="H15" i="126" s="1"/>
  <c r="D15" i="118"/>
  <c r="E15" i="118" s="1"/>
  <c r="H15" i="118" s="1"/>
  <c r="D20" i="116"/>
  <c r="C15" i="33"/>
  <c r="D40" i="129"/>
  <c r="D38" i="80"/>
  <c r="E38" i="80" s="1"/>
  <c r="H38" i="80" s="1"/>
  <c r="D40" i="115"/>
  <c r="E40" i="115" s="1"/>
  <c r="H40" i="115" s="1"/>
  <c r="D40" i="117"/>
  <c r="D57" i="120"/>
  <c r="E57" i="120" s="1"/>
  <c r="H57" i="120" s="1"/>
  <c r="D57" i="125"/>
  <c r="E57" i="125" s="1"/>
  <c r="H57" i="125" s="1"/>
  <c r="D57" i="126"/>
  <c r="E57" i="126" s="1"/>
  <c r="H57" i="126" s="1"/>
  <c r="D57" i="117"/>
  <c r="D57" i="115"/>
  <c r="E57" i="115" s="1"/>
  <c r="H57" i="115" s="1"/>
  <c r="D57" i="118"/>
  <c r="E57" i="118" s="1"/>
  <c r="H57" i="118" s="1"/>
  <c r="D57" i="114"/>
  <c r="D57" i="131"/>
  <c r="E57" i="131" s="1"/>
  <c r="H57" i="131" s="1"/>
  <c r="D55" i="76"/>
  <c r="D57" i="119"/>
  <c r="D57" i="113"/>
  <c r="D57" i="128"/>
  <c r="D57" i="116"/>
  <c r="D57" i="127"/>
  <c r="D57" i="129"/>
  <c r="D55" i="80"/>
  <c r="E55" i="80" s="1"/>
  <c r="H55" i="80" s="1"/>
  <c r="D15" i="120"/>
  <c r="E15" i="120" s="1"/>
  <c r="H15" i="120" s="1"/>
  <c r="D20" i="119"/>
  <c r="I52" i="76"/>
  <c r="D13" i="76"/>
  <c r="D15" i="129"/>
  <c r="D20" i="125"/>
  <c r="E20" i="125" s="1"/>
  <c r="H20" i="125" s="1"/>
  <c r="D40" i="131"/>
  <c r="E40" i="131" s="1"/>
  <c r="H40" i="131" s="1"/>
  <c r="D40" i="119"/>
  <c r="D40" i="118"/>
  <c r="E40" i="118" s="1"/>
  <c r="H40" i="118" s="1"/>
  <c r="AP57" i="1"/>
  <c r="C57" i="33"/>
  <c r="BA57" i="1"/>
  <c r="AW57" i="1"/>
  <c r="AQ57" i="1" s="1"/>
  <c r="BA29" i="1"/>
  <c r="AW29" i="1"/>
  <c r="AQ29" i="1" s="1"/>
  <c r="C29" i="33"/>
  <c r="AP29" i="1"/>
  <c r="W54" i="67"/>
  <c r="W59" i="67"/>
  <c r="D15" i="115"/>
  <c r="E15" i="115" s="1"/>
  <c r="H15" i="115" s="1"/>
  <c r="D15" i="113"/>
  <c r="D15" i="119"/>
  <c r="D13" i="80"/>
  <c r="E13" i="80" s="1"/>
  <c r="H13" i="80" s="1"/>
  <c r="D20" i="114"/>
  <c r="D20" i="129"/>
  <c r="BA73" i="1"/>
  <c r="C73" i="33"/>
  <c r="AW73" i="1"/>
  <c r="AP73" i="1"/>
  <c r="D15" i="127"/>
  <c r="D15" i="117"/>
  <c r="D15" i="131"/>
  <c r="E15" i="131" s="1"/>
  <c r="H15" i="131" s="1"/>
  <c r="D20" i="120"/>
  <c r="E20" i="120" s="1"/>
  <c r="H20" i="120" s="1"/>
  <c r="D20" i="113"/>
  <c r="D27" i="76"/>
  <c r="D29" i="120"/>
  <c r="E29" i="120" s="1"/>
  <c r="H29" i="120" s="1"/>
  <c r="D29" i="128"/>
  <c r="D29" i="119"/>
  <c r="D27" i="80"/>
  <c r="E27" i="80" s="1"/>
  <c r="H27" i="80" s="1"/>
  <c r="D29" i="127"/>
  <c r="D29" i="114"/>
  <c r="D29" i="116"/>
  <c r="D29" i="117"/>
  <c r="D29" i="126"/>
  <c r="E29" i="126" s="1"/>
  <c r="H29" i="126" s="1"/>
  <c r="D29" i="125"/>
  <c r="E29" i="125" s="1"/>
  <c r="H29" i="125" s="1"/>
  <c r="D29" i="115"/>
  <c r="E29" i="115" s="1"/>
  <c r="H29" i="115" s="1"/>
  <c r="D29" i="118"/>
  <c r="E29" i="118" s="1"/>
  <c r="H29" i="118" s="1"/>
  <c r="D29" i="113"/>
  <c r="D29" i="129"/>
  <c r="D29" i="131"/>
  <c r="E29" i="131" s="1"/>
  <c r="H29" i="131" s="1"/>
  <c r="I27" i="76"/>
  <c r="D71" i="76"/>
  <c r="D73" i="125"/>
  <c r="E73" i="125" s="1"/>
  <c r="H73" i="125" s="1"/>
  <c r="D73" i="119"/>
  <c r="D73" i="126"/>
  <c r="E73" i="126" s="1"/>
  <c r="H73" i="126" s="1"/>
  <c r="D73" i="127"/>
  <c r="D71" i="80"/>
  <c r="D73" i="128"/>
  <c r="D73" i="116"/>
  <c r="D73" i="114"/>
  <c r="D73" i="113"/>
  <c r="D73" i="118"/>
  <c r="E73" i="118" s="1"/>
  <c r="H73" i="118" s="1"/>
  <c r="D73" i="131"/>
  <c r="E73" i="131" s="1"/>
  <c r="H73" i="131" s="1"/>
  <c r="D73" i="115"/>
  <c r="E73" i="115" s="1"/>
  <c r="H73" i="115" s="1"/>
  <c r="D73" i="117"/>
  <c r="D73" i="120"/>
  <c r="E73" i="120" s="1"/>
  <c r="H73" i="120" s="1"/>
  <c r="D73" i="129"/>
  <c r="E17" i="137"/>
  <c r="H17" i="137" s="1"/>
  <c r="D45" i="118"/>
  <c r="E45" i="118" s="1"/>
  <c r="H45" i="118" s="1"/>
  <c r="D45" i="125"/>
  <c r="E45" i="125" s="1"/>
  <c r="H45" i="125" s="1"/>
  <c r="D45" i="119"/>
  <c r="D45" i="117"/>
  <c r="D43" i="80"/>
  <c r="E43" i="80" s="1"/>
  <c r="H43" i="80" s="1"/>
  <c r="D45" i="114"/>
  <c r="D45" i="120"/>
  <c r="E45" i="120" s="1"/>
  <c r="H45" i="120" s="1"/>
  <c r="D45" i="128"/>
  <c r="D45" i="129"/>
  <c r="D43" i="76"/>
  <c r="D45" i="113"/>
  <c r="D45" i="131"/>
  <c r="E45" i="131" s="1"/>
  <c r="H45" i="131" s="1"/>
  <c r="D45" i="116"/>
  <c r="D45" i="127"/>
  <c r="D45" i="115"/>
  <c r="E45" i="115" s="1"/>
  <c r="H45" i="115" s="1"/>
  <c r="D45" i="126"/>
  <c r="E45" i="126" s="1"/>
  <c r="H45" i="126" s="1"/>
  <c r="D52" i="129"/>
  <c r="D52" i="126"/>
  <c r="E52" i="126" s="1"/>
  <c r="H52" i="126" s="1"/>
  <c r="D50" i="76"/>
  <c r="D52" i="120"/>
  <c r="E52" i="120" s="1"/>
  <c r="H52" i="120" s="1"/>
  <c r="D52" i="131"/>
  <c r="E52" i="131" s="1"/>
  <c r="H52" i="131" s="1"/>
  <c r="D52" i="127"/>
  <c r="D52" i="128"/>
  <c r="D50" i="80"/>
  <c r="E50" i="80" s="1"/>
  <c r="H50" i="80" s="1"/>
  <c r="D52" i="118"/>
  <c r="E52" i="118" s="1"/>
  <c r="H52" i="118" s="1"/>
  <c r="D52" i="117"/>
  <c r="D52" i="125"/>
  <c r="E52" i="125" s="1"/>
  <c r="H52" i="125" s="1"/>
  <c r="D52" i="114"/>
  <c r="D52" i="119"/>
  <c r="D52" i="116"/>
  <c r="D52" i="113"/>
  <c r="D52" i="115"/>
  <c r="E52" i="115" s="1"/>
  <c r="H52" i="115" s="1"/>
  <c r="D20" i="118"/>
  <c r="E20" i="118" s="1"/>
  <c r="H20" i="118" s="1"/>
  <c r="D20" i="127"/>
  <c r="D18" i="80"/>
  <c r="E18" i="80" s="1"/>
  <c r="H18" i="80" s="1"/>
  <c r="D18" i="76"/>
  <c r="D21" i="113"/>
  <c r="D21" i="131"/>
  <c r="E21" i="131" s="1"/>
  <c r="H21" i="131" s="1"/>
  <c r="D21" i="116"/>
  <c r="D21" i="129"/>
  <c r="D21" i="127"/>
  <c r="D21" i="117"/>
  <c r="D21" i="118"/>
  <c r="E21" i="118" s="1"/>
  <c r="H21" i="118" s="1"/>
  <c r="D19" i="76"/>
  <c r="D21" i="119"/>
  <c r="D19" i="80"/>
  <c r="D21" i="126"/>
  <c r="E21" i="126" s="1"/>
  <c r="H21" i="126" s="1"/>
  <c r="D21" i="114"/>
  <c r="D21" i="128"/>
  <c r="D21" i="115"/>
  <c r="E21" i="115" s="1"/>
  <c r="H21" i="115" s="1"/>
  <c r="D21" i="120"/>
  <c r="E21" i="120" s="1"/>
  <c r="H21" i="120" s="1"/>
  <c r="D21" i="125"/>
  <c r="E21" i="125" s="1"/>
  <c r="H21" i="125" s="1"/>
  <c r="BA52" i="1"/>
  <c r="C52" i="33"/>
  <c r="AW52" i="1"/>
  <c r="AQ52" i="1" s="1"/>
  <c r="AP52" i="1"/>
  <c r="D11" i="114"/>
  <c r="D11" i="125"/>
  <c r="E11" i="125" s="1"/>
  <c r="H11" i="125" s="1"/>
  <c r="D11" i="119"/>
  <c r="D11" i="113"/>
  <c r="D9" i="76"/>
  <c r="E11" i="118"/>
  <c r="H11" i="118" s="1"/>
  <c r="D11" i="115"/>
  <c r="E11" i="115" s="1"/>
  <c r="H11" i="115" s="1"/>
  <c r="D11" i="129"/>
  <c r="D11" i="116"/>
  <c r="D9" i="80"/>
  <c r="D11" i="117"/>
  <c r="D11" i="126"/>
  <c r="E11" i="126" s="1"/>
  <c r="H11" i="126" s="1"/>
  <c r="D11" i="127"/>
  <c r="D11" i="120"/>
  <c r="E11" i="120" s="1"/>
  <c r="H11" i="120" s="1"/>
  <c r="D11" i="128"/>
  <c r="D11" i="131"/>
  <c r="E11" i="131" s="1"/>
  <c r="H11" i="131" s="1"/>
  <c r="AW45" i="1"/>
  <c r="BA45" i="1"/>
  <c r="C45" i="33"/>
  <c r="AP45" i="1"/>
  <c r="C31" i="33"/>
  <c r="AP31" i="1"/>
  <c r="BA31" i="1"/>
  <c r="AW31" i="1"/>
  <c r="BA21" i="1"/>
  <c r="C21" i="33"/>
  <c r="AW21" i="1"/>
  <c r="AP21" i="1"/>
  <c r="BA11" i="1"/>
  <c r="C11" i="33"/>
  <c r="AP11" i="1"/>
  <c r="AW11" i="1"/>
  <c r="D53" i="116"/>
  <c r="D51" i="80"/>
  <c r="E51" i="80" s="1"/>
  <c r="H51" i="80" s="1"/>
  <c r="D33" i="46"/>
  <c r="E33" i="46" s="1"/>
  <c r="D53" i="127"/>
  <c r="D51" i="76"/>
  <c r="D53" i="126"/>
  <c r="E53" i="126" s="1"/>
  <c r="H53" i="126" s="1"/>
  <c r="D53" i="129"/>
  <c r="D35" i="46"/>
  <c r="D53" i="117"/>
  <c r="D53" i="115"/>
  <c r="E53" i="115" s="1"/>
  <c r="H53" i="115" s="1"/>
  <c r="D53" i="118"/>
  <c r="E53" i="118" s="1"/>
  <c r="H53" i="118" s="1"/>
  <c r="D53" i="114"/>
  <c r="D53" i="131"/>
  <c r="E53" i="131" s="1"/>
  <c r="H53" i="131" s="1"/>
  <c r="D53" i="113"/>
  <c r="D53" i="128"/>
  <c r="D53" i="119"/>
  <c r="D53" i="125"/>
  <c r="E53" i="125" s="1"/>
  <c r="H53" i="125" s="1"/>
  <c r="D53" i="120"/>
  <c r="E53" i="120" s="1"/>
  <c r="H53" i="120" s="1"/>
  <c r="D31" i="115"/>
  <c r="E31" i="115" s="1"/>
  <c r="H31" i="115" s="1"/>
  <c r="D31" i="114"/>
  <c r="D31" i="119"/>
  <c r="D31" i="120"/>
  <c r="E31" i="120" s="1"/>
  <c r="H31" i="120" s="1"/>
  <c r="D31" i="118"/>
  <c r="E31" i="118" s="1"/>
  <c r="H31" i="118" s="1"/>
  <c r="D31" i="117"/>
  <c r="D31" i="131"/>
  <c r="E31" i="131" s="1"/>
  <c r="H31" i="131" s="1"/>
  <c r="D31" i="113"/>
  <c r="D31" i="128"/>
  <c r="D31" i="129"/>
  <c r="D31" i="116"/>
  <c r="D31" i="127"/>
  <c r="D29" i="76"/>
  <c r="D31" i="126"/>
  <c r="E31" i="126" s="1"/>
  <c r="H31" i="126" s="1"/>
  <c r="D29" i="80"/>
  <c r="E29" i="80" s="1"/>
  <c r="H29" i="80" s="1"/>
  <c r="D31" i="125"/>
  <c r="E31" i="125" s="1"/>
  <c r="H31" i="125" s="1"/>
  <c r="D20" i="117"/>
  <c r="D20" i="128"/>
  <c r="D20" i="115"/>
  <c r="E20" i="115" s="1"/>
  <c r="H20" i="115" s="1"/>
  <c r="C53" i="33"/>
  <c r="BA53" i="1"/>
  <c r="AP53" i="1"/>
  <c r="AW53" i="1"/>
  <c r="D58" i="117"/>
  <c r="D58" i="115"/>
  <c r="E58" i="115" s="1"/>
  <c r="H58" i="115" s="1"/>
  <c r="D58" i="116"/>
  <c r="D58" i="120"/>
  <c r="E58" i="120" s="1"/>
  <c r="H58" i="120" s="1"/>
  <c r="D58" i="113"/>
  <c r="D58" i="119"/>
  <c r="D58" i="128"/>
  <c r="D58" i="126"/>
  <c r="E58" i="126" s="1"/>
  <c r="H58" i="126" s="1"/>
  <c r="D58" i="125"/>
  <c r="E58" i="125" s="1"/>
  <c r="H58" i="125" s="1"/>
  <c r="D58" i="131"/>
  <c r="E58" i="131" s="1"/>
  <c r="H58" i="131" s="1"/>
  <c r="D56" i="76"/>
  <c r="D56" i="80"/>
  <c r="E56" i="80" s="1"/>
  <c r="H56" i="80" s="1"/>
  <c r="D58" i="127"/>
  <c r="D58" i="118"/>
  <c r="E58" i="118" s="1"/>
  <c r="H58" i="118" s="1"/>
  <c r="D58" i="129"/>
  <c r="D58" i="114"/>
  <c r="E11" i="137"/>
  <c r="D67" i="119"/>
  <c r="D67" i="127"/>
  <c r="D67" i="115"/>
  <c r="E67" i="115" s="1"/>
  <c r="H67" i="115" s="1"/>
  <c r="D67" i="116"/>
  <c r="D65" i="80"/>
  <c r="E65" i="80" s="1"/>
  <c r="H65" i="80" s="1"/>
  <c r="D67" i="125"/>
  <c r="E67" i="125" s="1"/>
  <c r="H67" i="125" s="1"/>
  <c r="D67" i="114"/>
  <c r="D67" i="118"/>
  <c r="E67" i="118" s="1"/>
  <c r="H67" i="118" s="1"/>
  <c r="D67" i="120"/>
  <c r="E67" i="120" s="1"/>
  <c r="H67" i="120" s="1"/>
  <c r="D67" i="117"/>
  <c r="D67" i="126"/>
  <c r="E67" i="126" s="1"/>
  <c r="H67" i="126" s="1"/>
  <c r="D67" i="113"/>
  <c r="D67" i="129"/>
  <c r="D65" i="76"/>
  <c r="D67" i="128"/>
  <c r="D67" i="131"/>
  <c r="E67" i="131" s="1"/>
  <c r="H67" i="131" s="1"/>
  <c r="I65" i="80"/>
  <c r="I65" i="76"/>
  <c r="AP30" i="1"/>
  <c r="AW30" i="1"/>
  <c r="C30" i="33"/>
  <c r="BA30" i="1"/>
  <c r="D66" i="128"/>
  <c r="D66" i="116"/>
  <c r="D66" i="125"/>
  <c r="E66" i="125" s="1"/>
  <c r="H66" i="125" s="1"/>
  <c r="D66" i="120"/>
  <c r="E66" i="120" s="1"/>
  <c r="H66" i="120" s="1"/>
  <c r="D66" i="127"/>
  <c r="D66" i="114"/>
  <c r="D66" i="126"/>
  <c r="E66" i="126" s="1"/>
  <c r="H66" i="126" s="1"/>
  <c r="D64" i="80"/>
  <c r="E64" i="80" s="1"/>
  <c r="H64" i="80" s="1"/>
  <c r="D66" i="119"/>
  <c r="D66" i="129"/>
  <c r="D66" i="115"/>
  <c r="E66" i="115" s="1"/>
  <c r="H66" i="115" s="1"/>
  <c r="D64" i="76"/>
  <c r="D66" i="113"/>
  <c r="D66" i="118"/>
  <c r="E66" i="118" s="1"/>
  <c r="H66" i="118" s="1"/>
  <c r="D66" i="117"/>
  <c r="D66" i="131"/>
  <c r="E66" i="131" s="1"/>
  <c r="H66" i="131" s="1"/>
  <c r="D70" i="67"/>
  <c r="E70" i="67" s="1"/>
  <c r="F70" i="67" s="1"/>
  <c r="G70" i="67" s="1"/>
  <c r="I70" i="67" s="1"/>
  <c r="AP61" i="1"/>
  <c r="C61" i="33"/>
  <c r="BA61" i="1"/>
  <c r="AW61" i="1"/>
  <c r="AQ61" i="1" s="1"/>
  <c r="AQ71" i="1"/>
  <c r="AV71" i="1"/>
  <c r="AX71" i="1"/>
  <c r="D14" i="67"/>
  <c r="E14" i="67" s="1"/>
  <c r="F14" i="67" s="1"/>
  <c r="G14" i="67" s="1"/>
  <c r="I14" i="67" s="1"/>
  <c r="D76" i="113"/>
  <c r="D76" i="131"/>
  <c r="E76" i="131" s="1"/>
  <c r="H76" i="131" s="1"/>
  <c r="D76" i="129"/>
  <c r="D76" i="119"/>
  <c r="D76" i="118"/>
  <c r="E76" i="118" s="1"/>
  <c r="H76" i="118" s="1"/>
  <c r="D76" i="126"/>
  <c r="E76" i="126" s="1"/>
  <c r="H76" i="126" s="1"/>
  <c r="D76" i="117"/>
  <c r="D76" i="128"/>
  <c r="D76" i="115"/>
  <c r="E76" i="115" s="1"/>
  <c r="H76" i="115" s="1"/>
  <c r="D76" i="125"/>
  <c r="E76" i="125" s="1"/>
  <c r="H76" i="125" s="1"/>
  <c r="D76" i="116"/>
  <c r="D76" i="127"/>
  <c r="D74" i="80"/>
  <c r="E74" i="80" s="1"/>
  <c r="H74" i="80" s="1"/>
  <c r="D76" i="114"/>
  <c r="D76" i="120"/>
  <c r="E76" i="120" s="1"/>
  <c r="H76" i="120" s="1"/>
  <c r="D74" i="76"/>
  <c r="I74" i="80"/>
  <c r="D51" i="113"/>
  <c r="D51" i="125"/>
  <c r="E51" i="125" s="1"/>
  <c r="H51" i="125" s="1"/>
  <c r="D49" i="80"/>
  <c r="E49" i="80" s="1"/>
  <c r="H49" i="80" s="1"/>
  <c r="D51" i="131"/>
  <c r="E51" i="131" s="1"/>
  <c r="H51" i="131" s="1"/>
  <c r="D51" i="114"/>
  <c r="D49" i="76"/>
  <c r="D51" i="119"/>
  <c r="D51" i="117"/>
  <c r="D51" i="126"/>
  <c r="E51" i="126" s="1"/>
  <c r="H51" i="126" s="1"/>
  <c r="D51" i="116"/>
  <c r="D51" i="127"/>
  <c r="D51" i="128"/>
  <c r="D51" i="120"/>
  <c r="E51" i="120" s="1"/>
  <c r="H51" i="120" s="1"/>
  <c r="D51" i="118"/>
  <c r="E51" i="118" s="1"/>
  <c r="H51" i="118" s="1"/>
  <c r="D51" i="115"/>
  <c r="E51" i="115" s="1"/>
  <c r="H51" i="115" s="1"/>
  <c r="D51" i="129"/>
  <c r="C48" i="33"/>
  <c r="AP48" i="1"/>
  <c r="BA48" i="1"/>
  <c r="AW48" i="1"/>
  <c r="E63" i="80"/>
  <c r="H63" i="80" s="1"/>
  <c r="I63" i="80"/>
  <c r="E16" i="137"/>
  <c r="H16" i="137" s="1"/>
  <c r="D49" i="115"/>
  <c r="E49" i="115" s="1"/>
  <c r="H49" i="115" s="1"/>
  <c r="D49" i="120"/>
  <c r="E49" i="120" s="1"/>
  <c r="H49" i="120" s="1"/>
  <c r="D49" i="128"/>
  <c r="D49" i="131"/>
  <c r="E49" i="131" s="1"/>
  <c r="H49" i="131" s="1"/>
  <c r="D49" i="117"/>
  <c r="D49" i="119"/>
  <c r="D49" i="113"/>
  <c r="D47" i="76"/>
  <c r="D49" i="126"/>
  <c r="E49" i="126" s="1"/>
  <c r="H49" i="126" s="1"/>
  <c r="D49" i="118"/>
  <c r="E49" i="118" s="1"/>
  <c r="H49" i="118" s="1"/>
  <c r="D49" i="116"/>
  <c r="D49" i="114"/>
  <c r="D49" i="127"/>
  <c r="D49" i="129"/>
  <c r="D49" i="125"/>
  <c r="E49" i="125" s="1"/>
  <c r="H49" i="125" s="1"/>
  <c r="D47" i="80"/>
  <c r="E47" i="80" s="1"/>
  <c r="H47" i="80" s="1"/>
  <c r="D69" i="127"/>
  <c r="D69" i="120"/>
  <c r="E69" i="120" s="1"/>
  <c r="H69" i="120" s="1"/>
  <c r="D69" i="129"/>
  <c r="D69" i="116"/>
  <c r="D69" i="115"/>
  <c r="E69" i="115" s="1"/>
  <c r="H69" i="115" s="1"/>
  <c r="D69" i="113"/>
  <c r="D69" i="117"/>
  <c r="D69" i="126"/>
  <c r="E69" i="126" s="1"/>
  <c r="H69" i="126" s="1"/>
  <c r="D69" i="131"/>
  <c r="E69" i="131" s="1"/>
  <c r="H69" i="131" s="1"/>
  <c r="D67" i="80"/>
  <c r="E67" i="80" s="1"/>
  <c r="H67" i="80" s="1"/>
  <c r="D69" i="125"/>
  <c r="E69" i="125" s="1"/>
  <c r="H69" i="125" s="1"/>
  <c r="D69" i="118"/>
  <c r="E69" i="118" s="1"/>
  <c r="H69" i="118" s="1"/>
  <c r="D69" i="119"/>
  <c r="D69" i="128"/>
  <c r="D69" i="114"/>
  <c r="D67" i="76"/>
  <c r="AP9" i="1"/>
  <c r="AW9" i="1"/>
  <c r="C9" i="33"/>
  <c r="BA9" i="1"/>
  <c r="AV28" i="1"/>
  <c r="AQ28" i="1"/>
  <c r="AX28" i="1"/>
  <c r="E68" i="76"/>
  <c r="H68" i="76" s="1"/>
  <c r="I68" i="76"/>
  <c r="AP34" i="1"/>
  <c r="C34" i="33"/>
  <c r="AW34" i="1"/>
  <c r="BA34" i="1"/>
  <c r="AQ39" i="1"/>
  <c r="AX39" i="1"/>
  <c r="AV39" i="1"/>
  <c r="AW17" i="1"/>
  <c r="AP17" i="1"/>
  <c r="BA17" i="1"/>
  <c r="C17" i="33"/>
  <c r="D71" i="67"/>
  <c r="E71" i="67" s="1"/>
  <c r="F71" i="67" s="1"/>
  <c r="G71" i="67" s="1"/>
  <c r="I71" i="67" s="1"/>
  <c r="AP68" i="1"/>
  <c r="BA68" i="1"/>
  <c r="C68" i="33"/>
  <c r="AW68" i="1"/>
  <c r="AP27" i="1"/>
  <c r="BA27" i="1"/>
  <c r="C27" i="33"/>
  <c r="AW27" i="1"/>
  <c r="AW18" i="1"/>
  <c r="C18" i="33"/>
  <c r="AP18" i="1"/>
  <c r="BA18" i="1"/>
  <c r="C10" i="33"/>
  <c r="BA10" i="1"/>
  <c r="AP10" i="1"/>
  <c r="AW10" i="1"/>
  <c r="BA49" i="1"/>
  <c r="AW49" i="1"/>
  <c r="AP49" i="1"/>
  <c r="C49" i="33"/>
  <c r="D39" i="67"/>
  <c r="E39" i="67" s="1"/>
  <c r="F39" i="67" s="1"/>
  <c r="G39" i="67" s="1"/>
  <c r="I39" i="67" s="1"/>
  <c r="D42" i="113"/>
  <c r="D42" i="125"/>
  <c r="E42" i="125" s="1"/>
  <c r="H42" i="125" s="1"/>
  <c r="D42" i="117"/>
  <c r="D42" i="131"/>
  <c r="E42" i="131" s="1"/>
  <c r="H42" i="131" s="1"/>
  <c r="D42" i="118"/>
  <c r="E42" i="118" s="1"/>
  <c r="H42" i="118" s="1"/>
  <c r="D42" i="129"/>
  <c r="D42" i="114"/>
  <c r="D42" i="116"/>
  <c r="D42" i="126"/>
  <c r="E42" i="126" s="1"/>
  <c r="H42" i="126" s="1"/>
  <c r="D42" i="115"/>
  <c r="E42" i="115" s="1"/>
  <c r="H42" i="115" s="1"/>
  <c r="D40" i="76"/>
  <c r="D40" i="80"/>
  <c r="D42" i="120"/>
  <c r="E42" i="120" s="1"/>
  <c r="H42" i="120" s="1"/>
  <c r="D42" i="128"/>
  <c r="D42" i="119"/>
  <c r="D42" i="127"/>
  <c r="E15" i="137"/>
  <c r="H15" i="137" s="1"/>
  <c r="D12" i="120"/>
  <c r="E12" i="120" s="1"/>
  <c r="H12" i="120" s="1"/>
  <c r="D12" i="128"/>
  <c r="E12" i="118"/>
  <c r="H12" i="118" s="1"/>
  <c r="D12" i="125"/>
  <c r="E12" i="125" s="1"/>
  <c r="H12" i="125" s="1"/>
  <c r="D12" i="113"/>
  <c r="D12" i="131"/>
  <c r="E12" i="131" s="1"/>
  <c r="H12" i="131" s="1"/>
  <c r="D10" i="76"/>
  <c r="D12" i="129"/>
  <c r="D10" i="80"/>
  <c r="E10" i="80" s="1"/>
  <c r="H10" i="80" s="1"/>
  <c r="D12" i="126"/>
  <c r="E12" i="126" s="1"/>
  <c r="H12" i="126" s="1"/>
  <c r="D12" i="117"/>
  <c r="D12" i="119"/>
  <c r="D12" i="127"/>
  <c r="D12" i="115"/>
  <c r="E12" i="115" s="1"/>
  <c r="H12" i="115" s="1"/>
  <c r="D12" i="116"/>
  <c r="D12" i="114"/>
  <c r="I10" i="80"/>
  <c r="D33" i="126"/>
  <c r="E33" i="126" s="1"/>
  <c r="H33" i="126" s="1"/>
  <c r="D33" i="120"/>
  <c r="E33" i="120" s="1"/>
  <c r="H33" i="120" s="1"/>
  <c r="D31" i="76"/>
  <c r="D33" i="131"/>
  <c r="E33" i="131" s="1"/>
  <c r="H33" i="131" s="1"/>
  <c r="D33" i="114"/>
  <c r="D33" i="115"/>
  <c r="E33" i="115" s="1"/>
  <c r="H33" i="115" s="1"/>
  <c r="D33" i="117"/>
  <c r="D33" i="118"/>
  <c r="E33" i="118" s="1"/>
  <c r="H33" i="118" s="1"/>
  <c r="D33" i="129"/>
  <c r="D33" i="127"/>
  <c r="D33" i="125"/>
  <c r="E33" i="125" s="1"/>
  <c r="H33" i="125" s="1"/>
  <c r="D33" i="113"/>
  <c r="D33" i="119"/>
  <c r="D33" i="128"/>
  <c r="D33" i="116"/>
  <c r="D31" i="80"/>
  <c r="E31" i="80" s="1"/>
  <c r="H31" i="80" s="1"/>
  <c r="AW66" i="1"/>
  <c r="BA66" i="1"/>
  <c r="C66" i="33"/>
  <c r="AP66" i="1"/>
  <c r="D55" i="131"/>
  <c r="E55" i="131" s="1"/>
  <c r="H55" i="131" s="1"/>
  <c r="D53" i="80"/>
  <c r="E53" i="80" s="1"/>
  <c r="H53" i="80" s="1"/>
  <c r="D55" i="120"/>
  <c r="E55" i="120" s="1"/>
  <c r="H55" i="120" s="1"/>
  <c r="D55" i="114"/>
  <c r="D55" i="128"/>
  <c r="D55" i="127"/>
  <c r="D55" i="117"/>
  <c r="D55" i="113"/>
  <c r="D55" i="118"/>
  <c r="E55" i="118" s="1"/>
  <c r="H55" i="118" s="1"/>
  <c r="D55" i="126"/>
  <c r="E55" i="126" s="1"/>
  <c r="H55" i="126" s="1"/>
  <c r="D55" i="119"/>
  <c r="D55" i="129"/>
  <c r="D55" i="125"/>
  <c r="E55" i="125" s="1"/>
  <c r="H55" i="125" s="1"/>
  <c r="D55" i="115"/>
  <c r="E55" i="115" s="1"/>
  <c r="H55" i="115" s="1"/>
  <c r="D55" i="116"/>
  <c r="D53" i="76"/>
  <c r="C38" i="33"/>
  <c r="AP38" i="1"/>
  <c r="BA38" i="1"/>
  <c r="AW38" i="1"/>
  <c r="D61" i="129"/>
  <c r="D61" i="113"/>
  <c r="D61" i="131"/>
  <c r="E61" i="131" s="1"/>
  <c r="H61" i="131" s="1"/>
  <c r="D61" i="119"/>
  <c r="D61" i="118"/>
  <c r="E61" i="118" s="1"/>
  <c r="H61" i="118" s="1"/>
  <c r="D59" i="76"/>
  <c r="D59" i="80"/>
  <c r="E59" i="80" s="1"/>
  <c r="H59" i="80" s="1"/>
  <c r="D61" i="127"/>
  <c r="D61" i="128"/>
  <c r="D61" i="125"/>
  <c r="E61" i="125" s="1"/>
  <c r="H61" i="125" s="1"/>
  <c r="D61" i="126"/>
  <c r="E61" i="126" s="1"/>
  <c r="H61" i="126" s="1"/>
  <c r="D61" i="120"/>
  <c r="E61" i="120" s="1"/>
  <c r="H61" i="120" s="1"/>
  <c r="D61" i="114"/>
  <c r="D61" i="116"/>
  <c r="D61" i="117"/>
  <c r="D61" i="115"/>
  <c r="E61" i="115" s="1"/>
  <c r="H61" i="115" s="1"/>
  <c r="BA76" i="1"/>
  <c r="AW76" i="1"/>
  <c r="AP76" i="1"/>
  <c r="C76" i="33"/>
  <c r="BA44" i="1"/>
  <c r="C44" i="33"/>
  <c r="AP44" i="1"/>
  <c r="AW44" i="1"/>
  <c r="D50" i="67"/>
  <c r="E50" i="67" s="1"/>
  <c r="F50" i="67" s="1"/>
  <c r="G50" i="67" s="1"/>
  <c r="I50" i="67" s="1"/>
  <c r="D27" i="120"/>
  <c r="E27" i="120" s="1"/>
  <c r="H27" i="120" s="1"/>
  <c r="D27" i="127"/>
  <c r="D27" i="117"/>
  <c r="D27" i="114"/>
  <c r="D27" i="116"/>
  <c r="D25" i="76"/>
  <c r="D27" i="113"/>
  <c r="D27" i="131"/>
  <c r="E27" i="131" s="1"/>
  <c r="H27" i="131" s="1"/>
  <c r="D27" i="118"/>
  <c r="E27" i="118" s="1"/>
  <c r="H27" i="118" s="1"/>
  <c r="D27" i="125"/>
  <c r="E27" i="125" s="1"/>
  <c r="H27" i="125" s="1"/>
  <c r="D27" i="115"/>
  <c r="E27" i="115" s="1"/>
  <c r="H27" i="115" s="1"/>
  <c r="D27" i="126"/>
  <c r="E27" i="126" s="1"/>
  <c r="H27" i="126" s="1"/>
  <c r="D25" i="80"/>
  <c r="E25" i="80" s="1"/>
  <c r="H25" i="80" s="1"/>
  <c r="D27" i="129"/>
  <c r="D27" i="128"/>
  <c r="D27" i="119"/>
  <c r="I25" i="80"/>
  <c r="I25" i="76"/>
  <c r="I69" i="80"/>
  <c r="E69" i="76"/>
  <c r="H69" i="76" s="1"/>
  <c r="I69" i="76"/>
  <c r="D34" i="115"/>
  <c r="E34" i="115" s="1"/>
  <c r="H34" i="115" s="1"/>
  <c r="D34" i="118"/>
  <c r="E34" i="118" s="1"/>
  <c r="H34" i="118" s="1"/>
  <c r="D34" i="128"/>
  <c r="D32" i="80"/>
  <c r="E32" i="80" s="1"/>
  <c r="H32" i="80" s="1"/>
  <c r="D34" i="114"/>
  <c r="D34" i="113"/>
  <c r="D34" i="127"/>
  <c r="D34" i="119"/>
  <c r="D34" i="129"/>
  <c r="D34" i="120"/>
  <c r="E34" i="120" s="1"/>
  <c r="H34" i="120" s="1"/>
  <c r="D34" i="131"/>
  <c r="E34" i="131" s="1"/>
  <c r="H34" i="131" s="1"/>
  <c r="D34" i="125"/>
  <c r="E34" i="125" s="1"/>
  <c r="H34" i="125" s="1"/>
  <c r="D34" i="116"/>
  <c r="D34" i="117"/>
  <c r="D32" i="76"/>
  <c r="D34" i="126"/>
  <c r="E34" i="126" s="1"/>
  <c r="H34" i="126" s="1"/>
  <c r="BA67" i="1"/>
  <c r="AW67" i="1"/>
  <c r="C67" i="33"/>
  <c r="AP67" i="1"/>
  <c r="D22" i="125"/>
  <c r="E22" i="125" s="1"/>
  <c r="H22" i="125" s="1"/>
  <c r="D22" i="116"/>
  <c r="D22" i="114"/>
  <c r="D22" i="113"/>
  <c r="D22" i="120"/>
  <c r="E22" i="120" s="1"/>
  <c r="H22" i="120" s="1"/>
  <c r="D22" i="131"/>
  <c r="E22" i="131" s="1"/>
  <c r="H22" i="131" s="1"/>
  <c r="D22" i="115"/>
  <c r="E22" i="115" s="1"/>
  <c r="H22" i="115" s="1"/>
  <c r="D20" i="80"/>
  <c r="D22" i="128"/>
  <c r="D22" i="127"/>
  <c r="D20" i="76"/>
  <c r="D22" i="129"/>
  <c r="D22" i="119"/>
  <c r="D22" i="117"/>
  <c r="D22" i="126"/>
  <c r="E22" i="126" s="1"/>
  <c r="H22" i="126" s="1"/>
  <c r="D22" i="118"/>
  <c r="E22" i="118" s="1"/>
  <c r="H22" i="118" s="1"/>
  <c r="D30" i="128"/>
  <c r="D28" i="76"/>
  <c r="D30" i="131"/>
  <c r="E30" i="131" s="1"/>
  <c r="H30" i="131" s="1"/>
  <c r="D30" i="114"/>
  <c r="D30" i="116"/>
  <c r="D30" i="125"/>
  <c r="E30" i="125" s="1"/>
  <c r="H30" i="125" s="1"/>
  <c r="D30" i="120"/>
  <c r="E30" i="120" s="1"/>
  <c r="H30" i="120" s="1"/>
  <c r="D30" i="126"/>
  <c r="E30" i="126" s="1"/>
  <c r="H30" i="126" s="1"/>
  <c r="D30" i="119"/>
  <c r="D28" i="80"/>
  <c r="D30" i="115"/>
  <c r="E30" i="115" s="1"/>
  <c r="H30" i="115" s="1"/>
  <c r="D30" i="129"/>
  <c r="D30" i="117"/>
  <c r="D30" i="113"/>
  <c r="D30" i="118"/>
  <c r="E30" i="118" s="1"/>
  <c r="H30" i="118" s="1"/>
  <c r="D30" i="127"/>
  <c r="E48" i="76"/>
  <c r="H48" i="76" s="1"/>
  <c r="I48" i="76"/>
  <c r="D10" i="128"/>
  <c r="D10" i="114"/>
  <c r="D10" i="119"/>
  <c r="D8" i="80"/>
  <c r="D10" i="131"/>
  <c r="E10" i="131" s="1"/>
  <c r="H10" i="131" s="1"/>
  <c r="D8" i="76"/>
  <c r="D10" i="116"/>
  <c r="D10" i="125"/>
  <c r="E10" i="125" s="1"/>
  <c r="H10" i="125" s="1"/>
  <c r="E10" i="118"/>
  <c r="H10" i="118" s="1"/>
  <c r="D10" i="115"/>
  <c r="E10" i="115" s="1"/>
  <c r="H10" i="115" s="1"/>
  <c r="D10" i="117"/>
  <c r="D10" i="127"/>
  <c r="D10" i="126"/>
  <c r="E10" i="126" s="1"/>
  <c r="H10" i="126" s="1"/>
  <c r="D10" i="129"/>
  <c r="D10" i="120"/>
  <c r="E10" i="120" s="1"/>
  <c r="H10" i="120" s="1"/>
  <c r="D10" i="113"/>
  <c r="D74" i="115"/>
  <c r="E74" i="115" s="1"/>
  <c r="H74" i="115" s="1"/>
  <c r="D74" i="119"/>
  <c r="D74" i="113"/>
  <c r="D74" i="120"/>
  <c r="E74" i="120" s="1"/>
  <c r="H74" i="120" s="1"/>
  <c r="D74" i="117"/>
  <c r="D72" i="76"/>
  <c r="D74" i="128"/>
  <c r="D74" i="118"/>
  <c r="E74" i="118" s="1"/>
  <c r="H74" i="118" s="1"/>
  <c r="D74" i="114"/>
  <c r="D74" i="125"/>
  <c r="E74" i="125" s="1"/>
  <c r="H74" i="125" s="1"/>
  <c r="D74" i="127"/>
  <c r="D72" i="80"/>
  <c r="D74" i="126"/>
  <c r="E74" i="126" s="1"/>
  <c r="H74" i="126" s="1"/>
  <c r="D74" i="129"/>
  <c r="D74" i="131"/>
  <c r="E74" i="131" s="1"/>
  <c r="H74" i="131" s="1"/>
  <c r="D74" i="116"/>
  <c r="D19" i="116"/>
  <c r="D19" i="119"/>
  <c r="D19" i="114"/>
  <c r="D19" i="131"/>
  <c r="E19" i="131" s="1"/>
  <c r="H19" i="131" s="1"/>
  <c r="D19" i="126"/>
  <c r="E19" i="126" s="1"/>
  <c r="H19" i="126" s="1"/>
  <c r="D19" i="127"/>
  <c r="D19" i="115"/>
  <c r="E19" i="115" s="1"/>
  <c r="H19" i="115" s="1"/>
  <c r="D19" i="117"/>
  <c r="D19" i="120"/>
  <c r="E19" i="120" s="1"/>
  <c r="H19" i="120" s="1"/>
  <c r="D19" i="113"/>
  <c r="D17" i="76"/>
  <c r="D19" i="125"/>
  <c r="E19" i="125" s="1"/>
  <c r="H19" i="125" s="1"/>
  <c r="D19" i="128"/>
  <c r="D19" i="118"/>
  <c r="E19" i="118" s="1"/>
  <c r="H19" i="118" s="1"/>
  <c r="D19" i="129"/>
  <c r="D17" i="80"/>
  <c r="D32" i="67"/>
  <c r="E32" i="67" s="1"/>
  <c r="F32" i="67" s="1"/>
  <c r="G32" i="67" s="1"/>
  <c r="I32" i="67" s="1"/>
  <c r="AW42" i="1"/>
  <c r="C42" i="33"/>
  <c r="AP42" i="1"/>
  <c r="BA42" i="1"/>
  <c r="AP33" i="1"/>
  <c r="AW33" i="1"/>
  <c r="BA33" i="1"/>
  <c r="C33" i="33"/>
  <c r="D17" i="128"/>
  <c r="D17" i="125"/>
  <c r="E17" i="125" s="1"/>
  <c r="H17" i="125" s="1"/>
  <c r="D17" i="117"/>
  <c r="D17" i="118"/>
  <c r="E17" i="118" s="1"/>
  <c r="H17" i="118" s="1"/>
  <c r="D17" i="116"/>
  <c r="D17" i="131"/>
  <c r="E17" i="131" s="1"/>
  <c r="H17" i="131" s="1"/>
  <c r="D17" i="115"/>
  <c r="E17" i="115" s="1"/>
  <c r="H17" i="115" s="1"/>
  <c r="D17" i="114"/>
  <c r="D17" i="129"/>
  <c r="D15" i="76"/>
  <c r="D17" i="113"/>
  <c r="D15" i="80"/>
  <c r="E15" i="80" s="1"/>
  <c r="H15" i="80" s="1"/>
  <c r="D17" i="127"/>
  <c r="D17" i="120"/>
  <c r="E17" i="120" s="1"/>
  <c r="H17" i="120" s="1"/>
  <c r="D17" i="119"/>
  <c r="D17" i="126"/>
  <c r="E17" i="126" s="1"/>
  <c r="H17" i="126" s="1"/>
  <c r="D41" i="67"/>
  <c r="E41" i="67" s="1"/>
  <c r="F41" i="67" s="1"/>
  <c r="G41" i="67" s="1"/>
  <c r="I41" i="67" s="1"/>
  <c r="E30" i="80"/>
  <c r="H30" i="80" s="1"/>
  <c r="I30" i="80"/>
  <c r="E30" i="76"/>
  <c r="H30" i="76" s="1"/>
  <c r="I30" i="76"/>
  <c r="AV14" i="1"/>
  <c r="AQ14" i="1"/>
  <c r="AX14" i="1"/>
  <c r="D44" i="131"/>
  <c r="E44" i="131" s="1"/>
  <c r="H44" i="131" s="1"/>
  <c r="D42" i="76"/>
  <c r="D44" i="128"/>
  <c r="D44" i="118"/>
  <c r="E44" i="118" s="1"/>
  <c r="H44" i="118" s="1"/>
  <c r="D44" i="119"/>
  <c r="D44" i="117"/>
  <c r="D44" i="127"/>
  <c r="D44" i="113"/>
  <c r="D44" i="120"/>
  <c r="E44" i="120" s="1"/>
  <c r="H44" i="120" s="1"/>
  <c r="D42" i="80"/>
  <c r="D44" i="115"/>
  <c r="E44" i="115" s="1"/>
  <c r="H44" i="115" s="1"/>
  <c r="D44" i="116"/>
  <c r="D44" i="125"/>
  <c r="E44" i="125" s="1"/>
  <c r="H44" i="125" s="1"/>
  <c r="D44" i="126"/>
  <c r="E44" i="126" s="1"/>
  <c r="H44" i="126" s="1"/>
  <c r="D44" i="114"/>
  <c r="D44" i="129"/>
  <c r="C51" i="33"/>
  <c r="BA51" i="1"/>
  <c r="AW51" i="1"/>
  <c r="AP51" i="1"/>
  <c r="D48" i="126"/>
  <c r="E48" i="126" s="1"/>
  <c r="H48" i="126" s="1"/>
  <c r="D48" i="131"/>
  <c r="E48" i="131" s="1"/>
  <c r="H48" i="131" s="1"/>
  <c r="D48" i="119"/>
  <c r="D48" i="118"/>
  <c r="E48" i="118" s="1"/>
  <c r="H48" i="118" s="1"/>
  <c r="D48" i="114"/>
  <c r="D48" i="125"/>
  <c r="E48" i="125" s="1"/>
  <c r="H48" i="125" s="1"/>
  <c r="D48" i="127"/>
  <c r="D48" i="113"/>
  <c r="D48" i="115"/>
  <c r="E48" i="115" s="1"/>
  <c r="H48" i="115" s="1"/>
  <c r="D48" i="129"/>
  <c r="D48" i="120"/>
  <c r="E48" i="120" s="1"/>
  <c r="H48" i="120" s="1"/>
  <c r="D46" i="80"/>
  <c r="D48" i="117"/>
  <c r="D46" i="76"/>
  <c r="D48" i="116"/>
  <c r="D48" i="128"/>
  <c r="D65" i="67"/>
  <c r="E65" i="67" s="1"/>
  <c r="F65" i="67" s="1"/>
  <c r="G65" i="67" s="1"/>
  <c r="I65" i="67" s="1"/>
  <c r="E37" i="80"/>
  <c r="H37" i="80" s="1"/>
  <c r="I37" i="80"/>
  <c r="I48" i="80"/>
  <c r="E48" i="80"/>
  <c r="H48" i="80" s="1"/>
  <c r="D40" i="67"/>
  <c r="E40" i="67" s="1"/>
  <c r="F40" i="67" s="1"/>
  <c r="G40" i="67" s="1"/>
  <c r="I40" i="67" s="1"/>
  <c r="BA25" i="1"/>
  <c r="AW25" i="1"/>
  <c r="C25" i="33"/>
  <c r="AP25" i="1"/>
  <c r="C69" i="33"/>
  <c r="BA69" i="1"/>
  <c r="AW69" i="1"/>
  <c r="AQ69" i="1" s="1"/>
  <c r="AP69" i="1"/>
  <c r="E19" i="137"/>
  <c r="H19" i="137" s="1"/>
  <c r="D36" i="128"/>
  <c r="D36" i="120"/>
  <c r="E36" i="120" s="1"/>
  <c r="H36" i="120" s="1"/>
  <c r="D36" i="115"/>
  <c r="E36" i="115" s="1"/>
  <c r="H36" i="115" s="1"/>
  <c r="D34" i="80"/>
  <c r="E34" i="80" s="1"/>
  <c r="H34" i="80" s="1"/>
  <c r="D36" i="117"/>
  <c r="D34" i="76"/>
  <c r="D36" i="129"/>
  <c r="D36" i="125"/>
  <c r="E36" i="125" s="1"/>
  <c r="H36" i="125" s="1"/>
  <c r="D36" i="114"/>
  <c r="D36" i="113"/>
  <c r="D36" i="119"/>
  <c r="D36" i="116"/>
  <c r="D36" i="118"/>
  <c r="E36" i="118" s="1"/>
  <c r="H36" i="118" s="1"/>
  <c r="D36" i="127"/>
  <c r="D36" i="131"/>
  <c r="E36" i="131" s="1"/>
  <c r="H36" i="131" s="1"/>
  <c r="D36" i="126"/>
  <c r="E36" i="126" s="1"/>
  <c r="H36" i="126" s="1"/>
  <c r="AQ41" i="1"/>
  <c r="AV41" i="1"/>
  <c r="AX41" i="1"/>
  <c r="C55" i="33"/>
  <c r="BA55" i="1"/>
  <c r="AW55" i="1"/>
  <c r="AP55" i="1"/>
  <c r="D38" i="126"/>
  <c r="E38" i="126" s="1"/>
  <c r="H38" i="126" s="1"/>
  <c r="D38" i="119"/>
  <c r="D38" i="117"/>
  <c r="D38" i="114"/>
  <c r="D38" i="118"/>
  <c r="E38" i="118" s="1"/>
  <c r="H38" i="118" s="1"/>
  <c r="D38" i="131"/>
  <c r="E38" i="131" s="1"/>
  <c r="H38" i="131" s="1"/>
  <c r="D36" i="76"/>
  <c r="D38" i="113"/>
  <c r="D38" i="128"/>
  <c r="D38" i="129"/>
  <c r="D38" i="127"/>
  <c r="D38" i="120"/>
  <c r="E38" i="120" s="1"/>
  <c r="H38" i="120" s="1"/>
  <c r="D38" i="115"/>
  <c r="E38" i="115" s="1"/>
  <c r="H38" i="115" s="1"/>
  <c r="D38" i="116"/>
  <c r="D38" i="125"/>
  <c r="E38" i="125" s="1"/>
  <c r="H38" i="125" s="1"/>
  <c r="D36" i="80"/>
  <c r="E36" i="80" s="1"/>
  <c r="H36" i="80" s="1"/>
  <c r="AQ70" i="1"/>
  <c r="AX70" i="1"/>
  <c r="AV70" i="1"/>
  <c r="D68" i="118"/>
  <c r="E68" i="118" s="1"/>
  <c r="H68" i="118" s="1"/>
  <c r="D68" i="131"/>
  <c r="E68" i="131" s="1"/>
  <c r="H68" i="131" s="1"/>
  <c r="D68" i="126"/>
  <c r="E68" i="126" s="1"/>
  <c r="H68" i="126" s="1"/>
  <c r="D68" i="113"/>
  <c r="D68" i="129"/>
  <c r="D68" i="127"/>
  <c r="D68" i="128"/>
  <c r="D68" i="125"/>
  <c r="E68" i="125" s="1"/>
  <c r="H68" i="125" s="1"/>
  <c r="D68" i="115"/>
  <c r="E68" i="115" s="1"/>
  <c r="H68" i="115" s="1"/>
  <c r="D68" i="116"/>
  <c r="D66" i="80"/>
  <c r="E66" i="80" s="1"/>
  <c r="H66" i="80" s="1"/>
  <c r="D66" i="76"/>
  <c r="D68" i="117"/>
  <c r="D68" i="114"/>
  <c r="D68" i="120"/>
  <c r="E68" i="120" s="1"/>
  <c r="H68" i="120" s="1"/>
  <c r="D68" i="119"/>
  <c r="AQ50" i="1"/>
  <c r="AX50" i="1"/>
  <c r="AV50" i="1"/>
  <c r="AP58" i="1"/>
  <c r="BA58" i="1"/>
  <c r="C58" i="33"/>
  <c r="AW58" i="1"/>
  <c r="D56" i="67"/>
  <c r="E56" i="67" s="1"/>
  <c r="F56" i="67" s="1"/>
  <c r="G56" i="67" s="1"/>
  <c r="I56" i="67" s="1"/>
  <c r="AX56" i="1"/>
  <c r="AV56" i="1"/>
  <c r="AX65" i="1"/>
  <c r="AV65" i="1"/>
  <c r="AQ65" i="1"/>
  <c r="BA22" i="1"/>
  <c r="AW22" i="1"/>
  <c r="C22" i="33"/>
  <c r="AP22" i="1"/>
  <c r="I54" i="80"/>
  <c r="E37" i="76"/>
  <c r="H37" i="76" s="1"/>
  <c r="I37" i="76"/>
  <c r="D25" i="131"/>
  <c r="E25" i="131" s="1"/>
  <c r="H25" i="131" s="1"/>
  <c r="D25" i="119"/>
  <c r="D25" i="113"/>
  <c r="D25" i="117"/>
  <c r="D25" i="128"/>
  <c r="D25" i="116"/>
  <c r="D25" i="120"/>
  <c r="E25" i="120" s="1"/>
  <c r="H25" i="120" s="1"/>
  <c r="D25" i="118"/>
  <c r="E25" i="118" s="1"/>
  <c r="H25" i="118" s="1"/>
  <c r="D23" i="80"/>
  <c r="D25" i="125"/>
  <c r="E25" i="125" s="1"/>
  <c r="H25" i="125" s="1"/>
  <c r="D25" i="127"/>
  <c r="D23" i="76"/>
  <c r="D25" i="129"/>
  <c r="D25" i="115"/>
  <c r="E25" i="115" s="1"/>
  <c r="H25" i="115" s="1"/>
  <c r="D25" i="114"/>
  <c r="D25" i="126"/>
  <c r="E25" i="126" s="1"/>
  <c r="H25" i="126" s="1"/>
  <c r="D9" i="117"/>
  <c r="D7" i="80"/>
  <c r="E7" i="80" s="1"/>
  <c r="H7" i="80" s="1"/>
  <c r="E9" i="118"/>
  <c r="H9" i="118" s="1"/>
  <c r="D7" i="76"/>
  <c r="D9" i="114"/>
  <c r="D9" i="115"/>
  <c r="E9" i="115" s="1"/>
  <c r="H9" i="115" s="1"/>
  <c r="D9" i="113"/>
  <c r="D9" i="126"/>
  <c r="E9" i="126" s="1"/>
  <c r="H9" i="126" s="1"/>
  <c r="D9" i="129"/>
  <c r="D9" i="125"/>
  <c r="E9" i="125" s="1"/>
  <c r="H9" i="125" s="1"/>
  <c r="D9" i="127"/>
  <c r="D9" i="120"/>
  <c r="E9" i="120" s="1"/>
  <c r="H9" i="120" s="1"/>
  <c r="D9" i="131"/>
  <c r="E9" i="131" s="1"/>
  <c r="H9" i="131" s="1"/>
  <c r="D9" i="119"/>
  <c r="D9" i="116"/>
  <c r="D9" i="128"/>
  <c r="D18" i="131"/>
  <c r="E18" i="131" s="1"/>
  <c r="H18" i="131" s="1"/>
  <c r="D18" i="118"/>
  <c r="E18" i="118" s="1"/>
  <c r="H18" i="118" s="1"/>
  <c r="D18" i="117"/>
  <c r="D18" i="120"/>
  <c r="E18" i="120" s="1"/>
  <c r="H18" i="120" s="1"/>
  <c r="D18" i="119"/>
  <c r="D18" i="129"/>
  <c r="D18" i="113"/>
  <c r="D18" i="116"/>
  <c r="D16" i="80"/>
  <c r="E16" i="80" s="1"/>
  <c r="H16" i="80" s="1"/>
  <c r="D18" i="115"/>
  <c r="E18" i="115" s="1"/>
  <c r="H18" i="115" s="1"/>
  <c r="D18" i="127"/>
  <c r="D18" i="125"/>
  <c r="E18" i="125" s="1"/>
  <c r="H18" i="125" s="1"/>
  <c r="D18" i="126"/>
  <c r="E18" i="126" s="1"/>
  <c r="H18" i="126" s="1"/>
  <c r="D16" i="76"/>
  <c r="D18" i="114"/>
  <c r="D18" i="128"/>
  <c r="I16" i="80"/>
  <c r="E68" i="80"/>
  <c r="H68" i="80" s="1"/>
  <c r="I68" i="80"/>
  <c r="AP36" i="1"/>
  <c r="AW36" i="1"/>
  <c r="C36" i="33"/>
  <c r="BA36" i="1"/>
  <c r="I63" i="76"/>
  <c r="AW74" i="1"/>
  <c r="C74" i="33"/>
  <c r="AP74" i="1"/>
  <c r="BA74" i="1"/>
  <c r="AW19" i="1"/>
  <c r="BA19" i="1"/>
  <c r="AP19" i="1"/>
  <c r="C19" i="33"/>
  <c r="I39" i="80"/>
  <c r="AQ32" i="1"/>
  <c r="AV32" i="1"/>
  <c r="AX32" i="1"/>
  <c r="BA12" i="1"/>
  <c r="AP12" i="1"/>
  <c r="C12" i="33"/>
  <c r="AW12" i="1"/>
  <c r="AQ24" i="1"/>
  <c r="E22" i="76"/>
  <c r="H22" i="76" s="1"/>
  <c r="I22" i="76"/>
  <c r="D24" i="67"/>
  <c r="E24" i="67" s="1"/>
  <c r="F24" i="67" s="1"/>
  <c r="G24" i="67" s="1"/>
  <c r="I24" i="67" s="1"/>
  <c r="H27" i="81"/>
  <c r="G27" i="81"/>
  <c r="E26" i="81"/>
  <c r="V77" i="1"/>
  <c r="AS16" i="1"/>
  <c r="AD16" i="1"/>
  <c r="AC77" i="1"/>
  <c r="E36" i="81" s="1"/>
  <c r="W23" i="67"/>
  <c r="W75" i="67"/>
  <c r="W43" i="67"/>
  <c r="W13" i="67"/>
  <c r="W46" i="67"/>
  <c r="W62" i="67"/>
  <c r="AH8" i="1"/>
  <c r="AO8" i="1"/>
  <c r="AK8" i="1"/>
  <c r="L7" i="31" l="1"/>
  <c r="P7" i="31" s="1"/>
  <c r="AH43" i="33"/>
  <c r="AV40" i="1"/>
  <c r="E74" i="129"/>
  <c r="H74" i="129" s="1"/>
  <c r="E42" i="129"/>
  <c r="H42" i="129" s="1"/>
  <c r="E14" i="129"/>
  <c r="H14" i="129" s="1"/>
  <c r="E48" i="129"/>
  <c r="H48" i="129" s="1"/>
  <c r="E27" i="129"/>
  <c r="H27" i="129" s="1"/>
  <c r="E12" i="129"/>
  <c r="H12" i="129" s="1"/>
  <c r="E67" i="129"/>
  <c r="H67" i="129" s="1"/>
  <c r="E20" i="137"/>
  <c r="E24" i="137" s="1"/>
  <c r="E31" i="129"/>
  <c r="H31" i="129" s="1"/>
  <c r="E11" i="129"/>
  <c r="H11" i="129" s="1"/>
  <c r="E21" i="129"/>
  <c r="H21" i="129" s="1"/>
  <c r="E52" i="129"/>
  <c r="H52" i="129" s="1"/>
  <c r="E45" i="129"/>
  <c r="H45" i="129" s="1"/>
  <c r="E73" i="129"/>
  <c r="H73" i="129" s="1"/>
  <c r="E15" i="129"/>
  <c r="H15" i="129" s="1"/>
  <c r="E26" i="129"/>
  <c r="H26" i="129" s="1"/>
  <c r="E30" i="129"/>
  <c r="H30" i="129" s="1"/>
  <c r="E51" i="129"/>
  <c r="H51" i="129" s="1"/>
  <c r="E40" i="129"/>
  <c r="H40" i="129" s="1"/>
  <c r="E18" i="129"/>
  <c r="H18" i="129" s="1"/>
  <c r="E36" i="129"/>
  <c r="H36" i="129" s="1"/>
  <c r="E10" i="129"/>
  <c r="H10" i="129" s="1"/>
  <c r="E61" i="129"/>
  <c r="H61" i="129" s="1"/>
  <c r="E69" i="129"/>
  <c r="H69" i="129" s="1"/>
  <c r="E76" i="129"/>
  <c r="H76" i="129" s="1"/>
  <c r="E66" i="129"/>
  <c r="H66" i="129" s="1"/>
  <c r="E53" i="129"/>
  <c r="H53" i="129" s="1"/>
  <c r="E20" i="129"/>
  <c r="H20" i="129" s="1"/>
  <c r="E57" i="129"/>
  <c r="H57" i="129" s="1"/>
  <c r="E28" i="129"/>
  <c r="H28" i="129" s="1"/>
  <c r="E17" i="46"/>
  <c r="H17" i="46" s="1"/>
  <c r="E68" i="129"/>
  <c r="H68" i="129" s="1"/>
  <c r="E22" i="129"/>
  <c r="H22" i="129" s="1"/>
  <c r="E9" i="129"/>
  <c r="H9" i="129" s="1"/>
  <c r="E25" i="129"/>
  <c r="H25" i="129" s="1"/>
  <c r="E38" i="129"/>
  <c r="H38" i="129" s="1"/>
  <c r="E44" i="129"/>
  <c r="H44" i="129" s="1"/>
  <c r="E17" i="129"/>
  <c r="H17" i="129" s="1"/>
  <c r="E19" i="129"/>
  <c r="H19" i="129" s="1"/>
  <c r="E34" i="129"/>
  <c r="H34" i="129" s="1"/>
  <c r="E55" i="129"/>
  <c r="H55" i="129" s="1"/>
  <c r="E33" i="129"/>
  <c r="H33" i="129" s="1"/>
  <c r="E49" i="129"/>
  <c r="H49" i="129" s="1"/>
  <c r="E58" i="129"/>
  <c r="H58" i="129" s="1"/>
  <c r="E29" i="129"/>
  <c r="H29" i="129" s="1"/>
  <c r="E37" i="129"/>
  <c r="H37" i="129" s="1"/>
  <c r="AV24" i="1"/>
  <c r="H12" i="46"/>
  <c r="E16" i="46"/>
  <c r="H16" i="46" s="1"/>
  <c r="I22" i="80"/>
  <c r="E35" i="46"/>
  <c r="H35" i="46" s="1"/>
  <c r="E9" i="114"/>
  <c r="H9" i="114" s="1"/>
  <c r="E25" i="128"/>
  <c r="H25" i="128" s="1"/>
  <c r="E68" i="114"/>
  <c r="H68" i="114" s="1"/>
  <c r="E48" i="128"/>
  <c r="H48" i="128" s="1"/>
  <c r="E17" i="128"/>
  <c r="H17" i="128" s="1"/>
  <c r="E74" i="114"/>
  <c r="H74" i="114" s="1"/>
  <c r="E10" i="119"/>
  <c r="H10" i="119" s="1"/>
  <c r="E22" i="119"/>
  <c r="H22" i="119" s="1"/>
  <c r="E22" i="128"/>
  <c r="H22" i="128" s="1"/>
  <c r="E61" i="128"/>
  <c r="H61" i="128" s="1"/>
  <c r="E55" i="128"/>
  <c r="H55" i="128" s="1"/>
  <c r="E33" i="128"/>
  <c r="H33" i="128" s="1"/>
  <c r="E42" i="128"/>
  <c r="H42" i="128" s="1"/>
  <c r="E58" i="128"/>
  <c r="H58" i="128" s="1"/>
  <c r="E20" i="128"/>
  <c r="H20" i="128" s="1"/>
  <c r="E31" i="128"/>
  <c r="H31" i="128" s="1"/>
  <c r="E31" i="119"/>
  <c r="H31" i="119" s="1"/>
  <c r="E53" i="128"/>
  <c r="H53" i="128" s="1"/>
  <c r="E11" i="128"/>
  <c r="H11" i="128" s="1"/>
  <c r="E11" i="114"/>
  <c r="H11" i="114" s="1"/>
  <c r="E52" i="114"/>
  <c r="H52" i="114" s="1"/>
  <c r="E73" i="114"/>
  <c r="H73" i="114" s="1"/>
  <c r="E40" i="119"/>
  <c r="H40" i="119" s="1"/>
  <c r="E20" i="119"/>
  <c r="H20" i="119" s="1"/>
  <c r="E57" i="114"/>
  <c r="H57" i="114" s="1"/>
  <c r="E14" i="114"/>
  <c r="H14" i="114" s="1"/>
  <c r="E26" i="128"/>
  <c r="H26" i="128" s="1"/>
  <c r="E14" i="128"/>
  <c r="H14" i="128" s="1"/>
  <c r="E18" i="114"/>
  <c r="H18" i="114" s="1"/>
  <c r="E18" i="119"/>
  <c r="H18" i="119" s="1"/>
  <c r="E25" i="114"/>
  <c r="H25" i="114" s="1"/>
  <c r="E68" i="119"/>
  <c r="H68" i="119" s="1"/>
  <c r="E38" i="128"/>
  <c r="H38" i="128" s="1"/>
  <c r="E17" i="119"/>
  <c r="H17" i="119" s="1"/>
  <c r="E19" i="128"/>
  <c r="H19" i="128" s="1"/>
  <c r="E19" i="114"/>
  <c r="H19" i="114" s="1"/>
  <c r="E74" i="128"/>
  <c r="H74" i="128" s="1"/>
  <c r="E10" i="128"/>
  <c r="H10" i="128" s="1"/>
  <c r="E30" i="119"/>
  <c r="H30" i="119" s="1"/>
  <c r="E30" i="128"/>
  <c r="H30" i="128" s="1"/>
  <c r="E22" i="114"/>
  <c r="H22" i="114" s="1"/>
  <c r="E34" i="114"/>
  <c r="H34" i="114" s="1"/>
  <c r="E34" i="128"/>
  <c r="H34" i="128" s="1"/>
  <c r="E27" i="119"/>
  <c r="H27" i="119" s="1"/>
  <c r="E27" i="114"/>
  <c r="H27" i="114" s="1"/>
  <c r="E61" i="114"/>
  <c r="H61" i="114" s="1"/>
  <c r="E55" i="119"/>
  <c r="H55" i="119" s="1"/>
  <c r="E69" i="114"/>
  <c r="H69" i="114" s="1"/>
  <c r="E69" i="119"/>
  <c r="H69" i="119" s="1"/>
  <c r="E49" i="128"/>
  <c r="H49" i="128" s="1"/>
  <c r="E51" i="128"/>
  <c r="H51" i="128" s="1"/>
  <c r="E66" i="114"/>
  <c r="H66" i="114" s="1"/>
  <c r="E11" i="119"/>
  <c r="H11" i="119" s="1"/>
  <c r="E21" i="128"/>
  <c r="H21" i="128" s="1"/>
  <c r="E21" i="119"/>
  <c r="H21" i="119" s="1"/>
  <c r="E45" i="128"/>
  <c r="H45" i="128" s="1"/>
  <c r="E45" i="114"/>
  <c r="H45" i="114" s="1"/>
  <c r="E73" i="128"/>
  <c r="H73" i="128" s="1"/>
  <c r="E73" i="119"/>
  <c r="H73" i="119" s="1"/>
  <c r="E29" i="119"/>
  <c r="H29" i="119" s="1"/>
  <c r="E15" i="114"/>
  <c r="H15" i="114" s="1"/>
  <c r="E37" i="128"/>
  <c r="H37" i="128" s="1"/>
  <c r="E37" i="114"/>
  <c r="H37" i="114" s="1"/>
  <c r="E18" i="128"/>
  <c r="H18" i="128" s="1"/>
  <c r="E9" i="128"/>
  <c r="H9" i="128" s="1"/>
  <c r="E9" i="119"/>
  <c r="H9" i="119" s="1"/>
  <c r="E25" i="119"/>
  <c r="H25" i="119" s="1"/>
  <c r="E68" i="128"/>
  <c r="H68" i="128" s="1"/>
  <c r="E38" i="114"/>
  <c r="H38" i="114" s="1"/>
  <c r="E38" i="119"/>
  <c r="H38" i="119" s="1"/>
  <c r="E36" i="119"/>
  <c r="H36" i="119" s="1"/>
  <c r="E36" i="114"/>
  <c r="H36" i="114" s="1"/>
  <c r="E36" i="128"/>
  <c r="H36" i="128" s="1"/>
  <c r="E48" i="114"/>
  <c r="H48" i="114" s="1"/>
  <c r="E48" i="119"/>
  <c r="H48" i="119" s="1"/>
  <c r="E44" i="114"/>
  <c r="H44" i="114" s="1"/>
  <c r="E44" i="119"/>
  <c r="H44" i="119" s="1"/>
  <c r="E44" i="128"/>
  <c r="H44" i="128" s="1"/>
  <c r="E17" i="114"/>
  <c r="H17" i="114" s="1"/>
  <c r="E19" i="119"/>
  <c r="H19" i="119" s="1"/>
  <c r="E74" i="119"/>
  <c r="H74" i="119" s="1"/>
  <c r="E10" i="114"/>
  <c r="H10" i="114" s="1"/>
  <c r="E30" i="114"/>
  <c r="H30" i="114" s="1"/>
  <c r="E34" i="119"/>
  <c r="H34" i="119" s="1"/>
  <c r="E27" i="128"/>
  <c r="H27" i="128" s="1"/>
  <c r="E61" i="119"/>
  <c r="H61" i="119" s="1"/>
  <c r="E55" i="114"/>
  <c r="H55" i="114" s="1"/>
  <c r="E33" i="119"/>
  <c r="H33" i="119" s="1"/>
  <c r="E33" i="114"/>
  <c r="H33" i="114" s="1"/>
  <c r="E12" i="114"/>
  <c r="H12" i="114" s="1"/>
  <c r="E12" i="119"/>
  <c r="H12" i="119" s="1"/>
  <c r="E12" i="128"/>
  <c r="H12" i="128" s="1"/>
  <c r="E42" i="119"/>
  <c r="H42" i="119" s="1"/>
  <c r="E42" i="114"/>
  <c r="H42" i="114" s="1"/>
  <c r="E69" i="128"/>
  <c r="H69" i="128" s="1"/>
  <c r="E49" i="114"/>
  <c r="H49" i="114" s="1"/>
  <c r="E49" i="119"/>
  <c r="H49" i="119" s="1"/>
  <c r="E51" i="119"/>
  <c r="H51" i="119" s="1"/>
  <c r="E51" i="114"/>
  <c r="H51" i="114" s="1"/>
  <c r="E76" i="114"/>
  <c r="H76" i="114" s="1"/>
  <c r="E76" i="128"/>
  <c r="H76" i="128" s="1"/>
  <c r="E76" i="119"/>
  <c r="H76" i="119" s="1"/>
  <c r="E66" i="119"/>
  <c r="H66" i="119" s="1"/>
  <c r="E66" i="128"/>
  <c r="H66" i="128" s="1"/>
  <c r="E67" i="128"/>
  <c r="H67" i="128" s="1"/>
  <c r="E67" i="114"/>
  <c r="H67" i="114" s="1"/>
  <c r="E67" i="119"/>
  <c r="H67" i="119" s="1"/>
  <c r="E58" i="114"/>
  <c r="H58" i="114" s="1"/>
  <c r="E58" i="119"/>
  <c r="H58" i="119" s="1"/>
  <c r="E31" i="114"/>
  <c r="H31" i="114" s="1"/>
  <c r="E53" i="119"/>
  <c r="H53" i="119" s="1"/>
  <c r="E53" i="114"/>
  <c r="H53" i="114" s="1"/>
  <c r="E21" i="114"/>
  <c r="H21" i="114" s="1"/>
  <c r="E52" i="119"/>
  <c r="H52" i="119" s="1"/>
  <c r="E52" i="128"/>
  <c r="H52" i="128" s="1"/>
  <c r="E45" i="119"/>
  <c r="H45" i="119" s="1"/>
  <c r="E29" i="114"/>
  <c r="H29" i="114" s="1"/>
  <c r="E29" i="128"/>
  <c r="H29" i="128" s="1"/>
  <c r="E20" i="114"/>
  <c r="H20" i="114" s="1"/>
  <c r="E15" i="119"/>
  <c r="H15" i="119" s="1"/>
  <c r="E57" i="128"/>
  <c r="H57" i="128" s="1"/>
  <c r="E57" i="119"/>
  <c r="H57" i="119" s="1"/>
  <c r="E40" i="114"/>
  <c r="H40" i="114" s="1"/>
  <c r="E40" i="128"/>
  <c r="H40" i="128" s="1"/>
  <c r="E28" i="128"/>
  <c r="H28" i="128" s="1"/>
  <c r="E37" i="119"/>
  <c r="H37" i="119" s="1"/>
  <c r="E28" i="114"/>
  <c r="H28" i="114" s="1"/>
  <c r="E14" i="119"/>
  <c r="H14" i="119" s="1"/>
  <c r="E26" i="114"/>
  <c r="H26" i="114" s="1"/>
  <c r="E26" i="119"/>
  <c r="H26" i="119" s="1"/>
  <c r="E16" i="76"/>
  <c r="H16" i="76" s="1"/>
  <c r="E7" i="76"/>
  <c r="H7" i="76" s="1"/>
  <c r="E15" i="76"/>
  <c r="H15" i="76" s="1"/>
  <c r="E28" i="76"/>
  <c r="H28" i="76" s="1"/>
  <c r="E59" i="76"/>
  <c r="H59" i="76" s="1"/>
  <c r="E53" i="76"/>
  <c r="H53" i="76" s="1"/>
  <c r="E10" i="76"/>
  <c r="H10" i="76" s="1"/>
  <c r="E47" i="76"/>
  <c r="H47" i="76" s="1"/>
  <c r="E74" i="76"/>
  <c r="H74" i="76" s="1"/>
  <c r="E18" i="76"/>
  <c r="H18" i="76" s="1"/>
  <c r="E50" i="76"/>
  <c r="H50" i="76" s="1"/>
  <c r="E27" i="76"/>
  <c r="H27" i="76" s="1"/>
  <c r="E38" i="76"/>
  <c r="H38" i="76" s="1"/>
  <c r="E12" i="76"/>
  <c r="H12" i="76" s="1"/>
  <c r="E66" i="76"/>
  <c r="H66" i="76" s="1"/>
  <c r="E36" i="76"/>
  <c r="H36" i="76" s="1"/>
  <c r="E34" i="76"/>
  <c r="H34" i="76" s="1"/>
  <c r="E46" i="76"/>
  <c r="H46" i="76" s="1"/>
  <c r="E32" i="76"/>
  <c r="H32" i="76" s="1"/>
  <c r="E25" i="76"/>
  <c r="H25" i="76" s="1"/>
  <c r="E31" i="76"/>
  <c r="H31" i="76" s="1"/>
  <c r="E67" i="76"/>
  <c r="H67" i="76" s="1"/>
  <c r="E49" i="76"/>
  <c r="H49" i="76" s="1"/>
  <c r="E64" i="76"/>
  <c r="H64" i="76" s="1"/>
  <c r="E65" i="76"/>
  <c r="H65" i="76" s="1"/>
  <c r="E56" i="76"/>
  <c r="H56" i="76" s="1"/>
  <c r="E29" i="76"/>
  <c r="H29" i="76" s="1"/>
  <c r="E51" i="76"/>
  <c r="H51" i="76" s="1"/>
  <c r="E43" i="76"/>
  <c r="H43" i="76" s="1"/>
  <c r="E71" i="76"/>
  <c r="H71" i="76" s="1"/>
  <c r="E13" i="76"/>
  <c r="H13" i="76" s="1"/>
  <c r="E55" i="76"/>
  <c r="H55" i="76" s="1"/>
  <c r="I26" i="76"/>
  <c r="E35" i="76"/>
  <c r="H35" i="76" s="1"/>
  <c r="E18" i="127"/>
  <c r="H18" i="127" s="1"/>
  <c r="E9" i="127"/>
  <c r="H9" i="127" s="1"/>
  <c r="E25" i="127"/>
  <c r="H25" i="127" s="1"/>
  <c r="E68" i="127"/>
  <c r="H68" i="127" s="1"/>
  <c r="E38" i="127"/>
  <c r="H38" i="127" s="1"/>
  <c r="E36" i="127"/>
  <c r="H36" i="127" s="1"/>
  <c r="E17" i="127"/>
  <c r="H17" i="127" s="1"/>
  <c r="E74" i="127"/>
  <c r="H74" i="127" s="1"/>
  <c r="E34" i="127"/>
  <c r="H34" i="127" s="1"/>
  <c r="E27" i="127"/>
  <c r="H27" i="127" s="1"/>
  <c r="E49" i="127"/>
  <c r="H49" i="127" s="1"/>
  <c r="E67" i="127"/>
  <c r="H67" i="127" s="1"/>
  <c r="E58" i="127"/>
  <c r="H58" i="127" s="1"/>
  <c r="E11" i="127"/>
  <c r="H11" i="127" s="1"/>
  <c r="E21" i="127"/>
  <c r="H21" i="127" s="1"/>
  <c r="E52" i="127"/>
  <c r="H52" i="127" s="1"/>
  <c r="E45" i="127"/>
  <c r="H45" i="127" s="1"/>
  <c r="E73" i="127"/>
  <c r="H73" i="127" s="1"/>
  <c r="E29" i="127"/>
  <c r="H29" i="127" s="1"/>
  <c r="E15" i="127"/>
  <c r="H15" i="127" s="1"/>
  <c r="E40" i="127"/>
  <c r="H40" i="127" s="1"/>
  <c r="E28" i="127"/>
  <c r="H28" i="127" s="1"/>
  <c r="E14" i="127"/>
  <c r="H14" i="127" s="1"/>
  <c r="E26" i="127"/>
  <c r="H26" i="127" s="1"/>
  <c r="E48" i="127"/>
  <c r="H48" i="127" s="1"/>
  <c r="E44" i="127"/>
  <c r="H44" i="127" s="1"/>
  <c r="E19" i="127"/>
  <c r="H19" i="127" s="1"/>
  <c r="E10" i="127"/>
  <c r="H10" i="127" s="1"/>
  <c r="E30" i="127"/>
  <c r="H30" i="127" s="1"/>
  <c r="E22" i="127"/>
  <c r="H22" i="127" s="1"/>
  <c r="E61" i="127"/>
  <c r="H61" i="127" s="1"/>
  <c r="E55" i="127"/>
  <c r="H55" i="127" s="1"/>
  <c r="E33" i="127"/>
  <c r="H33" i="127" s="1"/>
  <c r="E12" i="127"/>
  <c r="H12" i="127" s="1"/>
  <c r="E42" i="127"/>
  <c r="H42" i="127" s="1"/>
  <c r="E69" i="127"/>
  <c r="H69" i="127" s="1"/>
  <c r="E51" i="127"/>
  <c r="H51" i="127" s="1"/>
  <c r="E76" i="127"/>
  <c r="H76" i="127" s="1"/>
  <c r="E66" i="127"/>
  <c r="H66" i="127" s="1"/>
  <c r="E31" i="127"/>
  <c r="H31" i="127" s="1"/>
  <c r="E53" i="127"/>
  <c r="H53" i="127" s="1"/>
  <c r="E20" i="127"/>
  <c r="H20" i="127" s="1"/>
  <c r="E57" i="127"/>
  <c r="H57" i="127" s="1"/>
  <c r="E37" i="127"/>
  <c r="H37" i="127" s="1"/>
  <c r="E25" i="117"/>
  <c r="H25" i="117" s="1"/>
  <c r="E38" i="117"/>
  <c r="H38" i="117" s="1"/>
  <c r="E48" i="117"/>
  <c r="H48" i="117" s="1"/>
  <c r="E19" i="117"/>
  <c r="H19" i="117" s="1"/>
  <c r="E30" i="117"/>
  <c r="H30" i="117" s="1"/>
  <c r="E12" i="117"/>
  <c r="H12" i="117" s="1"/>
  <c r="E66" i="117"/>
  <c r="H66" i="117" s="1"/>
  <c r="E58" i="117"/>
  <c r="H58" i="117" s="1"/>
  <c r="E31" i="117"/>
  <c r="H31" i="117" s="1"/>
  <c r="E21" i="117"/>
  <c r="H21" i="117" s="1"/>
  <c r="E73" i="117"/>
  <c r="H73" i="117" s="1"/>
  <c r="E29" i="117"/>
  <c r="H29" i="117" s="1"/>
  <c r="E15" i="117"/>
  <c r="H15" i="117" s="1"/>
  <c r="E57" i="117"/>
  <c r="H57" i="117" s="1"/>
  <c r="E40" i="117"/>
  <c r="H40" i="117" s="1"/>
  <c r="E28" i="117"/>
  <c r="H28" i="117" s="1"/>
  <c r="E14" i="117"/>
  <c r="H14" i="117" s="1"/>
  <c r="E18" i="117"/>
  <c r="H18" i="117" s="1"/>
  <c r="E9" i="117"/>
  <c r="H9" i="117" s="1"/>
  <c r="E68" i="117"/>
  <c r="H68" i="117" s="1"/>
  <c r="E36" i="117"/>
  <c r="H36" i="117" s="1"/>
  <c r="E44" i="117"/>
  <c r="H44" i="117" s="1"/>
  <c r="E17" i="117"/>
  <c r="H17" i="117" s="1"/>
  <c r="E74" i="117"/>
  <c r="H74" i="117" s="1"/>
  <c r="E10" i="117"/>
  <c r="H10" i="117" s="1"/>
  <c r="E22" i="117"/>
  <c r="H22" i="117" s="1"/>
  <c r="E34" i="117"/>
  <c r="H34" i="117" s="1"/>
  <c r="E27" i="117"/>
  <c r="H27" i="117" s="1"/>
  <c r="E61" i="117"/>
  <c r="H61" i="117" s="1"/>
  <c r="E55" i="117"/>
  <c r="H55" i="117" s="1"/>
  <c r="E33" i="117"/>
  <c r="H33" i="117" s="1"/>
  <c r="E42" i="117"/>
  <c r="H42" i="117" s="1"/>
  <c r="E69" i="117"/>
  <c r="H69" i="117" s="1"/>
  <c r="E49" i="117"/>
  <c r="H49" i="117" s="1"/>
  <c r="E51" i="117"/>
  <c r="H51" i="117" s="1"/>
  <c r="E76" i="117"/>
  <c r="H76" i="117" s="1"/>
  <c r="E67" i="117"/>
  <c r="H67" i="117" s="1"/>
  <c r="E20" i="117"/>
  <c r="H20" i="117" s="1"/>
  <c r="E53" i="117"/>
  <c r="H53" i="117" s="1"/>
  <c r="E11" i="117"/>
  <c r="H11" i="117" s="1"/>
  <c r="E52" i="117"/>
  <c r="H52" i="117" s="1"/>
  <c r="E45" i="117"/>
  <c r="H45" i="117" s="1"/>
  <c r="E37" i="117"/>
  <c r="H37" i="117" s="1"/>
  <c r="E26" i="117"/>
  <c r="H26" i="117" s="1"/>
  <c r="E9" i="116"/>
  <c r="H9" i="116" s="1"/>
  <c r="E36" i="116"/>
  <c r="H36" i="116" s="1"/>
  <c r="E48" i="116"/>
  <c r="H48" i="116" s="1"/>
  <c r="E74" i="116"/>
  <c r="H74" i="116" s="1"/>
  <c r="E30" i="116"/>
  <c r="H30" i="116" s="1"/>
  <c r="E34" i="116"/>
  <c r="H34" i="116" s="1"/>
  <c r="E61" i="116"/>
  <c r="H61" i="116" s="1"/>
  <c r="E12" i="116"/>
  <c r="H12" i="116" s="1"/>
  <c r="E42" i="116"/>
  <c r="H42" i="116" s="1"/>
  <c r="E49" i="116"/>
  <c r="H49" i="116" s="1"/>
  <c r="E51" i="116"/>
  <c r="H51" i="116" s="1"/>
  <c r="E76" i="116"/>
  <c r="H76" i="116" s="1"/>
  <c r="E66" i="116"/>
  <c r="H66" i="116" s="1"/>
  <c r="E67" i="116"/>
  <c r="H67" i="116" s="1"/>
  <c r="E31" i="116"/>
  <c r="H31" i="116" s="1"/>
  <c r="E53" i="116"/>
  <c r="H53" i="116" s="1"/>
  <c r="E11" i="116"/>
  <c r="H11" i="116" s="1"/>
  <c r="E21" i="116"/>
  <c r="H21" i="116" s="1"/>
  <c r="E52" i="116"/>
  <c r="H52" i="116" s="1"/>
  <c r="E29" i="116"/>
  <c r="H29" i="116" s="1"/>
  <c r="E57" i="116"/>
  <c r="H57" i="116" s="1"/>
  <c r="E20" i="116"/>
  <c r="H20" i="116" s="1"/>
  <c r="E15" i="116"/>
  <c r="H15" i="116" s="1"/>
  <c r="E18" i="116"/>
  <c r="H18" i="116" s="1"/>
  <c r="E25" i="116"/>
  <c r="H25" i="116" s="1"/>
  <c r="E68" i="116"/>
  <c r="H68" i="116" s="1"/>
  <c r="E38" i="116"/>
  <c r="H38" i="116" s="1"/>
  <c r="E44" i="116"/>
  <c r="H44" i="116" s="1"/>
  <c r="E17" i="116"/>
  <c r="H17" i="116" s="1"/>
  <c r="E19" i="116"/>
  <c r="H19" i="116" s="1"/>
  <c r="E10" i="116"/>
  <c r="H10" i="116" s="1"/>
  <c r="E22" i="116"/>
  <c r="H22" i="116" s="1"/>
  <c r="E27" i="116"/>
  <c r="H27" i="116" s="1"/>
  <c r="E55" i="116"/>
  <c r="H55" i="116" s="1"/>
  <c r="E33" i="116"/>
  <c r="H33" i="116" s="1"/>
  <c r="E69" i="116"/>
  <c r="H69" i="116" s="1"/>
  <c r="E58" i="116"/>
  <c r="H58" i="116" s="1"/>
  <c r="E45" i="116"/>
  <c r="H45" i="116" s="1"/>
  <c r="E73" i="116"/>
  <c r="H73" i="116" s="1"/>
  <c r="E28" i="116"/>
  <c r="H28" i="116" s="1"/>
  <c r="E37" i="116"/>
  <c r="H37" i="116" s="1"/>
  <c r="E26" i="116"/>
  <c r="H26" i="116" s="1"/>
  <c r="E14" i="116"/>
  <c r="H14" i="116" s="1"/>
  <c r="E74" i="113"/>
  <c r="H74" i="113" s="1"/>
  <c r="E61" i="113"/>
  <c r="H61" i="113" s="1"/>
  <c r="E55" i="113"/>
  <c r="H55" i="113" s="1"/>
  <c r="E33" i="113"/>
  <c r="H33" i="113" s="1"/>
  <c r="E12" i="113"/>
  <c r="H12" i="113" s="1"/>
  <c r="E51" i="113"/>
  <c r="H51" i="113" s="1"/>
  <c r="E66" i="113"/>
  <c r="H66" i="113" s="1"/>
  <c r="E21" i="113"/>
  <c r="H21" i="113" s="1"/>
  <c r="E29" i="113"/>
  <c r="H29" i="113" s="1"/>
  <c r="E20" i="113"/>
  <c r="H20" i="113" s="1"/>
  <c r="E15" i="113"/>
  <c r="H15" i="113" s="1"/>
  <c r="E57" i="113"/>
  <c r="H57" i="113" s="1"/>
  <c r="E40" i="113"/>
  <c r="H40" i="113" s="1"/>
  <c r="E37" i="113"/>
  <c r="H37" i="113" s="1"/>
  <c r="E26" i="113"/>
  <c r="H26" i="113" s="1"/>
  <c r="E14" i="113"/>
  <c r="H14" i="113" s="1"/>
  <c r="E38" i="113"/>
  <c r="H38" i="113" s="1"/>
  <c r="E48" i="113"/>
  <c r="H48" i="113" s="1"/>
  <c r="E44" i="113"/>
  <c r="H44" i="113" s="1"/>
  <c r="E17" i="113"/>
  <c r="H17" i="113" s="1"/>
  <c r="E18" i="113"/>
  <c r="H18" i="113" s="1"/>
  <c r="E9" i="113"/>
  <c r="H9" i="113" s="1"/>
  <c r="E25" i="113"/>
  <c r="H25" i="113" s="1"/>
  <c r="E68" i="113"/>
  <c r="H68" i="113" s="1"/>
  <c r="E36" i="113"/>
  <c r="H36" i="113" s="1"/>
  <c r="E19" i="113"/>
  <c r="H19" i="113" s="1"/>
  <c r="E10" i="113"/>
  <c r="H10" i="113" s="1"/>
  <c r="E30" i="113"/>
  <c r="H30" i="113" s="1"/>
  <c r="E22" i="113"/>
  <c r="H22" i="113" s="1"/>
  <c r="E34" i="113"/>
  <c r="H34" i="113" s="1"/>
  <c r="E27" i="113"/>
  <c r="H27" i="113" s="1"/>
  <c r="E42" i="113"/>
  <c r="H42" i="113" s="1"/>
  <c r="E69" i="113"/>
  <c r="H69" i="113" s="1"/>
  <c r="E49" i="113"/>
  <c r="H49" i="113" s="1"/>
  <c r="E76" i="113"/>
  <c r="H76" i="113" s="1"/>
  <c r="E67" i="113"/>
  <c r="H67" i="113" s="1"/>
  <c r="E58" i="113"/>
  <c r="H58" i="113" s="1"/>
  <c r="E31" i="113"/>
  <c r="H31" i="113" s="1"/>
  <c r="E53" i="113"/>
  <c r="H53" i="113" s="1"/>
  <c r="E11" i="113"/>
  <c r="H11" i="113" s="1"/>
  <c r="E52" i="113"/>
  <c r="H52" i="113" s="1"/>
  <c r="E45" i="113"/>
  <c r="H45" i="113" s="1"/>
  <c r="E73" i="113"/>
  <c r="H73" i="113" s="1"/>
  <c r="E28" i="113"/>
  <c r="H28" i="113" s="1"/>
  <c r="AX40" i="1"/>
  <c r="I12" i="76"/>
  <c r="I53" i="80"/>
  <c r="I66" i="76"/>
  <c r="E26" i="76"/>
  <c r="H26" i="76" s="1"/>
  <c r="D28" i="67"/>
  <c r="E28" i="67" s="1"/>
  <c r="F28" i="67" s="1"/>
  <c r="G28" i="67" s="1"/>
  <c r="I28" i="67" s="1"/>
  <c r="E24" i="80"/>
  <c r="H24" i="80" s="1"/>
  <c r="I24" i="80"/>
  <c r="AV26" i="1"/>
  <c r="AX26" i="1"/>
  <c r="D26" i="67"/>
  <c r="E26" i="67" s="1"/>
  <c r="F26" i="67" s="1"/>
  <c r="G26" i="67" s="1"/>
  <c r="I26" i="67" s="1"/>
  <c r="E24" i="76"/>
  <c r="H24" i="76" s="1"/>
  <c r="I24" i="76"/>
  <c r="I43" i="76"/>
  <c r="I12" i="80"/>
  <c r="AX15" i="1"/>
  <c r="I53" i="76"/>
  <c r="AV15" i="1"/>
  <c r="AX20" i="1"/>
  <c r="I35" i="76"/>
  <c r="I35" i="80"/>
  <c r="AV20" i="1"/>
  <c r="AX37" i="1"/>
  <c r="AV37" i="1"/>
  <c r="I38" i="80"/>
  <c r="D37" i="67"/>
  <c r="E37" i="67" s="1"/>
  <c r="F37" i="67" s="1"/>
  <c r="G37" i="67" s="1"/>
  <c r="I37" i="67" s="1"/>
  <c r="W63" i="67"/>
  <c r="I26" i="80"/>
  <c r="I71" i="76"/>
  <c r="I38" i="76"/>
  <c r="E69" i="31"/>
  <c r="E70" i="31" s="1"/>
  <c r="E72" i="31" s="1"/>
  <c r="I18" i="76"/>
  <c r="I18" i="80"/>
  <c r="I67" i="76"/>
  <c r="I13" i="76"/>
  <c r="I29" i="80"/>
  <c r="D57" i="67"/>
  <c r="E57" i="67" s="1"/>
  <c r="F57" i="67" s="1"/>
  <c r="G57" i="67" s="1"/>
  <c r="I57" i="67" s="1"/>
  <c r="I55" i="80"/>
  <c r="I27" i="80"/>
  <c r="AX57" i="1"/>
  <c r="AV57" i="1"/>
  <c r="I55" i="76"/>
  <c r="I71" i="80"/>
  <c r="E71" i="80"/>
  <c r="H71" i="80" s="1"/>
  <c r="I13" i="80"/>
  <c r="I59" i="76"/>
  <c r="I50" i="76"/>
  <c r="D73" i="67"/>
  <c r="E73" i="67" s="1"/>
  <c r="F73" i="67" s="1"/>
  <c r="G73" i="67" s="1"/>
  <c r="I73" i="67" s="1"/>
  <c r="D29" i="67"/>
  <c r="E29" i="67" s="1"/>
  <c r="F29" i="67" s="1"/>
  <c r="G29" i="67" s="1"/>
  <c r="I29" i="67" s="1"/>
  <c r="AV29" i="1"/>
  <c r="AX29" i="1"/>
  <c r="I10" i="76"/>
  <c r="I34" i="80"/>
  <c r="I29" i="76"/>
  <c r="I50" i="80"/>
  <c r="AV73" i="1"/>
  <c r="AQ73" i="1"/>
  <c r="AX73" i="1"/>
  <c r="D11" i="67"/>
  <c r="E11" i="67" s="1"/>
  <c r="F11" i="67" s="1"/>
  <c r="G11" i="67" s="1"/>
  <c r="I11" i="67" s="1"/>
  <c r="D52" i="67"/>
  <c r="E52" i="67" s="1"/>
  <c r="F52" i="67" s="1"/>
  <c r="G52" i="67" s="1"/>
  <c r="I52" i="67" s="1"/>
  <c r="I47" i="80"/>
  <c r="I49" i="80"/>
  <c r="AQ53" i="1"/>
  <c r="AX53" i="1"/>
  <c r="AV53" i="1"/>
  <c r="I51" i="76"/>
  <c r="I43" i="80"/>
  <c r="D31" i="67"/>
  <c r="E31" i="67" s="1"/>
  <c r="F31" i="67" s="1"/>
  <c r="G31" i="67" s="1"/>
  <c r="I31" i="67" s="1"/>
  <c r="E9" i="80"/>
  <c r="H9" i="80" s="1"/>
  <c r="I9" i="80"/>
  <c r="AV52" i="1"/>
  <c r="AX52" i="1"/>
  <c r="AQ21" i="1"/>
  <c r="AX21" i="1"/>
  <c r="AV21" i="1"/>
  <c r="AX31" i="1"/>
  <c r="AV31" i="1"/>
  <c r="D45" i="67"/>
  <c r="E45" i="67" s="1"/>
  <c r="F45" i="67" s="1"/>
  <c r="G45" i="67" s="1"/>
  <c r="I45" i="67" s="1"/>
  <c r="I15" i="76"/>
  <c r="E19" i="76"/>
  <c r="H19" i="76" s="1"/>
  <c r="I19" i="76"/>
  <c r="I32" i="80"/>
  <c r="I59" i="80"/>
  <c r="I64" i="76"/>
  <c r="D53" i="67"/>
  <c r="E53" i="67" s="1"/>
  <c r="F53" i="67" s="1"/>
  <c r="G53" i="67" s="1"/>
  <c r="I53" i="67" s="1"/>
  <c r="I51" i="80"/>
  <c r="H33" i="46"/>
  <c r="AQ11" i="1"/>
  <c r="AX11" i="1"/>
  <c r="AV11" i="1"/>
  <c r="D21" i="67"/>
  <c r="E21" i="67" s="1"/>
  <c r="F21" i="67" s="1"/>
  <c r="G21" i="67" s="1"/>
  <c r="I21" i="67" s="1"/>
  <c r="AQ31" i="1"/>
  <c r="AV45" i="1"/>
  <c r="AX45" i="1"/>
  <c r="AQ45" i="1"/>
  <c r="E9" i="76"/>
  <c r="H9" i="76" s="1"/>
  <c r="I9" i="76"/>
  <c r="E19" i="80"/>
  <c r="H19" i="80" s="1"/>
  <c r="I19" i="80"/>
  <c r="D55" i="67"/>
  <c r="E55" i="67" s="1"/>
  <c r="F55" i="67" s="1"/>
  <c r="G55" i="67" s="1"/>
  <c r="I55" i="67" s="1"/>
  <c r="W15" i="67"/>
  <c r="D25" i="67"/>
  <c r="E25" i="67" s="1"/>
  <c r="F25" i="67" s="1"/>
  <c r="G25" i="67" s="1"/>
  <c r="I25" i="67" s="1"/>
  <c r="E42" i="80"/>
  <c r="H42" i="80" s="1"/>
  <c r="I42" i="80"/>
  <c r="E20" i="76"/>
  <c r="H20" i="76" s="1"/>
  <c r="I20" i="76"/>
  <c r="W71" i="67"/>
  <c r="AQ12" i="1"/>
  <c r="AX12" i="1"/>
  <c r="AV12" i="1"/>
  <c r="D22" i="67"/>
  <c r="E22" i="67" s="1"/>
  <c r="F22" i="67" s="1"/>
  <c r="G22" i="67" s="1"/>
  <c r="I22" i="67" s="1"/>
  <c r="I66" i="80"/>
  <c r="AQ55" i="1"/>
  <c r="AX55" i="1"/>
  <c r="AV55" i="1"/>
  <c r="W40" i="67"/>
  <c r="W65" i="67"/>
  <c r="E72" i="76"/>
  <c r="H72" i="76" s="1"/>
  <c r="I72" i="76"/>
  <c r="E8" i="76"/>
  <c r="H8" i="76" s="1"/>
  <c r="I8" i="76"/>
  <c r="W20" i="67"/>
  <c r="AQ67" i="1"/>
  <c r="AX67" i="1"/>
  <c r="AV67" i="1"/>
  <c r="AQ44" i="1"/>
  <c r="AX44" i="1"/>
  <c r="AV44" i="1"/>
  <c r="AQ38" i="1"/>
  <c r="AV38" i="1"/>
  <c r="AX38" i="1"/>
  <c r="AQ66" i="1"/>
  <c r="AV66" i="1"/>
  <c r="AX66" i="1"/>
  <c r="AV10" i="1"/>
  <c r="AX10" i="1"/>
  <c r="AV34" i="1"/>
  <c r="AX34" i="1"/>
  <c r="AQ9" i="1"/>
  <c r="AV9" i="1"/>
  <c r="AX9" i="1"/>
  <c r="I49" i="76"/>
  <c r="W14" i="67"/>
  <c r="D61" i="67"/>
  <c r="E61" i="67" s="1"/>
  <c r="F61" i="67" s="1"/>
  <c r="G61" i="67" s="1"/>
  <c r="I61" i="67" s="1"/>
  <c r="W70" i="67"/>
  <c r="D30" i="67"/>
  <c r="E30" i="67" s="1"/>
  <c r="F30" i="67" s="1"/>
  <c r="G30" i="67" s="1"/>
  <c r="I30" i="67" s="1"/>
  <c r="D19" i="67"/>
  <c r="E19" i="67" s="1"/>
  <c r="F19" i="67" s="1"/>
  <c r="G19" i="67" s="1"/>
  <c r="I19" i="67" s="1"/>
  <c r="AX74" i="1"/>
  <c r="AV74" i="1"/>
  <c r="AQ74" i="1"/>
  <c r="AV36" i="1"/>
  <c r="AQ36" i="1"/>
  <c r="AX36" i="1"/>
  <c r="I7" i="76"/>
  <c r="W56" i="67"/>
  <c r="I36" i="76"/>
  <c r="AV25" i="1"/>
  <c r="AX25" i="1"/>
  <c r="E46" i="80"/>
  <c r="H46" i="80" s="1"/>
  <c r="I46" i="80"/>
  <c r="D51" i="67"/>
  <c r="E51" i="67" s="1"/>
  <c r="F51" i="67" s="1"/>
  <c r="G51" i="67" s="1"/>
  <c r="I51" i="67" s="1"/>
  <c r="W41" i="67"/>
  <c r="D42" i="67"/>
  <c r="E42" i="67" s="1"/>
  <c r="F42" i="67" s="1"/>
  <c r="G42" i="67" s="1"/>
  <c r="I42" i="67" s="1"/>
  <c r="W32" i="67"/>
  <c r="I28" i="76"/>
  <c r="D44" i="67"/>
  <c r="E44" i="67" s="1"/>
  <c r="F44" i="67" s="1"/>
  <c r="G44" i="67" s="1"/>
  <c r="I44" i="67" s="1"/>
  <c r="D76" i="67"/>
  <c r="E76" i="67" s="1"/>
  <c r="F76" i="67" s="1"/>
  <c r="G76" i="67" s="1"/>
  <c r="I76" i="67" s="1"/>
  <c r="D66" i="67"/>
  <c r="E66" i="67" s="1"/>
  <c r="F66" i="67" s="1"/>
  <c r="G66" i="67" s="1"/>
  <c r="I66" i="67" s="1"/>
  <c r="I31" i="76"/>
  <c r="D49" i="67"/>
  <c r="E49" i="67" s="1"/>
  <c r="F49" i="67" s="1"/>
  <c r="G49" i="67" s="1"/>
  <c r="I49" i="67" s="1"/>
  <c r="D10" i="67"/>
  <c r="E10" i="67" s="1"/>
  <c r="F10" i="67" s="1"/>
  <c r="G10" i="67" s="1"/>
  <c r="I10" i="67" s="1"/>
  <c r="AQ18" i="1"/>
  <c r="AX18" i="1"/>
  <c r="AV18" i="1"/>
  <c r="D27" i="67"/>
  <c r="E27" i="67" s="1"/>
  <c r="F27" i="67" s="1"/>
  <c r="G27" i="67" s="1"/>
  <c r="I27" i="67" s="1"/>
  <c r="D68" i="67"/>
  <c r="E68" i="67" s="1"/>
  <c r="F68" i="67" s="1"/>
  <c r="G68" i="67" s="1"/>
  <c r="I68" i="67" s="1"/>
  <c r="I67" i="80"/>
  <c r="D9" i="67"/>
  <c r="E9" i="67" s="1"/>
  <c r="F9" i="67" s="1"/>
  <c r="G9" i="67" s="1"/>
  <c r="I9" i="67" s="1"/>
  <c r="D48" i="67"/>
  <c r="E48" i="67" s="1"/>
  <c r="F48" i="67" s="1"/>
  <c r="G48" i="67" s="1"/>
  <c r="I48" i="67" s="1"/>
  <c r="I74" i="76"/>
  <c r="AX61" i="1"/>
  <c r="AV61" i="1"/>
  <c r="I56" i="80"/>
  <c r="D12" i="67"/>
  <c r="E12" i="67" s="1"/>
  <c r="F12" i="67" s="1"/>
  <c r="G12" i="67" s="1"/>
  <c r="I12" i="67" s="1"/>
  <c r="D36" i="67"/>
  <c r="E36" i="67" s="1"/>
  <c r="F36" i="67" s="1"/>
  <c r="G36" i="67" s="1"/>
  <c r="I36" i="67" s="1"/>
  <c r="I16" i="76"/>
  <c r="I7" i="80"/>
  <c r="E23" i="80"/>
  <c r="H23" i="80" s="1"/>
  <c r="I23" i="80"/>
  <c r="AQ22" i="1"/>
  <c r="AX22" i="1"/>
  <c r="AV22" i="1"/>
  <c r="D58" i="67"/>
  <c r="E58" i="67" s="1"/>
  <c r="F58" i="67" s="1"/>
  <c r="G58" i="67" s="1"/>
  <c r="I58" i="67" s="1"/>
  <c r="I36" i="80"/>
  <c r="I34" i="76"/>
  <c r="D69" i="67"/>
  <c r="E69" i="67" s="1"/>
  <c r="F69" i="67" s="1"/>
  <c r="G69" i="67" s="1"/>
  <c r="I69" i="67" s="1"/>
  <c r="AQ25" i="1"/>
  <c r="AQ51" i="1"/>
  <c r="AV51" i="1"/>
  <c r="AX51" i="1"/>
  <c r="I15" i="80"/>
  <c r="AQ33" i="1"/>
  <c r="AX33" i="1"/>
  <c r="AV33" i="1"/>
  <c r="E17" i="80"/>
  <c r="H17" i="80" s="1"/>
  <c r="I17" i="80"/>
  <c r="E72" i="80"/>
  <c r="H72" i="80" s="1"/>
  <c r="I72" i="80"/>
  <c r="E8" i="80"/>
  <c r="H8" i="80" s="1"/>
  <c r="I8" i="80"/>
  <c r="E20" i="80"/>
  <c r="H20" i="80" s="1"/>
  <c r="I20" i="80"/>
  <c r="D67" i="67"/>
  <c r="E67" i="67" s="1"/>
  <c r="F67" i="67" s="1"/>
  <c r="G67" i="67" s="1"/>
  <c r="I67" i="67" s="1"/>
  <c r="I32" i="76"/>
  <c r="AQ76" i="1"/>
  <c r="AX76" i="1"/>
  <c r="AV76" i="1"/>
  <c r="D38" i="67"/>
  <c r="E38" i="67" s="1"/>
  <c r="F38" i="67" s="1"/>
  <c r="G38" i="67" s="1"/>
  <c r="I38" i="67" s="1"/>
  <c r="AQ10" i="1"/>
  <c r="I31" i="80"/>
  <c r="E40" i="80"/>
  <c r="H40" i="80" s="1"/>
  <c r="I40" i="80"/>
  <c r="W39" i="67"/>
  <c r="AQ49" i="1"/>
  <c r="AX49" i="1"/>
  <c r="AV49" i="1"/>
  <c r="AQ27" i="1"/>
  <c r="AX27" i="1"/>
  <c r="AV27" i="1"/>
  <c r="AQ68" i="1"/>
  <c r="AX68" i="1"/>
  <c r="AV68" i="1"/>
  <c r="I46" i="76"/>
  <c r="D17" i="67"/>
  <c r="E17" i="67" s="1"/>
  <c r="F17" i="67" s="1"/>
  <c r="G17" i="67" s="1"/>
  <c r="I17" i="67" s="1"/>
  <c r="AQ34" i="1"/>
  <c r="D34" i="67"/>
  <c r="E34" i="67" s="1"/>
  <c r="F34" i="67" s="1"/>
  <c r="G34" i="67" s="1"/>
  <c r="I34" i="67" s="1"/>
  <c r="I47" i="76"/>
  <c r="I64" i="80"/>
  <c r="I56" i="76"/>
  <c r="AQ19" i="1"/>
  <c r="AV19" i="1"/>
  <c r="AX19" i="1"/>
  <c r="D74" i="67"/>
  <c r="E74" i="67" s="1"/>
  <c r="F74" i="67" s="1"/>
  <c r="G74" i="67" s="1"/>
  <c r="I74" i="67" s="1"/>
  <c r="E23" i="76"/>
  <c r="H23" i="76" s="1"/>
  <c r="I23" i="76"/>
  <c r="AQ58" i="1"/>
  <c r="AV58" i="1"/>
  <c r="AX58" i="1"/>
  <c r="AV69" i="1"/>
  <c r="AX69" i="1"/>
  <c r="E42" i="76"/>
  <c r="H42" i="76" s="1"/>
  <c r="I42" i="76"/>
  <c r="D33" i="67"/>
  <c r="E33" i="67" s="1"/>
  <c r="F33" i="67" s="1"/>
  <c r="G33" i="67" s="1"/>
  <c r="I33" i="67" s="1"/>
  <c r="AX42" i="1"/>
  <c r="AQ42" i="1"/>
  <c r="AV42" i="1"/>
  <c r="E17" i="76"/>
  <c r="H17" i="76" s="1"/>
  <c r="I17" i="76"/>
  <c r="E28" i="80"/>
  <c r="H28" i="80" s="1"/>
  <c r="I28" i="80"/>
  <c r="W50" i="67"/>
  <c r="E40" i="76"/>
  <c r="H40" i="76" s="1"/>
  <c r="I40" i="76"/>
  <c r="D18" i="67"/>
  <c r="E18" i="67" s="1"/>
  <c r="F18" i="67" s="1"/>
  <c r="G18" i="67" s="1"/>
  <c r="I18" i="67" s="1"/>
  <c r="AQ17" i="1"/>
  <c r="AV17" i="1"/>
  <c r="AX17" i="1"/>
  <c r="AQ48" i="1"/>
  <c r="AX48" i="1"/>
  <c r="AV48" i="1"/>
  <c r="AQ30" i="1"/>
  <c r="AV30" i="1"/>
  <c r="AX30" i="1"/>
  <c r="H11" i="137"/>
  <c r="W24" i="67"/>
  <c r="M16" i="67"/>
  <c r="AT16" i="1"/>
  <c r="AS77" i="1"/>
  <c r="AT77" i="1" s="1"/>
  <c r="E82" i="81"/>
  <c r="F81" i="25"/>
  <c r="G36" i="81"/>
  <c r="H36" i="81"/>
  <c r="AE16" i="1"/>
  <c r="AD77" i="1"/>
  <c r="H26" i="81"/>
  <c r="G26" i="81"/>
  <c r="H69" i="31"/>
  <c r="H70" i="31" s="1"/>
  <c r="AL8" i="1"/>
  <c r="D8" i="118" s="1"/>
  <c r="C8" i="33"/>
  <c r="BA8" i="1"/>
  <c r="AP8" i="1"/>
  <c r="AW8" i="1"/>
  <c r="E36" i="46" l="1"/>
  <c r="H36" i="46"/>
  <c r="L33" i="46"/>
  <c r="H20" i="137"/>
  <c r="H18" i="46"/>
  <c r="H19" i="46" s="1"/>
  <c r="E18" i="46"/>
  <c r="E19" i="46" s="1"/>
  <c r="W28" i="67"/>
  <c r="W26" i="67"/>
  <c r="W37" i="67"/>
  <c r="W57" i="67"/>
  <c r="W73" i="67"/>
  <c r="W29" i="67"/>
  <c r="W31" i="67"/>
  <c r="W52" i="67"/>
  <c r="W21" i="67"/>
  <c r="W11" i="67"/>
  <c r="W53" i="67"/>
  <c r="W45" i="67"/>
  <c r="W33" i="67"/>
  <c r="W17" i="67"/>
  <c r="W69" i="67"/>
  <c r="W10" i="67"/>
  <c r="W74" i="67"/>
  <c r="W36" i="67"/>
  <c r="W68" i="67"/>
  <c r="W51" i="67"/>
  <c r="W38" i="67"/>
  <c r="W58" i="67"/>
  <c r="W48" i="67"/>
  <c r="W27" i="67"/>
  <c r="W49" i="67"/>
  <c r="W44" i="67"/>
  <c r="W19" i="67"/>
  <c r="W22" i="67"/>
  <c r="W25" i="67"/>
  <c r="W55" i="67"/>
  <c r="W9" i="67"/>
  <c r="W18" i="67"/>
  <c r="W34" i="67"/>
  <c r="W67" i="67"/>
  <c r="W76" i="67"/>
  <c r="W42" i="67"/>
  <c r="W12" i="67"/>
  <c r="W66" i="67"/>
  <c r="W30" i="67"/>
  <c r="W61" i="67"/>
  <c r="AU64" i="1"/>
  <c r="AU57" i="1"/>
  <c r="AU25" i="1"/>
  <c r="AU19" i="1"/>
  <c r="AU29" i="1"/>
  <c r="AU58" i="1"/>
  <c r="AU61" i="1"/>
  <c r="AU63" i="1"/>
  <c r="AU74" i="1"/>
  <c r="AU37" i="1"/>
  <c r="AU35" i="1"/>
  <c r="AU46" i="1"/>
  <c r="AU65" i="1"/>
  <c r="AU60" i="1"/>
  <c r="AU36" i="1"/>
  <c r="AU17" i="1"/>
  <c r="AU42" i="1"/>
  <c r="AU31" i="1"/>
  <c r="AU34" i="1"/>
  <c r="AU24" i="1"/>
  <c r="AU53" i="1"/>
  <c r="AU10" i="1"/>
  <c r="AU32" i="1"/>
  <c r="AU59" i="1"/>
  <c r="AU15" i="1"/>
  <c r="AU8" i="1"/>
  <c r="AU56" i="1"/>
  <c r="AU52" i="1"/>
  <c r="AU14" i="1"/>
  <c r="AU28" i="1"/>
  <c r="AU23" i="1"/>
  <c r="AU27" i="1"/>
  <c r="AU55" i="1"/>
  <c r="AU40" i="1"/>
  <c r="AU16" i="1"/>
  <c r="AU76" i="1"/>
  <c r="AU75" i="1"/>
  <c r="AU44" i="1"/>
  <c r="AU54" i="1"/>
  <c r="AU69" i="1"/>
  <c r="AU41" i="1"/>
  <c r="AU26" i="1"/>
  <c r="AU72" i="1"/>
  <c r="AU21" i="1"/>
  <c r="AU48" i="1"/>
  <c r="AU33" i="1"/>
  <c r="AU49" i="1"/>
  <c r="AU13" i="1"/>
  <c r="AU11" i="1"/>
  <c r="AU62" i="1"/>
  <c r="AU39" i="1"/>
  <c r="AU30" i="1"/>
  <c r="AU66" i="1"/>
  <c r="AU51" i="1"/>
  <c r="AU71" i="1"/>
  <c r="AU70" i="1"/>
  <c r="AU73" i="1"/>
  <c r="AU22" i="1"/>
  <c r="AU18" i="1"/>
  <c r="AU45" i="1"/>
  <c r="AU9" i="1"/>
  <c r="AU38" i="1"/>
  <c r="AU68" i="1"/>
  <c r="AU50" i="1"/>
  <c r="AU67" i="1"/>
  <c r="AU20" i="1"/>
  <c r="AU47" i="1"/>
  <c r="AU43" i="1"/>
  <c r="AU12" i="1"/>
  <c r="AG16" i="1"/>
  <c r="AE77" i="1"/>
  <c r="AF16" i="1"/>
  <c r="P16" i="67"/>
  <c r="M77" i="67"/>
  <c r="P77" i="67" s="1"/>
  <c r="H72" i="31"/>
  <c r="D8" i="67"/>
  <c r="E8" i="67" s="1"/>
  <c r="F8" i="67" s="1"/>
  <c r="G8" i="67" s="1"/>
  <c r="I8" i="67" s="1"/>
  <c r="AX8" i="1"/>
  <c r="AV8" i="1"/>
  <c r="D8" i="127"/>
  <c r="D6" i="80"/>
  <c r="E6" i="80" s="1"/>
  <c r="D8" i="117"/>
  <c r="D8" i="113"/>
  <c r="D8" i="125"/>
  <c r="E8" i="125" s="1"/>
  <c r="D8" i="128"/>
  <c r="D8" i="115"/>
  <c r="E8" i="115" s="1"/>
  <c r="H8" i="115" s="1"/>
  <c r="D8" i="131"/>
  <c r="E8" i="131" s="1"/>
  <c r="D8" i="120"/>
  <c r="E8" i="120" s="1"/>
  <c r="D8" i="116"/>
  <c r="D6" i="76"/>
  <c r="D8" i="126"/>
  <c r="E8" i="126" s="1"/>
  <c r="D8" i="129"/>
  <c r="D8" i="114"/>
  <c r="E8" i="118"/>
  <c r="D8" i="119"/>
  <c r="AQ8" i="1"/>
  <c r="Q16" i="67" l="1"/>
  <c r="S16" i="67" s="1"/>
  <c r="E8" i="129"/>
  <c r="H8" i="129" s="1"/>
  <c r="E8" i="119"/>
  <c r="H8" i="119" s="1"/>
  <c r="E8" i="114"/>
  <c r="H8" i="114" s="1"/>
  <c r="E8" i="128"/>
  <c r="H8" i="128" s="1"/>
  <c r="E6" i="76"/>
  <c r="H6" i="76" s="1"/>
  <c r="E8" i="127"/>
  <c r="H8" i="127" s="1"/>
  <c r="E8" i="117"/>
  <c r="H8" i="117" s="1"/>
  <c r="E8" i="116"/>
  <c r="H8" i="116" s="1"/>
  <c r="E8" i="113"/>
  <c r="H8" i="113" s="1"/>
  <c r="I6" i="80"/>
  <c r="E57" i="81"/>
  <c r="H24" i="137"/>
  <c r="E37" i="81"/>
  <c r="AG87" i="1"/>
  <c r="AF77" i="1"/>
  <c r="AO16" i="1"/>
  <c r="AK16" i="1"/>
  <c r="AH16" i="1"/>
  <c r="AG77" i="1"/>
  <c r="H6" i="80"/>
  <c r="W8" i="67"/>
  <c r="H8" i="126"/>
  <c r="H8" i="118"/>
  <c r="H8" i="120"/>
  <c r="H8" i="131"/>
  <c r="H8" i="125"/>
  <c r="I6" i="76"/>
  <c r="Q77" i="67" l="1"/>
  <c r="AP16" i="1"/>
  <c r="BA16" i="1"/>
  <c r="AW16" i="1"/>
  <c r="C16" i="33"/>
  <c r="AO77" i="1"/>
  <c r="AH77" i="1"/>
  <c r="AO87" i="1"/>
  <c r="AK87" i="1"/>
  <c r="AL16" i="1"/>
  <c r="AK77" i="1"/>
  <c r="AL77" i="1" s="1"/>
  <c r="G37" i="81"/>
  <c r="H37" i="81"/>
  <c r="E38" i="81"/>
  <c r="C77" i="33" l="1"/>
  <c r="E48" i="81"/>
  <c r="H38" i="81"/>
  <c r="G38" i="81"/>
  <c r="D16" i="120"/>
  <c r="E16" i="120" s="1"/>
  <c r="D16" i="125"/>
  <c r="E16" i="125" s="1"/>
  <c r="D14" i="76"/>
  <c r="D16" i="113"/>
  <c r="D16" i="126"/>
  <c r="E16" i="126" s="1"/>
  <c r="D16" i="118"/>
  <c r="E16" i="118" s="1"/>
  <c r="D16" i="116"/>
  <c r="D26" i="46"/>
  <c r="E26" i="46" s="1"/>
  <c r="H26" i="46" s="1"/>
  <c r="L26" i="46" s="1"/>
  <c r="D16" i="115"/>
  <c r="E16" i="115" s="1"/>
  <c r="D16" i="128"/>
  <c r="D29" i="46"/>
  <c r="D28" i="46"/>
  <c r="D14" i="80"/>
  <c r="E14" i="80" s="1"/>
  <c r="D16" i="117"/>
  <c r="D16" i="119"/>
  <c r="D16" i="127"/>
  <c r="D16" i="129"/>
  <c r="D16" i="114"/>
  <c r="D16" i="131"/>
  <c r="E16" i="131" s="1"/>
  <c r="AP77" i="1"/>
  <c r="AW87" i="1"/>
  <c r="AQ16" i="1"/>
  <c r="AX16" i="1"/>
  <c r="AV16" i="1"/>
  <c r="AW77" i="1"/>
  <c r="D16" i="67"/>
  <c r="E16" i="67" s="1"/>
  <c r="F16" i="67" s="1"/>
  <c r="G16" i="67" s="1"/>
  <c r="I16" i="67" s="1"/>
  <c r="C21" i="5"/>
  <c r="D21" i="5" s="1"/>
  <c r="G21" i="5" s="1"/>
  <c r="C9" i="5"/>
  <c r="D9" i="5" s="1"/>
  <c r="G9" i="5" s="1"/>
  <c r="C20" i="5"/>
  <c r="D20" i="5" s="1"/>
  <c r="C8" i="5"/>
  <c r="D8" i="5" s="1"/>
  <c r="BA77" i="1"/>
  <c r="E16" i="129" l="1"/>
  <c r="H16" i="129" s="1"/>
  <c r="E29" i="46"/>
  <c r="H29" i="46" s="1"/>
  <c r="E28" i="46"/>
  <c r="H28" i="46" s="1"/>
  <c r="E16" i="119"/>
  <c r="E77" i="119" s="1"/>
  <c r="E16" i="114"/>
  <c r="E78" i="114" s="1"/>
  <c r="E16" i="128"/>
  <c r="H16" i="128" s="1"/>
  <c r="E14" i="76"/>
  <c r="E75" i="76" s="1"/>
  <c r="E79" i="76" s="1"/>
  <c r="E16" i="127"/>
  <c r="E77" i="127" s="1"/>
  <c r="E16" i="117"/>
  <c r="E77" i="117" s="1"/>
  <c r="E16" i="116"/>
  <c r="E77" i="116" s="1"/>
  <c r="E16" i="113"/>
  <c r="H16" i="113" s="1"/>
  <c r="I14" i="76"/>
  <c r="I75" i="76" s="1"/>
  <c r="I14" i="80"/>
  <c r="I75" i="80" s="1"/>
  <c r="I79" i="80" s="1"/>
  <c r="G20" i="5"/>
  <c r="D22" i="5"/>
  <c r="E59" i="81"/>
  <c r="AR19" i="1"/>
  <c r="AR72" i="1"/>
  <c r="AR8" i="1"/>
  <c r="AR17" i="1"/>
  <c r="AR41" i="1"/>
  <c r="AR45" i="1"/>
  <c r="AR66" i="1"/>
  <c r="AR40" i="1"/>
  <c r="AR57" i="1"/>
  <c r="AR18" i="1"/>
  <c r="AR53" i="1"/>
  <c r="AR51" i="1"/>
  <c r="AR76" i="1"/>
  <c r="AR12" i="1"/>
  <c r="AR71" i="1"/>
  <c r="AR14" i="1"/>
  <c r="AR69" i="1"/>
  <c r="AR44" i="1"/>
  <c r="AR15" i="1"/>
  <c r="AR29" i="1"/>
  <c r="AR11" i="1"/>
  <c r="AR59" i="1"/>
  <c r="AR26" i="1"/>
  <c r="AR34" i="1"/>
  <c r="AR10" i="1"/>
  <c r="AR25" i="1"/>
  <c r="AR60" i="1"/>
  <c r="AR74" i="1"/>
  <c r="AR61" i="1"/>
  <c r="AR58" i="1"/>
  <c r="AR33" i="1"/>
  <c r="AR68" i="1"/>
  <c r="AR30" i="1"/>
  <c r="AR70" i="1"/>
  <c r="AR49" i="1"/>
  <c r="AR55" i="1"/>
  <c r="AR75" i="1"/>
  <c r="AR54" i="1"/>
  <c r="AR16" i="1"/>
  <c r="AR52" i="1"/>
  <c r="AR23" i="1"/>
  <c r="AR50" i="1"/>
  <c r="AR62" i="1"/>
  <c r="AR21" i="1"/>
  <c r="AR37" i="1"/>
  <c r="AR42" i="1"/>
  <c r="AR65" i="1"/>
  <c r="AR22" i="1"/>
  <c r="AR48" i="1"/>
  <c r="AR20" i="1"/>
  <c r="AR36" i="1"/>
  <c r="AR35" i="1"/>
  <c r="AR39" i="1"/>
  <c r="AR9" i="1"/>
  <c r="AR24" i="1"/>
  <c r="AR73" i="1"/>
  <c r="AR63" i="1"/>
  <c r="AR56" i="1"/>
  <c r="AR32" i="1"/>
  <c r="AR43" i="1"/>
  <c r="AR31" i="1"/>
  <c r="AR28" i="1"/>
  <c r="AR67" i="1"/>
  <c r="AR38" i="1"/>
  <c r="AR27" i="1"/>
  <c r="AR13" i="1"/>
  <c r="AR47" i="1"/>
  <c r="AR64" i="1"/>
  <c r="AR46" i="1"/>
  <c r="E49" i="81"/>
  <c r="D77" i="67"/>
  <c r="E77" i="67" s="1"/>
  <c r="F77" i="67" s="1"/>
  <c r="H16" i="114"/>
  <c r="H16" i="118"/>
  <c r="E77" i="118"/>
  <c r="H16" i="125"/>
  <c r="E77" i="125"/>
  <c r="H48" i="81"/>
  <c r="G48" i="81"/>
  <c r="D10" i="5"/>
  <c r="G8" i="5"/>
  <c r="E53" i="81"/>
  <c r="W16" i="67"/>
  <c r="W77" i="67" s="1"/>
  <c r="G77" i="67"/>
  <c r="E55" i="81" s="1"/>
  <c r="AQ77" i="1"/>
  <c r="AX77" i="1"/>
  <c r="AV77" i="1"/>
  <c r="AY55" i="1"/>
  <c r="AY17" i="1"/>
  <c r="AY19" i="1"/>
  <c r="AY54" i="1"/>
  <c r="AY75" i="1"/>
  <c r="AY41" i="1"/>
  <c r="AY45" i="1"/>
  <c r="AY18" i="1"/>
  <c r="AY62" i="1"/>
  <c r="AY76" i="1"/>
  <c r="AY27" i="1"/>
  <c r="AY22" i="1"/>
  <c r="AY65" i="1"/>
  <c r="AY51" i="1"/>
  <c r="AY71" i="1"/>
  <c r="AY20" i="1"/>
  <c r="AY58" i="1"/>
  <c r="AY48" i="1"/>
  <c r="AY24" i="1"/>
  <c r="AY69" i="1"/>
  <c r="AY38" i="1"/>
  <c r="AY35" i="1"/>
  <c r="AY28" i="1"/>
  <c r="AY14" i="1"/>
  <c r="AY44" i="1"/>
  <c r="AY10" i="1"/>
  <c r="AY47" i="1"/>
  <c r="AY56" i="1"/>
  <c r="AY29" i="1"/>
  <c r="AY33" i="1"/>
  <c r="AY25" i="1"/>
  <c r="AY74" i="1"/>
  <c r="AY13" i="1"/>
  <c r="AY70" i="1"/>
  <c r="AY72" i="1"/>
  <c r="AY16" i="1"/>
  <c r="AY8" i="1"/>
  <c r="AY66" i="1"/>
  <c r="AY52" i="1"/>
  <c r="AY23" i="1"/>
  <c r="AY40" i="1"/>
  <c r="AY50" i="1"/>
  <c r="AY21" i="1"/>
  <c r="AY57" i="1"/>
  <c r="AY37" i="1"/>
  <c r="AY34" i="1"/>
  <c r="AY26" i="1"/>
  <c r="AY11" i="1"/>
  <c r="AY42" i="1"/>
  <c r="AY32" i="1"/>
  <c r="AY53" i="1"/>
  <c r="AY12" i="1"/>
  <c r="AY63" i="1"/>
  <c r="AY61" i="1"/>
  <c r="AY73" i="1"/>
  <c r="AY64" i="1"/>
  <c r="AY68" i="1"/>
  <c r="AY9" i="1"/>
  <c r="AY46" i="1"/>
  <c r="AY49" i="1"/>
  <c r="AY43" i="1"/>
  <c r="AY36" i="1"/>
  <c r="AY30" i="1"/>
  <c r="AY31" i="1"/>
  <c r="AY15" i="1"/>
  <c r="AY39" i="1"/>
  <c r="AY67" i="1"/>
  <c r="AY60" i="1"/>
  <c r="AY59" i="1"/>
  <c r="H16" i="131"/>
  <c r="E77" i="131"/>
  <c r="H14" i="80"/>
  <c r="E75" i="80"/>
  <c r="E79" i="80" s="1"/>
  <c r="H16" i="115"/>
  <c r="E77" i="115"/>
  <c r="H16" i="116"/>
  <c r="H16" i="126"/>
  <c r="E77" i="126"/>
  <c r="H16" i="120"/>
  <c r="E77" i="120"/>
  <c r="H57" i="81"/>
  <c r="G57" i="81"/>
  <c r="H14" i="76" l="1"/>
  <c r="H16" i="119"/>
  <c r="I79" i="76"/>
  <c r="E76" i="81"/>
  <c r="E77" i="128"/>
  <c r="E77" i="129"/>
  <c r="E30" i="46"/>
  <c r="E31" i="46" s="1"/>
  <c r="E77" i="113"/>
  <c r="H16" i="117"/>
  <c r="H16" i="127"/>
  <c r="H77" i="127" s="1"/>
  <c r="G53" i="81"/>
  <c r="H53" i="81"/>
  <c r="E52" i="81"/>
  <c r="G10" i="5"/>
  <c r="H30" i="46"/>
  <c r="G59" i="81"/>
  <c r="H59" i="81"/>
  <c r="E58" i="81"/>
  <c r="G22" i="5"/>
  <c r="H75" i="80"/>
  <c r="H79" i="80" s="1"/>
  <c r="H77" i="119"/>
  <c r="H77" i="129"/>
  <c r="H77" i="131"/>
  <c r="H77" i="120"/>
  <c r="H75" i="76"/>
  <c r="H79" i="76" s="1"/>
  <c r="H77" i="126"/>
  <c r="H77" i="116"/>
  <c r="H77" i="115"/>
  <c r="H55" i="81"/>
  <c r="G55" i="81"/>
  <c r="H77" i="125"/>
  <c r="H77" i="113"/>
  <c r="H77" i="118"/>
  <c r="H77" i="128"/>
  <c r="H77" i="117"/>
  <c r="H78" i="114"/>
  <c r="G49" i="81"/>
  <c r="H49" i="81"/>
  <c r="E38" i="46" l="1"/>
  <c r="E54" i="81"/>
  <c r="H31" i="46"/>
  <c r="H38" i="46"/>
  <c r="E51" i="81"/>
  <c r="G52" i="81"/>
  <c r="H52" i="81"/>
  <c r="G58" i="81"/>
  <c r="H58" i="81"/>
  <c r="E60" i="81" l="1"/>
  <c r="G51" i="81"/>
  <c r="H51" i="81"/>
  <c r="H54" i="81"/>
  <c r="G54" i="81"/>
  <c r="G60" i="81" l="1"/>
  <c r="H60" i="81"/>
  <c r="I77" i="67" l="1"/>
  <c r="V21" i="100" l="1"/>
  <c r="V37" i="100"/>
  <c r="V53" i="100"/>
  <c r="V69" i="100"/>
  <c r="V11" i="100"/>
  <c r="V19" i="100"/>
  <c r="V27" i="100"/>
  <c r="V35" i="100"/>
  <c r="V43" i="100"/>
  <c r="V51" i="100"/>
  <c r="V59" i="100"/>
  <c r="V67" i="100"/>
  <c r="V13" i="100"/>
  <c r="V29" i="100"/>
  <c r="V45" i="100"/>
  <c r="V61" i="100"/>
  <c r="V64" i="100" l="1"/>
  <c r="V48" i="100"/>
  <c r="V24" i="100"/>
  <c r="V8" i="100"/>
  <c r="V57" i="100"/>
  <c r="V41" i="100"/>
  <c r="V9" i="100"/>
  <c r="V66" i="100"/>
  <c r="V34" i="100"/>
  <c r="V62" i="100"/>
  <c r="V10" i="100"/>
  <c r="V68" i="100"/>
  <c r="V60" i="100"/>
  <c r="V52" i="100"/>
  <c r="V44" i="100"/>
  <c r="V36" i="100"/>
  <c r="V28" i="100"/>
  <c r="V20" i="100"/>
  <c r="V12" i="100"/>
  <c r="V71" i="100"/>
  <c r="V63" i="100"/>
  <c r="V55" i="100"/>
  <c r="V47" i="100"/>
  <c r="V39" i="100"/>
  <c r="V31" i="100"/>
  <c r="V23" i="100"/>
  <c r="V15" i="100"/>
  <c r="V7" i="100"/>
  <c r="V72" i="100"/>
  <c r="V56" i="100"/>
  <c r="V40" i="100"/>
  <c r="V32" i="100"/>
  <c r="V16" i="100"/>
  <c r="V25" i="100"/>
  <c r="V50" i="100"/>
  <c r="V22" i="100"/>
  <c r="V73" i="100"/>
  <c r="V74" i="100"/>
  <c r="V46" i="100"/>
  <c r="V26" i="100"/>
  <c r="V58" i="100"/>
  <c r="V42" i="100"/>
  <c r="V30" i="100"/>
  <c r="V14" i="100"/>
  <c r="V65" i="100"/>
  <c r="V49" i="100"/>
  <c r="V33" i="100"/>
  <c r="V17" i="100"/>
  <c r="V70" i="100"/>
  <c r="V54" i="100"/>
  <c r="V38" i="100"/>
  <c r="V18" i="100"/>
  <c r="AA76" i="72" l="1"/>
  <c r="V6" i="100"/>
  <c r="V75" i="100" s="1"/>
  <c r="S77" i="67"/>
  <c r="AH35" i="46" l="1"/>
  <c r="AK35" i="46" l="1"/>
  <c r="J15" i="33" l="1"/>
  <c r="J19" i="33"/>
  <c r="J23" i="33"/>
  <c r="J38" i="33"/>
  <c r="J42" i="33"/>
  <c r="J47" i="33"/>
  <c r="J50" i="33"/>
  <c r="J55" i="33"/>
  <c r="J10" i="33"/>
  <c r="J22" i="33"/>
  <c r="J26" i="33"/>
  <c r="J30" i="33"/>
  <c r="J69" i="33"/>
  <c r="J73" i="33"/>
  <c r="I20" i="5"/>
  <c r="J12" i="33"/>
  <c r="J14" i="33"/>
  <c r="J16" i="33"/>
  <c r="J18" i="33"/>
  <c r="J20" i="33"/>
  <c r="J24" i="33"/>
  <c r="J28" i="33"/>
  <c r="J36" i="33"/>
  <c r="J40" i="33"/>
  <c r="J44" i="33"/>
  <c r="J46" i="33"/>
  <c r="J54" i="33"/>
  <c r="J56" i="33"/>
  <c r="J9" i="33"/>
  <c r="J11" i="33"/>
  <c r="J13" i="33"/>
  <c r="J17" i="33"/>
  <c r="J21" i="33"/>
  <c r="J25" i="33"/>
  <c r="J27" i="33"/>
  <c r="J29" i="33"/>
  <c r="J31" i="33"/>
  <c r="J33" i="33"/>
  <c r="J35" i="33"/>
  <c r="J37" i="33"/>
  <c r="J39" i="33"/>
  <c r="J41" i="33"/>
  <c r="J45" i="33"/>
  <c r="J58" i="33"/>
  <c r="J43" i="33"/>
  <c r="J51" i="33"/>
  <c r="J59" i="33"/>
  <c r="J60" i="33"/>
  <c r="J61" i="33"/>
  <c r="J62" i="33"/>
  <c r="J63" i="33"/>
  <c r="J64" i="33"/>
  <c r="J65" i="33"/>
  <c r="J66" i="33"/>
  <c r="J67" i="33"/>
  <c r="J71" i="33"/>
  <c r="J75" i="33"/>
  <c r="J28" i="46"/>
  <c r="J53" i="33"/>
  <c r="J68" i="33"/>
  <c r="J70" i="33"/>
  <c r="J72" i="33"/>
  <c r="J74" i="33"/>
  <c r="J76" i="33"/>
  <c r="I9" i="5"/>
  <c r="I21" i="5"/>
  <c r="J35" i="46"/>
  <c r="J36" i="46" s="1"/>
  <c r="J23" i="46"/>
  <c r="J67" i="31" l="1"/>
  <c r="J63" i="31"/>
  <c r="J61" i="31"/>
  <c r="J59" i="31"/>
  <c r="J57" i="31"/>
  <c r="J53" i="31"/>
  <c r="J49" i="31"/>
  <c r="J45" i="31"/>
  <c r="J41" i="31"/>
  <c r="J38" i="31"/>
  <c r="J34" i="31"/>
  <c r="J39" i="31"/>
  <c r="J35" i="31"/>
  <c r="J29" i="31"/>
  <c r="J25" i="31"/>
  <c r="J21" i="31"/>
  <c r="J17" i="31"/>
  <c r="J13" i="31"/>
  <c r="J15" i="46"/>
  <c r="J13" i="46"/>
  <c r="J16" i="46"/>
  <c r="J14" i="46"/>
  <c r="J64" i="31"/>
  <c r="J60" i="31"/>
  <c r="J56" i="31"/>
  <c r="J48" i="31"/>
  <c r="J40" i="31"/>
  <c r="J66" i="31"/>
  <c r="J51" i="31"/>
  <c r="J47" i="31"/>
  <c r="J43" i="31"/>
  <c r="J36" i="31"/>
  <c r="J54" i="31"/>
  <c r="J50" i="31"/>
  <c r="J46" i="31"/>
  <c r="J42" i="31"/>
  <c r="J33" i="31"/>
  <c r="J32" i="31"/>
  <c r="J31" i="31"/>
  <c r="J27" i="31"/>
  <c r="J23" i="31"/>
  <c r="J19" i="31"/>
  <c r="J15" i="31"/>
  <c r="J30" i="31"/>
  <c r="J28" i="31"/>
  <c r="J26" i="31"/>
  <c r="J24" i="31"/>
  <c r="J22" i="31"/>
  <c r="J20" i="31"/>
  <c r="J18" i="31"/>
  <c r="J16" i="31"/>
  <c r="J14" i="31"/>
  <c r="I22" i="5"/>
  <c r="J62" i="31"/>
  <c r="J58" i="31"/>
  <c r="J52" i="31"/>
  <c r="J44" i="31"/>
  <c r="J68" i="31"/>
  <c r="J10" i="46"/>
  <c r="J12" i="46"/>
  <c r="J32" i="33"/>
  <c r="J34" i="33"/>
  <c r="J57" i="33"/>
  <c r="J49" i="33"/>
  <c r="J52" i="33"/>
  <c r="J48" i="33"/>
  <c r="I8" i="5"/>
  <c r="I10" i="5" s="1"/>
  <c r="E75" i="81" s="1"/>
  <c r="J8" i="33"/>
  <c r="J17" i="46"/>
  <c r="J9" i="31"/>
  <c r="J77" i="33" l="1"/>
  <c r="E72" i="81" s="1"/>
  <c r="G72" i="81" s="1"/>
  <c r="G75" i="81"/>
  <c r="H75" i="81"/>
  <c r="J12" i="31"/>
  <c r="J29" i="46"/>
  <c r="J30" i="46" s="1"/>
  <c r="J65" i="31"/>
  <c r="J11" i="46"/>
  <c r="J18" i="46" s="1"/>
  <c r="J38" i="46" s="1"/>
  <c r="J55" i="31"/>
  <c r="J37" i="31"/>
  <c r="H72" i="81" l="1"/>
  <c r="J69" i="31"/>
  <c r="J70" i="31" s="1"/>
  <c r="J72" i="31" s="1"/>
  <c r="E73" i="81" l="1"/>
  <c r="G73" i="81" l="1"/>
  <c r="H73" i="81"/>
  <c r="V66" i="31" l="1"/>
  <c r="W66" i="31" s="1"/>
  <c r="Z66" i="31" s="1"/>
  <c r="AA66" i="31" s="1"/>
  <c r="V76" i="131"/>
  <c r="W76" i="131" s="1"/>
  <c r="Z76" i="131" s="1"/>
  <c r="AA76" i="131" s="1"/>
  <c r="AB76" i="131" s="1"/>
  <c r="AM76" i="131" s="1"/>
  <c r="V75" i="131"/>
  <c r="W75" i="131" s="1"/>
  <c r="Z75" i="131" s="1"/>
  <c r="AA75" i="131" s="1"/>
  <c r="AB75" i="131" s="1"/>
  <c r="AM75" i="131" s="1"/>
  <c r="V74" i="131"/>
  <c r="W74" i="131" s="1"/>
  <c r="Z74" i="131" s="1"/>
  <c r="AA74" i="131" s="1"/>
  <c r="AB74" i="131" s="1"/>
  <c r="AM74" i="131" s="1"/>
  <c r="V73" i="131"/>
  <c r="W73" i="131" s="1"/>
  <c r="Z73" i="131" s="1"/>
  <c r="AA73" i="131" s="1"/>
  <c r="AB73" i="131" s="1"/>
  <c r="AM73" i="131" s="1"/>
  <c r="V72" i="131"/>
  <c r="W72" i="131" s="1"/>
  <c r="Z72" i="131" s="1"/>
  <c r="AA72" i="131" s="1"/>
  <c r="AB72" i="131" s="1"/>
  <c r="AM72" i="131" s="1"/>
  <c r="V71" i="131"/>
  <c r="W71" i="131" s="1"/>
  <c r="Z71" i="131" s="1"/>
  <c r="AA71" i="131" s="1"/>
  <c r="AB71" i="131" s="1"/>
  <c r="AM71" i="131" s="1"/>
  <c r="V70" i="131"/>
  <c r="W70" i="131" s="1"/>
  <c r="Z70" i="131" s="1"/>
  <c r="AA70" i="131" s="1"/>
  <c r="AB70" i="131" s="1"/>
  <c r="AM70" i="131" s="1"/>
  <c r="V69" i="131"/>
  <c r="W69" i="131" s="1"/>
  <c r="Z69" i="131" s="1"/>
  <c r="AA69" i="131" s="1"/>
  <c r="AB69" i="131" s="1"/>
  <c r="AM69" i="131" s="1"/>
  <c r="V68" i="131"/>
  <c r="W68" i="131" s="1"/>
  <c r="Z68" i="131" s="1"/>
  <c r="AA68" i="131" s="1"/>
  <c r="AB68" i="131" s="1"/>
  <c r="AM68" i="131" s="1"/>
  <c r="V67" i="131"/>
  <c r="W67" i="131" s="1"/>
  <c r="Z67" i="131" s="1"/>
  <c r="AA67" i="131" s="1"/>
  <c r="AB67" i="131" s="1"/>
  <c r="AM67" i="131" s="1"/>
  <c r="V66" i="131"/>
  <c r="W66" i="131" s="1"/>
  <c r="Z66" i="131" s="1"/>
  <c r="AA66" i="131" s="1"/>
  <c r="AB66" i="131" s="1"/>
  <c r="AM66" i="131" s="1"/>
  <c r="V65" i="131"/>
  <c r="W65" i="131" s="1"/>
  <c r="Z65" i="131" s="1"/>
  <c r="AA65" i="131" s="1"/>
  <c r="AB65" i="131" s="1"/>
  <c r="AM65" i="131" s="1"/>
  <c r="V64" i="131"/>
  <c r="W64" i="131" s="1"/>
  <c r="Z64" i="131" s="1"/>
  <c r="AA64" i="131" s="1"/>
  <c r="AB64" i="131" s="1"/>
  <c r="AM64" i="131" s="1"/>
  <c r="V63" i="131"/>
  <c r="W63" i="131" s="1"/>
  <c r="Z63" i="131" s="1"/>
  <c r="AA63" i="131" s="1"/>
  <c r="AB63" i="131" s="1"/>
  <c r="AM63" i="131" s="1"/>
  <c r="V62" i="131"/>
  <c r="W62" i="131" s="1"/>
  <c r="Z62" i="131" s="1"/>
  <c r="AA62" i="131" s="1"/>
  <c r="AB62" i="131" s="1"/>
  <c r="AM62" i="131" s="1"/>
  <c r="V61" i="131"/>
  <c r="W61" i="131" s="1"/>
  <c r="Z61" i="131" s="1"/>
  <c r="AA61" i="131" s="1"/>
  <c r="AB61" i="131" s="1"/>
  <c r="AM61" i="131" s="1"/>
  <c r="V60" i="131"/>
  <c r="W60" i="131" s="1"/>
  <c r="Z60" i="131" s="1"/>
  <c r="AA60" i="131" s="1"/>
  <c r="AB60" i="131" s="1"/>
  <c r="AM60" i="131" s="1"/>
  <c r="V59" i="131"/>
  <c r="W59" i="131" s="1"/>
  <c r="Z59" i="131" s="1"/>
  <c r="AA59" i="131" s="1"/>
  <c r="AB59" i="131" s="1"/>
  <c r="AM59" i="131" s="1"/>
  <c r="V58" i="131"/>
  <c r="W58" i="131" s="1"/>
  <c r="Z58" i="131" s="1"/>
  <c r="AA58" i="131" s="1"/>
  <c r="AB58" i="131" s="1"/>
  <c r="AM58" i="131" s="1"/>
  <c r="V57" i="131"/>
  <c r="W57" i="131" s="1"/>
  <c r="Z57" i="131" s="1"/>
  <c r="AA57" i="131" s="1"/>
  <c r="AB57" i="131" s="1"/>
  <c r="AM57" i="131" s="1"/>
  <c r="V56" i="131"/>
  <c r="W56" i="131" s="1"/>
  <c r="Z56" i="131" s="1"/>
  <c r="AA56" i="131" s="1"/>
  <c r="AB56" i="131" s="1"/>
  <c r="AM56" i="131" s="1"/>
  <c r="V55" i="131"/>
  <c r="W55" i="131" s="1"/>
  <c r="Z55" i="131" s="1"/>
  <c r="AA55" i="131" s="1"/>
  <c r="AB55" i="131" s="1"/>
  <c r="AM55" i="131" s="1"/>
  <c r="V54" i="131"/>
  <c r="W54" i="131" s="1"/>
  <c r="Z54" i="131" s="1"/>
  <c r="AA54" i="131" s="1"/>
  <c r="AB54" i="131" s="1"/>
  <c r="AM54" i="131" s="1"/>
  <c r="V53" i="131"/>
  <c r="W53" i="131" s="1"/>
  <c r="Z53" i="131" s="1"/>
  <c r="AA53" i="131" s="1"/>
  <c r="AB53" i="131" s="1"/>
  <c r="AM53" i="131" s="1"/>
  <c r="V52" i="131"/>
  <c r="W52" i="131" s="1"/>
  <c r="Z52" i="131" s="1"/>
  <c r="AA52" i="131" s="1"/>
  <c r="AB52" i="131" s="1"/>
  <c r="AM52" i="131" s="1"/>
  <c r="V51" i="131"/>
  <c r="W51" i="131" s="1"/>
  <c r="Z51" i="131" s="1"/>
  <c r="AA51" i="131" s="1"/>
  <c r="AB51" i="131" s="1"/>
  <c r="AM51" i="131" s="1"/>
  <c r="V50" i="131"/>
  <c r="W50" i="131" s="1"/>
  <c r="Z50" i="131" s="1"/>
  <c r="AA50" i="131" s="1"/>
  <c r="AB50" i="131" s="1"/>
  <c r="AM50" i="131" s="1"/>
  <c r="V49" i="131"/>
  <c r="W49" i="131" s="1"/>
  <c r="Z49" i="131" s="1"/>
  <c r="AA49" i="131" s="1"/>
  <c r="AB49" i="131" s="1"/>
  <c r="AM49" i="131" s="1"/>
  <c r="V48" i="131"/>
  <c r="W48" i="131" s="1"/>
  <c r="Z48" i="131" s="1"/>
  <c r="AA48" i="131" s="1"/>
  <c r="AB48" i="131" s="1"/>
  <c r="AM48" i="131" s="1"/>
  <c r="V47" i="131"/>
  <c r="W47" i="131" s="1"/>
  <c r="Z47" i="131" s="1"/>
  <c r="AA47" i="131" s="1"/>
  <c r="AB47" i="131" s="1"/>
  <c r="AM47" i="131" s="1"/>
  <c r="V46" i="131"/>
  <c r="W46" i="131" s="1"/>
  <c r="Z46" i="131" s="1"/>
  <c r="AA46" i="131" s="1"/>
  <c r="AB46" i="131" s="1"/>
  <c r="AM46" i="131" s="1"/>
  <c r="V45" i="131"/>
  <c r="W45" i="131" s="1"/>
  <c r="Z45" i="131" s="1"/>
  <c r="AA45" i="131" s="1"/>
  <c r="AB45" i="131" s="1"/>
  <c r="AM45" i="131" s="1"/>
  <c r="V44" i="131"/>
  <c r="W44" i="131" s="1"/>
  <c r="Z44" i="131" s="1"/>
  <c r="AA44" i="131" s="1"/>
  <c r="AB44" i="131" s="1"/>
  <c r="AM44" i="131" s="1"/>
  <c r="V43" i="131"/>
  <c r="W43" i="131" s="1"/>
  <c r="Z43" i="131" s="1"/>
  <c r="AA43" i="131" s="1"/>
  <c r="AB43" i="131" s="1"/>
  <c r="AM43" i="131" s="1"/>
  <c r="V42" i="131"/>
  <c r="W42" i="131" s="1"/>
  <c r="Z42" i="131" s="1"/>
  <c r="AA42" i="131" s="1"/>
  <c r="AB42" i="131" s="1"/>
  <c r="AM42" i="131" s="1"/>
  <c r="V41" i="131"/>
  <c r="W41" i="131" s="1"/>
  <c r="Z41" i="131" s="1"/>
  <c r="AA41" i="131" s="1"/>
  <c r="AB41" i="131" s="1"/>
  <c r="AM41" i="131" s="1"/>
  <c r="V40" i="131"/>
  <c r="W40" i="131" s="1"/>
  <c r="Z40" i="131" s="1"/>
  <c r="AA40" i="131" s="1"/>
  <c r="AB40" i="131" s="1"/>
  <c r="AM40" i="131" s="1"/>
  <c r="V39" i="131"/>
  <c r="W39" i="131" s="1"/>
  <c r="Z39" i="131" s="1"/>
  <c r="AA39" i="131" s="1"/>
  <c r="AB39" i="131" s="1"/>
  <c r="AM39" i="131" s="1"/>
  <c r="V38" i="131"/>
  <c r="W38" i="131" s="1"/>
  <c r="Z38" i="131" s="1"/>
  <c r="AA38" i="131" s="1"/>
  <c r="AB38" i="131" s="1"/>
  <c r="AM38" i="131" s="1"/>
  <c r="V37" i="131"/>
  <c r="W37" i="131" s="1"/>
  <c r="Z37" i="131" s="1"/>
  <c r="AA37" i="131" s="1"/>
  <c r="AB37" i="131" s="1"/>
  <c r="AM37" i="131" s="1"/>
  <c r="V36" i="131"/>
  <c r="W36" i="131" s="1"/>
  <c r="Z36" i="131" s="1"/>
  <c r="AA36" i="131" s="1"/>
  <c r="AB36" i="131" s="1"/>
  <c r="AM36" i="131" s="1"/>
  <c r="V35" i="131"/>
  <c r="W35" i="131" s="1"/>
  <c r="Z35" i="131" s="1"/>
  <c r="AA35" i="131" s="1"/>
  <c r="AB35" i="131" s="1"/>
  <c r="AM35" i="131" s="1"/>
  <c r="V34" i="131"/>
  <c r="W34" i="131" s="1"/>
  <c r="Z34" i="131" s="1"/>
  <c r="AA34" i="131" s="1"/>
  <c r="AB34" i="131" s="1"/>
  <c r="AM34" i="131" s="1"/>
  <c r="V33" i="131"/>
  <c r="W33" i="131" s="1"/>
  <c r="Z33" i="131" s="1"/>
  <c r="AA33" i="131" s="1"/>
  <c r="AB33" i="131" s="1"/>
  <c r="AM33" i="131" s="1"/>
  <c r="V32" i="131"/>
  <c r="W32" i="131" s="1"/>
  <c r="Z32" i="131" s="1"/>
  <c r="AA32" i="131" s="1"/>
  <c r="AB32" i="131" s="1"/>
  <c r="AM32" i="131" s="1"/>
  <c r="V31" i="131"/>
  <c r="W31" i="131" s="1"/>
  <c r="Z31" i="131" s="1"/>
  <c r="AA31" i="131" s="1"/>
  <c r="AB31" i="131" s="1"/>
  <c r="AM31" i="131" s="1"/>
  <c r="V30" i="131"/>
  <c r="W30" i="131" s="1"/>
  <c r="Z30" i="131" s="1"/>
  <c r="AA30" i="131" s="1"/>
  <c r="AB30" i="131" s="1"/>
  <c r="AM30" i="131" s="1"/>
  <c r="V29" i="131"/>
  <c r="W29" i="131" s="1"/>
  <c r="Z29" i="131" s="1"/>
  <c r="AA29" i="131" s="1"/>
  <c r="AB29" i="131" s="1"/>
  <c r="AM29" i="131" s="1"/>
  <c r="V28" i="131"/>
  <c r="W28" i="131" s="1"/>
  <c r="Z28" i="131" s="1"/>
  <c r="AA28" i="131" s="1"/>
  <c r="AB28" i="131" s="1"/>
  <c r="AM28" i="131" s="1"/>
  <c r="V27" i="131"/>
  <c r="W27" i="131" s="1"/>
  <c r="Z27" i="131" s="1"/>
  <c r="AA27" i="131" s="1"/>
  <c r="AB27" i="131" s="1"/>
  <c r="AM27" i="131" s="1"/>
  <c r="V26" i="131"/>
  <c r="W26" i="131" s="1"/>
  <c r="Z26" i="131" s="1"/>
  <c r="AA26" i="131" s="1"/>
  <c r="AB26" i="131" s="1"/>
  <c r="AM26" i="131" s="1"/>
  <c r="V25" i="131"/>
  <c r="W25" i="131" s="1"/>
  <c r="Z25" i="131" s="1"/>
  <c r="AA25" i="131" s="1"/>
  <c r="AB25" i="131" s="1"/>
  <c r="AM25" i="131" s="1"/>
  <c r="V24" i="131"/>
  <c r="W24" i="131" s="1"/>
  <c r="Z24" i="131" s="1"/>
  <c r="AA24" i="131" s="1"/>
  <c r="AB24" i="131" s="1"/>
  <c r="AM24" i="131" s="1"/>
  <c r="V23" i="131"/>
  <c r="W23" i="131" s="1"/>
  <c r="Z23" i="131" s="1"/>
  <c r="AA23" i="131" s="1"/>
  <c r="AB23" i="131" s="1"/>
  <c r="AM23" i="131" s="1"/>
  <c r="V22" i="131"/>
  <c r="W22" i="131" s="1"/>
  <c r="Z22" i="131" s="1"/>
  <c r="AA22" i="131" s="1"/>
  <c r="AB22" i="131" s="1"/>
  <c r="AM22" i="131" s="1"/>
  <c r="V21" i="131"/>
  <c r="W21" i="131" s="1"/>
  <c r="Z21" i="131" s="1"/>
  <c r="AA21" i="131" s="1"/>
  <c r="AB21" i="131" s="1"/>
  <c r="AM21" i="131" s="1"/>
  <c r="V20" i="131"/>
  <c r="W20" i="131" s="1"/>
  <c r="Z20" i="131" s="1"/>
  <c r="AA20" i="131" s="1"/>
  <c r="AB20" i="131" s="1"/>
  <c r="AM20" i="131" s="1"/>
  <c r="V19" i="131"/>
  <c r="W19" i="131" s="1"/>
  <c r="Z19" i="131" s="1"/>
  <c r="AA19" i="131" s="1"/>
  <c r="AB19" i="131" s="1"/>
  <c r="AM19" i="131" s="1"/>
  <c r="V18" i="131"/>
  <c r="W18" i="131" s="1"/>
  <c r="Z18" i="131" s="1"/>
  <c r="AA18" i="131" s="1"/>
  <c r="AB18" i="131" s="1"/>
  <c r="AM18" i="131" s="1"/>
  <c r="V17" i="131"/>
  <c r="W17" i="131" s="1"/>
  <c r="Z17" i="131" s="1"/>
  <c r="AA17" i="131" s="1"/>
  <c r="AB17" i="131" s="1"/>
  <c r="AM17" i="131" s="1"/>
  <c r="V16" i="131"/>
  <c r="W16" i="131" s="1"/>
  <c r="Z16" i="131" s="1"/>
  <c r="AA16" i="131" s="1"/>
  <c r="AB16" i="131" s="1"/>
  <c r="AM16" i="131" s="1"/>
  <c r="V15" i="131"/>
  <c r="W15" i="131" s="1"/>
  <c r="Z15" i="131" s="1"/>
  <c r="AA15" i="131" s="1"/>
  <c r="AB15" i="131" s="1"/>
  <c r="AM15" i="131" s="1"/>
  <c r="V14" i="131"/>
  <c r="W14" i="131" s="1"/>
  <c r="Z14" i="131" s="1"/>
  <c r="AA14" i="131" s="1"/>
  <c r="AB14" i="131" s="1"/>
  <c r="AM14" i="131" s="1"/>
  <c r="V13" i="131"/>
  <c r="W13" i="131" s="1"/>
  <c r="Z13" i="131" s="1"/>
  <c r="AA13" i="131" s="1"/>
  <c r="AB13" i="131" s="1"/>
  <c r="AM13" i="131" s="1"/>
  <c r="V12" i="131"/>
  <c r="W12" i="131" s="1"/>
  <c r="Z12" i="131" s="1"/>
  <c r="AA12" i="131" s="1"/>
  <c r="AB12" i="131" s="1"/>
  <c r="AM12" i="131" s="1"/>
  <c r="V11" i="131"/>
  <c r="W11" i="131" s="1"/>
  <c r="Z11" i="131" s="1"/>
  <c r="AA11" i="131" s="1"/>
  <c r="AB11" i="131" s="1"/>
  <c r="AM11" i="131" s="1"/>
  <c r="V10" i="131"/>
  <c r="W10" i="131" s="1"/>
  <c r="Z10" i="131" s="1"/>
  <c r="AA10" i="131" s="1"/>
  <c r="AB10" i="131" s="1"/>
  <c r="AM10" i="131" s="1"/>
  <c r="V9" i="131"/>
  <c r="W9" i="131" s="1"/>
  <c r="Z9" i="131" s="1"/>
  <c r="AA9" i="131" s="1"/>
  <c r="AB9" i="131" s="1"/>
  <c r="AM9" i="131" s="1"/>
  <c r="V76" i="128"/>
  <c r="W76" i="128" s="1"/>
  <c r="Z76" i="128" s="1"/>
  <c r="AA76" i="128" s="1"/>
  <c r="V75" i="128"/>
  <c r="W75" i="128" s="1"/>
  <c r="Z75" i="128" s="1"/>
  <c r="AA75" i="128" s="1"/>
  <c r="V74" i="128"/>
  <c r="W74" i="128" s="1"/>
  <c r="Z74" i="128" s="1"/>
  <c r="AA74" i="128" s="1"/>
  <c r="V73" i="128"/>
  <c r="W73" i="128" s="1"/>
  <c r="Z73" i="128" s="1"/>
  <c r="AA73" i="128" s="1"/>
  <c r="V72" i="128"/>
  <c r="W72" i="128" s="1"/>
  <c r="Z72" i="128" s="1"/>
  <c r="AA72" i="128" s="1"/>
  <c r="V71" i="128"/>
  <c r="W71" i="128" s="1"/>
  <c r="Z71" i="128" s="1"/>
  <c r="AA71" i="128" s="1"/>
  <c r="V70" i="128"/>
  <c r="W70" i="128" s="1"/>
  <c r="Z70" i="128" s="1"/>
  <c r="AA70" i="128" s="1"/>
  <c r="V69" i="128"/>
  <c r="W69" i="128" s="1"/>
  <c r="Z69" i="128" s="1"/>
  <c r="AA69" i="128" s="1"/>
  <c r="V68" i="128"/>
  <c r="W68" i="128" s="1"/>
  <c r="Z68" i="128" s="1"/>
  <c r="AA68" i="128" s="1"/>
  <c r="V67" i="128"/>
  <c r="W67" i="128" s="1"/>
  <c r="Z67" i="128" s="1"/>
  <c r="AA67" i="128" s="1"/>
  <c r="V66" i="128"/>
  <c r="W66" i="128" s="1"/>
  <c r="Z66" i="128" s="1"/>
  <c r="AA66" i="128" s="1"/>
  <c r="V65" i="128"/>
  <c r="W65" i="128" s="1"/>
  <c r="Z65" i="128" s="1"/>
  <c r="AA65" i="128" s="1"/>
  <c r="V64" i="128"/>
  <c r="W64" i="128" s="1"/>
  <c r="Z64" i="128" s="1"/>
  <c r="AA64" i="128" s="1"/>
  <c r="V63" i="128"/>
  <c r="W63" i="128" s="1"/>
  <c r="Z63" i="128" s="1"/>
  <c r="AA63" i="128" s="1"/>
  <c r="V62" i="128"/>
  <c r="W62" i="128" s="1"/>
  <c r="Z62" i="128" s="1"/>
  <c r="AA62" i="128" s="1"/>
  <c r="V61" i="128"/>
  <c r="W61" i="128" s="1"/>
  <c r="Z61" i="128" s="1"/>
  <c r="AA61" i="128" s="1"/>
  <c r="V60" i="128"/>
  <c r="W60" i="128" s="1"/>
  <c r="Z60" i="128" s="1"/>
  <c r="AA60" i="128" s="1"/>
  <c r="V59" i="128"/>
  <c r="W59" i="128" s="1"/>
  <c r="Z59" i="128" s="1"/>
  <c r="AA59" i="128" s="1"/>
  <c r="V58" i="128"/>
  <c r="W58" i="128" s="1"/>
  <c r="Z58" i="128" s="1"/>
  <c r="AA58" i="128" s="1"/>
  <c r="V57" i="128"/>
  <c r="W57" i="128" s="1"/>
  <c r="Z57" i="128" s="1"/>
  <c r="AA57" i="128" s="1"/>
  <c r="V56" i="128"/>
  <c r="W56" i="128" s="1"/>
  <c r="Z56" i="128" s="1"/>
  <c r="AA56" i="128" s="1"/>
  <c r="V55" i="128"/>
  <c r="W55" i="128" s="1"/>
  <c r="Z55" i="128" s="1"/>
  <c r="AA55" i="128" s="1"/>
  <c r="V54" i="128"/>
  <c r="W54" i="128" s="1"/>
  <c r="Z54" i="128" s="1"/>
  <c r="AA54" i="128" s="1"/>
  <c r="V53" i="128"/>
  <c r="W53" i="128" s="1"/>
  <c r="Z53" i="128" s="1"/>
  <c r="AA53" i="128" s="1"/>
  <c r="V52" i="128"/>
  <c r="W52" i="128" s="1"/>
  <c r="Z52" i="128" s="1"/>
  <c r="AA52" i="128" s="1"/>
  <c r="V51" i="128"/>
  <c r="W51" i="128" s="1"/>
  <c r="Z51" i="128" s="1"/>
  <c r="AA51" i="128" s="1"/>
  <c r="V50" i="128"/>
  <c r="W50" i="128" s="1"/>
  <c r="Z50" i="128" s="1"/>
  <c r="AA50" i="128" s="1"/>
  <c r="V49" i="128"/>
  <c r="W49" i="128" s="1"/>
  <c r="Z49" i="128" s="1"/>
  <c r="AA49" i="128" s="1"/>
  <c r="V48" i="128"/>
  <c r="W48" i="128" s="1"/>
  <c r="Z48" i="128" s="1"/>
  <c r="AA48" i="128" s="1"/>
  <c r="V47" i="128"/>
  <c r="W47" i="128" s="1"/>
  <c r="Z47" i="128" s="1"/>
  <c r="AA47" i="128" s="1"/>
  <c r="V46" i="128"/>
  <c r="W46" i="128" s="1"/>
  <c r="Z46" i="128" s="1"/>
  <c r="AA46" i="128" s="1"/>
  <c r="V45" i="128"/>
  <c r="W45" i="128" s="1"/>
  <c r="Z45" i="128" s="1"/>
  <c r="AA45" i="128" s="1"/>
  <c r="V44" i="128"/>
  <c r="W44" i="128" s="1"/>
  <c r="Z44" i="128" s="1"/>
  <c r="AA44" i="128" s="1"/>
  <c r="V43" i="128"/>
  <c r="W43" i="128" s="1"/>
  <c r="Z43" i="128" s="1"/>
  <c r="AA43" i="128" s="1"/>
  <c r="V42" i="128"/>
  <c r="W42" i="128" s="1"/>
  <c r="Z42" i="128" s="1"/>
  <c r="AA42" i="128" s="1"/>
  <c r="V41" i="128"/>
  <c r="W41" i="128" s="1"/>
  <c r="Z41" i="128" s="1"/>
  <c r="AA41" i="128" s="1"/>
  <c r="V40" i="128"/>
  <c r="W40" i="128" s="1"/>
  <c r="Z40" i="128" s="1"/>
  <c r="AA40" i="128" s="1"/>
  <c r="V39" i="128"/>
  <c r="W39" i="128" s="1"/>
  <c r="Z39" i="128" s="1"/>
  <c r="AA39" i="128" s="1"/>
  <c r="V38" i="128"/>
  <c r="W38" i="128" s="1"/>
  <c r="Z38" i="128" s="1"/>
  <c r="AA38" i="128" s="1"/>
  <c r="V37" i="128"/>
  <c r="W37" i="128" s="1"/>
  <c r="Z37" i="128" s="1"/>
  <c r="AA37" i="128" s="1"/>
  <c r="V36" i="128"/>
  <c r="W36" i="128" s="1"/>
  <c r="Z36" i="128" s="1"/>
  <c r="AA36" i="128" s="1"/>
  <c r="V35" i="128"/>
  <c r="W35" i="128" s="1"/>
  <c r="Z35" i="128" s="1"/>
  <c r="AA35" i="128" s="1"/>
  <c r="V34" i="128"/>
  <c r="W34" i="128" s="1"/>
  <c r="Z34" i="128" s="1"/>
  <c r="AA34" i="128" s="1"/>
  <c r="V33" i="128"/>
  <c r="W33" i="128" s="1"/>
  <c r="Z33" i="128" s="1"/>
  <c r="AA33" i="128" s="1"/>
  <c r="V32" i="128"/>
  <c r="W32" i="128" s="1"/>
  <c r="Z32" i="128" s="1"/>
  <c r="AA32" i="128" s="1"/>
  <c r="V31" i="128"/>
  <c r="W31" i="128" s="1"/>
  <c r="Z31" i="128" s="1"/>
  <c r="AA31" i="128" s="1"/>
  <c r="V30" i="128"/>
  <c r="W30" i="128" s="1"/>
  <c r="Z30" i="128" s="1"/>
  <c r="AA30" i="128" s="1"/>
  <c r="V29" i="128"/>
  <c r="W29" i="128" s="1"/>
  <c r="Z29" i="128" s="1"/>
  <c r="AA29" i="128" s="1"/>
  <c r="V28" i="128"/>
  <c r="W28" i="128" s="1"/>
  <c r="Z28" i="128" s="1"/>
  <c r="AA28" i="128" s="1"/>
  <c r="V27" i="128"/>
  <c r="W27" i="128" s="1"/>
  <c r="Z27" i="128" s="1"/>
  <c r="AA27" i="128" s="1"/>
  <c r="V26" i="128"/>
  <c r="W26" i="128" s="1"/>
  <c r="Z26" i="128" s="1"/>
  <c r="AA26" i="128" s="1"/>
  <c r="V25" i="128"/>
  <c r="W25" i="128" s="1"/>
  <c r="Z25" i="128" s="1"/>
  <c r="AA25" i="128" s="1"/>
  <c r="V24" i="128"/>
  <c r="W24" i="128" s="1"/>
  <c r="Z24" i="128" s="1"/>
  <c r="AA24" i="128" s="1"/>
  <c r="V23" i="128"/>
  <c r="W23" i="128" s="1"/>
  <c r="Z23" i="128" s="1"/>
  <c r="AA23" i="128" s="1"/>
  <c r="V22" i="128"/>
  <c r="W22" i="128" s="1"/>
  <c r="Z22" i="128" s="1"/>
  <c r="AA22" i="128" s="1"/>
  <c r="V21" i="128"/>
  <c r="W21" i="128" s="1"/>
  <c r="Z21" i="128" s="1"/>
  <c r="AA21" i="128" s="1"/>
  <c r="V20" i="128"/>
  <c r="W20" i="128" s="1"/>
  <c r="Z20" i="128" s="1"/>
  <c r="AA20" i="128" s="1"/>
  <c r="V19" i="128"/>
  <c r="W19" i="128" s="1"/>
  <c r="Z19" i="128" s="1"/>
  <c r="AA19" i="128" s="1"/>
  <c r="V18" i="128"/>
  <c r="W18" i="128" s="1"/>
  <c r="Z18" i="128" s="1"/>
  <c r="AA18" i="128" s="1"/>
  <c r="V17" i="128"/>
  <c r="W17" i="128" s="1"/>
  <c r="Z17" i="128" s="1"/>
  <c r="AA17" i="128" s="1"/>
  <c r="V16" i="128"/>
  <c r="W16" i="128" s="1"/>
  <c r="Z16" i="128" s="1"/>
  <c r="AA16" i="128" s="1"/>
  <c r="V15" i="128"/>
  <c r="W15" i="128" s="1"/>
  <c r="Z15" i="128" s="1"/>
  <c r="AA15" i="128" s="1"/>
  <c r="V14" i="128"/>
  <c r="W14" i="128" s="1"/>
  <c r="Z14" i="128" s="1"/>
  <c r="AA14" i="128" s="1"/>
  <c r="V13" i="128"/>
  <c r="W13" i="128" s="1"/>
  <c r="Z13" i="128" s="1"/>
  <c r="AA13" i="128" s="1"/>
  <c r="V12" i="128"/>
  <c r="W12" i="128" s="1"/>
  <c r="Z12" i="128" s="1"/>
  <c r="AA12" i="128" s="1"/>
  <c r="V11" i="128"/>
  <c r="W11" i="128" s="1"/>
  <c r="Z11" i="128" s="1"/>
  <c r="AA11" i="128" s="1"/>
  <c r="V10" i="128"/>
  <c r="W10" i="128" s="1"/>
  <c r="Z10" i="128" s="1"/>
  <c r="AA10" i="128" s="1"/>
  <c r="V9" i="128"/>
  <c r="W9" i="128" s="1"/>
  <c r="Z9" i="128" s="1"/>
  <c r="AA9" i="128" s="1"/>
  <c r="V8" i="128"/>
  <c r="V76" i="127"/>
  <c r="W76" i="127" s="1"/>
  <c r="Z76" i="127" s="1"/>
  <c r="AA76" i="127" s="1"/>
  <c r="V75" i="127"/>
  <c r="W75" i="127" s="1"/>
  <c r="Z75" i="127" s="1"/>
  <c r="AA75" i="127" s="1"/>
  <c r="V74" i="127"/>
  <c r="W74" i="127" s="1"/>
  <c r="Z74" i="127" s="1"/>
  <c r="AA74" i="127" s="1"/>
  <c r="V73" i="127"/>
  <c r="W73" i="127" s="1"/>
  <c r="Z73" i="127" s="1"/>
  <c r="AA73" i="127" s="1"/>
  <c r="V72" i="127"/>
  <c r="W72" i="127" s="1"/>
  <c r="Z72" i="127" s="1"/>
  <c r="AA72" i="127" s="1"/>
  <c r="V71" i="127"/>
  <c r="W71" i="127" s="1"/>
  <c r="Z71" i="127" s="1"/>
  <c r="AA71" i="127" s="1"/>
  <c r="V70" i="127"/>
  <c r="W70" i="127" s="1"/>
  <c r="Z70" i="127" s="1"/>
  <c r="AA70" i="127" s="1"/>
  <c r="V69" i="127"/>
  <c r="W69" i="127" s="1"/>
  <c r="Z69" i="127" s="1"/>
  <c r="AA69" i="127" s="1"/>
  <c r="V68" i="127"/>
  <c r="W68" i="127" s="1"/>
  <c r="Z68" i="127" s="1"/>
  <c r="AA68" i="127" s="1"/>
  <c r="V67" i="127"/>
  <c r="W67" i="127" s="1"/>
  <c r="Z67" i="127" s="1"/>
  <c r="AA67" i="127" s="1"/>
  <c r="V66" i="127"/>
  <c r="W66" i="127" s="1"/>
  <c r="Z66" i="127" s="1"/>
  <c r="AA66" i="127" s="1"/>
  <c r="V65" i="127"/>
  <c r="W65" i="127" s="1"/>
  <c r="Z65" i="127" s="1"/>
  <c r="AA65" i="127" s="1"/>
  <c r="V64" i="127"/>
  <c r="W64" i="127" s="1"/>
  <c r="Z64" i="127" s="1"/>
  <c r="AA64" i="127" s="1"/>
  <c r="V63" i="127"/>
  <c r="W63" i="127" s="1"/>
  <c r="Z63" i="127" s="1"/>
  <c r="AA63" i="127" s="1"/>
  <c r="V62" i="127"/>
  <c r="W62" i="127" s="1"/>
  <c r="Z62" i="127" s="1"/>
  <c r="AA62" i="127" s="1"/>
  <c r="V61" i="127"/>
  <c r="W61" i="127" s="1"/>
  <c r="Z61" i="127" s="1"/>
  <c r="AA61" i="127" s="1"/>
  <c r="V60" i="127"/>
  <c r="W60" i="127" s="1"/>
  <c r="Z60" i="127" s="1"/>
  <c r="AA60" i="127" s="1"/>
  <c r="V59" i="127"/>
  <c r="W59" i="127" s="1"/>
  <c r="Z59" i="127" s="1"/>
  <c r="AA59" i="127" s="1"/>
  <c r="V58" i="127"/>
  <c r="W58" i="127" s="1"/>
  <c r="Z58" i="127" s="1"/>
  <c r="AA58" i="127" s="1"/>
  <c r="V57" i="127"/>
  <c r="W57" i="127" s="1"/>
  <c r="Z57" i="127" s="1"/>
  <c r="AA57" i="127" s="1"/>
  <c r="V56" i="127"/>
  <c r="W56" i="127" s="1"/>
  <c r="Z56" i="127" s="1"/>
  <c r="AA56" i="127" s="1"/>
  <c r="V55" i="127"/>
  <c r="W55" i="127" s="1"/>
  <c r="Z55" i="127" s="1"/>
  <c r="AA55" i="127" s="1"/>
  <c r="V54" i="127"/>
  <c r="W54" i="127" s="1"/>
  <c r="Z54" i="127" s="1"/>
  <c r="AA54" i="127" s="1"/>
  <c r="V53" i="127"/>
  <c r="W53" i="127" s="1"/>
  <c r="Z53" i="127" s="1"/>
  <c r="AA53" i="127" s="1"/>
  <c r="V52" i="127"/>
  <c r="W52" i="127" s="1"/>
  <c r="Z52" i="127" s="1"/>
  <c r="AA52" i="127" s="1"/>
  <c r="V51" i="127"/>
  <c r="W51" i="127" s="1"/>
  <c r="Z51" i="127" s="1"/>
  <c r="AA51" i="127" s="1"/>
  <c r="V50" i="127"/>
  <c r="W50" i="127" s="1"/>
  <c r="Z50" i="127" s="1"/>
  <c r="AA50" i="127" s="1"/>
  <c r="V49" i="127"/>
  <c r="W49" i="127" s="1"/>
  <c r="Z49" i="127" s="1"/>
  <c r="AA49" i="127" s="1"/>
  <c r="V48" i="127"/>
  <c r="W48" i="127" s="1"/>
  <c r="Z48" i="127" s="1"/>
  <c r="AA48" i="127" s="1"/>
  <c r="V47" i="127"/>
  <c r="W47" i="127" s="1"/>
  <c r="Z47" i="127" s="1"/>
  <c r="AA47" i="127" s="1"/>
  <c r="V46" i="127"/>
  <c r="W46" i="127" s="1"/>
  <c r="Z46" i="127" s="1"/>
  <c r="AA46" i="127" s="1"/>
  <c r="V45" i="127"/>
  <c r="W45" i="127" s="1"/>
  <c r="Z45" i="127" s="1"/>
  <c r="AA45" i="127" s="1"/>
  <c r="V44" i="127"/>
  <c r="W44" i="127" s="1"/>
  <c r="Z44" i="127" s="1"/>
  <c r="AA44" i="127" s="1"/>
  <c r="V43" i="127"/>
  <c r="W43" i="127" s="1"/>
  <c r="Z43" i="127" s="1"/>
  <c r="AA43" i="127" s="1"/>
  <c r="V42" i="127"/>
  <c r="W42" i="127" s="1"/>
  <c r="Z42" i="127" s="1"/>
  <c r="AA42" i="127" s="1"/>
  <c r="V41" i="127"/>
  <c r="W41" i="127" s="1"/>
  <c r="Z41" i="127" s="1"/>
  <c r="AA41" i="127" s="1"/>
  <c r="V40" i="127"/>
  <c r="W40" i="127" s="1"/>
  <c r="Z40" i="127" s="1"/>
  <c r="AA40" i="127" s="1"/>
  <c r="V39" i="127"/>
  <c r="W39" i="127" s="1"/>
  <c r="Z39" i="127" s="1"/>
  <c r="AA39" i="127" s="1"/>
  <c r="V38" i="127"/>
  <c r="W38" i="127" s="1"/>
  <c r="Z38" i="127" s="1"/>
  <c r="AA38" i="127" s="1"/>
  <c r="V37" i="127"/>
  <c r="W37" i="127" s="1"/>
  <c r="Z37" i="127" s="1"/>
  <c r="AA37" i="127" s="1"/>
  <c r="V36" i="127"/>
  <c r="W36" i="127" s="1"/>
  <c r="Z36" i="127" s="1"/>
  <c r="AA36" i="127" s="1"/>
  <c r="V35" i="127"/>
  <c r="W35" i="127" s="1"/>
  <c r="Z35" i="127" s="1"/>
  <c r="AA35" i="127" s="1"/>
  <c r="V34" i="127"/>
  <c r="W34" i="127" s="1"/>
  <c r="Z34" i="127" s="1"/>
  <c r="AA34" i="127" s="1"/>
  <c r="V33" i="127"/>
  <c r="W33" i="127" s="1"/>
  <c r="Z33" i="127" s="1"/>
  <c r="AA33" i="127" s="1"/>
  <c r="V32" i="127"/>
  <c r="W32" i="127" s="1"/>
  <c r="Z32" i="127" s="1"/>
  <c r="AA32" i="127" s="1"/>
  <c r="V31" i="127"/>
  <c r="W31" i="127" s="1"/>
  <c r="Z31" i="127" s="1"/>
  <c r="AA31" i="127" s="1"/>
  <c r="V30" i="127"/>
  <c r="W30" i="127" s="1"/>
  <c r="Z30" i="127" s="1"/>
  <c r="AA30" i="127" s="1"/>
  <c r="V29" i="127"/>
  <c r="W29" i="127" s="1"/>
  <c r="Z29" i="127" s="1"/>
  <c r="AA29" i="127" s="1"/>
  <c r="V28" i="127"/>
  <c r="W28" i="127" s="1"/>
  <c r="Z28" i="127" s="1"/>
  <c r="AA28" i="127" s="1"/>
  <c r="V27" i="127"/>
  <c r="W27" i="127" s="1"/>
  <c r="Z27" i="127" s="1"/>
  <c r="AA27" i="127" s="1"/>
  <c r="V26" i="127"/>
  <c r="W26" i="127" s="1"/>
  <c r="Z26" i="127" s="1"/>
  <c r="AA26" i="127" s="1"/>
  <c r="V25" i="127"/>
  <c r="W25" i="127" s="1"/>
  <c r="Z25" i="127" s="1"/>
  <c r="AA25" i="127" s="1"/>
  <c r="V24" i="127"/>
  <c r="W24" i="127" s="1"/>
  <c r="Z24" i="127" s="1"/>
  <c r="AA24" i="127" s="1"/>
  <c r="V23" i="127"/>
  <c r="W23" i="127" s="1"/>
  <c r="Z23" i="127" s="1"/>
  <c r="AA23" i="127" s="1"/>
  <c r="V22" i="127"/>
  <c r="W22" i="127" s="1"/>
  <c r="Z22" i="127" s="1"/>
  <c r="AA22" i="127" s="1"/>
  <c r="V21" i="127"/>
  <c r="W21" i="127" s="1"/>
  <c r="Z21" i="127" s="1"/>
  <c r="AA21" i="127" s="1"/>
  <c r="V20" i="127"/>
  <c r="W20" i="127" s="1"/>
  <c r="Z20" i="127" s="1"/>
  <c r="AA20" i="127" s="1"/>
  <c r="V19" i="127"/>
  <c r="W19" i="127" s="1"/>
  <c r="Z19" i="127" s="1"/>
  <c r="AA19" i="127" s="1"/>
  <c r="V18" i="127"/>
  <c r="W18" i="127" s="1"/>
  <c r="Z18" i="127" s="1"/>
  <c r="AA18" i="127" s="1"/>
  <c r="V17" i="127"/>
  <c r="W17" i="127" s="1"/>
  <c r="Z17" i="127" s="1"/>
  <c r="AA17" i="127" s="1"/>
  <c r="V16" i="127"/>
  <c r="W16" i="127" s="1"/>
  <c r="Z16" i="127" s="1"/>
  <c r="AA16" i="127" s="1"/>
  <c r="V15" i="127"/>
  <c r="W15" i="127" s="1"/>
  <c r="Z15" i="127" s="1"/>
  <c r="AA15" i="127" s="1"/>
  <c r="V14" i="127"/>
  <c r="W14" i="127" s="1"/>
  <c r="Z14" i="127" s="1"/>
  <c r="AA14" i="127" s="1"/>
  <c r="V13" i="127"/>
  <c r="W13" i="127" s="1"/>
  <c r="Z13" i="127" s="1"/>
  <c r="AA13" i="127" s="1"/>
  <c r="V12" i="127"/>
  <c r="W12" i="127" s="1"/>
  <c r="Z12" i="127" s="1"/>
  <c r="AA12" i="127" s="1"/>
  <c r="V11" i="127"/>
  <c r="W11" i="127" s="1"/>
  <c r="Z11" i="127" s="1"/>
  <c r="AA11" i="127" s="1"/>
  <c r="V10" i="127"/>
  <c r="W10" i="127" s="1"/>
  <c r="Z10" i="127" s="1"/>
  <c r="AA10" i="127" s="1"/>
  <c r="V9" i="127"/>
  <c r="W9" i="127" s="1"/>
  <c r="Z9" i="127" s="1"/>
  <c r="AA9" i="127" s="1"/>
  <c r="V8" i="127"/>
  <c r="V76" i="126"/>
  <c r="W76" i="126" s="1"/>
  <c r="Z76" i="126" s="1"/>
  <c r="AA76" i="126" s="1"/>
  <c r="AB76" i="126" s="1"/>
  <c r="AM76" i="126" s="1"/>
  <c r="V75" i="126"/>
  <c r="W75" i="126" s="1"/>
  <c r="Z75" i="126" s="1"/>
  <c r="AA75" i="126" s="1"/>
  <c r="AB75" i="126" s="1"/>
  <c r="AM75" i="126" s="1"/>
  <c r="V74" i="126"/>
  <c r="W74" i="126" s="1"/>
  <c r="Z74" i="126" s="1"/>
  <c r="AA74" i="126" s="1"/>
  <c r="AB74" i="126" s="1"/>
  <c r="AM74" i="126" s="1"/>
  <c r="V73" i="126"/>
  <c r="W73" i="126" s="1"/>
  <c r="Z73" i="126" s="1"/>
  <c r="AA73" i="126" s="1"/>
  <c r="AB73" i="126" s="1"/>
  <c r="AM73" i="126" s="1"/>
  <c r="V72" i="126"/>
  <c r="W72" i="126" s="1"/>
  <c r="Z72" i="126" s="1"/>
  <c r="AA72" i="126" s="1"/>
  <c r="AB72" i="126" s="1"/>
  <c r="AM72" i="126" s="1"/>
  <c r="V71" i="126"/>
  <c r="W71" i="126" s="1"/>
  <c r="Z71" i="126" s="1"/>
  <c r="AA71" i="126" s="1"/>
  <c r="AB71" i="126" s="1"/>
  <c r="AM71" i="126" s="1"/>
  <c r="V70" i="126"/>
  <c r="W70" i="126" s="1"/>
  <c r="Z70" i="126" s="1"/>
  <c r="AA70" i="126" s="1"/>
  <c r="AB70" i="126" s="1"/>
  <c r="AM70" i="126" s="1"/>
  <c r="V69" i="126"/>
  <c r="W69" i="126" s="1"/>
  <c r="Z69" i="126" s="1"/>
  <c r="AA69" i="126" s="1"/>
  <c r="AB69" i="126" s="1"/>
  <c r="AM69" i="126" s="1"/>
  <c r="V68" i="126"/>
  <c r="W68" i="126" s="1"/>
  <c r="Z68" i="126" s="1"/>
  <c r="AA68" i="126" s="1"/>
  <c r="AB68" i="126" s="1"/>
  <c r="AM68" i="126" s="1"/>
  <c r="V67" i="126"/>
  <c r="W67" i="126" s="1"/>
  <c r="Z67" i="126" s="1"/>
  <c r="AA67" i="126" s="1"/>
  <c r="AB67" i="126" s="1"/>
  <c r="AM67" i="126" s="1"/>
  <c r="V66" i="126"/>
  <c r="W66" i="126" s="1"/>
  <c r="Z66" i="126" s="1"/>
  <c r="AA66" i="126" s="1"/>
  <c r="AB66" i="126" s="1"/>
  <c r="AM66" i="126" s="1"/>
  <c r="V65" i="126"/>
  <c r="W65" i="126" s="1"/>
  <c r="Z65" i="126" s="1"/>
  <c r="AA65" i="126" s="1"/>
  <c r="AB65" i="126" s="1"/>
  <c r="AM65" i="126" s="1"/>
  <c r="V64" i="126"/>
  <c r="W64" i="126" s="1"/>
  <c r="Z64" i="126" s="1"/>
  <c r="AA64" i="126" s="1"/>
  <c r="AB64" i="126" s="1"/>
  <c r="AM64" i="126" s="1"/>
  <c r="V63" i="126"/>
  <c r="W63" i="126" s="1"/>
  <c r="Z63" i="126" s="1"/>
  <c r="AA63" i="126" s="1"/>
  <c r="AB63" i="126" s="1"/>
  <c r="AM63" i="126" s="1"/>
  <c r="V62" i="126"/>
  <c r="W62" i="126" s="1"/>
  <c r="Z62" i="126" s="1"/>
  <c r="AA62" i="126" s="1"/>
  <c r="AB62" i="126" s="1"/>
  <c r="AM62" i="126" s="1"/>
  <c r="V61" i="126"/>
  <c r="W61" i="126" s="1"/>
  <c r="Z61" i="126" s="1"/>
  <c r="AA61" i="126" s="1"/>
  <c r="AB61" i="126" s="1"/>
  <c r="AM61" i="126" s="1"/>
  <c r="V60" i="126"/>
  <c r="W60" i="126" s="1"/>
  <c r="Z60" i="126" s="1"/>
  <c r="AA60" i="126" s="1"/>
  <c r="AB60" i="126" s="1"/>
  <c r="AM60" i="126" s="1"/>
  <c r="V59" i="126"/>
  <c r="W59" i="126" s="1"/>
  <c r="Z59" i="126" s="1"/>
  <c r="AA59" i="126" s="1"/>
  <c r="AB59" i="126" s="1"/>
  <c r="AM59" i="126" s="1"/>
  <c r="V58" i="126"/>
  <c r="W58" i="126" s="1"/>
  <c r="Z58" i="126" s="1"/>
  <c r="AA58" i="126" s="1"/>
  <c r="AB58" i="126" s="1"/>
  <c r="AM58" i="126" s="1"/>
  <c r="V57" i="126"/>
  <c r="W57" i="126" s="1"/>
  <c r="Z57" i="126" s="1"/>
  <c r="AA57" i="126" s="1"/>
  <c r="AB57" i="126" s="1"/>
  <c r="AM57" i="126" s="1"/>
  <c r="V56" i="126"/>
  <c r="W56" i="126" s="1"/>
  <c r="Z56" i="126" s="1"/>
  <c r="AA56" i="126" s="1"/>
  <c r="AB56" i="126" s="1"/>
  <c r="AM56" i="126" s="1"/>
  <c r="V55" i="126"/>
  <c r="W55" i="126" s="1"/>
  <c r="Z55" i="126" s="1"/>
  <c r="AA55" i="126" s="1"/>
  <c r="AB55" i="126" s="1"/>
  <c r="AM55" i="126" s="1"/>
  <c r="V54" i="126"/>
  <c r="W54" i="126" s="1"/>
  <c r="Z54" i="126" s="1"/>
  <c r="AA54" i="126" s="1"/>
  <c r="AB54" i="126" s="1"/>
  <c r="AM54" i="126" s="1"/>
  <c r="V53" i="126"/>
  <c r="W53" i="126" s="1"/>
  <c r="Z53" i="126" s="1"/>
  <c r="AA53" i="126" s="1"/>
  <c r="AB53" i="126" s="1"/>
  <c r="AM53" i="126" s="1"/>
  <c r="V52" i="126"/>
  <c r="W52" i="126" s="1"/>
  <c r="Z52" i="126" s="1"/>
  <c r="AA52" i="126" s="1"/>
  <c r="AB52" i="126" s="1"/>
  <c r="AM52" i="126" s="1"/>
  <c r="V51" i="126"/>
  <c r="W51" i="126" s="1"/>
  <c r="Z51" i="126" s="1"/>
  <c r="AA51" i="126" s="1"/>
  <c r="AB51" i="126" s="1"/>
  <c r="AM51" i="126" s="1"/>
  <c r="V50" i="126"/>
  <c r="W50" i="126" s="1"/>
  <c r="Z50" i="126" s="1"/>
  <c r="AA50" i="126" s="1"/>
  <c r="AB50" i="126" s="1"/>
  <c r="AM50" i="126" s="1"/>
  <c r="V49" i="126"/>
  <c r="W49" i="126" s="1"/>
  <c r="Z49" i="126" s="1"/>
  <c r="AA49" i="126" s="1"/>
  <c r="AB49" i="126" s="1"/>
  <c r="AM49" i="126" s="1"/>
  <c r="V48" i="126"/>
  <c r="W48" i="126" s="1"/>
  <c r="Z48" i="126" s="1"/>
  <c r="AA48" i="126" s="1"/>
  <c r="AB48" i="126" s="1"/>
  <c r="AM48" i="126" s="1"/>
  <c r="V47" i="126"/>
  <c r="W47" i="126" s="1"/>
  <c r="Z47" i="126" s="1"/>
  <c r="AA47" i="126" s="1"/>
  <c r="AB47" i="126" s="1"/>
  <c r="AM47" i="126" s="1"/>
  <c r="V46" i="126"/>
  <c r="W46" i="126" s="1"/>
  <c r="Z46" i="126" s="1"/>
  <c r="AA46" i="126" s="1"/>
  <c r="AB46" i="126" s="1"/>
  <c r="AM46" i="126" s="1"/>
  <c r="V45" i="126"/>
  <c r="W45" i="126" s="1"/>
  <c r="Z45" i="126" s="1"/>
  <c r="AA45" i="126" s="1"/>
  <c r="AB45" i="126" s="1"/>
  <c r="AM45" i="126" s="1"/>
  <c r="V44" i="126"/>
  <c r="W44" i="126" s="1"/>
  <c r="Z44" i="126" s="1"/>
  <c r="AA44" i="126" s="1"/>
  <c r="AB44" i="126" s="1"/>
  <c r="AM44" i="126" s="1"/>
  <c r="V43" i="126"/>
  <c r="W43" i="126" s="1"/>
  <c r="Z43" i="126" s="1"/>
  <c r="AA43" i="126" s="1"/>
  <c r="AB43" i="126" s="1"/>
  <c r="AM43" i="126" s="1"/>
  <c r="V42" i="126"/>
  <c r="W42" i="126" s="1"/>
  <c r="Z42" i="126" s="1"/>
  <c r="AA42" i="126" s="1"/>
  <c r="AB42" i="126" s="1"/>
  <c r="AM42" i="126" s="1"/>
  <c r="V41" i="126"/>
  <c r="W41" i="126" s="1"/>
  <c r="Z41" i="126" s="1"/>
  <c r="AA41" i="126" s="1"/>
  <c r="AB41" i="126" s="1"/>
  <c r="AM41" i="126" s="1"/>
  <c r="V40" i="126"/>
  <c r="W40" i="126" s="1"/>
  <c r="Z40" i="126" s="1"/>
  <c r="AA40" i="126" s="1"/>
  <c r="AB40" i="126" s="1"/>
  <c r="AM40" i="126" s="1"/>
  <c r="V39" i="126"/>
  <c r="W39" i="126" s="1"/>
  <c r="Z39" i="126" s="1"/>
  <c r="AA39" i="126" s="1"/>
  <c r="AB39" i="126" s="1"/>
  <c r="AM39" i="126" s="1"/>
  <c r="V38" i="126"/>
  <c r="W38" i="126" s="1"/>
  <c r="Z38" i="126" s="1"/>
  <c r="AA38" i="126" s="1"/>
  <c r="AB38" i="126" s="1"/>
  <c r="AM38" i="126" s="1"/>
  <c r="V37" i="126"/>
  <c r="W37" i="126" s="1"/>
  <c r="Z37" i="126" s="1"/>
  <c r="AA37" i="126" s="1"/>
  <c r="AB37" i="126" s="1"/>
  <c r="AM37" i="126" s="1"/>
  <c r="V36" i="126"/>
  <c r="W36" i="126" s="1"/>
  <c r="Z36" i="126" s="1"/>
  <c r="AA36" i="126" s="1"/>
  <c r="AB36" i="126" s="1"/>
  <c r="AM36" i="126" s="1"/>
  <c r="V35" i="126"/>
  <c r="W35" i="126" s="1"/>
  <c r="Z35" i="126" s="1"/>
  <c r="AA35" i="126" s="1"/>
  <c r="AB35" i="126" s="1"/>
  <c r="AM35" i="126" s="1"/>
  <c r="V34" i="126"/>
  <c r="W34" i="126" s="1"/>
  <c r="Z34" i="126" s="1"/>
  <c r="AA34" i="126" s="1"/>
  <c r="AB34" i="126" s="1"/>
  <c r="AM34" i="126" s="1"/>
  <c r="V33" i="126"/>
  <c r="W33" i="126" s="1"/>
  <c r="Z33" i="126" s="1"/>
  <c r="AA33" i="126" s="1"/>
  <c r="AB33" i="126" s="1"/>
  <c r="AM33" i="126" s="1"/>
  <c r="V32" i="126"/>
  <c r="W32" i="126" s="1"/>
  <c r="Z32" i="126" s="1"/>
  <c r="AA32" i="126" s="1"/>
  <c r="AB32" i="126" s="1"/>
  <c r="AM32" i="126" s="1"/>
  <c r="V31" i="126"/>
  <c r="W31" i="126" s="1"/>
  <c r="Z31" i="126" s="1"/>
  <c r="AA31" i="126" s="1"/>
  <c r="AB31" i="126" s="1"/>
  <c r="AM31" i="126" s="1"/>
  <c r="V30" i="126"/>
  <c r="W30" i="126" s="1"/>
  <c r="Z30" i="126" s="1"/>
  <c r="AA30" i="126" s="1"/>
  <c r="AB30" i="126" s="1"/>
  <c r="AM30" i="126" s="1"/>
  <c r="V29" i="126"/>
  <c r="W29" i="126" s="1"/>
  <c r="Z29" i="126" s="1"/>
  <c r="AA29" i="126" s="1"/>
  <c r="AB29" i="126" s="1"/>
  <c r="AM29" i="126" s="1"/>
  <c r="V28" i="126"/>
  <c r="W28" i="126" s="1"/>
  <c r="Z28" i="126" s="1"/>
  <c r="AA28" i="126" s="1"/>
  <c r="AB28" i="126" s="1"/>
  <c r="AM28" i="126" s="1"/>
  <c r="V27" i="126"/>
  <c r="W27" i="126" s="1"/>
  <c r="Z27" i="126" s="1"/>
  <c r="AA27" i="126" s="1"/>
  <c r="AB27" i="126" s="1"/>
  <c r="AM27" i="126" s="1"/>
  <c r="V26" i="126"/>
  <c r="W26" i="126" s="1"/>
  <c r="Z26" i="126" s="1"/>
  <c r="AA26" i="126" s="1"/>
  <c r="AB26" i="126" s="1"/>
  <c r="AM26" i="126" s="1"/>
  <c r="V25" i="126"/>
  <c r="W25" i="126" s="1"/>
  <c r="Z25" i="126" s="1"/>
  <c r="AA25" i="126" s="1"/>
  <c r="AB25" i="126" s="1"/>
  <c r="AM25" i="126" s="1"/>
  <c r="V24" i="126"/>
  <c r="W24" i="126" s="1"/>
  <c r="Z24" i="126" s="1"/>
  <c r="AA24" i="126" s="1"/>
  <c r="AB24" i="126" s="1"/>
  <c r="AM24" i="126" s="1"/>
  <c r="V23" i="126"/>
  <c r="W23" i="126" s="1"/>
  <c r="Z23" i="126" s="1"/>
  <c r="AA23" i="126" s="1"/>
  <c r="AB23" i="126" s="1"/>
  <c r="AM23" i="126" s="1"/>
  <c r="V22" i="126"/>
  <c r="W22" i="126" s="1"/>
  <c r="Z22" i="126" s="1"/>
  <c r="AA22" i="126" s="1"/>
  <c r="AB22" i="126" s="1"/>
  <c r="AM22" i="126" s="1"/>
  <c r="V21" i="126"/>
  <c r="W21" i="126" s="1"/>
  <c r="Z21" i="126" s="1"/>
  <c r="AA21" i="126" s="1"/>
  <c r="AB21" i="126" s="1"/>
  <c r="AM21" i="126" s="1"/>
  <c r="V20" i="126"/>
  <c r="W20" i="126" s="1"/>
  <c r="Z20" i="126" s="1"/>
  <c r="AA20" i="126" s="1"/>
  <c r="AB20" i="126" s="1"/>
  <c r="AM20" i="126" s="1"/>
  <c r="V19" i="126"/>
  <c r="W19" i="126" s="1"/>
  <c r="Z19" i="126" s="1"/>
  <c r="AA19" i="126" s="1"/>
  <c r="AB19" i="126" s="1"/>
  <c r="AM19" i="126" s="1"/>
  <c r="V18" i="126"/>
  <c r="W18" i="126" s="1"/>
  <c r="Z18" i="126" s="1"/>
  <c r="AA18" i="126" s="1"/>
  <c r="AB18" i="126" s="1"/>
  <c r="AM18" i="126" s="1"/>
  <c r="V17" i="126"/>
  <c r="W17" i="126" s="1"/>
  <c r="Z17" i="126" s="1"/>
  <c r="AA17" i="126" s="1"/>
  <c r="AB17" i="126" s="1"/>
  <c r="AM17" i="126" s="1"/>
  <c r="V16" i="126"/>
  <c r="W16" i="126" s="1"/>
  <c r="Z16" i="126" s="1"/>
  <c r="AA16" i="126" s="1"/>
  <c r="AB16" i="126" s="1"/>
  <c r="AM16" i="126" s="1"/>
  <c r="V15" i="126"/>
  <c r="W15" i="126" s="1"/>
  <c r="Z15" i="126" s="1"/>
  <c r="AA15" i="126" s="1"/>
  <c r="AB15" i="126" s="1"/>
  <c r="AM15" i="126" s="1"/>
  <c r="V14" i="126"/>
  <c r="W14" i="126" s="1"/>
  <c r="Z14" i="126" s="1"/>
  <c r="AA14" i="126" s="1"/>
  <c r="AB14" i="126" s="1"/>
  <c r="AM14" i="126" s="1"/>
  <c r="V13" i="126"/>
  <c r="W13" i="126" s="1"/>
  <c r="Z13" i="126" s="1"/>
  <c r="AA13" i="126" s="1"/>
  <c r="AB13" i="126" s="1"/>
  <c r="AM13" i="126" s="1"/>
  <c r="V12" i="126"/>
  <c r="W12" i="126" s="1"/>
  <c r="Z12" i="126" s="1"/>
  <c r="AA12" i="126" s="1"/>
  <c r="AB12" i="126" s="1"/>
  <c r="AM12" i="126" s="1"/>
  <c r="V11" i="126"/>
  <c r="W11" i="126" s="1"/>
  <c r="Z11" i="126" s="1"/>
  <c r="AA11" i="126" s="1"/>
  <c r="AB11" i="126" s="1"/>
  <c r="AM11" i="126" s="1"/>
  <c r="V10" i="126"/>
  <c r="W10" i="126" s="1"/>
  <c r="Z10" i="126" s="1"/>
  <c r="AA10" i="126" s="1"/>
  <c r="AB10" i="126" s="1"/>
  <c r="AM10" i="126" s="1"/>
  <c r="V9" i="126"/>
  <c r="W9" i="126" s="1"/>
  <c r="Z9" i="126" s="1"/>
  <c r="AA9" i="126" s="1"/>
  <c r="AB9" i="126" s="1"/>
  <c r="AM9" i="126" s="1"/>
  <c r="V8" i="126"/>
  <c r="V76" i="125"/>
  <c r="W76" i="125" s="1"/>
  <c r="Z76" i="125" s="1"/>
  <c r="AA76" i="125" s="1"/>
  <c r="AB76" i="125" s="1"/>
  <c r="AM76" i="125" s="1"/>
  <c r="V75" i="125"/>
  <c r="W75" i="125" s="1"/>
  <c r="Z75" i="125" s="1"/>
  <c r="AA75" i="125" s="1"/>
  <c r="AB75" i="125" s="1"/>
  <c r="AM75" i="125" s="1"/>
  <c r="V74" i="125"/>
  <c r="W74" i="125" s="1"/>
  <c r="Z74" i="125" s="1"/>
  <c r="AA74" i="125" s="1"/>
  <c r="AB74" i="125" s="1"/>
  <c r="AM74" i="125" s="1"/>
  <c r="V73" i="125"/>
  <c r="W73" i="125" s="1"/>
  <c r="Z73" i="125" s="1"/>
  <c r="AA73" i="125" s="1"/>
  <c r="AB73" i="125" s="1"/>
  <c r="AM73" i="125" s="1"/>
  <c r="V72" i="125"/>
  <c r="W72" i="125" s="1"/>
  <c r="Z72" i="125" s="1"/>
  <c r="AA72" i="125" s="1"/>
  <c r="AB72" i="125" s="1"/>
  <c r="AM72" i="125" s="1"/>
  <c r="V71" i="125"/>
  <c r="W71" i="125" s="1"/>
  <c r="Z71" i="125" s="1"/>
  <c r="AA71" i="125" s="1"/>
  <c r="AB71" i="125" s="1"/>
  <c r="AM71" i="125" s="1"/>
  <c r="V70" i="125"/>
  <c r="W70" i="125" s="1"/>
  <c r="Z70" i="125" s="1"/>
  <c r="AA70" i="125" s="1"/>
  <c r="AB70" i="125" s="1"/>
  <c r="AM70" i="125" s="1"/>
  <c r="V69" i="125"/>
  <c r="W69" i="125" s="1"/>
  <c r="Z69" i="125" s="1"/>
  <c r="AA69" i="125" s="1"/>
  <c r="AB69" i="125" s="1"/>
  <c r="AM69" i="125" s="1"/>
  <c r="V68" i="125"/>
  <c r="W68" i="125" s="1"/>
  <c r="Z68" i="125" s="1"/>
  <c r="AA68" i="125" s="1"/>
  <c r="AB68" i="125" s="1"/>
  <c r="AM68" i="125" s="1"/>
  <c r="V67" i="125"/>
  <c r="W67" i="125" s="1"/>
  <c r="Z67" i="125" s="1"/>
  <c r="AA67" i="125" s="1"/>
  <c r="AB67" i="125" s="1"/>
  <c r="AM67" i="125" s="1"/>
  <c r="V66" i="125"/>
  <c r="W66" i="125" s="1"/>
  <c r="Z66" i="125" s="1"/>
  <c r="AA66" i="125" s="1"/>
  <c r="AB66" i="125" s="1"/>
  <c r="AM66" i="125" s="1"/>
  <c r="V65" i="125"/>
  <c r="W65" i="125" s="1"/>
  <c r="Z65" i="125" s="1"/>
  <c r="AA65" i="125" s="1"/>
  <c r="AB65" i="125" s="1"/>
  <c r="AM65" i="125" s="1"/>
  <c r="V64" i="125"/>
  <c r="W64" i="125" s="1"/>
  <c r="Z64" i="125" s="1"/>
  <c r="AA64" i="125" s="1"/>
  <c r="AB64" i="125" s="1"/>
  <c r="AM64" i="125" s="1"/>
  <c r="V63" i="125"/>
  <c r="W63" i="125" s="1"/>
  <c r="Z63" i="125" s="1"/>
  <c r="AA63" i="125" s="1"/>
  <c r="AB63" i="125" s="1"/>
  <c r="AM63" i="125" s="1"/>
  <c r="V62" i="125"/>
  <c r="W62" i="125" s="1"/>
  <c r="Z62" i="125" s="1"/>
  <c r="AA62" i="125" s="1"/>
  <c r="AB62" i="125" s="1"/>
  <c r="AM62" i="125" s="1"/>
  <c r="V61" i="125"/>
  <c r="W61" i="125" s="1"/>
  <c r="Z61" i="125" s="1"/>
  <c r="AA61" i="125" s="1"/>
  <c r="AB61" i="125" s="1"/>
  <c r="AM61" i="125" s="1"/>
  <c r="V60" i="125"/>
  <c r="W60" i="125" s="1"/>
  <c r="Z60" i="125" s="1"/>
  <c r="AA60" i="125" s="1"/>
  <c r="AB60" i="125" s="1"/>
  <c r="AM60" i="125" s="1"/>
  <c r="V59" i="125"/>
  <c r="W59" i="125" s="1"/>
  <c r="Z59" i="125" s="1"/>
  <c r="AA59" i="125" s="1"/>
  <c r="AB59" i="125" s="1"/>
  <c r="AM59" i="125" s="1"/>
  <c r="V58" i="125"/>
  <c r="W58" i="125" s="1"/>
  <c r="Z58" i="125" s="1"/>
  <c r="AA58" i="125" s="1"/>
  <c r="AB58" i="125" s="1"/>
  <c r="AM58" i="125" s="1"/>
  <c r="V57" i="125"/>
  <c r="W57" i="125" s="1"/>
  <c r="Z57" i="125" s="1"/>
  <c r="AA57" i="125" s="1"/>
  <c r="AB57" i="125" s="1"/>
  <c r="AM57" i="125" s="1"/>
  <c r="V56" i="125"/>
  <c r="W56" i="125" s="1"/>
  <c r="Z56" i="125" s="1"/>
  <c r="AA56" i="125" s="1"/>
  <c r="AB56" i="125" s="1"/>
  <c r="AM56" i="125" s="1"/>
  <c r="V55" i="125"/>
  <c r="W55" i="125" s="1"/>
  <c r="Z55" i="125" s="1"/>
  <c r="AA55" i="125" s="1"/>
  <c r="AB55" i="125" s="1"/>
  <c r="AM55" i="125" s="1"/>
  <c r="V54" i="125"/>
  <c r="W54" i="125" s="1"/>
  <c r="Z54" i="125" s="1"/>
  <c r="AA54" i="125" s="1"/>
  <c r="AB54" i="125" s="1"/>
  <c r="AM54" i="125" s="1"/>
  <c r="V53" i="125"/>
  <c r="W53" i="125" s="1"/>
  <c r="Z53" i="125" s="1"/>
  <c r="AA53" i="125" s="1"/>
  <c r="AB53" i="125" s="1"/>
  <c r="AM53" i="125" s="1"/>
  <c r="V52" i="125"/>
  <c r="W52" i="125" s="1"/>
  <c r="Z52" i="125" s="1"/>
  <c r="AA52" i="125" s="1"/>
  <c r="AB52" i="125" s="1"/>
  <c r="AM52" i="125" s="1"/>
  <c r="V51" i="125"/>
  <c r="W51" i="125" s="1"/>
  <c r="Z51" i="125" s="1"/>
  <c r="AA51" i="125" s="1"/>
  <c r="AB51" i="125" s="1"/>
  <c r="AM51" i="125" s="1"/>
  <c r="V50" i="125"/>
  <c r="W50" i="125" s="1"/>
  <c r="Z50" i="125" s="1"/>
  <c r="AA50" i="125" s="1"/>
  <c r="AB50" i="125" s="1"/>
  <c r="AM50" i="125" s="1"/>
  <c r="V49" i="125"/>
  <c r="W49" i="125" s="1"/>
  <c r="Z49" i="125" s="1"/>
  <c r="AA49" i="125" s="1"/>
  <c r="AB49" i="125" s="1"/>
  <c r="AM49" i="125" s="1"/>
  <c r="V48" i="125"/>
  <c r="W48" i="125" s="1"/>
  <c r="Z48" i="125" s="1"/>
  <c r="AA48" i="125" s="1"/>
  <c r="AB48" i="125" s="1"/>
  <c r="AM48" i="125" s="1"/>
  <c r="V47" i="125"/>
  <c r="W47" i="125" s="1"/>
  <c r="Z47" i="125" s="1"/>
  <c r="AA47" i="125" s="1"/>
  <c r="AB47" i="125" s="1"/>
  <c r="AM47" i="125" s="1"/>
  <c r="V46" i="125"/>
  <c r="W46" i="125" s="1"/>
  <c r="Z46" i="125" s="1"/>
  <c r="AA46" i="125" s="1"/>
  <c r="AB46" i="125" s="1"/>
  <c r="AM46" i="125" s="1"/>
  <c r="V45" i="125"/>
  <c r="W45" i="125" s="1"/>
  <c r="Z45" i="125" s="1"/>
  <c r="AA45" i="125" s="1"/>
  <c r="AB45" i="125" s="1"/>
  <c r="AM45" i="125" s="1"/>
  <c r="V44" i="125"/>
  <c r="W44" i="125" s="1"/>
  <c r="Z44" i="125" s="1"/>
  <c r="AA44" i="125" s="1"/>
  <c r="AB44" i="125" s="1"/>
  <c r="AM44" i="125" s="1"/>
  <c r="V43" i="125"/>
  <c r="W43" i="125" s="1"/>
  <c r="Z43" i="125" s="1"/>
  <c r="AA43" i="125" s="1"/>
  <c r="AB43" i="125" s="1"/>
  <c r="AM43" i="125" s="1"/>
  <c r="V42" i="125"/>
  <c r="W42" i="125" s="1"/>
  <c r="Z42" i="125" s="1"/>
  <c r="AA42" i="125" s="1"/>
  <c r="AB42" i="125" s="1"/>
  <c r="AM42" i="125" s="1"/>
  <c r="V41" i="125"/>
  <c r="W41" i="125" s="1"/>
  <c r="Z41" i="125" s="1"/>
  <c r="AA41" i="125" s="1"/>
  <c r="AB41" i="125" s="1"/>
  <c r="AM41" i="125" s="1"/>
  <c r="V40" i="125"/>
  <c r="W40" i="125" s="1"/>
  <c r="Z40" i="125" s="1"/>
  <c r="AA40" i="125" s="1"/>
  <c r="AB40" i="125" s="1"/>
  <c r="AM40" i="125" s="1"/>
  <c r="V39" i="125"/>
  <c r="W39" i="125" s="1"/>
  <c r="Z39" i="125" s="1"/>
  <c r="AA39" i="125" s="1"/>
  <c r="AB39" i="125" s="1"/>
  <c r="AM39" i="125" s="1"/>
  <c r="V38" i="125"/>
  <c r="W38" i="125" s="1"/>
  <c r="Z38" i="125" s="1"/>
  <c r="AA38" i="125" s="1"/>
  <c r="AB38" i="125" s="1"/>
  <c r="AM38" i="125" s="1"/>
  <c r="V37" i="125"/>
  <c r="W37" i="125" s="1"/>
  <c r="Z37" i="125" s="1"/>
  <c r="AA37" i="125" s="1"/>
  <c r="AB37" i="125" s="1"/>
  <c r="AM37" i="125" s="1"/>
  <c r="V36" i="125"/>
  <c r="W36" i="125" s="1"/>
  <c r="Z36" i="125" s="1"/>
  <c r="AA36" i="125" s="1"/>
  <c r="AB36" i="125" s="1"/>
  <c r="AM36" i="125" s="1"/>
  <c r="V35" i="125"/>
  <c r="W35" i="125" s="1"/>
  <c r="Z35" i="125" s="1"/>
  <c r="AA35" i="125" s="1"/>
  <c r="AB35" i="125" s="1"/>
  <c r="AM35" i="125" s="1"/>
  <c r="V34" i="125"/>
  <c r="W34" i="125" s="1"/>
  <c r="Z34" i="125" s="1"/>
  <c r="AA34" i="125" s="1"/>
  <c r="AB34" i="125" s="1"/>
  <c r="AM34" i="125" s="1"/>
  <c r="V33" i="125"/>
  <c r="W33" i="125" s="1"/>
  <c r="Z33" i="125" s="1"/>
  <c r="AA33" i="125" s="1"/>
  <c r="AB33" i="125" s="1"/>
  <c r="AM33" i="125" s="1"/>
  <c r="V32" i="125"/>
  <c r="W32" i="125" s="1"/>
  <c r="Z32" i="125" s="1"/>
  <c r="AA32" i="125" s="1"/>
  <c r="AB32" i="125" s="1"/>
  <c r="AM32" i="125" s="1"/>
  <c r="V31" i="125"/>
  <c r="W31" i="125" s="1"/>
  <c r="Z31" i="125" s="1"/>
  <c r="AA31" i="125" s="1"/>
  <c r="AB31" i="125" s="1"/>
  <c r="AM31" i="125" s="1"/>
  <c r="V30" i="125"/>
  <c r="W30" i="125" s="1"/>
  <c r="Z30" i="125" s="1"/>
  <c r="AA30" i="125" s="1"/>
  <c r="AB30" i="125" s="1"/>
  <c r="AM30" i="125" s="1"/>
  <c r="V29" i="125"/>
  <c r="W29" i="125" s="1"/>
  <c r="Z29" i="125" s="1"/>
  <c r="AA29" i="125" s="1"/>
  <c r="AB29" i="125" s="1"/>
  <c r="AM29" i="125" s="1"/>
  <c r="V28" i="125"/>
  <c r="W28" i="125" s="1"/>
  <c r="Z28" i="125" s="1"/>
  <c r="AA28" i="125" s="1"/>
  <c r="AB28" i="125" s="1"/>
  <c r="AM28" i="125" s="1"/>
  <c r="V27" i="125"/>
  <c r="W27" i="125" s="1"/>
  <c r="Z27" i="125" s="1"/>
  <c r="AA27" i="125" s="1"/>
  <c r="AB27" i="125" s="1"/>
  <c r="AM27" i="125" s="1"/>
  <c r="V26" i="125"/>
  <c r="W26" i="125" s="1"/>
  <c r="Z26" i="125" s="1"/>
  <c r="AA26" i="125" s="1"/>
  <c r="AB26" i="125" s="1"/>
  <c r="AM26" i="125" s="1"/>
  <c r="V25" i="125"/>
  <c r="W25" i="125" s="1"/>
  <c r="Z25" i="125" s="1"/>
  <c r="AA25" i="125" s="1"/>
  <c r="AB25" i="125" s="1"/>
  <c r="AM25" i="125" s="1"/>
  <c r="V24" i="125"/>
  <c r="W24" i="125" s="1"/>
  <c r="Z24" i="125" s="1"/>
  <c r="AA24" i="125" s="1"/>
  <c r="AB24" i="125" s="1"/>
  <c r="AM24" i="125" s="1"/>
  <c r="V23" i="125"/>
  <c r="W23" i="125" s="1"/>
  <c r="Z23" i="125" s="1"/>
  <c r="AA23" i="125" s="1"/>
  <c r="AB23" i="125" s="1"/>
  <c r="AM23" i="125" s="1"/>
  <c r="V22" i="125"/>
  <c r="W22" i="125" s="1"/>
  <c r="Z22" i="125" s="1"/>
  <c r="AA22" i="125" s="1"/>
  <c r="AB22" i="125" s="1"/>
  <c r="AM22" i="125" s="1"/>
  <c r="V21" i="125"/>
  <c r="W21" i="125" s="1"/>
  <c r="Z21" i="125" s="1"/>
  <c r="AA21" i="125" s="1"/>
  <c r="AB21" i="125" s="1"/>
  <c r="AM21" i="125" s="1"/>
  <c r="V20" i="125"/>
  <c r="W20" i="125" s="1"/>
  <c r="Z20" i="125" s="1"/>
  <c r="AA20" i="125" s="1"/>
  <c r="AB20" i="125" s="1"/>
  <c r="AM20" i="125" s="1"/>
  <c r="V19" i="125"/>
  <c r="W19" i="125" s="1"/>
  <c r="Z19" i="125" s="1"/>
  <c r="AA19" i="125" s="1"/>
  <c r="AB19" i="125" s="1"/>
  <c r="AM19" i="125" s="1"/>
  <c r="V18" i="125"/>
  <c r="W18" i="125" s="1"/>
  <c r="Z18" i="125" s="1"/>
  <c r="AA18" i="125" s="1"/>
  <c r="AB18" i="125" s="1"/>
  <c r="AM18" i="125" s="1"/>
  <c r="V17" i="125"/>
  <c r="W17" i="125" s="1"/>
  <c r="Z17" i="125" s="1"/>
  <c r="AA17" i="125" s="1"/>
  <c r="AB17" i="125" s="1"/>
  <c r="AM17" i="125" s="1"/>
  <c r="V16" i="125"/>
  <c r="W16" i="125" s="1"/>
  <c r="Z16" i="125" s="1"/>
  <c r="AA16" i="125" s="1"/>
  <c r="AB16" i="125" s="1"/>
  <c r="AM16" i="125" s="1"/>
  <c r="V15" i="125"/>
  <c r="W15" i="125" s="1"/>
  <c r="Z15" i="125" s="1"/>
  <c r="AA15" i="125" s="1"/>
  <c r="AB15" i="125" s="1"/>
  <c r="AM15" i="125" s="1"/>
  <c r="V14" i="125"/>
  <c r="W14" i="125" s="1"/>
  <c r="Z14" i="125" s="1"/>
  <c r="AA14" i="125" s="1"/>
  <c r="AB14" i="125" s="1"/>
  <c r="AM14" i="125" s="1"/>
  <c r="V13" i="125"/>
  <c r="W13" i="125" s="1"/>
  <c r="Z13" i="125" s="1"/>
  <c r="AA13" i="125" s="1"/>
  <c r="AB13" i="125" s="1"/>
  <c r="AM13" i="125" s="1"/>
  <c r="V12" i="125"/>
  <c r="W12" i="125" s="1"/>
  <c r="Z12" i="125" s="1"/>
  <c r="AA12" i="125" s="1"/>
  <c r="AB12" i="125" s="1"/>
  <c r="AM12" i="125" s="1"/>
  <c r="V11" i="125"/>
  <c r="W11" i="125" s="1"/>
  <c r="Z11" i="125" s="1"/>
  <c r="AA11" i="125" s="1"/>
  <c r="AB11" i="125" s="1"/>
  <c r="AM11" i="125" s="1"/>
  <c r="V10" i="125"/>
  <c r="W10" i="125" s="1"/>
  <c r="Z10" i="125" s="1"/>
  <c r="AA10" i="125" s="1"/>
  <c r="AB10" i="125" s="1"/>
  <c r="AM10" i="125" s="1"/>
  <c r="V9" i="125"/>
  <c r="W9" i="125" s="1"/>
  <c r="Z9" i="125" s="1"/>
  <c r="AA9" i="125" s="1"/>
  <c r="AB9" i="125" s="1"/>
  <c r="AM9" i="125" s="1"/>
  <c r="V9" i="129" l="1"/>
  <c r="W9" i="129" s="1"/>
  <c r="Z9" i="129" s="1"/>
  <c r="AA9" i="129" s="1"/>
  <c r="V10" i="129"/>
  <c r="W10" i="129" s="1"/>
  <c r="Z10" i="129" s="1"/>
  <c r="AA10" i="129" s="1"/>
  <c r="R8" i="100" s="1"/>
  <c r="V11" i="129"/>
  <c r="W11" i="129" s="1"/>
  <c r="Z11" i="129" s="1"/>
  <c r="AA11" i="129" s="1"/>
  <c r="V12" i="129"/>
  <c r="W12" i="129" s="1"/>
  <c r="Z12" i="129" s="1"/>
  <c r="AA12" i="129" s="1"/>
  <c r="R10" i="100" s="1"/>
  <c r="V13" i="129"/>
  <c r="W13" i="129" s="1"/>
  <c r="Z13" i="129" s="1"/>
  <c r="AA13" i="129" s="1"/>
  <c r="V14" i="129"/>
  <c r="W14" i="129" s="1"/>
  <c r="Z14" i="129" s="1"/>
  <c r="AA14" i="129" s="1"/>
  <c r="AB14" i="129" s="1"/>
  <c r="AM14" i="129" s="1"/>
  <c r="V15" i="129"/>
  <c r="W15" i="129" s="1"/>
  <c r="Z15" i="129" s="1"/>
  <c r="AA15" i="129" s="1"/>
  <c r="V16" i="129"/>
  <c r="W16" i="129" s="1"/>
  <c r="Z16" i="129" s="1"/>
  <c r="AA16" i="129" s="1"/>
  <c r="R14" i="100" s="1"/>
  <c r="V17" i="129"/>
  <c r="W17" i="129" s="1"/>
  <c r="Z17" i="129" s="1"/>
  <c r="AA17" i="129" s="1"/>
  <c r="V18" i="129"/>
  <c r="W18" i="129" s="1"/>
  <c r="Z18" i="129" s="1"/>
  <c r="AA18" i="129" s="1"/>
  <c r="R16" i="100" s="1"/>
  <c r="V19" i="129"/>
  <c r="W19" i="129" s="1"/>
  <c r="Z19" i="129" s="1"/>
  <c r="AA19" i="129" s="1"/>
  <c r="V20" i="129"/>
  <c r="W20" i="129" s="1"/>
  <c r="Z20" i="129" s="1"/>
  <c r="AA20" i="129" s="1"/>
  <c r="R18" i="100" s="1"/>
  <c r="V21" i="129"/>
  <c r="W21" i="129" s="1"/>
  <c r="Z21" i="129" s="1"/>
  <c r="AA21" i="129" s="1"/>
  <c r="V22" i="129"/>
  <c r="W22" i="129" s="1"/>
  <c r="Z22" i="129" s="1"/>
  <c r="AA22" i="129" s="1"/>
  <c r="R20" i="100" s="1"/>
  <c r="V23" i="129"/>
  <c r="W23" i="129" s="1"/>
  <c r="Z23" i="129" s="1"/>
  <c r="AA23" i="129" s="1"/>
  <c r="V24" i="129"/>
  <c r="W24" i="129" s="1"/>
  <c r="Z24" i="129" s="1"/>
  <c r="AA24" i="129" s="1"/>
  <c r="AB24" i="129" s="1"/>
  <c r="AM24" i="129" s="1"/>
  <c r="V25" i="129"/>
  <c r="W25" i="129" s="1"/>
  <c r="Z25" i="129" s="1"/>
  <c r="AA25" i="129" s="1"/>
  <c r="V26" i="129"/>
  <c r="W26" i="129" s="1"/>
  <c r="Z26" i="129" s="1"/>
  <c r="AA26" i="129" s="1"/>
  <c r="R24" i="100" s="1"/>
  <c r="V27" i="129"/>
  <c r="W27" i="129" s="1"/>
  <c r="Z27" i="129" s="1"/>
  <c r="AA27" i="129" s="1"/>
  <c r="V28" i="129"/>
  <c r="W28" i="129" s="1"/>
  <c r="Z28" i="129" s="1"/>
  <c r="AA28" i="129" s="1"/>
  <c r="AB28" i="129" s="1"/>
  <c r="AM28" i="129" s="1"/>
  <c r="V29" i="129"/>
  <c r="W29" i="129" s="1"/>
  <c r="Z29" i="129" s="1"/>
  <c r="AA29" i="129" s="1"/>
  <c r="V30" i="129"/>
  <c r="W30" i="129" s="1"/>
  <c r="Z30" i="129" s="1"/>
  <c r="AA30" i="129" s="1"/>
  <c r="R28" i="100" s="1"/>
  <c r="V31" i="129"/>
  <c r="W31" i="129" s="1"/>
  <c r="Z31" i="129" s="1"/>
  <c r="AA31" i="129" s="1"/>
  <c r="V32" i="129"/>
  <c r="W32" i="129" s="1"/>
  <c r="Z32" i="129" s="1"/>
  <c r="AA32" i="129" s="1"/>
  <c r="R30" i="100" s="1"/>
  <c r="V33" i="129"/>
  <c r="W33" i="129" s="1"/>
  <c r="Z33" i="129" s="1"/>
  <c r="AA33" i="129" s="1"/>
  <c r="V34" i="129"/>
  <c r="W34" i="129" s="1"/>
  <c r="Z34" i="129" s="1"/>
  <c r="AA34" i="129" s="1"/>
  <c r="AB34" i="129" s="1"/>
  <c r="AM34" i="129" s="1"/>
  <c r="V35" i="129"/>
  <c r="W35" i="129" s="1"/>
  <c r="Z35" i="129" s="1"/>
  <c r="AA35" i="129" s="1"/>
  <c r="V36" i="129"/>
  <c r="W36" i="129" s="1"/>
  <c r="Z36" i="129" s="1"/>
  <c r="AA36" i="129" s="1"/>
  <c r="R34" i="100" s="1"/>
  <c r="V37" i="129"/>
  <c r="W37" i="129" s="1"/>
  <c r="Z37" i="129" s="1"/>
  <c r="AA37" i="129" s="1"/>
  <c r="V38" i="129"/>
  <c r="W38" i="129" s="1"/>
  <c r="Z38" i="129" s="1"/>
  <c r="AA38" i="129" s="1"/>
  <c r="AB38" i="129" s="1"/>
  <c r="AM38" i="129" s="1"/>
  <c r="V39" i="129"/>
  <c r="W39" i="129" s="1"/>
  <c r="Z39" i="129" s="1"/>
  <c r="AA39" i="129" s="1"/>
  <c r="V40" i="129"/>
  <c r="W40" i="129" s="1"/>
  <c r="Z40" i="129" s="1"/>
  <c r="AA40" i="129" s="1"/>
  <c r="AB40" i="129" s="1"/>
  <c r="AM40" i="129" s="1"/>
  <c r="V41" i="129"/>
  <c r="W41" i="129" s="1"/>
  <c r="Z41" i="129" s="1"/>
  <c r="AA41" i="129" s="1"/>
  <c r="V42" i="129"/>
  <c r="W42" i="129" s="1"/>
  <c r="Z42" i="129" s="1"/>
  <c r="AA42" i="129" s="1"/>
  <c r="AB42" i="129" s="1"/>
  <c r="AM42" i="129" s="1"/>
  <c r="V43" i="129"/>
  <c r="W43" i="129" s="1"/>
  <c r="Z43" i="129" s="1"/>
  <c r="AA43" i="129" s="1"/>
  <c r="V44" i="129"/>
  <c r="W44" i="129" s="1"/>
  <c r="Z44" i="129" s="1"/>
  <c r="AA44" i="129" s="1"/>
  <c r="R42" i="100" s="1"/>
  <c r="V45" i="129"/>
  <c r="W45" i="129" s="1"/>
  <c r="Z45" i="129" s="1"/>
  <c r="AA45" i="129" s="1"/>
  <c r="V46" i="129"/>
  <c r="W46" i="129" s="1"/>
  <c r="Z46" i="129" s="1"/>
  <c r="AA46" i="129" s="1"/>
  <c r="AB46" i="129" s="1"/>
  <c r="AM46" i="129" s="1"/>
  <c r="V47" i="129"/>
  <c r="W47" i="129" s="1"/>
  <c r="Z47" i="129" s="1"/>
  <c r="AA47" i="129" s="1"/>
  <c r="V48" i="129"/>
  <c r="W48" i="129" s="1"/>
  <c r="Z48" i="129" s="1"/>
  <c r="AA48" i="129" s="1"/>
  <c r="AB48" i="129" s="1"/>
  <c r="AM48" i="129" s="1"/>
  <c r="V49" i="129"/>
  <c r="W49" i="129" s="1"/>
  <c r="Z49" i="129" s="1"/>
  <c r="AA49" i="129" s="1"/>
  <c r="V50" i="129"/>
  <c r="W50" i="129" s="1"/>
  <c r="Z50" i="129" s="1"/>
  <c r="AA50" i="129" s="1"/>
  <c r="R48" i="100" s="1"/>
  <c r="V51" i="129"/>
  <c r="W51" i="129" s="1"/>
  <c r="Z51" i="129" s="1"/>
  <c r="AA51" i="129" s="1"/>
  <c r="V52" i="129"/>
  <c r="W52" i="129" s="1"/>
  <c r="Z52" i="129" s="1"/>
  <c r="AA52" i="129" s="1"/>
  <c r="AB52" i="129" s="1"/>
  <c r="AM52" i="129" s="1"/>
  <c r="V53" i="129"/>
  <c r="W53" i="129" s="1"/>
  <c r="Z53" i="129" s="1"/>
  <c r="AA53" i="129" s="1"/>
  <c r="V54" i="129"/>
  <c r="W54" i="129" s="1"/>
  <c r="Z54" i="129" s="1"/>
  <c r="AA54" i="129" s="1"/>
  <c r="R52" i="100" s="1"/>
  <c r="V55" i="129"/>
  <c r="W55" i="129" s="1"/>
  <c r="Z55" i="129" s="1"/>
  <c r="AA55" i="129" s="1"/>
  <c r="V56" i="129"/>
  <c r="W56" i="129" s="1"/>
  <c r="Z56" i="129" s="1"/>
  <c r="AA56" i="129" s="1"/>
  <c r="R54" i="100" s="1"/>
  <c r="V57" i="129"/>
  <c r="W57" i="129" s="1"/>
  <c r="Z57" i="129" s="1"/>
  <c r="AA57" i="129" s="1"/>
  <c r="V58" i="129"/>
  <c r="W58" i="129" s="1"/>
  <c r="Z58" i="129" s="1"/>
  <c r="AA58" i="129" s="1"/>
  <c r="R56" i="100" s="1"/>
  <c r="V59" i="129"/>
  <c r="W59" i="129" s="1"/>
  <c r="Z59" i="129" s="1"/>
  <c r="AA59" i="129" s="1"/>
  <c r="V60" i="129"/>
  <c r="W60" i="129" s="1"/>
  <c r="Z60" i="129" s="1"/>
  <c r="AA60" i="129" s="1"/>
  <c r="R58" i="100" s="1"/>
  <c r="V61" i="129"/>
  <c r="W61" i="129" s="1"/>
  <c r="Z61" i="129" s="1"/>
  <c r="AA61" i="129" s="1"/>
  <c r="V62" i="129"/>
  <c r="W62" i="129" s="1"/>
  <c r="Z62" i="129" s="1"/>
  <c r="AA62" i="129" s="1"/>
  <c r="R60" i="100" s="1"/>
  <c r="V63" i="129"/>
  <c r="W63" i="129" s="1"/>
  <c r="Z63" i="129" s="1"/>
  <c r="AA63" i="129" s="1"/>
  <c r="V64" i="129"/>
  <c r="W64" i="129" s="1"/>
  <c r="Z64" i="129" s="1"/>
  <c r="AA64" i="129" s="1"/>
  <c r="AB64" i="129" s="1"/>
  <c r="AM64" i="129" s="1"/>
  <c r="V65" i="129"/>
  <c r="W65" i="129" s="1"/>
  <c r="Z65" i="129" s="1"/>
  <c r="AA65" i="129" s="1"/>
  <c r="V66" i="129"/>
  <c r="W66" i="129" s="1"/>
  <c r="Z66" i="129" s="1"/>
  <c r="AA66" i="129" s="1"/>
  <c r="AB66" i="129" s="1"/>
  <c r="AM66" i="129" s="1"/>
  <c r="V67" i="129"/>
  <c r="W67" i="129" s="1"/>
  <c r="Z67" i="129" s="1"/>
  <c r="AA67" i="129" s="1"/>
  <c r="V68" i="129"/>
  <c r="W68" i="129" s="1"/>
  <c r="Z68" i="129" s="1"/>
  <c r="AA68" i="129" s="1"/>
  <c r="AB68" i="129" s="1"/>
  <c r="AM68" i="129" s="1"/>
  <c r="V69" i="129"/>
  <c r="W69" i="129" s="1"/>
  <c r="Z69" i="129" s="1"/>
  <c r="AA69" i="129" s="1"/>
  <c r="V70" i="129"/>
  <c r="W70" i="129" s="1"/>
  <c r="Z70" i="129" s="1"/>
  <c r="AA70" i="129" s="1"/>
  <c r="R68" i="100" s="1"/>
  <c r="V71" i="129"/>
  <c r="W71" i="129" s="1"/>
  <c r="Z71" i="129" s="1"/>
  <c r="AA71" i="129" s="1"/>
  <c r="V72" i="129"/>
  <c r="W72" i="129" s="1"/>
  <c r="Z72" i="129" s="1"/>
  <c r="AA72" i="129" s="1"/>
  <c r="AB72" i="129" s="1"/>
  <c r="AM72" i="129" s="1"/>
  <c r="V73" i="129"/>
  <c r="W73" i="129" s="1"/>
  <c r="Z73" i="129" s="1"/>
  <c r="AA73" i="129" s="1"/>
  <c r="V74" i="129"/>
  <c r="W74" i="129" s="1"/>
  <c r="Z74" i="129" s="1"/>
  <c r="AA74" i="129" s="1"/>
  <c r="R72" i="100" s="1"/>
  <c r="V75" i="129"/>
  <c r="W75" i="129" s="1"/>
  <c r="Z75" i="129" s="1"/>
  <c r="AA75" i="129" s="1"/>
  <c r="V76" i="129"/>
  <c r="W76" i="129" s="1"/>
  <c r="Z76" i="129" s="1"/>
  <c r="AA76" i="129" s="1"/>
  <c r="AB76" i="129" s="1"/>
  <c r="AM76" i="129" s="1"/>
  <c r="AC10" i="125"/>
  <c r="AE10" i="125" s="1"/>
  <c r="N8" i="100"/>
  <c r="N10" i="100"/>
  <c r="AC12" i="125"/>
  <c r="AE12" i="125" s="1"/>
  <c r="AC14" i="125"/>
  <c r="AE14" i="125" s="1"/>
  <c r="N12" i="100"/>
  <c r="N14" i="100"/>
  <c r="AC16" i="125"/>
  <c r="AE16" i="125" s="1"/>
  <c r="AC17" i="125"/>
  <c r="AE17" i="125" s="1"/>
  <c r="N15" i="100"/>
  <c r="N17" i="100"/>
  <c r="AC19" i="125"/>
  <c r="AE19" i="125" s="1"/>
  <c r="AC21" i="125"/>
  <c r="AE21" i="125" s="1"/>
  <c r="N19" i="100"/>
  <c r="AC23" i="125"/>
  <c r="AE23" i="125" s="1"/>
  <c r="N21" i="100"/>
  <c r="AC26" i="125"/>
  <c r="AE26" i="125" s="1"/>
  <c r="N24" i="100"/>
  <c r="N26" i="100"/>
  <c r="AC28" i="125"/>
  <c r="AE28" i="125" s="1"/>
  <c r="AC30" i="125"/>
  <c r="AE30" i="125" s="1"/>
  <c r="N28" i="100"/>
  <c r="AC32" i="125"/>
  <c r="AE32" i="125" s="1"/>
  <c r="N30" i="100"/>
  <c r="AC34" i="125"/>
  <c r="AE34" i="125" s="1"/>
  <c r="N32" i="100"/>
  <c r="N34" i="100"/>
  <c r="AC36" i="125"/>
  <c r="AE36" i="125" s="1"/>
  <c r="N36" i="100"/>
  <c r="AC38" i="125"/>
  <c r="AE38" i="125" s="1"/>
  <c r="N38" i="100"/>
  <c r="AC40" i="125"/>
  <c r="AE40" i="125" s="1"/>
  <c r="N40" i="100"/>
  <c r="AC42" i="125"/>
  <c r="AE42" i="125" s="1"/>
  <c r="AC44" i="125"/>
  <c r="AE44" i="125" s="1"/>
  <c r="N42" i="100"/>
  <c r="N44" i="100"/>
  <c r="AC46" i="125"/>
  <c r="AE46" i="125" s="1"/>
  <c r="AC48" i="125"/>
  <c r="AE48" i="125" s="1"/>
  <c r="N46" i="100"/>
  <c r="AC50" i="125"/>
  <c r="AE50" i="125" s="1"/>
  <c r="N48" i="100"/>
  <c r="AC52" i="125"/>
  <c r="AE52" i="125" s="1"/>
  <c r="N50" i="100"/>
  <c r="AC54" i="125"/>
  <c r="AE54" i="125" s="1"/>
  <c r="N52" i="100"/>
  <c r="AC56" i="125"/>
  <c r="AE56" i="125" s="1"/>
  <c r="N54" i="100"/>
  <c r="AC58" i="125"/>
  <c r="AE58" i="125" s="1"/>
  <c r="N56" i="100"/>
  <c r="N58" i="100"/>
  <c r="AC60" i="125"/>
  <c r="AE60" i="125" s="1"/>
  <c r="N59" i="100"/>
  <c r="AC61" i="125"/>
  <c r="AE61" i="125" s="1"/>
  <c r="N61" i="100"/>
  <c r="AC63" i="125"/>
  <c r="AE63" i="125" s="1"/>
  <c r="N63" i="100"/>
  <c r="AC65" i="125"/>
  <c r="AE65" i="125" s="1"/>
  <c r="N65" i="100"/>
  <c r="AC67" i="125"/>
  <c r="AE67" i="125" s="1"/>
  <c r="N67" i="100"/>
  <c r="AC69" i="125"/>
  <c r="AE69" i="125" s="1"/>
  <c r="AC71" i="125"/>
  <c r="AE71" i="125" s="1"/>
  <c r="N69" i="100"/>
  <c r="AC73" i="125"/>
  <c r="AE73" i="125" s="1"/>
  <c r="N71" i="100"/>
  <c r="N73" i="100"/>
  <c r="AC75" i="125"/>
  <c r="AE75" i="125" s="1"/>
  <c r="AC76" i="125"/>
  <c r="AE76" i="125" s="1"/>
  <c r="N74" i="100"/>
  <c r="AC9" i="126"/>
  <c r="AE9" i="126" s="1"/>
  <c r="O7" i="100"/>
  <c r="AC11" i="126"/>
  <c r="AE11" i="126" s="1"/>
  <c r="O9" i="100"/>
  <c r="O11" i="100"/>
  <c r="AC13" i="126"/>
  <c r="AE13" i="126" s="1"/>
  <c r="O13" i="100"/>
  <c r="AC15" i="126"/>
  <c r="AE15" i="126" s="1"/>
  <c r="O15" i="100"/>
  <c r="AC17" i="126"/>
  <c r="AE17" i="126" s="1"/>
  <c r="AC19" i="126"/>
  <c r="AE19" i="126" s="1"/>
  <c r="O17" i="100"/>
  <c r="AC21" i="126"/>
  <c r="AE21" i="126" s="1"/>
  <c r="O19" i="100"/>
  <c r="AC23" i="126"/>
  <c r="AE23" i="126" s="1"/>
  <c r="O21" i="100"/>
  <c r="AC25" i="126"/>
  <c r="AE25" i="126" s="1"/>
  <c r="O23" i="100"/>
  <c r="AC26" i="126"/>
  <c r="AE26" i="126" s="1"/>
  <c r="O24" i="100"/>
  <c r="O26" i="100"/>
  <c r="AC28" i="126"/>
  <c r="AE28" i="126" s="1"/>
  <c r="AC30" i="126"/>
  <c r="AE30" i="126" s="1"/>
  <c r="O28" i="100"/>
  <c r="O30" i="100"/>
  <c r="AC32" i="126"/>
  <c r="AE32" i="126" s="1"/>
  <c r="O32" i="100"/>
  <c r="AC34" i="126"/>
  <c r="AE34" i="126" s="1"/>
  <c r="AC36" i="126"/>
  <c r="AE36" i="126" s="1"/>
  <c r="O34" i="100"/>
  <c r="O36" i="100"/>
  <c r="AC38" i="126"/>
  <c r="AE38" i="126" s="1"/>
  <c r="AC40" i="126"/>
  <c r="AE40" i="126" s="1"/>
  <c r="O38" i="100"/>
  <c r="O40" i="100"/>
  <c r="AC42" i="126"/>
  <c r="AE42" i="126" s="1"/>
  <c r="AC44" i="126"/>
  <c r="AE44" i="126" s="1"/>
  <c r="O42" i="100"/>
  <c r="O44" i="100"/>
  <c r="AC46" i="126"/>
  <c r="AE46" i="126" s="1"/>
  <c r="O46" i="100"/>
  <c r="AC48" i="126"/>
  <c r="AE48" i="126" s="1"/>
  <c r="O48" i="100"/>
  <c r="AC50" i="126"/>
  <c r="AE50" i="126" s="1"/>
  <c r="AC52" i="126"/>
  <c r="AE52" i="126" s="1"/>
  <c r="O50" i="100"/>
  <c r="AC53" i="126"/>
  <c r="AE53" i="126" s="1"/>
  <c r="O51" i="100"/>
  <c r="O53" i="100"/>
  <c r="AC55" i="126"/>
  <c r="AE55" i="126" s="1"/>
  <c r="O55" i="100"/>
  <c r="AC57" i="126"/>
  <c r="AE57" i="126" s="1"/>
  <c r="O57" i="100"/>
  <c r="AC59" i="126"/>
  <c r="AE59" i="126" s="1"/>
  <c r="AC61" i="126"/>
  <c r="AE61" i="126" s="1"/>
  <c r="O59" i="100"/>
  <c r="O61" i="100"/>
  <c r="AC63" i="126"/>
  <c r="AE63" i="126" s="1"/>
  <c r="AC65" i="126"/>
  <c r="AE65" i="126" s="1"/>
  <c r="O63" i="100"/>
  <c r="O65" i="100"/>
  <c r="AC67" i="126"/>
  <c r="AE67" i="126" s="1"/>
  <c r="AC69" i="126"/>
  <c r="AE69" i="126" s="1"/>
  <c r="O67" i="100"/>
  <c r="AC71" i="126"/>
  <c r="AE71" i="126" s="1"/>
  <c r="O69" i="100"/>
  <c r="O71" i="100"/>
  <c r="AC73" i="126"/>
  <c r="AE73" i="126" s="1"/>
  <c r="AB9" i="127"/>
  <c r="AM9" i="127" s="1"/>
  <c r="P7" i="100"/>
  <c r="AB11" i="127"/>
  <c r="AM11" i="127" s="1"/>
  <c r="P9" i="100"/>
  <c r="AC11" i="127"/>
  <c r="AE11" i="127" s="1"/>
  <c r="P11" i="100"/>
  <c r="AB13" i="127"/>
  <c r="AM13" i="127" s="1"/>
  <c r="AB15" i="127"/>
  <c r="AM15" i="127" s="1"/>
  <c r="P13" i="100"/>
  <c r="P15" i="100"/>
  <c r="AB17" i="127"/>
  <c r="AM17" i="127" s="1"/>
  <c r="P17" i="100"/>
  <c r="AB19" i="127"/>
  <c r="AM19" i="127" s="1"/>
  <c r="AB21" i="127"/>
  <c r="AM21" i="127" s="1"/>
  <c r="P19" i="100"/>
  <c r="AB23" i="127"/>
  <c r="AM23" i="127" s="1"/>
  <c r="P21" i="100"/>
  <c r="AC23" i="127"/>
  <c r="AE23" i="127" s="1"/>
  <c r="P23" i="100"/>
  <c r="AB25" i="127"/>
  <c r="AM25" i="127" s="1"/>
  <c r="P25" i="100"/>
  <c r="AB27" i="127"/>
  <c r="AM27" i="127" s="1"/>
  <c r="P27" i="100"/>
  <c r="AB29" i="127"/>
  <c r="AM29" i="127" s="1"/>
  <c r="P29" i="100"/>
  <c r="AB31" i="127"/>
  <c r="AM31" i="127" s="1"/>
  <c r="P31" i="100"/>
  <c r="AB33" i="127"/>
  <c r="AM33" i="127" s="1"/>
  <c r="AB35" i="127"/>
  <c r="AM35" i="127" s="1"/>
  <c r="P33" i="100"/>
  <c r="P35" i="100"/>
  <c r="AB37" i="127"/>
  <c r="AM37" i="127" s="1"/>
  <c r="AB39" i="127"/>
  <c r="AM39" i="127" s="1"/>
  <c r="P37" i="100"/>
  <c r="P39" i="100"/>
  <c r="AB41" i="127"/>
  <c r="AM41" i="127" s="1"/>
  <c r="AB43" i="127"/>
  <c r="AM43" i="127" s="1"/>
  <c r="P41" i="100"/>
  <c r="P43" i="100"/>
  <c r="AB45" i="127"/>
  <c r="AM45" i="127" s="1"/>
  <c r="AB47" i="127"/>
  <c r="AM47" i="127" s="1"/>
  <c r="P45" i="100"/>
  <c r="AB49" i="127"/>
  <c r="AM49" i="127" s="1"/>
  <c r="P47" i="100"/>
  <c r="P49" i="100"/>
  <c r="AB51" i="127"/>
  <c r="AM51" i="127" s="1"/>
  <c r="P51" i="100"/>
  <c r="AB53" i="127"/>
  <c r="AM53" i="127" s="1"/>
  <c r="P53" i="100"/>
  <c r="AB55" i="127"/>
  <c r="AM55" i="127" s="1"/>
  <c r="AB57" i="127"/>
  <c r="AM57" i="127" s="1"/>
  <c r="P55" i="100"/>
  <c r="AC57" i="127"/>
  <c r="AE57" i="127" s="1"/>
  <c r="AB59" i="127"/>
  <c r="AM59" i="127" s="1"/>
  <c r="P57" i="100"/>
  <c r="P59" i="100"/>
  <c r="AB61" i="127"/>
  <c r="AM61" i="127" s="1"/>
  <c r="P61" i="100"/>
  <c r="AB63" i="127"/>
  <c r="AM63" i="127" s="1"/>
  <c r="AB65" i="127"/>
  <c r="AM65" i="127" s="1"/>
  <c r="P63" i="100"/>
  <c r="AC65" i="127"/>
  <c r="AE65" i="127" s="1"/>
  <c r="P65" i="100"/>
  <c r="AB67" i="127"/>
  <c r="AM67" i="127" s="1"/>
  <c r="P67" i="100"/>
  <c r="AB69" i="127"/>
  <c r="AM69" i="127" s="1"/>
  <c r="P69" i="100"/>
  <c r="AB71" i="127"/>
  <c r="AM71" i="127" s="1"/>
  <c r="P71" i="100"/>
  <c r="AB73" i="127"/>
  <c r="AM73" i="127" s="1"/>
  <c r="AB75" i="127"/>
  <c r="AM75" i="127" s="1"/>
  <c r="P73" i="100"/>
  <c r="P74" i="100"/>
  <c r="AB76" i="127"/>
  <c r="AM76" i="127" s="1"/>
  <c r="W8" i="128"/>
  <c r="V77" i="128"/>
  <c r="AB10" i="128"/>
  <c r="AM10" i="128" s="1"/>
  <c r="Q8" i="100"/>
  <c r="Q9" i="100"/>
  <c r="AB11" i="128"/>
  <c r="AM11" i="128" s="1"/>
  <c r="AB13" i="128"/>
  <c r="AM13" i="128" s="1"/>
  <c r="Q11" i="100"/>
  <c r="Q13" i="100"/>
  <c r="AB15" i="128"/>
  <c r="AM15" i="128" s="1"/>
  <c r="Q15" i="100"/>
  <c r="AB17" i="128"/>
  <c r="AM17" i="128" s="1"/>
  <c r="AB19" i="128"/>
  <c r="AM19" i="128" s="1"/>
  <c r="Q17" i="100"/>
  <c r="AC19" i="128"/>
  <c r="AE19" i="128" s="1"/>
  <c r="AB21" i="128"/>
  <c r="AM21" i="128" s="1"/>
  <c r="Q19" i="100"/>
  <c r="Q21" i="100"/>
  <c r="AB23" i="128"/>
  <c r="AM23" i="128" s="1"/>
  <c r="AB26" i="128"/>
  <c r="AM26" i="128" s="1"/>
  <c r="Q24" i="100"/>
  <c r="Q26" i="100"/>
  <c r="AB28" i="128"/>
  <c r="AM28" i="128" s="1"/>
  <c r="Q28" i="100"/>
  <c r="AB30" i="128"/>
  <c r="AM30" i="128" s="1"/>
  <c r="Q31" i="100"/>
  <c r="AB33" i="128"/>
  <c r="AM33" i="128" s="1"/>
  <c r="R7" i="100"/>
  <c r="AB9" i="129"/>
  <c r="AM9" i="129" s="1"/>
  <c r="AB10" i="129"/>
  <c r="AM10" i="129" s="1"/>
  <c r="R9" i="100"/>
  <c r="AB11" i="129"/>
  <c r="AM11" i="129" s="1"/>
  <c r="AB13" i="129"/>
  <c r="AM13" i="129" s="1"/>
  <c r="R11" i="100"/>
  <c r="R12" i="100"/>
  <c r="AB15" i="129"/>
  <c r="AM15" i="129" s="1"/>
  <c r="R13" i="100"/>
  <c r="AB17" i="129"/>
  <c r="AM17" i="129" s="1"/>
  <c r="R15" i="100"/>
  <c r="AB18" i="129"/>
  <c r="AM18" i="129" s="1"/>
  <c r="AB19" i="129"/>
  <c r="AM19" i="129" s="1"/>
  <c r="R17" i="100"/>
  <c r="AB21" i="129"/>
  <c r="AM21" i="129" s="1"/>
  <c r="R19" i="100"/>
  <c r="AB22" i="129"/>
  <c r="AM22" i="129" s="1"/>
  <c r="AB23" i="129"/>
  <c r="AM23" i="129" s="1"/>
  <c r="R21" i="100"/>
  <c r="AB25" i="129"/>
  <c r="AM25" i="129" s="1"/>
  <c r="R23" i="100"/>
  <c r="AB26" i="129"/>
  <c r="AM26" i="129" s="1"/>
  <c r="R25" i="100"/>
  <c r="AB27" i="129"/>
  <c r="AM27" i="129" s="1"/>
  <c r="R27" i="100"/>
  <c r="AB29" i="129"/>
  <c r="AM29" i="129" s="1"/>
  <c r="AB30" i="129"/>
  <c r="AM30" i="129" s="1"/>
  <c r="R29" i="100"/>
  <c r="AB31" i="129"/>
  <c r="AM31" i="129" s="1"/>
  <c r="R31" i="100"/>
  <c r="AB33" i="129"/>
  <c r="AM33" i="129" s="1"/>
  <c r="R32" i="100"/>
  <c r="AB35" i="129"/>
  <c r="AM35" i="129" s="1"/>
  <c r="R33" i="100"/>
  <c r="R35" i="100"/>
  <c r="AB37" i="129"/>
  <c r="AM37" i="129" s="1"/>
  <c r="R36" i="100"/>
  <c r="R37" i="100"/>
  <c r="AB39" i="129"/>
  <c r="AM39" i="129" s="1"/>
  <c r="R39" i="100"/>
  <c r="AB41" i="129"/>
  <c r="AM41" i="129" s="1"/>
  <c r="R40" i="100"/>
  <c r="R41" i="100"/>
  <c r="AB43" i="129"/>
  <c r="AM43" i="129" s="1"/>
  <c r="AB45" i="129"/>
  <c r="AM45" i="129" s="1"/>
  <c r="R43" i="100"/>
  <c r="AC45" i="129"/>
  <c r="AE45" i="129" s="1"/>
  <c r="R44" i="100"/>
  <c r="R45" i="100"/>
  <c r="AB47" i="129"/>
  <c r="AM47" i="129" s="1"/>
  <c r="R46" i="100"/>
  <c r="AB49" i="129"/>
  <c r="AM49" i="129" s="1"/>
  <c r="R47" i="100"/>
  <c r="AB50" i="129"/>
  <c r="AM50" i="129" s="1"/>
  <c r="R49" i="100"/>
  <c r="AB51" i="129"/>
  <c r="AM51" i="129" s="1"/>
  <c r="AB53" i="129"/>
  <c r="AM53" i="129" s="1"/>
  <c r="R51" i="100"/>
  <c r="AB54" i="129"/>
  <c r="AM54" i="129" s="1"/>
  <c r="R53" i="100"/>
  <c r="AB55" i="129"/>
  <c r="AM55" i="129" s="1"/>
  <c r="AB57" i="129"/>
  <c r="AM57" i="129" s="1"/>
  <c r="R55" i="100"/>
  <c r="AB58" i="129"/>
  <c r="AM58" i="129" s="1"/>
  <c r="R57" i="100"/>
  <c r="AB59" i="129"/>
  <c r="AM59" i="129" s="1"/>
  <c r="AB61" i="129"/>
  <c r="AM61" i="129" s="1"/>
  <c r="R59" i="100"/>
  <c r="AB62" i="129"/>
  <c r="AM62" i="129" s="1"/>
  <c r="R61" i="100"/>
  <c r="AB63" i="129"/>
  <c r="AM63" i="129" s="1"/>
  <c r="AB65" i="129"/>
  <c r="AM65" i="129" s="1"/>
  <c r="R63" i="100"/>
  <c r="AC65" i="129"/>
  <c r="AE65" i="129" s="1"/>
  <c r="R64" i="100"/>
  <c r="R65" i="100"/>
  <c r="AB67" i="129"/>
  <c r="AM67" i="129" s="1"/>
  <c r="R66" i="100"/>
  <c r="AB69" i="129"/>
  <c r="AM69" i="129" s="1"/>
  <c r="R67" i="100"/>
  <c r="AB70" i="129"/>
  <c r="AM70" i="129" s="1"/>
  <c r="R69" i="100"/>
  <c r="AB71" i="129"/>
  <c r="AM71" i="129" s="1"/>
  <c r="AB73" i="129"/>
  <c r="AM73" i="129" s="1"/>
  <c r="R71" i="100"/>
  <c r="AB74" i="129"/>
  <c r="AM74" i="129" s="1"/>
  <c r="R73" i="100"/>
  <c r="AB75" i="129"/>
  <c r="AM75" i="129" s="1"/>
  <c r="R74" i="100"/>
  <c r="N7" i="100"/>
  <c r="AC9" i="125"/>
  <c r="AE9" i="125" s="1"/>
  <c r="AC11" i="125"/>
  <c r="AE11" i="125" s="1"/>
  <c r="N9" i="100"/>
  <c r="AC13" i="125"/>
  <c r="AE13" i="125" s="1"/>
  <c r="N11" i="100"/>
  <c r="AC15" i="125"/>
  <c r="AE15" i="125" s="1"/>
  <c r="N13" i="100"/>
  <c r="AC18" i="125"/>
  <c r="AE18" i="125" s="1"/>
  <c r="N16" i="100"/>
  <c r="N18" i="100"/>
  <c r="AC20" i="125"/>
  <c r="AE20" i="125" s="1"/>
  <c r="N20" i="100"/>
  <c r="AC22" i="125"/>
  <c r="AE22" i="125" s="1"/>
  <c r="N22" i="100"/>
  <c r="AC24" i="125"/>
  <c r="AE24" i="125" s="1"/>
  <c r="N23" i="100"/>
  <c r="AC25" i="125"/>
  <c r="AE25" i="125" s="1"/>
  <c r="N25" i="100"/>
  <c r="AC27" i="125"/>
  <c r="AE27" i="125" s="1"/>
  <c r="AC29" i="125"/>
  <c r="AE29" i="125" s="1"/>
  <c r="N27" i="100"/>
  <c r="AC31" i="125"/>
  <c r="AE31" i="125" s="1"/>
  <c r="N29" i="100"/>
  <c r="N31" i="100"/>
  <c r="AC33" i="125"/>
  <c r="AE33" i="125" s="1"/>
  <c r="AC35" i="125"/>
  <c r="AE35" i="125" s="1"/>
  <c r="N33" i="100"/>
  <c r="N35" i="100"/>
  <c r="AC37" i="125"/>
  <c r="AE37" i="125" s="1"/>
  <c r="N37" i="100"/>
  <c r="AC39" i="125"/>
  <c r="AE39" i="125" s="1"/>
  <c r="AC41" i="125"/>
  <c r="AE41" i="125" s="1"/>
  <c r="N39" i="100"/>
  <c r="N41" i="100"/>
  <c r="AC43" i="125"/>
  <c r="AE43" i="125" s="1"/>
  <c r="AC45" i="125"/>
  <c r="AE45" i="125" s="1"/>
  <c r="N43" i="100"/>
  <c r="N45" i="100"/>
  <c r="AC47" i="125"/>
  <c r="AE47" i="125" s="1"/>
  <c r="N47" i="100"/>
  <c r="AC49" i="125"/>
  <c r="AE49" i="125" s="1"/>
  <c r="N49" i="100"/>
  <c r="AC51" i="125"/>
  <c r="AE51" i="125" s="1"/>
  <c r="AC53" i="125"/>
  <c r="AE53" i="125" s="1"/>
  <c r="N51" i="100"/>
  <c r="N53" i="100"/>
  <c r="AC55" i="125"/>
  <c r="AE55" i="125" s="1"/>
  <c r="AC57" i="125"/>
  <c r="AE57" i="125" s="1"/>
  <c r="N55" i="100"/>
  <c r="N57" i="100"/>
  <c r="AC59" i="125"/>
  <c r="AE59" i="125" s="1"/>
  <c r="AC62" i="125"/>
  <c r="AE62" i="125" s="1"/>
  <c r="N60" i="100"/>
  <c r="N62" i="100"/>
  <c r="AC64" i="125"/>
  <c r="AE64" i="125" s="1"/>
  <c r="N64" i="100"/>
  <c r="AC66" i="125"/>
  <c r="AE66" i="125" s="1"/>
  <c r="AC68" i="125"/>
  <c r="AE68" i="125" s="1"/>
  <c r="N66" i="100"/>
  <c r="N68" i="100"/>
  <c r="AC70" i="125"/>
  <c r="AE70" i="125" s="1"/>
  <c r="N70" i="100"/>
  <c r="AC72" i="125"/>
  <c r="AE72" i="125" s="1"/>
  <c r="AC74" i="125"/>
  <c r="AE74" i="125" s="1"/>
  <c r="N72" i="100"/>
  <c r="W8" i="126"/>
  <c r="V77" i="126"/>
  <c r="AC10" i="126"/>
  <c r="AE10" i="126" s="1"/>
  <c r="O8" i="100"/>
  <c r="O10" i="100"/>
  <c r="AC12" i="126"/>
  <c r="AE12" i="126" s="1"/>
  <c r="AC14" i="126"/>
  <c r="AE14" i="126" s="1"/>
  <c r="O12" i="100"/>
  <c r="AC16" i="126"/>
  <c r="AE16" i="126" s="1"/>
  <c r="O14" i="100"/>
  <c r="O16" i="100"/>
  <c r="AC18" i="126"/>
  <c r="AE18" i="126" s="1"/>
  <c r="AC20" i="126"/>
  <c r="AE20" i="126" s="1"/>
  <c r="O18" i="100"/>
  <c r="AC22" i="126"/>
  <c r="AE22" i="126" s="1"/>
  <c r="O20" i="100"/>
  <c r="AC24" i="126"/>
  <c r="AE24" i="126" s="1"/>
  <c r="O22" i="100"/>
  <c r="O25" i="100"/>
  <c r="AC27" i="126"/>
  <c r="AE27" i="126" s="1"/>
  <c r="AC29" i="126"/>
  <c r="AE29" i="126" s="1"/>
  <c r="O27" i="100"/>
  <c r="O29" i="100"/>
  <c r="AC31" i="126"/>
  <c r="AE31" i="126" s="1"/>
  <c r="O31" i="100"/>
  <c r="AC33" i="126"/>
  <c r="AE33" i="126" s="1"/>
  <c r="O33" i="100"/>
  <c r="AC35" i="126"/>
  <c r="AE35" i="126" s="1"/>
  <c r="O35" i="100"/>
  <c r="AC37" i="126"/>
  <c r="AE37" i="126" s="1"/>
  <c r="AC39" i="126"/>
  <c r="AE39" i="126" s="1"/>
  <c r="O37" i="100"/>
  <c r="O39" i="100"/>
  <c r="AC41" i="126"/>
  <c r="AE41" i="126" s="1"/>
  <c r="AC43" i="126"/>
  <c r="AE43" i="126" s="1"/>
  <c r="O41" i="100"/>
  <c r="O43" i="100"/>
  <c r="AC45" i="126"/>
  <c r="AE45" i="126" s="1"/>
  <c r="O45" i="100"/>
  <c r="AC47" i="126"/>
  <c r="AE47" i="126" s="1"/>
  <c r="O47" i="100"/>
  <c r="AC49" i="126"/>
  <c r="AE49" i="126" s="1"/>
  <c r="AC51" i="126"/>
  <c r="AE51" i="126" s="1"/>
  <c r="O49" i="100"/>
  <c r="O52" i="100"/>
  <c r="AC54" i="126"/>
  <c r="AE54" i="126" s="1"/>
  <c r="O54" i="100"/>
  <c r="AC56" i="126"/>
  <c r="AE56" i="126" s="1"/>
  <c r="AC58" i="126"/>
  <c r="AE58" i="126" s="1"/>
  <c r="O56" i="100"/>
  <c r="O58" i="100"/>
  <c r="AC60" i="126"/>
  <c r="AE60" i="126" s="1"/>
  <c r="AC62" i="126"/>
  <c r="AE62" i="126" s="1"/>
  <c r="O60" i="100"/>
  <c r="O62" i="100"/>
  <c r="AC64" i="126"/>
  <c r="AE64" i="126" s="1"/>
  <c r="AC66" i="126"/>
  <c r="AE66" i="126" s="1"/>
  <c r="O64" i="100"/>
  <c r="O66" i="100"/>
  <c r="AC68" i="126"/>
  <c r="AE68" i="126" s="1"/>
  <c r="AC70" i="126"/>
  <c r="AE70" i="126" s="1"/>
  <c r="O68" i="100"/>
  <c r="O70" i="100"/>
  <c r="AC72" i="126"/>
  <c r="AE72" i="126" s="1"/>
  <c r="AC74" i="126"/>
  <c r="AE74" i="126" s="1"/>
  <c r="O72" i="100"/>
  <c r="AC75" i="126"/>
  <c r="AE75" i="126" s="1"/>
  <c r="O73" i="100"/>
  <c r="O74" i="100"/>
  <c r="AC76" i="126"/>
  <c r="AE76" i="126" s="1"/>
  <c r="W8" i="127"/>
  <c r="V77" i="127"/>
  <c r="P8" i="100"/>
  <c r="AB10" i="127"/>
  <c r="AM10" i="127" s="1"/>
  <c r="P10" i="100"/>
  <c r="AB12" i="127"/>
  <c r="AM12" i="127" s="1"/>
  <c r="P12" i="100"/>
  <c r="AB14" i="127"/>
  <c r="AM14" i="127" s="1"/>
  <c r="P14" i="100"/>
  <c r="AB16" i="127"/>
  <c r="AM16" i="127" s="1"/>
  <c r="P16" i="100"/>
  <c r="AB18" i="127"/>
  <c r="AM18" i="127" s="1"/>
  <c r="P18" i="100"/>
  <c r="AB20" i="127"/>
  <c r="AM20" i="127" s="1"/>
  <c r="P20" i="100"/>
  <c r="AB22" i="127"/>
  <c r="AM22" i="127" s="1"/>
  <c r="P22" i="100"/>
  <c r="AB24" i="127"/>
  <c r="AM24" i="127" s="1"/>
  <c r="AB26" i="127"/>
  <c r="AM26" i="127" s="1"/>
  <c r="P24" i="100"/>
  <c r="AB28" i="127"/>
  <c r="AM28" i="127" s="1"/>
  <c r="P26" i="100"/>
  <c r="AC28" i="127"/>
  <c r="AE28" i="127" s="1"/>
  <c r="AB30" i="127"/>
  <c r="AM30" i="127" s="1"/>
  <c r="P28" i="100"/>
  <c r="P30" i="100"/>
  <c r="AB32" i="127"/>
  <c r="AM32" i="127" s="1"/>
  <c r="AB34" i="127"/>
  <c r="AM34" i="127" s="1"/>
  <c r="P32" i="100"/>
  <c r="AC34" i="127"/>
  <c r="AE34" i="127" s="1"/>
  <c r="P34" i="100"/>
  <c r="AB36" i="127"/>
  <c r="AM36" i="127" s="1"/>
  <c r="AB38" i="127"/>
  <c r="AM38" i="127" s="1"/>
  <c r="P36" i="100"/>
  <c r="AC38" i="127"/>
  <c r="AE38" i="127" s="1"/>
  <c r="P38" i="100"/>
  <c r="AB40" i="127"/>
  <c r="AM40" i="127" s="1"/>
  <c r="AB42" i="127"/>
  <c r="AM42" i="127" s="1"/>
  <c r="P40" i="100"/>
  <c r="AB44" i="127"/>
  <c r="AM44" i="127" s="1"/>
  <c r="P42" i="100"/>
  <c r="AC44" i="127"/>
  <c r="AE44" i="127" s="1"/>
  <c r="P44" i="100"/>
  <c r="AB46" i="127"/>
  <c r="AM46" i="127" s="1"/>
  <c r="P46" i="100"/>
  <c r="AB48" i="127"/>
  <c r="AM48" i="127" s="1"/>
  <c r="AB50" i="127"/>
  <c r="AM50" i="127" s="1"/>
  <c r="P48" i="100"/>
  <c r="P50" i="100"/>
  <c r="AB52" i="127"/>
  <c r="AM52" i="127" s="1"/>
  <c r="P52" i="100"/>
  <c r="AB54" i="127"/>
  <c r="AM54" i="127" s="1"/>
  <c r="P54" i="100"/>
  <c r="AB56" i="127"/>
  <c r="AM56" i="127" s="1"/>
  <c r="P56" i="100"/>
  <c r="AB58" i="127"/>
  <c r="AM58" i="127" s="1"/>
  <c r="P58" i="100"/>
  <c r="AB60" i="127"/>
  <c r="AM60" i="127" s="1"/>
  <c r="AB62" i="127"/>
  <c r="AM62" i="127" s="1"/>
  <c r="P60" i="100"/>
  <c r="P62" i="100"/>
  <c r="AB64" i="127"/>
  <c r="AM64" i="127" s="1"/>
  <c r="AB66" i="127"/>
  <c r="AM66" i="127" s="1"/>
  <c r="P64" i="100"/>
  <c r="AC66" i="127"/>
  <c r="AE66" i="127" s="1"/>
  <c r="AB68" i="127"/>
  <c r="AM68" i="127" s="1"/>
  <c r="P66" i="100"/>
  <c r="AB70" i="127"/>
  <c r="AM70" i="127" s="1"/>
  <c r="P68" i="100"/>
  <c r="P70" i="100"/>
  <c r="AB72" i="127"/>
  <c r="AM72" i="127" s="1"/>
  <c r="P72" i="100"/>
  <c r="AB74" i="127"/>
  <c r="AM74" i="127" s="1"/>
  <c r="Q7" i="100"/>
  <c r="AB9" i="128"/>
  <c r="AM9" i="128" s="1"/>
  <c r="Q10" i="100"/>
  <c r="AB12" i="128"/>
  <c r="AM12" i="128" s="1"/>
  <c r="Q12" i="100"/>
  <c r="AB14" i="128"/>
  <c r="AM14" i="128" s="1"/>
  <c r="AB16" i="128"/>
  <c r="AM16" i="128" s="1"/>
  <c r="Q14" i="100"/>
  <c r="AB18" i="128"/>
  <c r="AM18" i="128" s="1"/>
  <c r="Q16" i="100"/>
  <c r="AB20" i="128"/>
  <c r="AM20" i="128" s="1"/>
  <c r="Q18" i="100"/>
  <c r="AB22" i="128"/>
  <c r="AM22" i="128" s="1"/>
  <c r="Q20" i="100"/>
  <c r="AC22" i="128"/>
  <c r="AE22" i="128" s="1"/>
  <c r="Q22" i="100"/>
  <c r="AB24" i="128"/>
  <c r="AM24" i="128" s="1"/>
  <c r="Q23" i="100"/>
  <c r="AB25" i="128"/>
  <c r="AM25" i="128" s="1"/>
  <c r="Q25" i="100"/>
  <c r="AB27" i="128"/>
  <c r="AM27" i="128" s="1"/>
  <c r="Q27" i="100"/>
  <c r="AB29" i="128"/>
  <c r="AM29" i="128" s="1"/>
  <c r="AB31" i="128"/>
  <c r="AM31" i="128" s="1"/>
  <c r="Q29" i="100"/>
  <c r="Q30" i="100"/>
  <c r="AB32" i="128"/>
  <c r="AM32" i="128" s="1"/>
  <c r="AB34" i="128"/>
  <c r="AM34" i="128" s="1"/>
  <c r="Q32" i="100"/>
  <c r="Q33" i="100"/>
  <c r="AB35" i="128"/>
  <c r="AM35" i="128" s="1"/>
  <c r="Q34" i="100"/>
  <c r="AB36" i="128"/>
  <c r="AM36" i="128" s="1"/>
  <c r="Q35" i="100"/>
  <c r="AB37" i="128"/>
  <c r="AM37" i="128" s="1"/>
  <c r="AB38" i="128"/>
  <c r="AM38" i="128" s="1"/>
  <c r="Q36" i="100"/>
  <c r="AC38" i="128"/>
  <c r="AE38" i="128" s="1"/>
  <c r="AB39" i="128"/>
  <c r="AM39" i="128" s="1"/>
  <c r="Q37" i="100"/>
  <c r="AB40" i="128"/>
  <c r="AM40" i="128" s="1"/>
  <c r="Q38" i="100"/>
  <c r="Q39" i="100"/>
  <c r="AB41" i="128"/>
  <c r="AM41" i="128" s="1"/>
  <c r="AB42" i="128"/>
  <c r="AM42" i="128" s="1"/>
  <c r="Q40" i="100"/>
  <c r="AB43" i="128"/>
  <c r="AM43" i="128" s="1"/>
  <c r="Q41" i="100"/>
  <c r="AC43" i="128"/>
  <c r="AE43" i="128" s="1"/>
  <c r="AB44" i="128"/>
  <c r="AM44" i="128" s="1"/>
  <c r="Q42" i="100"/>
  <c r="AC44" i="128"/>
  <c r="AE44" i="128" s="1"/>
  <c r="AB45" i="128"/>
  <c r="AM45" i="128" s="1"/>
  <c r="Q43" i="100"/>
  <c r="AB46" i="128"/>
  <c r="AM46" i="128" s="1"/>
  <c r="Q44" i="100"/>
  <c r="Q45" i="100"/>
  <c r="AB47" i="128"/>
  <c r="AM47" i="128" s="1"/>
  <c r="Q46" i="100"/>
  <c r="AB48" i="128"/>
  <c r="AM48" i="128" s="1"/>
  <c r="AB49" i="128"/>
  <c r="AM49" i="128" s="1"/>
  <c r="Q47" i="100"/>
  <c r="Q48" i="100"/>
  <c r="AB50" i="128"/>
  <c r="AM50" i="128" s="1"/>
  <c r="Q49" i="100"/>
  <c r="AB51" i="128"/>
  <c r="AM51" i="128" s="1"/>
  <c r="AB52" i="128"/>
  <c r="AM52" i="128" s="1"/>
  <c r="Q50" i="100"/>
  <c r="AB53" i="128"/>
  <c r="AM53" i="128" s="1"/>
  <c r="Q51" i="100"/>
  <c r="AB54" i="128"/>
  <c r="AM54" i="128" s="1"/>
  <c r="Q52" i="100"/>
  <c r="AC54" i="128"/>
  <c r="AE54" i="128" s="1"/>
  <c r="AB55" i="128"/>
  <c r="AM55" i="128" s="1"/>
  <c r="Q53" i="100"/>
  <c r="Q54" i="100"/>
  <c r="AB56" i="128"/>
  <c r="AM56" i="128" s="1"/>
  <c r="Q55" i="100"/>
  <c r="AB57" i="128"/>
  <c r="AM57" i="128" s="1"/>
  <c r="Q56" i="100"/>
  <c r="AB58" i="128"/>
  <c r="AM58" i="128" s="1"/>
  <c r="AB59" i="128"/>
  <c r="AM59" i="128" s="1"/>
  <c r="Q57" i="100"/>
  <c r="AC59" i="128"/>
  <c r="AE59" i="128" s="1"/>
  <c r="AB60" i="128"/>
  <c r="AM60" i="128" s="1"/>
  <c r="Q58" i="100"/>
  <c r="Q59" i="100"/>
  <c r="AB61" i="128"/>
  <c r="AM61" i="128" s="1"/>
  <c r="Q60" i="100"/>
  <c r="AB62" i="128"/>
  <c r="AM62" i="128" s="1"/>
  <c r="Q61" i="100"/>
  <c r="AB63" i="128"/>
  <c r="AM63" i="128" s="1"/>
  <c r="Q62" i="100"/>
  <c r="AB64" i="128"/>
  <c r="AM64" i="128" s="1"/>
  <c r="Q63" i="100"/>
  <c r="AB65" i="128"/>
  <c r="AM65" i="128" s="1"/>
  <c r="AB66" i="128"/>
  <c r="AM66" i="128" s="1"/>
  <c r="Q64" i="100"/>
  <c r="Q65" i="100"/>
  <c r="AB67" i="128"/>
  <c r="AM67" i="128" s="1"/>
  <c r="Q66" i="100"/>
  <c r="AB68" i="128"/>
  <c r="AM68" i="128" s="1"/>
  <c r="AB69" i="128"/>
  <c r="AM69" i="128" s="1"/>
  <c r="Q67" i="100"/>
  <c r="AB70" i="128"/>
  <c r="AM70" i="128" s="1"/>
  <c r="Q68" i="100"/>
  <c r="Q69" i="100"/>
  <c r="AB71" i="128"/>
  <c r="AM71" i="128" s="1"/>
  <c r="AB72" i="128"/>
  <c r="AM72" i="128" s="1"/>
  <c r="Q70" i="100"/>
  <c r="AC72" i="128"/>
  <c r="AE72" i="128" s="1"/>
  <c r="AB73" i="128"/>
  <c r="AM73" i="128" s="1"/>
  <c r="Q71" i="100"/>
  <c r="AB74" i="128"/>
  <c r="AM74" i="128" s="1"/>
  <c r="Q72" i="100"/>
  <c r="AB75" i="128"/>
  <c r="AM75" i="128" s="1"/>
  <c r="Q73" i="100"/>
  <c r="AC75" i="128"/>
  <c r="AE75" i="128" s="1"/>
  <c r="Q74" i="100"/>
  <c r="AB76" i="128"/>
  <c r="AM76" i="128" s="1"/>
  <c r="S7" i="100"/>
  <c r="AC9" i="131"/>
  <c r="AE9" i="131" s="1"/>
  <c r="S8" i="100"/>
  <c r="AC10" i="131"/>
  <c r="AE10" i="131" s="1"/>
  <c r="AC11" i="131"/>
  <c r="AE11" i="131" s="1"/>
  <c r="S9" i="100"/>
  <c r="AC12" i="131"/>
  <c r="AE12" i="131" s="1"/>
  <c r="S10" i="100"/>
  <c r="S11" i="100"/>
  <c r="AC13" i="131"/>
  <c r="AE13" i="131" s="1"/>
  <c r="AC14" i="131"/>
  <c r="AE14" i="131" s="1"/>
  <c r="S12" i="100"/>
  <c r="AC15" i="131"/>
  <c r="AE15" i="131" s="1"/>
  <c r="S13" i="100"/>
  <c r="AC16" i="131"/>
  <c r="AE16" i="131" s="1"/>
  <c r="S14" i="100"/>
  <c r="AC17" i="131"/>
  <c r="AE17" i="131" s="1"/>
  <c r="S15" i="100"/>
  <c r="AC18" i="131"/>
  <c r="AE18" i="131" s="1"/>
  <c r="S16" i="100"/>
  <c r="S17" i="100"/>
  <c r="AC19" i="131"/>
  <c r="AE19" i="131" s="1"/>
  <c r="AC20" i="131"/>
  <c r="AE20" i="131" s="1"/>
  <c r="S18" i="100"/>
  <c r="AC21" i="131"/>
  <c r="AE21" i="131" s="1"/>
  <c r="S19" i="100"/>
  <c r="AC22" i="131"/>
  <c r="AE22" i="131" s="1"/>
  <c r="S20" i="100"/>
  <c r="AC23" i="131"/>
  <c r="AE23" i="131" s="1"/>
  <c r="S21" i="100"/>
  <c r="S22" i="100"/>
  <c r="AC24" i="131"/>
  <c r="AE24" i="131" s="1"/>
  <c r="AC25" i="131"/>
  <c r="AE25" i="131" s="1"/>
  <c r="S23" i="100"/>
  <c r="AC26" i="131"/>
  <c r="AE26" i="131" s="1"/>
  <c r="S24" i="100"/>
  <c r="S25" i="100"/>
  <c r="AC27" i="131"/>
  <c r="AE27" i="131" s="1"/>
  <c r="S26" i="100"/>
  <c r="AC28" i="131"/>
  <c r="AE28" i="131" s="1"/>
  <c r="S27" i="100"/>
  <c r="AC29" i="131"/>
  <c r="AE29" i="131" s="1"/>
  <c r="S28" i="100"/>
  <c r="AC30" i="131"/>
  <c r="AE30" i="131" s="1"/>
  <c r="S29" i="100"/>
  <c r="AC31" i="131"/>
  <c r="AE31" i="131" s="1"/>
  <c r="AC32" i="131"/>
  <c r="AE32" i="131" s="1"/>
  <c r="S30" i="100"/>
  <c r="S31" i="100"/>
  <c r="AC33" i="131"/>
  <c r="AE33" i="131" s="1"/>
  <c r="AC34" i="131"/>
  <c r="AE34" i="131" s="1"/>
  <c r="S32" i="100"/>
  <c r="AC35" i="131"/>
  <c r="AE35" i="131" s="1"/>
  <c r="S33" i="100"/>
  <c r="AC36" i="131"/>
  <c r="AE36" i="131" s="1"/>
  <c r="S34" i="100"/>
  <c r="AC37" i="131"/>
  <c r="AE37" i="131" s="1"/>
  <c r="S35" i="100"/>
  <c r="S36" i="100"/>
  <c r="AC38" i="131"/>
  <c r="AE38" i="131" s="1"/>
  <c r="S37" i="100"/>
  <c r="AC39" i="131"/>
  <c r="AE39" i="131" s="1"/>
  <c r="S38" i="100"/>
  <c r="AC40" i="131"/>
  <c r="AE40" i="131" s="1"/>
  <c r="AC41" i="131"/>
  <c r="AE41" i="131" s="1"/>
  <c r="S39" i="100"/>
  <c r="AC42" i="131"/>
  <c r="AE42" i="131" s="1"/>
  <c r="S40" i="100"/>
  <c r="AC43" i="131"/>
  <c r="AE43" i="131" s="1"/>
  <c r="S41" i="100"/>
  <c r="S42" i="100"/>
  <c r="AC44" i="131"/>
  <c r="AE44" i="131" s="1"/>
  <c r="AC45" i="131"/>
  <c r="AE45" i="131" s="1"/>
  <c r="S43" i="100"/>
  <c r="S44" i="100"/>
  <c r="AC46" i="131"/>
  <c r="AE46" i="131" s="1"/>
  <c r="S45" i="100"/>
  <c r="AC47" i="131"/>
  <c r="AE47" i="131" s="1"/>
  <c r="S46" i="100"/>
  <c r="AC48" i="131"/>
  <c r="AE48" i="131" s="1"/>
  <c r="S47" i="100"/>
  <c r="AC49" i="131"/>
  <c r="AE49" i="131" s="1"/>
  <c r="S48" i="100"/>
  <c r="AC50" i="131"/>
  <c r="AE50" i="131" s="1"/>
  <c r="AC51" i="131"/>
  <c r="AE51" i="131" s="1"/>
  <c r="S49" i="100"/>
  <c r="AC52" i="131"/>
  <c r="AE52" i="131" s="1"/>
  <c r="S50" i="100"/>
  <c r="S51" i="100"/>
  <c r="AC53" i="131"/>
  <c r="AE53" i="131" s="1"/>
  <c r="AC54" i="131"/>
  <c r="AE54" i="131" s="1"/>
  <c r="S52" i="100"/>
  <c r="S53" i="100"/>
  <c r="AC55" i="131"/>
  <c r="AE55" i="131" s="1"/>
  <c r="S54" i="100"/>
  <c r="AC56" i="131"/>
  <c r="AE56" i="131" s="1"/>
  <c r="S55" i="100"/>
  <c r="AC57" i="131"/>
  <c r="AE57" i="131" s="1"/>
  <c r="S56" i="100"/>
  <c r="AC58" i="131"/>
  <c r="AE58" i="131" s="1"/>
  <c r="AC59" i="131"/>
  <c r="AE59" i="131" s="1"/>
  <c r="S57" i="100"/>
  <c r="S58" i="100"/>
  <c r="AC60" i="131"/>
  <c r="AE60" i="131" s="1"/>
  <c r="AC61" i="131"/>
  <c r="AE61" i="131" s="1"/>
  <c r="S59" i="100"/>
  <c r="AC62" i="131"/>
  <c r="AE62" i="131" s="1"/>
  <c r="S60" i="100"/>
  <c r="S61" i="100"/>
  <c r="AC63" i="131"/>
  <c r="AE63" i="131" s="1"/>
  <c r="AC64" i="131"/>
  <c r="AE64" i="131" s="1"/>
  <c r="S62" i="100"/>
  <c r="AC65" i="131"/>
  <c r="AE65" i="131" s="1"/>
  <c r="S63" i="100"/>
  <c r="S64" i="100"/>
  <c r="AC66" i="131"/>
  <c r="AE66" i="131" s="1"/>
  <c r="S65" i="100"/>
  <c r="AC67" i="131"/>
  <c r="AE67" i="131" s="1"/>
  <c r="S66" i="100"/>
  <c r="AC68" i="131"/>
  <c r="AE68" i="131" s="1"/>
  <c r="AC69" i="131"/>
  <c r="AE69" i="131" s="1"/>
  <c r="S67" i="100"/>
  <c r="AC70" i="131"/>
  <c r="AE70" i="131" s="1"/>
  <c r="S68" i="100"/>
  <c r="S69" i="100"/>
  <c r="AC71" i="131"/>
  <c r="AE71" i="131" s="1"/>
  <c r="S70" i="100"/>
  <c r="AC72" i="131"/>
  <c r="AE72" i="131" s="1"/>
  <c r="AC73" i="131"/>
  <c r="AE73" i="131" s="1"/>
  <c r="S71" i="100"/>
  <c r="S72" i="100"/>
  <c r="AC74" i="131"/>
  <c r="AE74" i="131" s="1"/>
  <c r="S73" i="100"/>
  <c r="AC75" i="131"/>
  <c r="AE75" i="131" s="1"/>
  <c r="AC76" i="131"/>
  <c r="AE76" i="131" s="1"/>
  <c r="S74" i="100"/>
  <c r="AB66" i="31"/>
  <c r="AC66" i="31"/>
  <c r="I59" i="126"/>
  <c r="I67" i="126"/>
  <c r="I71" i="126"/>
  <c r="I18" i="127"/>
  <c r="I59" i="127"/>
  <c r="I26" i="129"/>
  <c r="I30" i="129"/>
  <c r="I71" i="128"/>
  <c r="I57" i="126"/>
  <c r="I12" i="127"/>
  <c r="I24" i="127"/>
  <c r="I28" i="127"/>
  <c r="I61" i="127"/>
  <c r="I65" i="127"/>
  <c r="I49" i="131"/>
  <c r="I29" i="131"/>
  <c r="I47" i="131"/>
  <c r="I51" i="131"/>
  <c r="I75" i="131"/>
  <c r="I67" i="129"/>
  <c r="I71" i="129"/>
  <c r="I75" i="129"/>
  <c r="I24" i="129"/>
  <c r="I28" i="129"/>
  <c r="I65" i="129"/>
  <c r="I69" i="129"/>
  <c r="I73" i="129"/>
  <c r="I75" i="128"/>
  <c r="I69" i="128"/>
  <c r="I73" i="128"/>
  <c r="I8" i="128"/>
  <c r="I29" i="128"/>
  <c r="I16" i="127"/>
  <c r="I20" i="127"/>
  <c r="I57" i="127"/>
  <c r="I69" i="127"/>
  <c r="I73" i="127"/>
  <c r="I10" i="127"/>
  <c r="I14" i="127"/>
  <c r="I22" i="127"/>
  <c r="I26" i="127"/>
  <c r="I30" i="127"/>
  <c r="I63" i="127"/>
  <c r="I67" i="127"/>
  <c r="I71" i="127"/>
  <c r="I75" i="127"/>
  <c r="I55" i="126"/>
  <c r="I63" i="126"/>
  <c r="I75" i="126"/>
  <c r="I61" i="126"/>
  <c r="I65" i="126"/>
  <c r="I69" i="126"/>
  <c r="I73" i="126"/>
  <c r="I8" i="126"/>
  <c r="I16" i="131"/>
  <c r="I17" i="131"/>
  <c r="I18" i="131"/>
  <c r="I19" i="131"/>
  <c r="I20" i="131"/>
  <c r="I22" i="131"/>
  <c r="I24" i="131"/>
  <c r="I26" i="131"/>
  <c r="I10" i="131"/>
  <c r="I12" i="131"/>
  <c r="I14" i="131"/>
  <c r="I15" i="131"/>
  <c r="V8" i="131"/>
  <c r="I9" i="131"/>
  <c r="I11" i="131"/>
  <c r="I13" i="131"/>
  <c r="I21" i="131"/>
  <c r="I23" i="131"/>
  <c r="I25" i="131"/>
  <c r="I27" i="131"/>
  <c r="I28" i="131"/>
  <c r="I30" i="131"/>
  <c r="I31" i="131"/>
  <c r="I46" i="131"/>
  <c r="I48" i="131"/>
  <c r="I50" i="131"/>
  <c r="I52" i="131"/>
  <c r="I32" i="131"/>
  <c r="I33" i="131"/>
  <c r="I35" i="131"/>
  <c r="I37" i="131"/>
  <c r="I39" i="131"/>
  <c r="I41" i="131"/>
  <c r="I43" i="131"/>
  <c r="I44" i="131"/>
  <c r="I45" i="131"/>
  <c r="I34" i="131"/>
  <c r="I36" i="131"/>
  <c r="I38" i="131"/>
  <c r="I40" i="131"/>
  <c r="I42" i="131"/>
  <c r="I53" i="131"/>
  <c r="I54" i="131"/>
  <c r="I74" i="131"/>
  <c r="I76" i="131"/>
  <c r="I55" i="131"/>
  <c r="I56" i="131"/>
  <c r="I57" i="131"/>
  <c r="I58" i="131"/>
  <c r="I59" i="131"/>
  <c r="I61" i="131"/>
  <c r="I63" i="131"/>
  <c r="I65" i="131"/>
  <c r="I66" i="131"/>
  <c r="I67" i="131"/>
  <c r="I68" i="131"/>
  <c r="I69" i="131"/>
  <c r="I70" i="131"/>
  <c r="I71" i="131"/>
  <c r="I72" i="131"/>
  <c r="I73" i="131"/>
  <c r="I60" i="131"/>
  <c r="I62" i="131"/>
  <c r="I64" i="131"/>
  <c r="I10" i="129"/>
  <c r="I12" i="129"/>
  <c r="I14" i="129"/>
  <c r="I16" i="129"/>
  <c r="I18" i="129"/>
  <c r="I20" i="129"/>
  <c r="I21" i="129"/>
  <c r="I22" i="129"/>
  <c r="I23" i="129"/>
  <c r="I25" i="129"/>
  <c r="I27" i="129"/>
  <c r="I29" i="129"/>
  <c r="I9" i="129"/>
  <c r="I11" i="129"/>
  <c r="I13" i="129"/>
  <c r="I15" i="129"/>
  <c r="I17" i="129"/>
  <c r="I19" i="129"/>
  <c r="I31" i="129"/>
  <c r="I32" i="129"/>
  <c r="I34" i="129"/>
  <c r="I36" i="129"/>
  <c r="I38" i="129"/>
  <c r="I40" i="129"/>
  <c r="I42" i="129"/>
  <c r="I44" i="129"/>
  <c r="I46" i="129"/>
  <c r="I48" i="129"/>
  <c r="I50" i="129"/>
  <c r="I52" i="129"/>
  <c r="I33" i="129"/>
  <c r="I35" i="129"/>
  <c r="I37" i="129"/>
  <c r="I39" i="129"/>
  <c r="I41" i="129"/>
  <c r="I43" i="129"/>
  <c r="I45" i="129"/>
  <c r="I47" i="129"/>
  <c r="I49" i="129"/>
  <c r="I51" i="129"/>
  <c r="I53" i="129"/>
  <c r="I60" i="129"/>
  <c r="I61" i="129"/>
  <c r="I62" i="129"/>
  <c r="I63" i="129"/>
  <c r="I64" i="129"/>
  <c r="I66" i="129"/>
  <c r="I68" i="129"/>
  <c r="I70" i="129"/>
  <c r="I72" i="129"/>
  <c r="I74" i="129"/>
  <c r="I76" i="129"/>
  <c r="I54" i="129"/>
  <c r="I55" i="129"/>
  <c r="I56" i="129"/>
  <c r="I57" i="129"/>
  <c r="I58" i="129"/>
  <c r="I59" i="129"/>
  <c r="I9" i="128"/>
  <c r="I11" i="128"/>
  <c r="I13" i="128"/>
  <c r="I15" i="128"/>
  <c r="I17" i="128"/>
  <c r="I19" i="128"/>
  <c r="I21" i="128"/>
  <c r="I23" i="128"/>
  <c r="I25" i="128"/>
  <c r="I27" i="128"/>
  <c r="I10" i="128"/>
  <c r="I12" i="128"/>
  <c r="I14" i="128"/>
  <c r="I16" i="128"/>
  <c r="I18" i="128"/>
  <c r="I20" i="128"/>
  <c r="I22" i="128"/>
  <c r="I24" i="128"/>
  <c r="I26" i="128"/>
  <c r="I28" i="128"/>
  <c r="I30" i="128"/>
  <c r="I33" i="128"/>
  <c r="I35" i="128"/>
  <c r="I37" i="128"/>
  <c r="I39" i="128"/>
  <c r="I41" i="128"/>
  <c r="I43" i="128"/>
  <c r="I45" i="128"/>
  <c r="I47" i="128"/>
  <c r="I49" i="128"/>
  <c r="I51" i="128"/>
  <c r="I31" i="128"/>
  <c r="I32" i="128"/>
  <c r="I34" i="128"/>
  <c r="I36" i="128"/>
  <c r="I38" i="128"/>
  <c r="I40" i="128"/>
  <c r="I42" i="128"/>
  <c r="I44" i="128"/>
  <c r="I46" i="128"/>
  <c r="I48" i="128"/>
  <c r="I50" i="128"/>
  <c r="I53" i="128"/>
  <c r="I55" i="128"/>
  <c r="I57" i="128"/>
  <c r="I59" i="128"/>
  <c r="I60" i="128"/>
  <c r="I61" i="128"/>
  <c r="I62" i="128"/>
  <c r="I63" i="128"/>
  <c r="I64" i="128"/>
  <c r="I65" i="128"/>
  <c r="I66" i="128"/>
  <c r="I67" i="128"/>
  <c r="I68" i="128"/>
  <c r="I70" i="128"/>
  <c r="I72" i="128"/>
  <c r="I74" i="128"/>
  <c r="I76" i="128"/>
  <c r="I52" i="128"/>
  <c r="I54" i="128"/>
  <c r="I56" i="128"/>
  <c r="I58" i="128"/>
  <c r="I9" i="127"/>
  <c r="I11" i="127"/>
  <c r="I13" i="127"/>
  <c r="I15" i="127"/>
  <c r="I17" i="127"/>
  <c r="I19" i="127"/>
  <c r="I21" i="127"/>
  <c r="I23" i="127"/>
  <c r="I25" i="127"/>
  <c r="I27" i="127"/>
  <c r="I29" i="127"/>
  <c r="I31" i="127"/>
  <c r="I8" i="127"/>
  <c r="I32" i="127"/>
  <c r="I34" i="127"/>
  <c r="I36" i="127"/>
  <c r="I38" i="127"/>
  <c r="I40" i="127"/>
  <c r="I42" i="127"/>
  <c r="I44" i="127"/>
  <c r="I46" i="127"/>
  <c r="I48" i="127"/>
  <c r="I50" i="127"/>
  <c r="I52" i="127"/>
  <c r="I33" i="127"/>
  <c r="I35" i="127"/>
  <c r="I37" i="127"/>
  <c r="I39" i="127"/>
  <c r="I41" i="127"/>
  <c r="I43" i="127"/>
  <c r="I45" i="127"/>
  <c r="I47" i="127"/>
  <c r="I49" i="127"/>
  <c r="I51" i="127"/>
  <c r="I53" i="127"/>
  <c r="I56" i="127"/>
  <c r="I58" i="127"/>
  <c r="I60" i="127"/>
  <c r="I62" i="127"/>
  <c r="I64" i="127"/>
  <c r="I66" i="127"/>
  <c r="I68" i="127"/>
  <c r="I70" i="127"/>
  <c r="I72" i="127"/>
  <c r="I74" i="127"/>
  <c r="I76" i="127"/>
  <c r="I54" i="127"/>
  <c r="I55" i="127"/>
  <c r="I9" i="126"/>
  <c r="I11" i="126"/>
  <c r="I13" i="126"/>
  <c r="I15" i="126"/>
  <c r="I17" i="126"/>
  <c r="I19" i="126"/>
  <c r="I21" i="126"/>
  <c r="I23" i="126"/>
  <c r="I25" i="126"/>
  <c r="I27" i="126"/>
  <c r="I29" i="126"/>
  <c r="I31" i="126"/>
  <c r="I10" i="126"/>
  <c r="I12" i="126"/>
  <c r="I14" i="126"/>
  <c r="I16" i="126"/>
  <c r="I18" i="126"/>
  <c r="I20" i="126"/>
  <c r="I22" i="126"/>
  <c r="I24" i="126"/>
  <c r="I26" i="126"/>
  <c r="I28" i="126"/>
  <c r="I30" i="126"/>
  <c r="I32" i="126"/>
  <c r="I34" i="126"/>
  <c r="I36" i="126"/>
  <c r="I38" i="126"/>
  <c r="I40" i="126"/>
  <c r="I42" i="126"/>
  <c r="I44" i="126"/>
  <c r="I46" i="126"/>
  <c r="I48" i="126"/>
  <c r="I50" i="126"/>
  <c r="I52" i="126"/>
  <c r="I33" i="126"/>
  <c r="I35" i="126"/>
  <c r="I37" i="126"/>
  <c r="I39" i="126"/>
  <c r="I41" i="126"/>
  <c r="I43" i="126"/>
  <c r="I45" i="126"/>
  <c r="I47" i="126"/>
  <c r="I49" i="126"/>
  <c r="I51" i="126"/>
  <c r="I53" i="126"/>
  <c r="I56" i="126"/>
  <c r="I58" i="126"/>
  <c r="I60" i="126"/>
  <c r="I62" i="126"/>
  <c r="I64" i="126"/>
  <c r="I66" i="126"/>
  <c r="I68" i="126"/>
  <c r="I70" i="126"/>
  <c r="I72" i="126"/>
  <c r="I74" i="126"/>
  <c r="I76" i="126"/>
  <c r="I54" i="126"/>
  <c r="I10" i="125"/>
  <c r="I12" i="125"/>
  <c r="I14" i="125"/>
  <c r="I16" i="125"/>
  <c r="I18" i="125"/>
  <c r="I20" i="125"/>
  <c r="I22" i="125"/>
  <c r="I24" i="125"/>
  <c r="I26" i="125"/>
  <c r="I28" i="125"/>
  <c r="I9" i="125"/>
  <c r="I11" i="125"/>
  <c r="I13" i="125"/>
  <c r="I15" i="125"/>
  <c r="I17" i="125"/>
  <c r="I19" i="125"/>
  <c r="I21" i="125"/>
  <c r="I23" i="125"/>
  <c r="I25" i="125"/>
  <c r="I27" i="125"/>
  <c r="I29" i="125"/>
  <c r="V8" i="125"/>
  <c r="I30" i="125"/>
  <c r="I32" i="125"/>
  <c r="I34" i="125"/>
  <c r="I36" i="125"/>
  <c r="I38" i="125"/>
  <c r="I47" i="125"/>
  <c r="I49" i="125"/>
  <c r="I51" i="125"/>
  <c r="I53" i="125"/>
  <c r="I55" i="125"/>
  <c r="I31" i="125"/>
  <c r="I33" i="125"/>
  <c r="I35" i="125"/>
  <c r="I37" i="125"/>
  <c r="I39" i="125"/>
  <c r="I48" i="125"/>
  <c r="I50" i="125"/>
  <c r="I52" i="125"/>
  <c r="I54" i="125"/>
  <c r="I56" i="125"/>
  <c r="I40" i="125"/>
  <c r="I41" i="125"/>
  <c r="I42" i="125"/>
  <c r="I43" i="125"/>
  <c r="I44" i="125"/>
  <c r="I45" i="125"/>
  <c r="I46" i="125"/>
  <c r="I59" i="125"/>
  <c r="I61" i="125"/>
  <c r="I63" i="125"/>
  <c r="I65" i="125"/>
  <c r="I67" i="125"/>
  <c r="I69" i="125"/>
  <c r="I71" i="125"/>
  <c r="I73" i="125"/>
  <c r="I75" i="125"/>
  <c r="I57" i="125"/>
  <c r="I58" i="125"/>
  <c r="I60" i="125"/>
  <c r="I62" i="125"/>
  <c r="I64" i="125"/>
  <c r="I66" i="125"/>
  <c r="I68" i="125"/>
  <c r="I70" i="125"/>
  <c r="I72" i="125"/>
  <c r="I74" i="125"/>
  <c r="I76" i="125"/>
  <c r="AB60" i="129" l="1"/>
  <c r="AM60" i="129" s="1"/>
  <c r="R38" i="100"/>
  <c r="AB32" i="129"/>
  <c r="AM32" i="129" s="1"/>
  <c r="AC73" i="128"/>
  <c r="AE73" i="128" s="1"/>
  <c r="AC70" i="128"/>
  <c r="AE70" i="128" s="1"/>
  <c r="AC55" i="128"/>
  <c r="AE55" i="128" s="1"/>
  <c r="AC52" i="128"/>
  <c r="AE52" i="128" s="1"/>
  <c r="AC45" i="128"/>
  <c r="AE45" i="128" s="1"/>
  <c r="AC39" i="128"/>
  <c r="AE39" i="128" s="1"/>
  <c r="AC68" i="127"/>
  <c r="AE68" i="127" s="1"/>
  <c r="AC50" i="127"/>
  <c r="AE50" i="127" s="1"/>
  <c r="AC30" i="127"/>
  <c r="AE30" i="127" s="1"/>
  <c r="R70" i="100"/>
  <c r="R50" i="100"/>
  <c r="R22" i="100"/>
  <c r="AB20" i="129"/>
  <c r="AM20" i="129" s="1"/>
  <c r="AB16" i="129"/>
  <c r="AM16" i="129" s="1"/>
  <c r="AB12" i="129"/>
  <c r="AM12" i="129" s="1"/>
  <c r="AC21" i="128"/>
  <c r="AE21" i="128" s="1"/>
  <c r="AC74" i="128"/>
  <c r="AE74" i="128" s="1"/>
  <c r="AC46" i="128"/>
  <c r="AE46" i="128" s="1"/>
  <c r="AC40" i="128"/>
  <c r="AE40" i="128" s="1"/>
  <c r="AC70" i="127"/>
  <c r="AE70" i="127" s="1"/>
  <c r="R62" i="100"/>
  <c r="AB56" i="129"/>
  <c r="AM56" i="129" s="1"/>
  <c r="AC53" i="129"/>
  <c r="AE53" i="129" s="1"/>
  <c r="AB44" i="129"/>
  <c r="AM44" i="129" s="1"/>
  <c r="AB36" i="129"/>
  <c r="AM36" i="129" s="1"/>
  <c r="R26" i="100"/>
  <c r="AC25" i="129"/>
  <c r="AE25" i="129" s="1"/>
  <c r="AC23" i="129"/>
  <c r="AE23" i="129" s="1"/>
  <c r="AC21" i="129"/>
  <c r="AE21" i="129" s="1"/>
  <c r="AC19" i="129"/>
  <c r="AE19" i="129" s="1"/>
  <c r="AC17" i="129"/>
  <c r="AE17" i="129" s="1"/>
  <c r="AC15" i="129"/>
  <c r="AE15" i="129" s="1"/>
  <c r="AC13" i="129"/>
  <c r="AE13" i="129" s="1"/>
  <c r="AC70" i="129"/>
  <c r="AE70" i="129" s="1"/>
  <c r="AC54" i="129"/>
  <c r="AE54" i="129" s="1"/>
  <c r="AC50" i="129"/>
  <c r="AE50" i="129" s="1"/>
  <c r="AC20" i="129"/>
  <c r="AE20" i="129" s="1"/>
  <c r="AC74" i="129"/>
  <c r="AE74" i="129" s="1"/>
  <c r="AC22" i="129"/>
  <c r="AE22" i="129" s="1"/>
  <c r="AC18" i="129"/>
  <c r="AE18" i="129" s="1"/>
  <c r="AC76" i="129"/>
  <c r="AE76" i="129" s="1"/>
  <c r="AC72" i="129"/>
  <c r="AE72" i="129" s="1"/>
  <c r="AC46" i="129"/>
  <c r="AE46" i="129" s="1"/>
  <c r="AC40" i="129"/>
  <c r="AE40" i="129" s="1"/>
  <c r="AC34" i="129"/>
  <c r="AE34" i="129" s="1"/>
  <c r="AC14" i="129"/>
  <c r="AE14" i="129" s="1"/>
  <c r="AC29" i="127"/>
  <c r="AE29" i="127" s="1"/>
  <c r="AC20" i="128"/>
  <c r="AE20" i="128" s="1"/>
  <c r="AC9" i="128"/>
  <c r="AE9" i="128" s="1"/>
  <c r="AC56" i="127"/>
  <c r="AE56" i="127" s="1"/>
  <c r="AC42" i="127"/>
  <c r="AE42" i="127" s="1"/>
  <c r="AC40" i="127"/>
  <c r="AE40" i="127" s="1"/>
  <c r="AC36" i="127"/>
  <c r="AE36" i="127" s="1"/>
  <c r="AC32" i="127"/>
  <c r="AE32" i="127" s="1"/>
  <c r="AC26" i="127"/>
  <c r="AE26" i="127" s="1"/>
  <c r="AC24" i="127"/>
  <c r="AE24" i="127" s="1"/>
  <c r="AC30" i="129"/>
  <c r="AE30" i="129" s="1"/>
  <c r="AC28" i="128"/>
  <c r="AE28" i="128" s="1"/>
  <c r="AC26" i="128"/>
  <c r="AE26" i="128" s="1"/>
  <c r="AC23" i="128"/>
  <c r="AE23" i="128" s="1"/>
  <c r="AD66" i="31"/>
  <c r="AE66" i="31" s="1"/>
  <c r="AH66" i="31" s="1"/>
  <c r="AC63" i="128"/>
  <c r="AE63" i="128" s="1"/>
  <c r="AC57" i="128"/>
  <c r="AE57" i="128" s="1"/>
  <c r="AC51" i="128"/>
  <c r="AE51" i="128" s="1"/>
  <c r="AC35" i="128"/>
  <c r="AE35" i="128" s="1"/>
  <c r="AC34" i="128"/>
  <c r="AE34" i="128" s="1"/>
  <c r="AC32" i="128"/>
  <c r="AE32" i="128" s="1"/>
  <c r="AC31" i="128"/>
  <c r="AE31" i="128" s="1"/>
  <c r="AC29" i="128"/>
  <c r="AE29" i="128" s="1"/>
  <c r="AC16" i="127"/>
  <c r="AE16" i="127" s="1"/>
  <c r="AC69" i="129"/>
  <c r="AE69" i="129" s="1"/>
  <c r="AC68" i="129"/>
  <c r="AE68" i="129" s="1"/>
  <c r="AC58" i="129"/>
  <c r="AE58" i="129" s="1"/>
  <c r="AC57" i="129"/>
  <c r="AE57" i="129" s="1"/>
  <c r="AC56" i="129"/>
  <c r="AE56" i="129" s="1"/>
  <c r="AC42" i="129"/>
  <c r="AE42" i="129" s="1"/>
  <c r="AC35" i="129"/>
  <c r="AE35" i="129" s="1"/>
  <c r="AC69" i="127"/>
  <c r="AE69" i="127" s="1"/>
  <c r="AC61" i="127"/>
  <c r="AE61" i="127" s="1"/>
  <c r="AC59" i="127"/>
  <c r="AE59" i="127" s="1"/>
  <c r="AC71" i="128"/>
  <c r="AE71" i="128" s="1"/>
  <c r="AC67" i="128"/>
  <c r="AE67" i="128" s="1"/>
  <c r="AC66" i="128"/>
  <c r="AE66" i="128" s="1"/>
  <c r="AC65" i="128"/>
  <c r="AE65" i="128" s="1"/>
  <c r="AC61" i="128"/>
  <c r="AE61" i="128" s="1"/>
  <c r="AC60" i="128"/>
  <c r="AE60" i="128" s="1"/>
  <c r="AC47" i="128"/>
  <c r="AE47" i="128" s="1"/>
  <c r="AC42" i="128"/>
  <c r="AE42" i="128" s="1"/>
  <c r="AC41" i="128"/>
  <c r="AE41" i="128" s="1"/>
  <c r="AC37" i="128"/>
  <c r="AE37" i="128" s="1"/>
  <c r="AC25" i="128"/>
  <c r="AE25" i="128" s="1"/>
  <c r="AC16" i="128"/>
  <c r="AE16" i="128" s="1"/>
  <c r="AC14" i="128"/>
  <c r="AE14" i="128" s="1"/>
  <c r="AC72" i="127"/>
  <c r="AE72" i="127" s="1"/>
  <c r="AC64" i="127"/>
  <c r="AE64" i="127" s="1"/>
  <c r="AC62" i="127"/>
  <c r="AE62" i="127" s="1"/>
  <c r="AC60" i="127"/>
  <c r="AE60" i="127" s="1"/>
  <c r="AC52" i="127"/>
  <c r="AE52" i="127" s="1"/>
  <c r="AC48" i="127"/>
  <c r="AE48" i="127" s="1"/>
  <c r="AC20" i="127"/>
  <c r="AE20" i="127" s="1"/>
  <c r="AC12" i="127"/>
  <c r="AE12" i="127" s="1"/>
  <c r="AC73" i="129"/>
  <c r="AE73" i="129" s="1"/>
  <c r="AC66" i="129"/>
  <c r="AE66" i="129" s="1"/>
  <c r="AC62" i="129"/>
  <c r="AE62" i="129" s="1"/>
  <c r="AC61" i="129"/>
  <c r="AE61" i="129" s="1"/>
  <c r="AC60" i="129"/>
  <c r="AE60" i="129" s="1"/>
  <c r="AC49" i="129"/>
  <c r="AE49" i="129" s="1"/>
  <c r="AC48" i="129"/>
  <c r="AE48" i="129" s="1"/>
  <c r="AC32" i="129"/>
  <c r="AE32" i="129" s="1"/>
  <c r="AC26" i="129"/>
  <c r="AE26" i="129" s="1"/>
  <c r="AC24" i="129"/>
  <c r="AE24" i="129" s="1"/>
  <c r="AC16" i="129"/>
  <c r="AE16" i="129" s="1"/>
  <c r="AC33" i="128"/>
  <c r="AE33" i="128" s="1"/>
  <c r="AC15" i="128"/>
  <c r="AE15" i="128" s="1"/>
  <c r="AC13" i="128"/>
  <c r="AE13" i="128" s="1"/>
  <c r="AC11" i="128"/>
  <c r="AE11" i="128" s="1"/>
  <c r="AC10" i="128"/>
  <c r="AE10" i="128" s="1"/>
  <c r="AC76" i="127"/>
  <c r="AE76" i="127" s="1"/>
  <c r="AC75" i="127"/>
  <c r="AE75" i="127" s="1"/>
  <c r="AC73" i="127"/>
  <c r="AE73" i="127" s="1"/>
  <c r="AC53" i="127"/>
  <c r="AE53" i="127" s="1"/>
  <c r="AC47" i="127"/>
  <c r="AE47" i="127" s="1"/>
  <c r="AC45" i="127"/>
  <c r="AE45" i="127" s="1"/>
  <c r="AC43" i="127"/>
  <c r="AE43" i="127" s="1"/>
  <c r="AC41" i="127"/>
  <c r="AE41" i="127" s="1"/>
  <c r="AC39" i="127"/>
  <c r="AE39" i="127" s="1"/>
  <c r="AC37" i="127"/>
  <c r="AE37" i="127" s="1"/>
  <c r="AC35" i="127"/>
  <c r="AE35" i="127" s="1"/>
  <c r="AC33" i="127"/>
  <c r="AE33" i="127" s="1"/>
  <c r="AC25" i="127"/>
  <c r="AE25" i="127" s="1"/>
  <c r="AC17" i="127"/>
  <c r="AE17" i="127" s="1"/>
  <c r="AC15" i="127"/>
  <c r="AE15" i="127" s="1"/>
  <c r="AC13" i="127"/>
  <c r="AE13" i="127" s="1"/>
  <c r="V8" i="129"/>
  <c r="V77" i="129" s="1"/>
  <c r="W8" i="125"/>
  <c r="V77" i="125"/>
  <c r="I77" i="126"/>
  <c r="AC76" i="128"/>
  <c r="AE76" i="128" s="1"/>
  <c r="AC69" i="128"/>
  <c r="AE69" i="128" s="1"/>
  <c r="AC68" i="128"/>
  <c r="AE68" i="128" s="1"/>
  <c r="AC64" i="128"/>
  <c r="AE64" i="128" s="1"/>
  <c r="AC62" i="128"/>
  <c r="AE62" i="128" s="1"/>
  <c r="AC58" i="128"/>
  <c r="AE58" i="128" s="1"/>
  <c r="AC56" i="128"/>
  <c r="AE56" i="128" s="1"/>
  <c r="AC53" i="128"/>
  <c r="AE53" i="128" s="1"/>
  <c r="AC50" i="128"/>
  <c r="AE50" i="128" s="1"/>
  <c r="AC49" i="128"/>
  <c r="AE49" i="128" s="1"/>
  <c r="AC48" i="128"/>
  <c r="AE48" i="128" s="1"/>
  <c r="AC36" i="128"/>
  <c r="AE36" i="128" s="1"/>
  <c r="AC27" i="128"/>
  <c r="AE27" i="128" s="1"/>
  <c r="AC24" i="128"/>
  <c r="AE24" i="128" s="1"/>
  <c r="AC18" i="128"/>
  <c r="AE18" i="128" s="1"/>
  <c r="AC12" i="128"/>
  <c r="AE12" i="128" s="1"/>
  <c r="AC74" i="127"/>
  <c r="AE74" i="127" s="1"/>
  <c r="AC58" i="127"/>
  <c r="AE58" i="127" s="1"/>
  <c r="AC54" i="127"/>
  <c r="AE54" i="127" s="1"/>
  <c r="AC46" i="127"/>
  <c r="AE46" i="127" s="1"/>
  <c r="AC22" i="127"/>
  <c r="AE22" i="127" s="1"/>
  <c r="AC18" i="127"/>
  <c r="AE18" i="127" s="1"/>
  <c r="AC14" i="127"/>
  <c r="AE14" i="127" s="1"/>
  <c r="AC10" i="127"/>
  <c r="AE10" i="127" s="1"/>
  <c r="W77" i="127"/>
  <c r="Z8" i="127"/>
  <c r="W77" i="126"/>
  <c r="Z8" i="126"/>
  <c r="AC75" i="129"/>
  <c r="AE75" i="129" s="1"/>
  <c r="AC71" i="129"/>
  <c r="AE71" i="129" s="1"/>
  <c r="AC67" i="129"/>
  <c r="AE67" i="129" s="1"/>
  <c r="AC64" i="129"/>
  <c r="AE64" i="129" s="1"/>
  <c r="AC63" i="129"/>
  <c r="AE63" i="129" s="1"/>
  <c r="AC59" i="129"/>
  <c r="AE59" i="129" s="1"/>
  <c r="AC55" i="129"/>
  <c r="AE55" i="129" s="1"/>
  <c r="AC52" i="129"/>
  <c r="AE52" i="129" s="1"/>
  <c r="AC51" i="129"/>
  <c r="AE51" i="129" s="1"/>
  <c r="AC47" i="129"/>
  <c r="AE47" i="129" s="1"/>
  <c r="AC44" i="129"/>
  <c r="AE44" i="129" s="1"/>
  <c r="AC43" i="129"/>
  <c r="AE43" i="129" s="1"/>
  <c r="AC41" i="129"/>
  <c r="AE41" i="129" s="1"/>
  <c r="AC39" i="129"/>
  <c r="AE39" i="129" s="1"/>
  <c r="AC38" i="129"/>
  <c r="AE38" i="129" s="1"/>
  <c r="AC37" i="129"/>
  <c r="AE37" i="129" s="1"/>
  <c r="AC33" i="129"/>
  <c r="AE33" i="129" s="1"/>
  <c r="AC31" i="129"/>
  <c r="AE31" i="129" s="1"/>
  <c r="AC29" i="129"/>
  <c r="AE29" i="129" s="1"/>
  <c r="AC28" i="129"/>
  <c r="AE28" i="129" s="1"/>
  <c r="AC27" i="129"/>
  <c r="AE27" i="129" s="1"/>
  <c r="AC12" i="129"/>
  <c r="AE12" i="129" s="1"/>
  <c r="AC11" i="129"/>
  <c r="AE11" i="129" s="1"/>
  <c r="AC10" i="129"/>
  <c r="AE10" i="129" s="1"/>
  <c r="AC9" i="129"/>
  <c r="AE9" i="129" s="1"/>
  <c r="AC30" i="128"/>
  <c r="AE30" i="128" s="1"/>
  <c r="AC17" i="128"/>
  <c r="AE17" i="128" s="1"/>
  <c r="W77" i="128"/>
  <c r="Z8" i="128"/>
  <c r="AC71" i="127"/>
  <c r="AE71" i="127" s="1"/>
  <c r="AC67" i="127"/>
  <c r="AE67" i="127" s="1"/>
  <c r="AC63" i="127"/>
  <c r="AE63" i="127" s="1"/>
  <c r="AC55" i="127"/>
  <c r="AE55" i="127" s="1"/>
  <c r="AC51" i="127"/>
  <c r="AE51" i="127" s="1"/>
  <c r="AC49" i="127"/>
  <c r="AE49" i="127" s="1"/>
  <c r="AC31" i="127"/>
  <c r="AE31" i="127" s="1"/>
  <c r="AC27" i="127"/>
  <c r="AE27" i="127" s="1"/>
  <c r="AC21" i="127"/>
  <c r="AE21" i="127" s="1"/>
  <c r="AC19" i="127"/>
  <c r="AE19" i="127" s="1"/>
  <c r="AC9" i="127"/>
  <c r="AE9" i="127" s="1"/>
  <c r="I77" i="127"/>
  <c r="W8" i="129"/>
  <c r="W8" i="131"/>
  <c r="V77" i="131"/>
  <c r="I77" i="128"/>
  <c r="I8" i="131"/>
  <c r="I8" i="129"/>
  <c r="I8" i="125"/>
  <c r="AC36" i="129" l="1"/>
  <c r="AE36" i="129" s="1"/>
  <c r="I77" i="129"/>
  <c r="I77" i="131"/>
  <c r="W77" i="129"/>
  <c r="Z8" i="129"/>
  <c r="Z77" i="126"/>
  <c r="AA8" i="126"/>
  <c r="AB8" i="126" s="1"/>
  <c r="AA8" i="127"/>
  <c r="Z77" i="127"/>
  <c r="I77" i="125"/>
  <c r="Z8" i="131"/>
  <c r="W77" i="131"/>
  <c r="Z77" i="128"/>
  <c r="AA8" i="128"/>
  <c r="W77" i="125"/>
  <c r="Z8" i="125"/>
  <c r="AM8" i="126" l="1"/>
  <c r="AM77" i="126" s="1"/>
  <c r="AB77" i="126"/>
  <c r="Q43" i="129"/>
  <c r="Q76" i="129"/>
  <c r="Q74" i="129"/>
  <c r="Q72" i="129"/>
  <c r="Q70" i="129"/>
  <c r="Q68" i="129"/>
  <c r="Q66" i="129"/>
  <c r="Q64" i="129"/>
  <c r="Q62" i="129"/>
  <c r="Q60" i="129"/>
  <c r="Q58" i="129"/>
  <c r="Q56" i="129"/>
  <c r="Q54" i="129"/>
  <c r="Q52" i="129"/>
  <c r="Q50" i="129"/>
  <c r="Q48" i="129"/>
  <c r="Q46" i="129"/>
  <c r="Q44" i="129"/>
  <c r="Q42" i="129"/>
  <c r="Q40" i="129"/>
  <c r="Q38" i="129"/>
  <c r="Q36" i="129"/>
  <c r="Q34" i="129"/>
  <c r="Q32" i="129"/>
  <c r="Q30" i="129"/>
  <c r="Q28" i="129"/>
  <c r="Q26" i="129"/>
  <c r="Q24" i="129"/>
  <c r="Q22" i="129"/>
  <c r="Q20" i="129"/>
  <c r="Q18" i="129"/>
  <c r="Q14" i="129"/>
  <c r="Q12" i="129"/>
  <c r="Q10" i="129"/>
  <c r="Z77" i="125"/>
  <c r="AA8" i="125"/>
  <c r="AB8" i="125" s="1"/>
  <c r="Q6" i="100"/>
  <c r="Q75" i="100" s="1"/>
  <c r="AB8" i="128"/>
  <c r="AC8" i="128" s="1"/>
  <c r="AA77" i="128"/>
  <c r="O6" i="100"/>
  <c r="O75" i="100" s="1"/>
  <c r="AC8" i="126"/>
  <c r="AA77" i="126"/>
  <c r="Z77" i="129"/>
  <c r="AA8" i="129"/>
  <c r="AA8" i="131"/>
  <c r="AB8" i="131" s="1"/>
  <c r="Z77" i="131"/>
  <c r="AA77" i="127"/>
  <c r="AB8" i="127"/>
  <c r="P6" i="100"/>
  <c r="P75" i="100" s="1"/>
  <c r="AB77" i="125" l="1"/>
  <c r="AM8" i="125"/>
  <c r="AM77" i="125" s="1"/>
  <c r="AM8" i="131"/>
  <c r="AM77" i="131" s="1"/>
  <c r="AB77" i="131"/>
  <c r="Q9" i="129"/>
  <c r="Q13" i="129"/>
  <c r="Q21" i="129"/>
  <c r="Q29" i="129"/>
  <c r="Q41" i="129"/>
  <c r="Q49" i="129"/>
  <c r="Q61" i="129"/>
  <c r="Q69" i="129"/>
  <c r="Q11" i="129"/>
  <c r="Q15" i="129"/>
  <c r="Q19" i="129"/>
  <c r="Q23" i="129"/>
  <c r="Q27" i="129"/>
  <c r="Q31" i="129"/>
  <c r="Q35" i="129"/>
  <c r="Q39" i="129"/>
  <c r="Q45" i="129"/>
  <c r="Q47" i="129"/>
  <c r="Q51" i="129"/>
  <c r="Q55" i="129"/>
  <c r="Q59" i="129"/>
  <c r="Q63" i="129"/>
  <c r="Q67" i="129"/>
  <c r="Q71" i="129"/>
  <c r="Q75" i="129"/>
  <c r="Q16" i="129"/>
  <c r="Q17" i="129"/>
  <c r="Q25" i="129"/>
  <c r="Q33" i="129"/>
  <c r="Q37" i="129"/>
  <c r="Q53" i="129"/>
  <c r="Q57" i="129"/>
  <c r="Q65" i="129"/>
  <c r="Q73" i="129"/>
  <c r="AC77" i="128"/>
  <c r="AE8" i="128"/>
  <c r="AB77" i="127"/>
  <c r="AM8" i="127"/>
  <c r="AC8" i="127"/>
  <c r="AA77" i="131"/>
  <c r="AC8" i="131"/>
  <c r="S6" i="100"/>
  <c r="S75" i="100" s="1"/>
  <c r="AC77" i="126"/>
  <c r="AE8" i="126"/>
  <c r="N6" i="100"/>
  <c r="N75" i="100" s="1"/>
  <c r="AC8" i="125"/>
  <c r="AA77" i="125"/>
  <c r="R6" i="100"/>
  <c r="R75" i="100" s="1"/>
  <c r="AB8" i="129"/>
  <c r="AA77" i="129"/>
  <c r="AM8" i="128"/>
  <c r="AB77" i="128"/>
  <c r="AC77" i="125" l="1"/>
  <c r="AE8" i="125"/>
  <c r="AE77" i="126"/>
  <c r="AM77" i="127"/>
  <c r="AE77" i="128"/>
  <c r="AM77" i="128"/>
  <c r="AC8" i="129"/>
  <c r="AB77" i="129"/>
  <c r="AM8" i="129"/>
  <c r="AC77" i="131"/>
  <c r="AE8" i="131"/>
  <c r="AE8" i="127"/>
  <c r="AC77" i="127"/>
  <c r="AE77" i="127" l="1"/>
  <c r="AE77" i="125"/>
  <c r="AE77" i="131"/>
  <c r="AM77" i="129"/>
  <c r="AC77" i="129"/>
  <c r="AE8" i="129"/>
  <c r="AE77" i="129" l="1"/>
  <c r="Q8" i="129" l="1"/>
  <c r="Q77" i="129" l="1"/>
  <c r="W6" i="80"/>
  <c r="W14" i="80"/>
  <c r="X14" i="80" s="1"/>
  <c r="AA14" i="80" s="1"/>
  <c r="AB14" i="80" s="1"/>
  <c r="AC14" i="80" s="1"/>
  <c r="AN14" i="80" s="1"/>
  <c r="W15" i="80"/>
  <c r="X15" i="80" s="1"/>
  <c r="AA15" i="80" s="1"/>
  <c r="AB15" i="80" s="1"/>
  <c r="AC15" i="80" s="1"/>
  <c r="AN15" i="80" s="1"/>
  <c r="W18" i="80"/>
  <c r="X18" i="80" s="1"/>
  <c r="AA18" i="80" s="1"/>
  <c r="AB18" i="80" s="1"/>
  <c r="AC18" i="80" s="1"/>
  <c r="AN18" i="80" s="1"/>
  <c r="W22" i="80"/>
  <c r="X22" i="80" s="1"/>
  <c r="AA22" i="80" s="1"/>
  <c r="AB22" i="80" s="1"/>
  <c r="AC22" i="80" s="1"/>
  <c r="AN22" i="80" s="1"/>
  <c r="W34" i="80"/>
  <c r="X34" i="80" s="1"/>
  <c r="AA34" i="80" s="1"/>
  <c r="AB34" i="80" s="1"/>
  <c r="AC34" i="80" s="1"/>
  <c r="AN34" i="80" s="1"/>
  <c r="W38" i="80"/>
  <c r="X38" i="80" s="1"/>
  <c r="AA38" i="80" s="1"/>
  <c r="AB38" i="80" s="1"/>
  <c r="AC38" i="80" s="1"/>
  <c r="AN38" i="80" s="1"/>
  <c r="W42" i="80"/>
  <c r="X42" i="80" s="1"/>
  <c r="AA42" i="80" s="1"/>
  <c r="AB42" i="80" s="1"/>
  <c r="AC42" i="80" s="1"/>
  <c r="AN42" i="80" s="1"/>
  <c r="W50" i="80"/>
  <c r="X50" i="80" s="1"/>
  <c r="AA50" i="80" s="1"/>
  <c r="AB50" i="80" s="1"/>
  <c r="AC50" i="80" s="1"/>
  <c r="AN50" i="80" s="1"/>
  <c r="W54" i="80"/>
  <c r="X54" i="80" s="1"/>
  <c r="AA54" i="80" s="1"/>
  <c r="AB54" i="80" s="1"/>
  <c r="AC54" i="80" s="1"/>
  <c r="AN54" i="80" s="1"/>
  <c r="W58" i="80"/>
  <c r="X58" i="80" s="1"/>
  <c r="AA58" i="80" s="1"/>
  <c r="AB58" i="80" s="1"/>
  <c r="AC58" i="80" s="1"/>
  <c r="AN58" i="80" s="1"/>
  <c r="W66" i="80"/>
  <c r="X66" i="80" s="1"/>
  <c r="AA66" i="80" s="1"/>
  <c r="AB66" i="80" s="1"/>
  <c r="AC66" i="80" s="1"/>
  <c r="AN66" i="80" s="1"/>
  <c r="W67" i="80"/>
  <c r="X67" i="80" s="1"/>
  <c r="AA67" i="80" s="1"/>
  <c r="AB67" i="80" s="1"/>
  <c r="AC67" i="80" s="1"/>
  <c r="AN67" i="80" s="1"/>
  <c r="W69" i="80"/>
  <c r="X69" i="80" s="1"/>
  <c r="AA69" i="80" s="1"/>
  <c r="AB69" i="80" s="1"/>
  <c r="AC69" i="80" s="1"/>
  <c r="AN69" i="80" s="1"/>
  <c r="W70" i="80"/>
  <c r="X70" i="80" s="1"/>
  <c r="AA70" i="80" s="1"/>
  <c r="AB70" i="80" s="1"/>
  <c r="AC70" i="80" s="1"/>
  <c r="AN70" i="80" s="1"/>
  <c r="W74" i="80"/>
  <c r="X74" i="80" s="1"/>
  <c r="AA74" i="80" s="1"/>
  <c r="AB74" i="80" s="1"/>
  <c r="AC74" i="80" s="1"/>
  <c r="AN74" i="80" s="1"/>
  <c r="W7" i="76"/>
  <c r="X7" i="76" s="1"/>
  <c r="AA7" i="76" s="1"/>
  <c r="AB7" i="76" s="1"/>
  <c r="W15" i="76"/>
  <c r="X15" i="76" s="1"/>
  <c r="AA15" i="76" s="1"/>
  <c r="AB15" i="76" s="1"/>
  <c r="W19" i="76"/>
  <c r="X19" i="76" s="1"/>
  <c r="AA19" i="76" s="1"/>
  <c r="AB19" i="76" s="1"/>
  <c r="W23" i="76"/>
  <c r="X23" i="76" s="1"/>
  <c r="AA23" i="76" s="1"/>
  <c r="AB23" i="76" s="1"/>
  <c r="W35" i="76"/>
  <c r="X35" i="76" s="1"/>
  <c r="AA35" i="76" s="1"/>
  <c r="AB35" i="76" s="1"/>
  <c r="W39" i="76"/>
  <c r="X39" i="76" s="1"/>
  <c r="AA39" i="76" s="1"/>
  <c r="AB39" i="76" s="1"/>
  <c r="W43" i="76"/>
  <c r="X43" i="76" s="1"/>
  <c r="AA43" i="76" s="1"/>
  <c r="AB43" i="76" s="1"/>
  <c r="W55" i="76"/>
  <c r="X55" i="76" s="1"/>
  <c r="AA55" i="76" s="1"/>
  <c r="AB55" i="76" s="1"/>
  <c r="W59" i="76"/>
  <c r="X59" i="76" s="1"/>
  <c r="AA59" i="76" s="1"/>
  <c r="AB59" i="76" s="1"/>
  <c r="W67" i="76"/>
  <c r="X67" i="76" s="1"/>
  <c r="AA67" i="76" s="1"/>
  <c r="AB67" i="76" s="1"/>
  <c r="V8" i="120"/>
  <c r="V9" i="120"/>
  <c r="W9" i="120" s="1"/>
  <c r="Z9" i="120" s="1"/>
  <c r="AA9" i="120" s="1"/>
  <c r="AB9" i="120" s="1"/>
  <c r="AM9" i="120" s="1"/>
  <c r="V10" i="120"/>
  <c r="W10" i="120" s="1"/>
  <c r="Z10" i="120" s="1"/>
  <c r="AA10" i="120" s="1"/>
  <c r="AB10" i="120" s="1"/>
  <c r="AM10" i="120" s="1"/>
  <c r="V11" i="120"/>
  <c r="W11" i="120" s="1"/>
  <c r="Z11" i="120" s="1"/>
  <c r="AA11" i="120" s="1"/>
  <c r="AB11" i="120" s="1"/>
  <c r="AM11" i="120" s="1"/>
  <c r="V12" i="120"/>
  <c r="W12" i="120" s="1"/>
  <c r="Z12" i="120" s="1"/>
  <c r="AA12" i="120" s="1"/>
  <c r="AB12" i="120" s="1"/>
  <c r="AM12" i="120" s="1"/>
  <c r="V13" i="120"/>
  <c r="W13" i="120" s="1"/>
  <c r="Z13" i="120" s="1"/>
  <c r="AA13" i="120" s="1"/>
  <c r="AB13" i="120" s="1"/>
  <c r="AM13" i="120" s="1"/>
  <c r="V14" i="120"/>
  <c r="W14" i="120" s="1"/>
  <c r="Z14" i="120" s="1"/>
  <c r="AA14" i="120" s="1"/>
  <c r="AB14" i="120" s="1"/>
  <c r="AM14" i="120" s="1"/>
  <c r="V15" i="120"/>
  <c r="W15" i="120" s="1"/>
  <c r="Z15" i="120" s="1"/>
  <c r="AA15" i="120" s="1"/>
  <c r="AB15" i="120" s="1"/>
  <c r="AM15" i="120" s="1"/>
  <c r="V16" i="120"/>
  <c r="W16" i="120" s="1"/>
  <c r="Z16" i="120" s="1"/>
  <c r="AA16" i="120" s="1"/>
  <c r="AB16" i="120" s="1"/>
  <c r="AM16" i="120" s="1"/>
  <c r="V17" i="120"/>
  <c r="W17" i="120" s="1"/>
  <c r="Z17" i="120" s="1"/>
  <c r="AA17" i="120" s="1"/>
  <c r="AB17" i="120" s="1"/>
  <c r="AM17" i="120" s="1"/>
  <c r="V18" i="120"/>
  <c r="W18" i="120" s="1"/>
  <c r="Z18" i="120" s="1"/>
  <c r="AA18" i="120" s="1"/>
  <c r="AB18" i="120" s="1"/>
  <c r="AM18" i="120" s="1"/>
  <c r="V19" i="120"/>
  <c r="W19" i="120" s="1"/>
  <c r="Z19" i="120" s="1"/>
  <c r="AA19" i="120" s="1"/>
  <c r="AB19" i="120" s="1"/>
  <c r="AM19" i="120" s="1"/>
  <c r="V20" i="120"/>
  <c r="W20" i="120" s="1"/>
  <c r="Z20" i="120" s="1"/>
  <c r="AA20" i="120" s="1"/>
  <c r="AB20" i="120" s="1"/>
  <c r="AM20" i="120" s="1"/>
  <c r="V21" i="120"/>
  <c r="W21" i="120" s="1"/>
  <c r="Z21" i="120" s="1"/>
  <c r="AA21" i="120" s="1"/>
  <c r="AB21" i="120" s="1"/>
  <c r="AM21" i="120" s="1"/>
  <c r="V22" i="120"/>
  <c r="W22" i="120" s="1"/>
  <c r="Z22" i="120" s="1"/>
  <c r="AA22" i="120" s="1"/>
  <c r="AB22" i="120" s="1"/>
  <c r="AM22" i="120" s="1"/>
  <c r="V23" i="120"/>
  <c r="W23" i="120" s="1"/>
  <c r="Z23" i="120" s="1"/>
  <c r="AA23" i="120" s="1"/>
  <c r="AB23" i="120" s="1"/>
  <c r="AM23" i="120" s="1"/>
  <c r="V24" i="120"/>
  <c r="W24" i="120" s="1"/>
  <c r="Z24" i="120" s="1"/>
  <c r="AA24" i="120" s="1"/>
  <c r="AB24" i="120" s="1"/>
  <c r="AM24" i="120" s="1"/>
  <c r="V25" i="120"/>
  <c r="W25" i="120" s="1"/>
  <c r="Z25" i="120" s="1"/>
  <c r="AA25" i="120" s="1"/>
  <c r="AB25" i="120" s="1"/>
  <c r="AM25" i="120" s="1"/>
  <c r="V26" i="120"/>
  <c r="W26" i="120" s="1"/>
  <c r="Z26" i="120" s="1"/>
  <c r="AA26" i="120" s="1"/>
  <c r="AB26" i="120" s="1"/>
  <c r="AM26" i="120" s="1"/>
  <c r="V27" i="120"/>
  <c r="W27" i="120" s="1"/>
  <c r="Z27" i="120" s="1"/>
  <c r="AA27" i="120" s="1"/>
  <c r="AB27" i="120" s="1"/>
  <c r="AM27" i="120" s="1"/>
  <c r="V28" i="120"/>
  <c r="W28" i="120" s="1"/>
  <c r="Z28" i="120" s="1"/>
  <c r="AA28" i="120" s="1"/>
  <c r="AB28" i="120" s="1"/>
  <c r="AM28" i="120" s="1"/>
  <c r="V29" i="120"/>
  <c r="W29" i="120" s="1"/>
  <c r="Z29" i="120" s="1"/>
  <c r="AA29" i="120" s="1"/>
  <c r="AB29" i="120" s="1"/>
  <c r="AM29" i="120" s="1"/>
  <c r="V30" i="120"/>
  <c r="W30" i="120" s="1"/>
  <c r="Z30" i="120" s="1"/>
  <c r="AA30" i="120" s="1"/>
  <c r="AB30" i="120" s="1"/>
  <c r="AM30" i="120" s="1"/>
  <c r="V31" i="120"/>
  <c r="W31" i="120" s="1"/>
  <c r="Z31" i="120" s="1"/>
  <c r="AA31" i="120" s="1"/>
  <c r="AB31" i="120" s="1"/>
  <c r="AM31" i="120" s="1"/>
  <c r="V32" i="120"/>
  <c r="W32" i="120" s="1"/>
  <c r="Z32" i="120" s="1"/>
  <c r="AA32" i="120" s="1"/>
  <c r="AB32" i="120" s="1"/>
  <c r="AM32" i="120" s="1"/>
  <c r="V33" i="120"/>
  <c r="W33" i="120" s="1"/>
  <c r="Z33" i="120" s="1"/>
  <c r="AA33" i="120" s="1"/>
  <c r="AB33" i="120" s="1"/>
  <c r="AM33" i="120" s="1"/>
  <c r="V34" i="120"/>
  <c r="W34" i="120" s="1"/>
  <c r="Z34" i="120" s="1"/>
  <c r="AA34" i="120" s="1"/>
  <c r="AB34" i="120" s="1"/>
  <c r="AM34" i="120" s="1"/>
  <c r="V35" i="120"/>
  <c r="W35" i="120" s="1"/>
  <c r="Z35" i="120" s="1"/>
  <c r="AA35" i="120" s="1"/>
  <c r="AB35" i="120" s="1"/>
  <c r="AM35" i="120" s="1"/>
  <c r="V36" i="120"/>
  <c r="W36" i="120" s="1"/>
  <c r="Z36" i="120" s="1"/>
  <c r="AA36" i="120" s="1"/>
  <c r="AB36" i="120" s="1"/>
  <c r="AM36" i="120" s="1"/>
  <c r="V37" i="120"/>
  <c r="W37" i="120" s="1"/>
  <c r="Z37" i="120" s="1"/>
  <c r="AA37" i="120" s="1"/>
  <c r="AB37" i="120" s="1"/>
  <c r="AM37" i="120" s="1"/>
  <c r="V38" i="120"/>
  <c r="W38" i="120" s="1"/>
  <c r="Z38" i="120" s="1"/>
  <c r="AA38" i="120" s="1"/>
  <c r="AB38" i="120" s="1"/>
  <c r="AM38" i="120" s="1"/>
  <c r="V39" i="120"/>
  <c r="W39" i="120" s="1"/>
  <c r="Z39" i="120" s="1"/>
  <c r="AA39" i="120" s="1"/>
  <c r="AB39" i="120" s="1"/>
  <c r="AM39" i="120" s="1"/>
  <c r="V40" i="120"/>
  <c r="W40" i="120" s="1"/>
  <c r="Z40" i="120" s="1"/>
  <c r="AA40" i="120" s="1"/>
  <c r="AB40" i="120" s="1"/>
  <c r="AM40" i="120" s="1"/>
  <c r="V41" i="120"/>
  <c r="W41" i="120" s="1"/>
  <c r="Z41" i="120" s="1"/>
  <c r="AA41" i="120" s="1"/>
  <c r="AB41" i="120" s="1"/>
  <c r="AM41" i="120" s="1"/>
  <c r="V42" i="120"/>
  <c r="W42" i="120" s="1"/>
  <c r="Z42" i="120" s="1"/>
  <c r="AA42" i="120" s="1"/>
  <c r="AB42" i="120" s="1"/>
  <c r="AM42" i="120" s="1"/>
  <c r="V43" i="120"/>
  <c r="W43" i="120" s="1"/>
  <c r="Z43" i="120" s="1"/>
  <c r="AA43" i="120" s="1"/>
  <c r="AB43" i="120" s="1"/>
  <c r="AM43" i="120" s="1"/>
  <c r="V44" i="120"/>
  <c r="W44" i="120" s="1"/>
  <c r="Z44" i="120" s="1"/>
  <c r="AA44" i="120" s="1"/>
  <c r="AB44" i="120" s="1"/>
  <c r="AM44" i="120" s="1"/>
  <c r="V45" i="120"/>
  <c r="W45" i="120" s="1"/>
  <c r="Z45" i="120" s="1"/>
  <c r="AA45" i="120" s="1"/>
  <c r="AB45" i="120" s="1"/>
  <c r="AM45" i="120" s="1"/>
  <c r="V46" i="120"/>
  <c r="W46" i="120" s="1"/>
  <c r="Z46" i="120" s="1"/>
  <c r="AA46" i="120" s="1"/>
  <c r="AB46" i="120" s="1"/>
  <c r="AM46" i="120" s="1"/>
  <c r="V47" i="120"/>
  <c r="W47" i="120" s="1"/>
  <c r="Z47" i="120" s="1"/>
  <c r="AA47" i="120" s="1"/>
  <c r="AB47" i="120" s="1"/>
  <c r="AM47" i="120" s="1"/>
  <c r="V48" i="120"/>
  <c r="W48" i="120" s="1"/>
  <c r="Z48" i="120" s="1"/>
  <c r="AA48" i="120" s="1"/>
  <c r="AB48" i="120" s="1"/>
  <c r="AM48" i="120" s="1"/>
  <c r="V49" i="120"/>
  <c r="W49" i="120" s="1"/>
  <c r="Z49" i="120" s="1"/>
  <c r="AA49" i="120" s="1"/>
  <c r="AB49" i="120" s="1"/>
  <c r="AM49" i="120" s="1"/>
  <c r="V50" i="120"/>
  <c r="W50" i="120" s="1"/>
  <c r="Z50" i="120" s="1"/>
  <c r="AA50" i="120" s="1"/>
  <c r="AB50" i="120" s="1"/>
  <c r="AM50" i="120" s="1"/>
  <c r="V51" i="120"/>
  <c r="W51" i="120" s="1"/>
  <c r="Z51" i="120" s="1"/>
  <c r="AA51" i="120" s="1"/>
  <c r="AB51" i="120" s="1"/>
  <c r="AM51" i="120" s="1"/>
  <c r="V52" i="120"/>
  <c r="W52" i="120" s="1"/>
  <c r="Z52" i="120" s="1"/>
  <c r="AA52" i="120" s="1"/>
  <c r="AB52" i="120" s="1"/>
  <c r="AM52" i="120" s="1"/>
  <c r="V53" i="120"/>
  <c r="W53" i="120" s="1"/>
  <c r="Z53" i="120" s="1"/>
  <c r="AA53" i="120" s="1"/>
  <c r="AB53" i="120" s="1"/>
  <c r="AM53" i="120" s="1"/>
  <c r="V54" i="120"/>
  <c r="W54" i="120" s="1"/>
  <c r="Z54" i="120" s="1"/>
  <c r="AA54" i="120" s="1"/>
  <c r="AB54" i="120" s="1"/>
  <c r="AM54" i="120" s="1"/>
  <c r="V55" i="120"/>
  <c r="W55" i="120" s="1"/>
  <c r="Z55" i="120" s="1"/>
  <c r="AA55" i="120" s="1"/>
  <c r="AB55" i="120" s="1"/>
  <c r="AM55" i="120" s="1"/>
  <c r="V56" i="120"/>
  <c r="W56" i="120" s="1"/>
  <c r="Z56" i="120" s="1"/>
  <c r="AA56" i="120" s="1"/>
  <c r="AB56" i="120" s="1"/>
  <c r="AM56" i="120" s="1"/>
  <c r="V57" i="120"/>
  <c r="W57" i="120" s="1"/>
  <c r="Z57" i="120" s="1"/>
  <c r="AA57" i="120" s="1"/>
  <c r="AB57" i="120" s="1"/>
  <c r="AM57" i="120" s="1"/>
  <c r="V58" i="120"/>
  <c r="W58" i="120" s="1"/>
  <c r="Z58" i="120" s="1"/>
  <c r="AA58" i="120" s="1"/>
  <c r="AB58" i="120" s="1"/>
  <c r="AM58" i="120" s="1"/>
  <c r="V59" i="120"/>
  <c r="W59" i="120" s="1"/>
  <c r="Z59" i="120" s="1"/>
  <c r="AA59" i="120" s="1"/>
  <c r="AB59" i="120" s="1"/>
  <c r="AM59" i="120" s="1"/>
  <c r="V60" i="120"/>
  <c r="W60" i="120" s="1"/>
  <c r="Z60" i="120" s="1"/>
  <c r="AA60" i="120" s="1"/>
  <c r="AB60" i="120" s="1"/>
  <c r="AM60" i="120" s="1"/>
  <c r="V61" i="120"/>
  <c r="W61" i="120" s="1"/>
  <c r="Z61" i="120" s="1"/>
  <c r="AA61" i="120" s="1"/>
  <c r="AB61" i="120" s="1"/>
  <c r="AM61" i="120" s="1"/>
  <c r="V62" i="120"/>
  <c r="W62" i="120" s="1"/>
  <c r="Z62" i="120" s="1"/>
  <c r="AA62" i="120" s="1"/>
  <c r="AB62" i="120" s="1"/>
  <c r="AM62" i="120" s="1"/>
  <c r="V63" i="120"/>
  <c r="W63" i="120" s="1"/>
  <c r="Z63" i="120" s="1"/>
  <c r="AA63" i="120" s="1"/>
  <c r="AB63" i="120" s="1"/>
  <c r="AM63" i="120" s="1"/>
  <c r="V64" i="120"/>
  <c r="W64" i="120" s="1"/>
  <c r="Z64" i="120" s="1"/>
  <c r="AA64" i="120" s="1"/>
  <c r="AB64" i="120" s="1"/>
  <c r="AM64" i="120" s="1"/>
  <c r="V65" i="120"/>
  <c r="W65" i="120" s="1"/>
  <c r="Z65" i="120" s="1"/>
  <c r="AA65" i="120" s="1"/>
  <c r="AB65" i="120" s="1"/>
  <c r="AM65" i="120" s="1"/>
  <c r="V66" i="120"/>
  <c r="W66" i="120" s="1"/>
  <c r="Z66" i="120" s="1"/>
  <c r="AA66" i="120" s="1"/>
  <c r="AB66" i="120" s="1"/>
  <c r="AM66" i="120" s="1"/>
  <c r="V67" i="120"/>
  <c r="W67" i="120" s="1"/>
  <c r="Z67" i="120" s="1"/>
  <c r="AA67" i="120" s="1"/>
  <c r="AB67" i="120" s="1"/>
  <c r="AM67" i="120" s="1"/>
  <c r="V68" i="120"/>
  <c r="W68" i="120" s="1"/>
  <c r="Z68" i="120" s="1"/>
  <c r="AA68" i="120" s="1"/>
  <c r="AB68" i="120" s="1"/>
  <c r="AM68" i="120" s="1"/>
  <c r="V69" i="120"/>
  <c r="W69" i="120" s="1"/>
  <c r="Z69" i="120" s="1"/>
  <c r="AA69" i="120" s="1"/>
  <c r="AB69" i="120" s="1"/>
  <c r="AM69" i="120" s="1"/>
  <c r="V70" i="120"/>
  <c r="W70" i="120" s="1"/>
  <c r="Z70" i="120" s="1"/>
  <c r="AA70" i="120" s="1"/>
  <c r="AB70" i="120" s="1"/>
  <c r="AM70" i="120" s="1"/>
  <c r="V71" i="120"/>
  <c r="W71" i="120" s="1"/>
  <c r="Z71" i="120" s="1"/>
  <c r="AA71" i="120" s="1"/>
  <c r="AB71" i="120" s="1"/>
  <c r="AM71" i="120" s="1"/>
  <c r="V72" i="120"/>
  <c r="W72" i="120" s="1"/>
  <c r="Z72" i="120" s="1"/>
  <c r="AA72" i="120" s="1"/>
  <c r="AB72" i="120" s="1"/>
  <c r="AM72" i="120" s="1"/>
  <c r="V73" i="120"/>
  <c r="W73" i="120" s="1"/>
  <c r="Z73" i="120" s="1"/>
  <c r="AA73" i="120" s="1"/>
  <c r="AB73" i="120" s="1"/>
  <c r="AM73" i="120" s="1"/>
  <c r="V74" i="120"/>
  <c r="W74" i="120" s="1"/>
  <c r="Z74" i="120" s="1"/>
  <c r="AA74" i="120" s="1"/>
  <c r="AB74" i="120" s="1"/>
  <c r="AM74" i="120" s="1"/>
  <c r="V75" i="120"/>
  <c r="W75" i="120" s="1"/>
  <c r="Z75" i="120" s="1"/>
  <c r="AA75" i="120" s="1"/>
  <c r="AB75" i="120" s="1"/>
  <c r="AM75" i="120" s="1"/>
  <c r="V76" i="120"/>
  <c r="W76" i="120" s="1"/>
  <c r="Z76" i="120" s="1"/>
  <c r="AA76" i="120" s="1"/>
  <c r="AB76" i="120" s="1"/>
  <c r="AM76" i="120" s="1"/>
  <c r="V8" i="119"/>
  <c r="V9" i="119"/>
  <c r="W9" i="119" s="1"/>
  <c r="Z9" i="119" s="1"/>
  <c r="AA9" i="119" s="1"/>
  <c r="V10" i="119"/>
  <c r="W10" i="119" s="1"/>
  <c r="Z10" i="119" s="1"/>
  <c r="AA10" i="119" s="1"/>
  <c r="V11" i="119"/>
  <c r="W11" i="119" s="1"/>
  <c r="Z11" i="119" s="1"/>
  <c r="AA11" i="119" s="1"/>
  <c r="V12" i="119"/>
  <c r="W12" i="119" s="1"/>
  <c r="Z12" i="119" s="1"/>
  <c r="AA12" i="119" s="1"/>
  <c r="V13" i="119"/>
  <c r="W13" i="119" s="1"/>
  <c r="Z13" i="119" s="1"/>
  <c r="AA13" i="119" s="1"/>
  <c r="V14" i="119"/>
  <c r="W14" i="119" s="1"/>
  <c r="Z14" i="119" s="1"/>
  <c r="AA14" i="119" s="1"/>
  <c r="V15" i="119"/>
  <c r="W15" i="119" s="1"/>
  <c r="Z15" i="119" s="1"/>
  <c r="AA15" i="119" s="1"/>
  <c r="V16" i="119"/>
  <c r="W16" i="119" s="1"/>
  <c r="Z16" i="119" s="1"/>
  <c r="AA16" i="119" s="1"/>
  <c r="V17" i="119"/>
  <c r="W17" i="119" s="1"/>
  <c r="Z17" i="119" s="1"/>
  <c r="AA17" i="119" s="1"/>
  <c r="V18" i="119"/>
  <c r="W18" i="119" s="1"/>
  <c r="Z18" i="119" s="1"/>
  <c r="AA18" i="119" s="1"/>
  <c r="V19" i="119"/>
  <c r="W19" i="119" s="1"/>
  <c r="Z19" i="119" s="1"/>
  <c r="AA19" i="119" s="1"/>
  <c r="V20" i="119"/>
  <c r="W20" i="119" s="1"/>
  <c r="Z20" i="119" s="1"/>
  <c r="AA20" i="119" s="1"/>
  <c r="V21" i="119"/>
  <c r="W21" i="119" s="1"/>
  <c r="Z21" i="119" s="1"/>
  <c r="AA21" i="119" s="1"/>
  <c r="V22" i="119"/>
  <c r="W22" i="119" s="1"/>
  <c r="Z22" i="119" s="1"/>
  <c r="AA22" i="119" s="1"/>
  <c r="V23" i="119"/>
  <c r="W23" i="119" s="1"/>
  <c r="Z23" i="119" s="1"/>
  <c r="AA23" i="119" s="1"/>
  <c r="V24" i="119"/>
  <c r="W24" i="119" s="1"/>
  <c r="Z24" i="119" s="1"/>
  <c r="AA24" i="119" s="1"/>
  <c r="V25" i="119"/>
  <c r="W25" i="119" s="1"/>
  <c r="Z25" i="119" s="1"/>
  <c r="AA25" i="119" s="1"/>
  <c r="V26" i="119"/>
  <c r="W26" i="119" s="1"/>
  <c r="Z26" i="119" s="1"/>
  <c r="AA26" i="119" s="1"/>
  <c r="V27" i="119"/>
  <c r="W27" i="119" s="1"/>
  <c r="Z27" i="119" s="1"/>
  <c r="AA27" i="119" s="1"/>
  <c r="V28" i="119"/>
  <c r="W28" i="119" s="1"/>
  <c r="Z28" i="119" s="1"/>
  <c r="AA28" i="119" s="1"/>
  <c r="V29" i="119"/>
  <c r="W29" i="119" s="1"/>
  <c r="Z29" i="119" s="1"/>
  <c r="AA29" i="119" s="1"/>
  <c r="V30" i="119"/>
  <c r="W30" i="119" s="1"/>
  <c r="Z30" i="119" s="1"/>
  <c r="AA30" i="119" s="1"/>
  <c r="V31" i="119"/>
  <c r="W31" i="119" s="1"/>
  <c r="Z31" i="119" s="1"/>
  <c r="AA31" i="119" s="1"/>
  <c r="V32" i="119"/>
  <c r="W32" i="119" s="1"/>
  <c r="Z32" i="119" s="1"/>
  <c r="AA32" i="119" s="1"/>
  <c r="V33" i="119"/>
  <c r="W33" i="119" s="1"/>
  <c r="Z33" i="119" s="1"/>
  <c r="AA33" i="119" s="1"/>
  <c r="V34" i="119"/>
  <c r="W34" i="119" s="1"/>
  <c r="Z34" i="119" s="1"/>
  <c r="AA34" i="119" s="1"/>
  <c r="V35" i="119"/>
  <c r="W35" i="119" s="1"/>
  <c r="Z35" i="119" s="1"/>
  <c r="AA35" i="119" s="1"/>
  <c r="V36" i="119"/>
  <c r="W36" i="119" s="1"/>
  <c r="Z36" i="119" s="1"/>
  <c r="AA36" i="119" s="1"/>
  <c r="V37" i="119"/>
  <c r="W37" i="119" s="1"/>
  <c r="Z37" i="119" s="1"/>
  <c r="AA37" i="119" s="1"/>
  <c r="V38" i="119"/>
  <c r="W38" i="119" s="1"/>
  <c r="Z38" i="119" s="1"/>
  <c r="AA38" i="119" s="1"/>
  <c r="V39" i="119"/>
  <c r="W39" i="119" s="1"/>
  <c r="Z39" i="119" s="1"/>
  <c r="AA39" i="119" s="1"/>
  <c r="V40" i="119"/>
  <c r="W40" i="119" s="1"/>
  <c r="Z40" i="119" s="1"/>
  <c r="AA40" i="119" s="1"/>
  <c r="V41" i="119"/>
  <c r="W41" i="119" s="1"/>
  <c r="Z41" i="119" s="1"/>
  <c r="AA41" i="119" s="1"/>
  <c r="V42" i="119"/>
  <c r="W42" i="119" s="1"/>
  <c r="Z42" i="119" s="1"/>
  <c r="AA42" i="119" s="1"/>
  <c r="V43" i="119"/>
  <c r="W43" i="119" s="1"/>
  <c r="Z43" i="119" s="1"/>
  <c r="AA43" i="119" s="1"/>
  <c r="V44" i="119"/>
  <c r="W44" i="119" s="1"/>
  <c r="Z44" i="119" s="1"/>
  <c r="AA44" i="119" s="1"/>
  <c r="V45" i="119"/>
  <c r="W45" i="119" s="1"/>
  <c r="Z45" i="119" s="1"/>
  <c r="AA45" i="119" s="1"/>
  <c r="V46" i="119"/>
  <c r="W46" i="119" s="1"/>
  <c r="Z46" i="119" s="1"/>
  <c r="AA46" i="119" s="1"/>
  <c r="V47" i="119"/>
  <c r="W47" i="119" s="1"/>
  <c r="Z47" i="119" s="1"/>
  <c r="AA47" i="119" s="1"/>
  <c r="V48" i="119"/>
  <c r="W48" i="119" s="1"/>
  <c r="Z48" i="119" s="1"/>
  <c r="AA48" i="119" s="1"/>
  <c r="V49" i="119"/>
  <c r="W49" i="119" s="1"/>
  <c r="Z49" i="119" s="1"/>
  <c r="AA49" i="119" s="1"/>
  <c r="V50" i="119"/>
  <c r="W50" i="119" s="1"/>
  <c r="Z50" i="119" s="1"/>
  <c r="AA50" i="119" s="1"/>
  <c r="V51" i="119"/>
  <c r="W51" i="119" s="1"/>
  <c r="Z51" i="119" s="1"/>
  <c r="AA51" i="119" s="1"/>
  <c r="V52" i="119"/>
  <c r="W52" i="119" s="1"/>
  <c r="Z52" i="119" s="1"/>
  <c r="AA52" i="119" s="1"/>
  <c r="V53" i="119"/>
  <c r="W53" i="119" s="1"/>
  <c r="Z53" i="119" s="1"/>
  <c r="AA53" i="119" s="1"/>
  <c r="V54" i="119"/>
  <c r="W54" i="119" s="1"/>
  <c r="Z54" i="119" s="1"/>
  <c r="AA54" i="119" s="1"/>
  <c r="V55" i="119"/>
  <c r="W55" i="119" s="1"/>
  <c r="Z55" i="119" s="1"/>
  <c r="AA55" i="119" s="1"/>
  <c r="V56" i="119"/>
  <c r="W56" i="119" s="1"/>
  <c r="Z56" i="119" s="1"/>
  <c r="AA56" i="119" s="1"/>
  <c r="V57" i="119"/>
  <c r="W57" i="119" s="1"/>
  <c r="Z57" i="119" s="1"/>
  <c r="AA57" i="119" s="1"/>
  <c r="V58" i="119"/>
  <c r="W58" i="119" s="1"/>
  <c r="Z58" i="119" s="1"/>
  <c r="AA58" i="119" s="1"/>
  <c r="V59" i="119"/>
  <c r="W59" i="119" s="1"/>
  <c r="Z59" i="119" s="1"/>
  <c r="AA59" i="119" s="1"/>
  <c r="V60" i="119"/>
  <c r="W60" i="119" s="1"/>
  <c r="Z60" i="119" s="1"/>
  <c r="AA60" i="119" s="1"/>
  <c r="V61" i="119"/>
  <c r="W61" i="119" s="1"/>
  <c r="Z61" i="119" s="1"/>
  <c r="AA61" i="119" s="1"/>
  <c r="V62" i="119"/>
  <c r="W62" i="119" s="1"/>
  <c r="Z62" i="119" s="1"/>
  <c r="AA62" i="119" s="1"/>
  <c r="V63" i="119"/>
  <c r="W63" i="119" s="1"/>
  <c r="Z63" i="119" s="1"/>
  <c r="AA63" i="119" s="1"/>
  <c r="V64" i="119"/>
  <c r="W64" i="119" s="1"/>
  <c r="Z64" i="119" s="1"/>
  <c r="AA64" i="119" s="1"/>
  <c r="V65" i="119"/>
  <c r="W65" i="119" s="1"/>
  <c r="Z65" i="119" s="1"/>
  <c r="AA65" i="119" s="1"/>
  <c r="V66" i="119"/>
  <c r="W66" i="119" s="1"/>
  <c r="Z66" i="119" s="1"/>
  <c r="AA66" i="119" s="1"/>
  <c r="V67" i="119"/>
  <c r="W67" i="119" s="1"/>
  <c r="Z67" i="119" s="1"/>
  <c r="AA67" i="119" s="1"/>
  <c r="V68" i="119"/>
  <c r="W68" i="119" s="1"/>
  <c r="Z68" i="119" s="1"/>
  <c r="AA68" i="119" s="1"/>
  <c r="V69" i="119"/>
  <c r="W69" i="119" s="1"/>
  <c r="Z69" i="119" s="1"/>
  <c r="AA69" i="119" s="1"/>
  <c r="V70" i="119"/>
  <c r="W70" i="119" s="1"/>
  <c r="Z70" i="119" s="1"/>
  <c r="AA70" i="119" s="1"/>
  <c r="V71" i="119"/>
  <c r="W71" i="119" s="1"/>
  <c r="Z71" i="119" s="1"/>
  <c r="AA71" i="119" s="1"/>
  <c r="V72" i="119"/>
  <c r="W72" i="119" s="1"/>
  <c r="Z72" i="119" s="1"/>
  <c r="AA72" i="119" s="1"/>
  <c r="V73" i="119"/>
  <c r="W73" i="119" s="1"/>
  <c r="Z73" i="119" s="1"/>
  <c r="AA73" i="119" s="1"/>
  <c r="V74" i="119"/>
  <c r="W74" i="119" s="1"/>
  <c r="Z74" i="119" s="1"/>
  <c r="AA74" i="119" s="1"/>
  <c r="V75" i="119"/>
  <c r="W75" i="119" s="1"/>
  <c r="Z75" i="119" s="1"/>
  <c r="AA75" i="119" s="1"/>
  <c r="V76" i="119"/>
  <c r="W76" i="119" s="1"/>
  <c r="Z76" i="119" s="1"/>
  <c r="AA76" i="119" s="1"/>
  <c r="V8" i="118"/>
  <c r="V9" i="118"/>
  <c r="W9" i="118" s="1"/>
  <c r="Z9" i="118" s="1"/>
  <c r="AA9" i="118" s="1"/>
  <c r="AB9" i="118" s="1"/>
  <c r="AM9" i="118" s="1"/>
  <c r="V14" i="118"/>
  <c r="W14" i="118" s="1"/>
  <c r="Z14" i="118" s="1"/>
  <c r="AA14" i="118" s="1"/>
  <c r="AB14" i="118" s="1"/>
  <c r="AM14" i="118" s="1"/>
  <c r="V16" i="118"/>
  <c r="W16" i="118" s="1"/>
  <c r="Z16" i="118" s="1"/>
  <c r="AA16" i="118" s="1"/>
  <c r="AB16" i="118" s="1"/>
  <c r="AM16" i="118" s="1"/>
  <c r="V22" i="118"/>
  <c r="W22" i="118" s="1"/>
  <c r="Z22" i="118" s="1"/>
  <c r="AA22" i="118" s="1"/>
  <c r="AB22" i="118" s="1"/>
  <c r="AM22" i="118" s="1"/>
  <c r="V24" i="118"/>
  <c r="W24" i="118" s="1"/>
  <c r="Z24" i="118" s="1"/>
  <c r="AA24" i="118" s="1"/>
  <c r="AB24" i="118" s="1"/>
  <c r="AM24" i="118" s="1"/>
  <c r="V30" i="118"/>
  <c r="W30" i="118" s="1"/>
  <c r="Z30" i="118" s="1"/>
  <c r="AA30" i="118" s="1"/>
  <c r="AB30" i="118" s="1"/>
  <c r="AM30" i="118" s="1"/>
  <c r="V38" i="118"/>
  <c r="W38" i="118" s="1"/>
  <c r="Z38" i="118" s="1"/>
  <c r="AA38" i="118" s="1"/>
  <c r="AB38" i="118" s="1"/>
  <c r="AM38" i="118" s="1"/>
  <c r="V40" i="118"/>
  <c r="W40" i="118" s="1"/>
  <c r="Z40" i="118" s="1"/>
  <c r="AA40" i="118" s="1"/>
  <c r="AB40" i="118" s="1"/>
  <c r="AM40" i="118" s="1"/>
  <c r="V46" i="118"/>
  <c r="W46" i="118" s="1"/>
  <c r="Z46" i="118" s="1"/>
  <c r="AA46" i="118" s="1"/>
  <c r="AB46" i="118" s="1"/>
  <c r="AM46" i="118" s="1"/>
  <c r="V56" i="118"/>
  <c r="W56" i="118" s="1"/>
  <c r="Z56" i="118" s="1"/>
  <c r="AA56" i="118" s="1"/>
  <c r="AB56" i="118" s="1"/>
  <c r="AM56" i="118" s="1"/>
  <c r="V62" i="118"/>
  <c r="W62" i="118" s="1"/>
  <c r="Z62" i="118" s="1"/>
  <c r="AA62" i="118" s="1"/>
  <c r="AB62" i="118" s="1"/>
  <c r="AM62" i="118" s="1"/>
  <c r="V63" i="118"/>
  <c r="W63" i="118" s="1"/>
  <c r="Z63" i="118" s="1"/>
  <c r="AA63" i="118" s="1"/>
  <c r="AB63" i="118" s="1"/>
  <c r="AM63" i="118" s="1"/>
  <c r="X9" i="117"/>
  <c r="Y9" i="117" s="1"/>
  <c r="AB9" i="117" s="1"/>
  <c r="AC9" i="117" s="1"/>
  <c r="X10" i="117"/>
  <c r="Y10" i="117" s="1"/>
  <c r="AB10" i="117" s="1"/>
  <c r="AC10" i="117" s="1"/>
  <c r="X14" i="117"/>
  <c r="Y14" i="117" s="1"/>
  <c r="AB14" i="117" s="1"/>
  <c r="AC14" i="117" s="1"/>
  <c r="X22" i="117"/>
  <c r="Y22" i="117" s="1"/>
  <c r="AB22" i="117" s="1"/>
  <c r="AC22" i="117" s="1"/>
  <c r="X30" i="117"/>
  <c r="Y30" i="117" s="1"/>
  <c r="AB30" i="117" s="1"/>
  <c r="AC30" i="117" s="1"/>
  <c r="X32" i="117"/>
  <c r="Y32" i="117" s="1"/>
  <c r="AB32" i="117" s="1"/>
  <c r="AC32" i="117" s="1"/>
  <c r="X38" i="117"/>
  <c r="Y38" i="117" s="1"/>
  <c r="AB38" i="117" s="1"/>
  <c r="AC38" i="117" s="1"/>
  <c r="X42" i="117"/>
  <c r="Y42" i="117" s="1"/>
  <c r="AB42" i="117" s="1"/>
  <c r="AC42" i="117" s="1"/>
  <c r="X46" i="117"/>
  <c r="Y46" i="117" s="1"/>
  <c r="AB46" i="117" s="1"/>
  <c r="AC46" i="117" s="1"/>
  <c r="X54" i="117"/>
  <c r="Y54" i="117" s="1"/>
  <c r="AB54" i="117" s="1"/>
  <c r="AC54" i="117" s="1"/>
  <c r="X58" i="117"/>
  <c r="Y58" i="117" s="1"/>
  <c r="AB58" i="117" s="1"/>
  <c r="AC58" i="117" s="1"/>
  <c r="X62" i="117"/>
  <c r="Y62" i="117" s="1"/>
  <c r="AB62" i="117" s="1"/>
  <c r="AC62" i="117" s="1"/>
  <c r="X66" i="117"/>
  <c r="Y66" i="117" s="1"/>
  <c r="AB66" i="117" s="1"/>
  <c r="AC66" i="117" s="1"/>
  <c r="X74" i="117"/>
  <c r="Y74" i="117" s="1"/>
  <c r="AB74" i="117" s="1"/>
  <c r="AC74" i="117" s="1"/>
  <c r="V15" i="116"/>
  <c r="W15" i="116" s="1"/>
  <c r="V23" i="116"/>
  <c r="W23" i="116" s="1"/>
  <c r="V24" i="116"/>
  <c r="W24" i="116" s="1"/>
  <c r="V26" i="116"/>
  <c r="W26" i="116" s="1"/>
  <c r="V30" i="116"/>
  <c r="W30" i="116" s="1"/>
  <c r="V31" i="116"/>
  <c r="W31" i="116" s="1"/>
  <c r="V35" i="116"/>
  <c r="W35" i="116" s="1"/>
  <c r="V37" i="116"/>
  <c r="W37" i="116" s="1"/>
  <c r="V39" i="116"/>
  <c r="W39" i="116" s="1"/>
  <c r="V47" i="116"/>
  <c r="W47" i="116" s="1"/>
  <c r="V51" i="116"/>
  <c r="W51" i="116" s="1"/>
  <c r="Z51" i="116" s="1"/>
  <c r="AA51" i="116" s="1"/>
  <c r="V55" i="116"/>
  <c r="W55" i="116" s="1"/>
  <c r="Z55" i="116" s="1"/>
  <c r="AA55" i="116" s="1"/>
  <c r="V59" i="116"/>
  <c r="W59" i="116" s="1"/>
  <c r="Z59" i="116" s="1"/>
  <c r="AA59" i="116" s="1"/>
  <c r="V67" i="116"/>
  <c r="W67" i="116" s="1"/>
  <c r="Z67" i="116" s="1"/>
  <c r="AA67" i="116" s="1"/>
  <c r="V71" i="116"/>
  <c r="W71" i="116" s="1"/>
  <c r="Z71" i="116" s="1"/>
  <c r="AA71" i="116" s="1"/>
  <c r="V8" i="115"/>
  <c r="V10" i="115"/>
  <c r="W10" i="115" s="1"/>
  <c r="Z10" i="115" s="1"/>
  <c r="AA10" i="115" s="1"/>
  <c r="AB10" i="115" s="1"/>
  <c r="AM10" i="115" s="1"/>
  <c r="V18" i="115"/>
  <c r="W18" i="115" s="1"/>
  <c r="Z18" i="115" s="1"/>
  <c r="AA18" i="115" s="1"/>
  <c r="AB18" i="115" s="1"/>
  <c r="AM18" i="115" s="1"/>
  <c r="V22" i="115"/>
  <c r="W22" i="115" s="1"/>
  <c r="Z22" i="115" s="1"/>
  <c r="AA22" i="115" s="1"/>
  <c r="AB22" i="115" s="1"/>
  <c r="AM22" i="115" s="1"/>
  <c r="V26" i="115"/>
  <c r="W26" i="115" s="1"/>
  <c r="Z26" i="115" s="1"/>
  <c r="AA26" i="115" s="1"/>
  <c r="AB26" i="115" s="1"/>
  <c r="AM26" i="115" s="1"/>
  <c r="V27" i="115"/>
  <c r="W27" i="115" s="1"/>
  <c r="Z27" i="115" s="1"/>
  <c r="AA27" i="115" s="1"/>
  <c r="AB27" i="115" s="1"/>
  <c r="AM27" i="115" s="1"/>
  <c r="V34" i="115"/>
  <c r="W34" i="115" s="1"/>
  <c r="Z34" i="115" s="1"/>
  <c r="AA34" i="115" s="1"/>
  <c r="AB34" i="115" s="1"/>
  <c r="AM34" i="115" s="1"/>
  <c r="V38" i="115"/>
  <c r="W38" i="115" s="1"/>
  <c r="Z38" i="115" s="1"/>
  <c r="AA38" i="115" s="1"/>
  <c r="AB38" i="115" s="1"/>
  <c r="AM38" i="115" s="1"/>
  <c r="V42" i="115"/>
  <c r="W42" i="115" s="1"/>
  <c r="Z42" i="115" s="1"/>
  <c r="AA42" i="115" s="1"/>
  <c r="AB42" i="115" s="1"/>
  <c r="AM42" i="115" s="1"/>
  <c r="V54" i="115"/>
  <c r="W54" i="115" s="1"/>
  <c r="Z54" i="115" s="1"/>
  <c r="AA54" i="115" s="1"/>
  <c r="AB54" i="115" s="1"/>
  <c r="AM54" i="115" s="1"/>
  <c r="V55" i="115"/>
  <c r="W55" i="115" s="1"/>
  <c r="Z55" i="115" s="1"/>
  <c r="AA55" i="115" s="1"/>
  <c r="AB55" i="115" s="1"/>
  <c r="AM55" i="115" s="1"/>
  <c r="V58" i="115"/>
  <c r="W58" i="115" s="1"/>
  <c r="Z58" i="115" s="1"/>
  <c r="AA58" i="115" s="1"/>
  <c r="AB58" i="115" s="1"/>
  <c r="AM58" i="115" s="1"/>
  <c r="V65" i="115"/>
  <c r="W65" i="115" s="1"/>
  <c r="Z65" i="115" s="1"/>
  <c r="AA65" i="115" s="1"/>
  <c r="AB65" i="115" s="1"/>
  <c r="AM65" i="115" s="1"/>
  <c r="V66" i="115"/>
  <c r="W66" i="115" s="1"/>
  <c r="Z66" i="115" s="1"/>
  <c r="AA66" i="115" s="1"/>
  <c r="AB66" i="115" s="1"/>
  <c r="AM66" i="115" s="1"/>
  <c r="V67" i="115"/>
  <c r="W67" i="115" s="1"/>
  <c r="Z67" i="115" s="1"/>
  <c r="AA67" i="115" s="1"/>
  <c r="AB67" i="115" s="1"/>
  <c r="AM67" i="115" s="1"/>
  <c r="V74" i="115"/>
  <c r="W74" i="115" s="1"/>
  <c r="Z74" i="115" s="1"/>
  <c r="AA74" i="115" s="1"/>
  <c r="AB74" i="115" s="1"/>
  <c r="AM74" i="115" s="1"/>
  <c r="V75" i="115"/>
  <c r="W75" i="115" s="1"/>
  <c r="Z75" i="115" s="1"/>
  <c r="AA75" i="115" s="1"/>
  <c r="AB75" i="115" s="1"/>
  <c r="AM75" i="115" s="1"/>
  <c r="V14" i="114"/>
  <c r="W14" i="114" s="1"/>
  <c r="Z14" i="114" s="1"/>
  <c r="AA14" i="114" s="1"/>
  <c r="V22" i="114"/>
  <c r="W22" i="114" s="1"/>
  <c r="Z22" i="114" s="1"/>
  <c r="AA22" i="114" s="1"/>
  <c r="V30" i="114"/>
  <c r="W30" i="114" s="1"/>
  <c r="Z30" i="114" s="1"/>
  <c r="AA30" i="114" s="1"/>
  <c r="V34" i="114"/>
  <c r="W34" i="114" s="1"/>
  <c r="Z34" i="114" s="1"/>
  <c r="AA34" i="114" s="1"/>
  <c r="V36" i="114"/>
  <c r="W36" i="114" s="1"/>
  <c r="Z36" i="114" s="1"/>
  <c r="AA36" i="114" s="1"/>
  <c r="V38" i="114"/>
  <c r="W38" i="114" s="1"/>
  <c r="Z38" i="114" s="1"/>
  <c r="AA38" i="114" s="1"/>
  <c r="V42" i="114"/>
  <c r="W42" i="114" s="1"/>
  <c r="Z42" i="114" s="1"/>
  <c r="AA42" i="114" s="1"/>
  <c r="V44" i="114"/>
  <c r="W44" i="114" s="1"/>
  <c r="Z44" i="114" s="1"/>
  <c r="AA44" i="114" s="1"/>
  <c r="V46" i="114"/>
  <c r="W46" i="114" s="1"/>
  <c r="Z46" i="114" s="1"/>
  <c r="AA46" i="114" s="1"/>
  <c r="V50" i="114"/>
  <c r="W50" i="114" s="1"/>
  <c r="Z50" i="114" s="1"/>
  <c r="AA50" i="114" s="1"/>
  <c r="V52" i="114"/>
  <c r="W52" i="114" s="1"/>
  <c r="Z52" i="114" s="1"/>
  <c r="AA52" i="114" s="1"/>
  <c r="V54" i="114"/>
  <c r="W54" i="114" s="1"/>
  <c r="Z54" i="114" s="1"/>
  <c r="AA54" i="114" s="1"/>
  <c r="V66" i="114"/>
  <c r="W66" i="114" s="1"/>
  <c r="Z66" i="114" s="1"/>
  <c r="AA66" i="114" s="1"/>
  <c r="V70" i="114"/>
  <c r="W70" i="114" s="1"/>
  <c r="Z70" i="114" s="1"/>
  <c r="AA70" i="114" s="1"/>
  <c r="V8" i="113"/>
  <c r="V10" i="113"/>
  <c r="W10" i="113" s="1"/>
  <c r="Z10" i="113" s="1"/>
  <c r="AA10" i="113" s="1"/>
  <c r="V14" i="113"/>
  <c r="W14" i="113" s="1"/>
  <c r="Z14" i="113" s="1"/>
  <c r="AA14" i="113" s="1"/>
  <c r="V16" i="113"/>
  <c r="W16" i="113" s="1"/>
  <c r="Z16" i="113" s="1"/>
  <c r="AA16" i="113" s="1"/>
  <c r="V20" i="113"/>
  <c r="W20" i="113" s="1"/>
  <c r="Z20" i="113" s="1"/>
  <c r="AA20" i="113" s="1"/>
  <c r="V24" i="113"/>
  <c r="W24" i="113" s="1"/>
  <c r="Z24" i="113" s="1"/>
  <c r="AA24" i="113" s="1"/>
  <c r="V28" i="113"/>
  <c r="W28" i="113" s="1"/>
  <c r="Z28" i="113" s="1"/>
  <c r="AA28" i="113" s="1"/>
  <c r="V30" i="113"/>
  <c r="W30" i="113" s="1"/>
  <c r="Z30" i="113" s="1"/>
  <c r="AA30" i="113" s="1"/>
  <c r="V32" i="113"/>
  <c r="W32" i="113" s="1"/>
  <c r="Z32" i="113" s="1"/>
  <c r="AA32" i="113" s="1"/>
  <c r="V36" i="113"/>
  <c r="W36" i="113" s="1"/>
  <c r="Z36" i="113" s="1"/>
  <c r="AA36" i="113" s="1"/>
  <c r="V38" i="113"/>
  <c r="W38" i="113" s="1"/>
  <c r="Z38" i="113" s="1"/>
  <c r="AA38" i="113" s="1"/>
  <c r="V40" i="113"/>
  <c r="W40" i="113" s="1"/>
  <c r="Z40" i="113" s="1"/>
  <c r="AA40" i="113" s="1"/>
  <c r="V42" i="113"/>
  <c r="W42" i="113" s="1"/>
  <c r="Z42" i="113" s="1"/>
  <c r="AA42" i="113" s="1"/>
  <c r="V44" i="113"/>
  <c r="W44" i="113" s="1"/>
  <c r="Z44" i="113" s="1"/>
  <c r="AA44" i="113" s="1"/>
  <c r="V46" i="113"/>
  <c r="W46" i="113" s="1"/>
  <c r="Z46" i="113" s="1"/>
  <c r="AA46" i="113" s="1"/>
  <c r="V48" i="113"/>
  <c r="W48" i="113" s="1"/>
  <c r="Z48" i="113" s="1"/>
  <c r="AA48" i="113" s="1"/>
  <c r="V52" i="113"/>
  <c r="W52" i="113" s="1"/>
  <c r="Z52" i="113" s="1"/>
  <c r="AA52" i="113" s="1"/>
  <c r="V56" i="113"/>
  <c r="W56" i="113" s="1"/>
  <c r="Z56" i="113" s="1"/>
  <c r="AA56" i="113" s="1"/>
  <c r="V60" i="113"/>
  <c r="W60" i="113" s="1"/>
  <c r="Z60" i="113" s="1"/>
  <c r="AA60" i="113" s="1"/>
  <c r="V66" i="113"/>
  <c r="W66" i="113" s="1"/>
  <c r="Z66" i="113" s="1"/>
  <c r="AA66" i="113" s="1"/>
  <c r="V68" i="113"/>
  <c r="W68" i="113" s="1"/>
  <c r="Z68" i="113" s="1"/>
  <c r="AA68" i="113" s="1"/>
  <c r="V72" i="113"/>
  <c r="W72" i="113" s="1"/>
  <c r="Z72" i="113" s="1"/>
  <c r="AA72" i="113" s="1"/>
  <c r="V74" i="113"/>
  <c r="W74" i="113" s="1"/>
  <c r="Z74" i="113" s="1"/>
  <c r="AA74" i="113" s="1"/>
  <c r="V76" i="113"/>
  <c r="W76" i="113" s="1"/>
  <c r="Z76" i="113" s="1"/>
  <c r="AA76" i="113" s="1"/>
  <c r="H21" i="5"/>
  <c r="J21" i="5" s="1"/>
  <c r="K21" i="5" s="1"/>
  <c r="M21" i="5" s="1"/>
  <c r="V53" i="31"/>
  <c r="W53" i="31" s="1"/>
  <c r="Z53" i="31" s="1"/>
  <c r="AA53" i="31" s="1"/>
  <c r="V55" i="31"/>
  <c r="W55" i="31" s="1"/>
  <c r="Z55" i="31" s="1"/>
  <c r="AA55" i="31" s="1"/>
  <c r="AB53" i="31" l="1"/>
  <c r="AC53" i="31"/>
  <c r="F72" i="100"/>
  <c r="AB74" i="113"/>
  <c r="AM74" i="113" s="1"/>
  <c r="F66" i="100"/>
  <c r="AB68" i="113"/>
  <c r="AM68" i="113" s="1"/>
  <c r="AB60" i="113"/>
  <c r="AM60" i="113" s="1"/>
  <c r="F58" i="100"/>
  <c r="AC60" i="113"/>
  <c r="AE60" i="113" s="1"/>
  <c r="AB52" i="113"/>
  <c r="AM52" i="113" s="1"/>
  <c r="F50" i="100"/>
  <c r="AC52" i="113"/>
  <c r="AE52" i="113" s="1"/>
  <c r="F44" i="100"/>
  <c r="AB46" i="113"/>
  <c r="AM46" i="113" s="1"/>
  <c r="AB42" i="113"/>
  <c r="AM42" i="113" s="1"/>
  <c r="F40" i="100"/>
  <c r="AB38" i="113"/>
  <c r="AM38" i="113" s="1"/>
  <c r="F36" i="100"/>
  <c r="AC38" i="113"/>
  <c r="AE38" i="113" s="1"/>
  <c r="AB32" i="113"/>
  <c r="AM32" i="113" s="1"/>
  <c r="F30" i="100"/>
  <c r="AC32" i="113"/>
  <c r="AE32" i="113" s="1"/>
  <c r="F26" i="100"/>
  <c r="AB28" i="113"/>
  <c r="AM28" i="113" s="1"/>
  <c r="F18" i="100"/>
  <c r="AB20" i="113"/>
  <c r="AM20" i="113" s="1"/>
  <c r="AB14" i="113"/>
  <c r="AM14" i="113" s="1"/>
  <c r="F12" i="100"/>
  <c r="W8" i="113"/>
  <c r="G68" i="100"/>
  <c r="AB70" i="114"/>
  <c r="AM70" i="114" s="1"/>
  <c r="AB54" i="114"/>
  <c r="AM54" i="114" s="1"/>
  <c r="G52" i="100"/>
  <c r="AB50" i="114"/>
  <c r="AM50" i="114" s="1"/>
  <c r="G48" i="100"/>
  <c r="AC50" i="114"/>
  <c r="AE50" i="114" s="1"/>
  <c r="G42" i="100"/>
  <c r="AB44" i="114"/>
  <c r="AM44" i="114" s="1"/>
  <c r="AB38" i="114"/>
  <c r="AM38" i="114" s="1"/>
  <c r="G36" i="100"/>
  <c r="AC38" i="114"/>
  <c r="AE38" i="114" s="1"/>
  <c r="G32" i="100"/>
  <c r="AB34" i="114"/>
  <c r="AM34" i="114" s="1"/>
  <c r="G20" i="100"/>
  <c r="AB22" i="114"/>
  <c r="AM22" i="114" s="1"/>
  <c r="H72" i="100"/>
  <c r="AC74" i="115"/>
  <c r="AE74" i="115" s="1"/>
  <c r="H64" i="100"/>
  <c r="AC66" i="115"/>
  <c r="AE66" i="115" s="1"/>
  <c r="AC58" i="115"/>
  <c r="AE58" i="115" s="1"/>
  <c r="H56" i="100"/>
  <c r="H52" i="100"/>
  <c r="AC54" i="115"/>
  <c r="AE54" i="115" s="1"/>
  <c r="H36" i="100"/>
  <c r="AC38" i="115"/>
  <c r="AE38" i="115" s="1"/>
  <c r="AC27" i="115"/>
  <c r="AE27" i="115" s="1"/>
  <c r="H25" i="100"/>
  <c r="AC22" i="115"/>
  <c r="AE22" i="115" s="1"/>
  <c r="H20" i="100"/>
  <c r="H8" i="100"/>
  <c r="AC10" i="115"/>
  <c r="AE10" i="115" s="1"/>
  <c r="AB67" i="116"/>
  <c r="AM67" i="116" s="1"/>
  <c r="I65" i="100"/>
  <c r="AB55" i="116"/>
  <c r="AM55" i="116" s="1"/>
  <c r="I53" i="100"/>
  <c r="Z47" i="116"/>
  <c r="AA47" i="116" s="1"/>
  <c r="Z37" i="116"/>
  <c r="AA37" i="116" s="1"/>
  <c r="Z31" i="116"/>
  <c r="AA31" i="116" s="1"/>
  <c r="Z26" i="116"/>
  <c r="AA26" i="116" s="1"/>
  <c r="Z23" i="116"/>
  <c r="AA23" i="116" s="1"/>
  <c r="AD66" i="117"/>
  <c r="AO66" i="117" s="1"/>
  <c r="J64" i="100"/>
  <c r="AD58" i="117"/>
  <c r="AO58" i="117" s="1"/>
  <c r="J56" i="100"/>
  <c r="AD46" i="117"/>
  <c r="AO46" i="117" s="1"/>
  <c r="J44" i="100"/>
  <c r="AE46" i="117"/>
  <c r="AG46" i="117" s="1"/>
  <c r="J36" i="100"/>
  <c r="AD38" i="117"/>
  <c r="AO38" i="117" s="1"/>
  <c r="J28" i="100"/>
  <c r="AD30" i="117"/>
  <c r="AO30" i="117" s="1"/>
  <c r="AD14" i="117"/>
  <c r="AO14" i="117" s="1"/>
  <c r="J12" i="100"/>
  <c r="AE14" i="117"/>
  <c r="AG14" i="117" s="1"/>
  <c r="AD9" i="117"/>
  <c r="AO9" i="117" s="1"/>
  <c r="J7" i="100"/>
  <c r="AC62" i="118"/>
  <c r="AE62" i="118" s="1"/>
  <c r="K60" i="100"/>
  <c r="AC46" i="118"/>
  <c r="AE46" i="118" s="1"/>
  <c r="K44" i="100"/>
  <c r="AC38" i="118"/>
  <c r="AE38" i="118" s="1"/>
  <c r="K36" i="100"/>
  <c r="AC24" i="118"/>
  <c r="AE24" i="118" s="1"/>
  <c r="K22" i="100"/>
  <c r="AC16" i="118"/>
  <c r="AE16" i="118" s="1"/>
  <c r="K14" i="100"/>
  <c r="AC9" i="118"/>
  <c r="AE9" i="118" s="1"/>
  <c r="K7" i="100"/>
  <c r="L74" i="100"/>
  <c r="AB76" i="119"/>
  <c r="AM76" i="119" s="1"/>
  <c r="AB74" i="119"/>
  <c r="AM74" i="119" s="1"/>
  <c r="L72" i="100"/>
  <c r="AB72" i="119"/>
  <c r="AM72" i="119" s="1"/>
  <c r="L70" i="100"/>
  <c r="AC72" i="119"/>
  <c r="AE72" i="119" s="1"/>
  <c r="L68" i="100"/>
  <c r="AB70" i="119"/>
  <c r="AM70" i="119" s="1"/>
  <c r="L66" i="100"/>
  <c r="AB68" i="119"/>
  <c r="AM68" i="119" s="1"/>
  <c r="AB66" i="119"/>
  <c r="AM66" i="119" s="1"/>
  <c r="L64" i="100"/>
  <c r="AB64" i="119"/>
  <c r="AM64" i="119" s="1"/>
  <c r="L62" i="100"/>
  <c r="AB62" i="119"/>
  <c r="AM62" i="119" s="1"/>
  <c r="L60" i="100"/>
  <c r="AC62" i="119"/>
  <c r="AE62" i="119" s="1"/>
  <c r="L58" i="100"/>
  <c r="AB60" i="119"/>
  <c r="AM60" i="119" s="1"/>
  <c r="AB58" i="119"/>
  <c r="AM58" i="119" s="1"/>
  <c r="L56" i="100"/>
  <c r="L54" i="100"/>
  <c r="AB56" i="119"/>
  <c r="AM56" i="119" s="1"/>
  <c r="L52" i="100"/>
  <c r="AB54" i="119"/>
  <c r="AM54" i="119" s="1"/>
  <c r="AB52" i="119"/>
  <c r="AM52" i="119" s="1"/>
  <c r="L50" i="100"/>
  <c r="AB50" i="119"/>
  <c r="AM50" i="119" s="1"/>
  <c r="L48" i="100"/>
  <c r="AB48" i="119"/>
  <c r="AM48" i="119" s="1"/>
  <c r="L46" i="100"/>
  <c r="AB46" i="119"/>
  <c r="AM46" i="119" s="1"/>
  <c r="L44" i="100"/>
  <c r="AC46" i="119"/>
  <c r="AE46" i="119" s="1"/>
  <c r="L42" i="100"/>
  <c r="AB44" i="119"/>
  <c r="AM44" i="119" s="1"/>
  <c r="AB42" i="119"/>
  <c r="AM42" i="119" s="1"/>
  <c r="L40" i="100"/>
  <c r="L38" i="100"/>
  <c r="AB40" i="119"/>
  <c r="AM40" i="119" s="1"/>
  <c r="AB38" i="119"/>
  <c r="AM38" i="119" s="1"/>
  <c r="L36" i="100"/>
  <c r="AB36" i="119"/>
  <c r="AM36" i="119" s="1"/>
  <c r="L34" i="100"/>
  <c r="L32" i="100"/>
  <c r="AB34" i="119"/>
  <c r="AM34" i="119" s="1"/>
  <c r="AB32" i="119"/>
  <c r="AM32" i="119" s="1"/>
  <c r="L30" i="100"/>
  <c r="L28" i="100"/>
  <c r="AB30" i="119"/>
  <c r="AM30" i="119" s="1"/>
  <c r="L26" i="100"/>
  <c r="AB28" i="119"/>
  <c r="AM28" i="119" s="1"/>
  <c r="L24" i="100"/>
  <c r="AB26" i="119"/>
  <c r="AM26" i="119" s="1"/>
  <c r="AB24" i="119"/>
  <c r="AM24" i="119" s="1"/>
  <c r="L22" i="100"/>
  <c r="L20" i="100"/>
  <c r="AB22" i="119"/>
  <c r="AM22" i="119" s="1"/>
  <c r="AB20" i="119"/>
  <c r="AM20" i="119" s="1"/>
  <c r="L18" i="100"/>
  <c r="L16" i="100"/>
  <c r="AB18" i="119"/>
  <c r="AM18" i="119" s="1"/>
  <c r="L14" i="100"/>
  <c r="AB16" i="119"/>
  <c r="AM16" i="119" s="1"/>
  <c r="L12" i="100"/>
  <c r="AB14" i="119"/>
  <c r="AM14" i="119" s="1"/>
  <c r="L10" i="100"/>
  <c r="AB12" i="119"/>
  <c r="AM12" i="119" s="1"/>
  <c r="L8" i="100"/>
  <c r="AB10" i="119"/>
  <c r="AM10" i="119" s="1"/>
  <c r="W8" i="119"/>
  <c r="V77" i="119"/>
  <c r="M73" i="100"/>
  <c r="AC75" i="120"/>
  <c r="AE75" i="120" s="1"/>
  <c r="AC73" i="120"/>
  <c r="AE73" i="120" s="1"/>
  <c r="M71" i="100"/>
  <c r="AC71" i="120"/>
  <c r="AE71" i="120" s="1"/>
  <c r="M69" i="100"/>
  <c r="AC69" i="120"/>
  <c r="AE69" i="120" s="1"/>
  <c r="M67" i="100"/>
  <c r="M65" i="100"/>
  <c r="AC67" i="120"/>
  <c r="AE67" i="120" s="1"/>
  <c r="AC65" i="120"/>
  <c r="AE65" i="120" s="1"/>
  <c r="M63" i="100"/>
  <c r="AC63" i="120"/>
  <c r="AE63" i="120" s="1"/>
  <c r="M61" i="100"/>
  <c r="AC61" i="120"/>
  <c r="AE61" i="120" s="1"/>
  <c r="M59" i="100"/>
  <c r="AC59" i="120"/>
  <c r="AE59" i="120" s="1"/>
  <c r="M57" i="100"/>
  <c r="M55" i="100"/>
  <c r="AC57" i="120"/>
  <c r="AE57" i="120" s="1"/>
  <c r="M53" i="100"/>
  <c r="AC55" i="120"/>
  <c r="AE55" i="120" s="1"/>
  <c r="M51" i="100"/>
  <c r="AC53" i="120"/>
  <c r="AE53" i="120" s="1"/>
  <c r="AC51" i="120"/>
  <c r="AE51" i="120" s="1"/>
  <c r="M49" i="100"/>
  <c r="M47" i="100"/>
  <c r="AC49" i="120"/>
  <c r="AE49" i="120" s="1"/>
  <c r="M45" i="100"/>
  <c r="AC47" i="120"/>
  <c r="AE47" i="120" s="1"/>
  <c r="AC45" i="120"/>
  <c r="AE45" i="120" s="1"/>
  <c r="M43" i="100"/>
  <c r="AC43" i="120"/>
  <c r="AE43" i="120" s="1"/>
  <c r="M41" i="100"/>
  <c r="AC41" i="120"/>
  <c r="AE41" i="120" s="1"/>
  <c r="M39" i="100"/>
  <c r="M37" i="100"/>
  <c r="AC39" i="120"/>
  <c r="AE39" i="120" s="1"/>
  <c r="M35" i="100"/>
  <c r="AC37" i="120"/>
  <c r="AE37" i="120" s="1"/>
  <c r="M33" i="100"/>
  <c r="AC35" i="120"/>
  <c r="AE35" i="120" s="1"/>
  <c r="AC33" i="120"/>
  <c r="AE33" i="120" s="1"/>
  <c r="M31" i="100"/>
  <c r="M29" i="100"/>
  <c r="AC31" i="120"/>
  <c r="AE31" i="120" s="1"/>
  <c r="M27" i="100"/>
  <c r="AC29" i="120"/>
  <c r="AE29" i="120" s="1"/>
  <c r="AC27" i="120"/>
  <c r="AE27" i="120" s="1"/>
  <c r="M25" i="100"/>
  <c r="M23" i="100"/>
  <c r="AC25" i="120"/>
  <c r="AE25" i="120" s="1"/>
  <c r="AC23" i="120"/>
  <c r="AE23" i="120" s="1"/>
  <c r="M21" i="100"/>
  <c r="M19" i="100"/>
  <c r="AC21" i="120"/>
  <c r="AE21" i="120" s="1"/>
  <c r="AC19" i="120"/>
  <c r="AE19" i="120" s="1"/>
  <c r="M17" i="100"/>
  <c r="M15" i="100"/>
  <c r="AC17" i="120"/>
  <c r="AE17" i="120" s="1"/>
  <c r="M13" i="100"/>
  <c r="AC15" i="120"/>
  <c r="AE15" i="120" s="1"/>
  <c r="AC13" i="120"/>
  <c r="AE13" i="120" s="1"/>
  <c r="M11" i="100"/>
  <c r="AC11" i="120"/>
  <c r="AE11" i="120" s="1"/>
  <c r="M9" i="100"/>
  <c r="AC9" i="120"/>
  <c r="AE9" i="120" s="1"/>
  <c r="M7" i="100"/>
  <c r="T59" i="100"/>
  <c r="AC59" i="76"/>
  <c r="AN59" i="76" s="1"/>
  <c r="AO59" i="76" s="1"/>
  <c r="AP60" i="72" s="1"/>
  <c r="AC43" i="76"/>
  <c r="AN43" i="76" s="1"/>
  <c r="AO43" i="76" s="1"/>
  <c r="AP44" i="72" s="1"/>
  <c r="T43" i="100"/>
  <c r="AC35" i="76"/>
  <c r="AN35" i="76" s="1"/>
  <c r="AO35" i="76" s="1"/>
  <c r="AP36" i="72" s="1"/>
  <c r="T35" i="100"/>
  <c r="T19" i="100"/>
  <c r="AC19" i="76"/>
  <c r="AN19" i="76" s="1"/>
  <c r="AO19" i="76" s="1"/>
  <c r="AP20" i="72" s="1"/>
  <c r="AC7" i="76"/>
  <c r="AN7" i="76" s="1"/>
  <c r="AO7" i="76" s="1"/>
  <c r="AP8" i="72" s="1"/>
  <c r="T7" i="100"/>
  <c r="U70" i="100"/>
  <c r="AD70" i="80"/>
  <c r="AF70" i="80" s="1"/>
  <c r="AD67" i="80"/>
  <c r="AF67" i="80" s="1"/>
  <c r="U67" i="100"/>
  <c r="U58" i="100"/>
  <c r="AD58" i="80"/>
  <c r="AF58" i="80" s="1"/>
  <c r="AD50" i="80"/>
  <c r="AF50" i="80" s="1"/>
  <c r="U50" i="100"/>
  <c r="U38" i="100"/>
  <c r="AD38" i="80"/>
  <c r="AF38" i="80" s="1"/>
  <c r="U22" i="100"/>
  <c r="AD22" i="80"/>
  <c r="AF22" i="80" s="1"/>
  <c r="AD15" i="80"/>
  <c r="AF15" i="80" s="1"/>
  <c r="U15" i="100"/>
  <c r="X6" i="80"/>
  <c r="AB55" i="31"/>
  <c r="AC55" i="31"/>
  <c r="AB76" i="113"/>
  <c r="AM76" i="113" s="1"/>
  <c r="F74" i="100"/>
  <c r="AC76" i="113"/>
  <c r="AE76" i="113" s="1"/>
  <c r="F70" i="100"/>
  <c r="AB72" i="113"/>
  <c r="AM72" i="113" s="1"/>
  <c r="AB66" i="113"/>
  <c r="AM66" i="113" s="1"/>
  <c r="F64" i="100"/>
  <c r="F54" i="100"/>
  <c r="AB56" i="113"/>
  <c r="AM56" i="113" s="1"/>
  <c r="F46" i="100"/>
  <c r="AB48" i="113"/>
  <c r="AM48" i="113" s="1"/>
  <c r="AB44" i="113"/>
  <c r="AM44" i="113" s="1"/>
  <c r="F42" i="100"/>
  <c r="AC44" i="113"/>
  <c r="AE44" i="113" s="1"/>
  <c r="F38" i="100"/>
  <c r="AB40" i="113"/>
  <c r="AM40" i="113" s="1"/>
  <c r="AB36" i="113"/>
  <c r="AM36" i="113" s="1"/>
  <c r="F34" i="100"/>
  <c r="AB30" i="113"/>
  <c r="AM30" i="113" s="1"/>
  <c r="F28" i="100"/>
  <c r="AC30" i="113"/>
  <c r="AE30" i="113" s="1"/>
  <c r="AB24" i="113"/>
  <c r="AM24" i="113" s="1"/>
  <c r="F22" i="100"/>
  <c r="AC24" i="113"/>
  <c r="AE24" i="113" s="1"/>
  <c r="F14" i="100"/>
  <c r="AB16" i="113"/>
  <c r="AM16" i="113" s="1"/>
  <c r="AB10" i="113"/>
  <c r="AM10" i="113" s="1"/>
  <c r="F8" i="100"/>
  <c r="AC10" i="113"/>
  <c r="AE10" i="113" s="1"/>
  <c r="G64" i="100"/>
  <c r="AB66" i="114"/>
  <c r="AM66" i="114" s="1"/>
  <c r="G50" i="100"/>
  <c r="AB52" i="114"/>
  <c r="AM52" i="114" s="1"/>
  <c r="G44" i="100"/>
  <c r="AB46" i="114"/>
  <c r="AM46" i="114" s="1"/>
  <c r="AB42" i="114"/>
  <c r="AM42" i="114" s="1"/>
  <c r="G40" i="100"/>
  <c r="AC42" i="114"/>
  <c r="AE42" i="114" s="1"/>
  <c r="G34" i="100"/>
  <c r="AB36" i="114"/>
  <c r="AM36" i="114" s="1"/>
  <c r="AB30" i="114"/>
  <c r="AM30" i="114" s="1"/>
  <c r="G28" i="100"/>
  <c r="G12" i="100"/>
  <c r="AB14" i="114"/>
  <c r="AM14" i="114" s="1"/>
  <c r="H73" i="100"/>
  <c r="AC75" i="115"/>
  <c r="AE75" i="115" s="1"/>
  <c r="AC67" i="115"/>
  <c r="AE67" i="115" s="1"/>
  <c r="H65" i="100"/>
  <c r="H63" i="100"/>
  <c r="AC65" i="115"/>
  <c r="AE65" i="115" s="1"/>
  <c r="H53" i="100"/>
  <c r="AC55" i="115"/>
  <c r="AE55" i="115" s="1"/>
  <c r="AC42" i="115"/>
  <c r="AE42" i="115" s="1"/>
  <c r="H40" i="100"/>
  <c r="AC34" i="115"/>
  <c r="AE34" i="115" s="1"/>
  <c r="H32" i="100"/>
  <c r="AC26" i="115"/>
  <c r="AE26" i="115" s="1"/>
  <c r="H24" i="100"/>
  <c r="AC18" i="115"/>
  <c r="AE18" i="115" s="1"/>
  <c r="H16" i="100"/>
  <c r="W8" i="115"/>
  <c r="I69" i="100"/>
  <c r="AB71" i="116"/>
  <c r="AM71" i="116" s="1"/>
  <c r="I57" i="100"/>
  <c r="AB59" i="116"/>
  <c r="AM59" i="116" s="1"/>
  <c r="I49" i="100"/>
  <c r="AB51" i="116"/>
  <c r="AM51" i="116" s="1"/>
  <c r="Z39" i="116"/>
  <c r="AA39" i="116" s="1"/>
  <c r="Z35" i="116"/>
  <c r="AA35" i="116" s="1"/>
  <c r="Z30" i="116"/>
  <c r="AA30" i="116" s="1"/>
  <c r="Z24" i="116"/>
  <c r="AA24" i="116" s="1"/>
  <c r="Z15" i="116"/>
  <c r="AA15" i="116" s="1"/>
  <c r="J72" i="100"/>
  <c r="AD74" i="117"/>
  <c r="AO74" i="117" s="1"/>
  <c r="AD62" i="117"/>
  <c r="AO62" i="117" s="1"/>
  <c r="J60" i="100"/>
  <c r="AD54" i="117"/>
  <c r="AO54" i="117" s="1"/>
  <c r="J52" i="100"/>
  <c r="AD42" i="117"/>
  <c r="AO42" i="117" s="1"/>
  <c r="J40" i="100"/>
  <c r="AE42" i="117"/>
  <c r="AG42" i="117" s="1"/>
  <c r="AD32" i="117"/>
  <c r="AO32" i="117" s="1"/>
  <c r="J30" i="100"/>
  <c r="AE32" i="117"/>
  <c r="AG32" i="117" s="1"/>
  <c r="J20" i="100"/>
  <c r="AD22" i="117"/>
  <c r="AO22" i="117" s="1"/>
  <c r="AD10" i="117"/>
  <c r="AO10" i="117" s="1"/>
  <c r="J8" i="100"/>
  <c r="AE10" i="117"/>
  <c r="AG10" i="117" s="1"/>
  <c r="K61" i="100"/>
  <c r="AC63" i="118"/>
  <c r="AE63" i="118" s="1"/>
  <c r="K54" i="100"/>
  <c r="AC56" i="118"/>
  <c r="AE56" i="118" s="1"/>
  <c r="K38" i="100"/>
  <c r="AC40" i="118"/>
  <c r="AE40" i="118" s="1"/>
  <c r="AC30" i="118"/>
  <c r="AE30" i="118" s="1"/>
  <c r="K28" i="100"/>
  <c r="K20" i="100"/>
  <c r="AC22" i="118"/>
  <c r="AE22" i="118" s="1"/>
  <c r="K12" i="100"/>
  <c r="AC14" i="118"/>
  <c r="AE14" i="118" s="1"/>
  <c r="W8" i="118"/>
  <c r="L73" i="100"/>
  <c r="AB75" i="119"/>
  <c r="AM75" i="119" s="1"/>
  <c r="AB73" i="119"/>
  <c r="AM73" i="119" s="1"/>
  <c r="L71" i="100"/>
  <c r="AB71" i="119"/>
  <c r="AM71" i="119" s="1"/>
  <c r="L69" i="100"/>
  <c r="AC71" i="119"/>
  <c r="AE71" i="119" s="1"/>
  <c r="L67" i="100"/>
  <c r="AB69" i="119"/>
  <c r="AM69" i="119" s="1"/>
  <c r="L65" i="100"/>
  <c r="AB67" i="119"/>
  <c r="AM67" i="119" s="1"/>
  <c r="AB65" i="119"/>
  <c r="AM65" i="119" s="1"/>
  <c r="L63" i="100"/>
  <c r="AC65" i="119"/>
  <c r="AE65" i="119" s="1"/>
  <c r="AB63" i="119"/>
  <c r="AM63" i="119" s="1"/>
  <c r="L61" i="100"/>
  <c r="L59" i="100"/>
  <c r="AB61" i="119"/>
  <c r="AM61" i="119" s="1"/>
  <c r="L57" i="100"/>
  <c r="AB59" i="119"/>
  <c r="AM59" i="119" s="1"/>
  <c r="L55" i="100"/>
  <c r="AB57" i="119"/>
  <c r="AM57" i="119" s="1"/>
  <c r="AB55" i="119"/>
  <c r="AM55" i="119" s="1"/>
  <c r="L53" i="100"/>
  <c r="AB53" i="119"/>
  <c r="AM53" i="119" s="1"/>
  <c r="L51" i="100"/>
  <c r="L49" i="100"/>
  <c r="AB51" i="119"/>
  <c r="AM51" i="119" s="1"/>
  <c r="L47" i="100"/>
  <c r="AB49" i="119"/>
  <c r="AM49" i="119" s="1"/>
  <c r="AB47" i="119"/>
  <c r="AM47" i="119" s="1"/>
  <c r="L45" i="100"/>
  <c r="AB45" i="119"/>
  <c r="AM45" i="119" s="1"/>
  <c r="L43" i="100"/>
  <c r="L41" i="100"/>
  <c r="AB43" i="119"/>
  <c r="AM43" i="119" s="1"/>
  <c r="L39" i="100"/>
  <c r="AB41" i="119"/>
  <c r="AM41" i="119" s="1"/>
  <c r="AB39" i="119"/>
  <c r="AM39" i="119" s="1"/>
  <c r="L37" i="100"/>
  <c r="AB37" i="119"/>
  <c r="AM37" i="119" s="1"/>
  <c r="L35" i="100"/>
  <c r="AC37" i="119"/>
  <c r="AE37" i="119" s="1"/>
  <c r="L33" i="100"/>
  <c r="AB35" i="119"/>
  <c r="AM35" i="119" s="1"/>
  <c r="L31" i="100"/>
  <c r="AB33" i="119"/>
  <c r="AM33" i="119" s="1"/>
  <c r="AB31" i="119"/>
  <c r="AM31" i="119" s="1"/>
  <c r="L29" i="100"/>
  <c r="AB29" i="119"/>
  <c r="AM29" i="119" s="1"/>
  <c r="L27" i="100"/>
  <c r="AC29" i="119"/>
  <c r="AE29" i="119" s="1"/>
  <c r="L25" i="100"/>
  <c r="AB27" i="119"/>
  <c r="AM27" i="119" s="1"/>
  <c r="L23" i="100"/>
  <c r="AB25" i="119"/>
  <c r="AM25" i="119" s="1"/>
  <c r="AB23" i="119"/>
  <c r="AM23" i="119" s="1"/>
  <c r="L21" i="100"/>
  <c r="AB21" i="119"/>
  <c r="AM21" i="119" s="1"/>
  <c r="L19" i="100"/>
  <c r="L17" i="100"/>
  <c r="AB19" i="119"/>
  <c r="AM19" i="119" s="1"/>
  <c r="L15" i="100"/>
  <c r="AB17" i="119"/>
  <c r="AM17" i="119" s="1"/>
  <c r="AB15" i="119"/>
  <c r="AM15" i="119" s="1"/>
  <c r="L13" i="100"/>
  <c r="AB13" i="119"/>
  <c r="AM13" i="119" s="1"/>
  <c r="L11" i="100"/>
  <c r="L9" i="100"/>
  <c r="AB11" i="119"/>
  <c r="AM11" i="119" s="1"/>
  <c r="L7" i="100"/>
  <c r="AB9" i="119"/>
  <c r="AM9" i="119" s="1"/>
  <c r="M74" i="100"/>
  <c r="AC76" i="120"/>
  <c r="AE76" i="120" s="1"/>
  <c r="AC74" i="120"/>
  <c r="AE74" i="120" s="1"/>
  <c r="M72" i="100"/>
  <c r="M70" i="100"/>
  <c r="AC72" i="120"/>
  <c r="AE72" i="120" s="1"/>
  <c r="AC70" i="120"/>
  <c r="AE70" i="120" s="1"/>
  <c r="M68" i="100"/>
  <c r="AC68" i="120"/>
  <c r="AE68" i="120" s="1"/>
  <c r="M66" i="100"/>
  <c r="AC66" i="120"/>
  <c r="AE66" i="120" s="1"/>
  <c r="M64" i="100"/>
  <c r="AC64" i="120"/>
  <c r="AE64" i="120" s="1"/>
  <c r="M62" i="100"/>
  <c r="M60" i="100"/>
  <c r="AC62" i="120"/>
  <c r="AE62" i="120" s="1"/>
  <c r="AC60" i="120"/>
  <c r="AE60" i="120" s="1"/>
  <c r="M58" i="100"/>
  <c r="M56" i="100"/>
  <c r="AC58" i="120"/>
  <c r="AE58" i="120" s="1"/>
  <c r="M54" i="100"/>
  <c r="AC56" i="120"/>
  <c r="AE56" i="120" s="1"/>
  <c r="M52" i="100"/>
  <c r="AC54" i="120"/>
  <c r="AE54" i="120" s="1"/>
  <c r="AC52" i="120"/>
  <c r="AE52" i="120" s="1"/>
  <c r="M50" i="100"/>
  <c r="AC50" i="120"/>
  <c r="AE50" i="120" s="1"/>
  <c r="M48" i="100"/>
  <c r="AC48" i="120"/>
  <c r="AE48" i="120" s="1"/>
  <c r="M46" i="100"/>
  <c r="M44" i="100"/>
  <c r="AC46" i="120"/>
  <c r="AE46" i="120" s="1"/>
  <c r="M42" i="100"/>
  <c r="AC44" i="120"/>
  <c r="AE44" i="120" s="1"/>
  <c r="M40" i="100"/>
  <c r="AC42" i="120"/>
  <c r="AE42" i="120" s="1"/>
  <c r="M38" i="100"/>
  <c r="AC40" i="120"/>
  <c r="AE40" i="120" s="1"/>
  <c r="AC38" i="120"/>
  <c r="AE38" i="120" s="1"/>
  <c r="M36" i="100"/>
  <c r="AC36" i="120"/>
  <c r="AE36" i="120" s="1"/>
  <c r="M34" i="100"/>
  <c r="M32" i="100"/>
  <c r="AC34" i="120"/>
  <c r="AE34" i="120" s="1"/>
  <c r="AC32" i="120"/>
  <c r="AE32" i="120" s="1"/>
  <c r="M30" i="100"/>
  <c r="AC30" i="120"/>
  <c r="AE30" i="120" s="1"/>
  <c r="M28" i="100"/>
  <c r="M26" i="100"/>
  <c r="AC28" i="120"/>
  <c r="AE28" i="120" s="1"/>
  <c r="M24" i="100"/>
  <c r="AC26" i="120"/>
  <c r="AE26" i="120" s="1"/>
  <c r="AC24" i="120"/>
  <c r="AE24" i="120" s="1"/>
  <c r="M22" i="100"/>
  <c r="M20" i="100"/>
  <c r="AC22" i="120"/>
  <c r="AE22" i="120" s="1"/>
  <c r="M18" i="100"/>
  <c r="AC20" i="120"/>
  <c r="AE20" i="120" s="1"/>
  <c r="AC18" i="120"/>
  <c r="AE18" i="120" s="1"/>
  <c r="M16" i="100"/>
  <c r="AC16" i="120"/>
  <c r="AE16" i="120" s="1"/>
  <c r="M14" i="100"/>
  <c r="AC14" i="120"/>
  <c r="AE14" i="120" s="1"/>
  <c r="M12" i="100"/>
  <c r="M10" i="100"/>
  <c r="AC12" i="120"/>
  <c r="AE12" i="120" s="1"/>
  <c r="AC10" i="120"/>
  <c r="AE10" i="120" s="1"/>
  <c r="M8" i="100"/>
  <c r="W8" i="120"/>
  <c r="V77" i="120"/>
  <c r="AC67" i="76"/>
  <c r="AN67" i="76" s="1"/>
  <c r="AO67" i="76" s="1"/>
  <c r="AP68" i="72" s="1"/>
  <c r="T67" i="100"/>
  <c r="AD67" i="76"/>
  <c r="AF67" i="76" s="1"/>
  <c r="AC55" i="76"/>
  <c r="AN55" i="76" s="1"/>
  <c r="AO55" i="76" s="1"/>
  <c r="AP56" i="72" s="1"/>
  <c r="T55" i="100"/>
  <c r="AC39" i="76"/>
  <c r="AN39" i="76" s="1"/>
  <c r="AO39" i="76" s="1"/>
  <c r="AP40" i="72" s="1"/>
  <c r="T39" i="100"/>
  <c r="AD39" i="76"/>
  <c r="AF39" i="76" s="1"/>
  <c r="T23" i="100"/>
  <c r="AC23" i="76"/>
  <c r="AN23" i="76" s="1"/>
  <c r="AO23" i="76" s="1"/>
  <c r="AP24" i="72" s="1"/>
  <c r="T15" i="100"/>
  <c r="AC15" i="76"/>
  <c r="AN15" i="76" s="1"/>
  <c r="AO15" i="76" s="1"/>
  <c r="AP16" i="72" s="1"/>
  <c r="U74" i="100"/>
  <c r="AD74" i="80"/>
  <c r="AF74" i="80" s="1"/>
  <c r="AD69" i="80"/>
  <c r="AF69" i="80" s="1"/>
  <c r="U69" i="100"/>
  <c r="U66" i="100"/>
  <c r="AD66" i="80"/>
  <c r="AF66" i="80" s="1"/>
  <c r="U54" i="100"/>
  <c r="AD54" i="80"/>
  <c r="AF54" i="80" s="1"/>
  <c r="U42" i="100"/>
  <c r="AD42" i="80"/>
  <c r="AF42" i="80" s="1"/>
  <c r="U34" i="100"/>
  <c r="AD34" i="80"/>
  <c r="AF34" i="80" s="1"/>
  <c r="U18" i="100"/>
  <c r="AD18" i="80"/>
  <c r="AF18" i="80" s="1"/>
  <c r="AD14" i="80"/>
  <c r="AF14" i="80" s="1"/>
  <c r="U14" i="100"/>
  <c r="V73" i="113"/>
  <c r="W73" i="113" s="1"/>
  <c r="Z73" i="113" s="1"/>
  <c r="AA73" i="113" s="1"/>
  <c r="V67" i="113"/>
  <c r="W67" i="113" s="1"/>
  <c r="Z67" i="113" s="1"/>
  <c r="AA67" i="113" s="1"/>
  <c r="V47" i="113"/>
  <c r="W47" i="113" s="1"/>
  <c r="Z47" i="113" s="1"/>
  <c r="AA47" i="113" s="1"/>
  <c r="V43" i="113"/>
  <c r="W43" i="113" s="1"/>
  <c r="Z43" i="113" s="1"/>
  <c r="AA43" i="113" s="1"/>
  <c r="V39" i="113"/>
  <c r="W39" i="113" s="1"/>
  <c r="Z39" i="113" s="1"/>
  <c r="AA39" i="113" s="1"/>
  <c r="V23" i="113"/>
  <c r="W23" i="113" s="1"/>
  <c r="Z23" i="113" s="1"/>
  <c r="AA23" i="113" s="1"/>
  <c r="V21" i="113"/>
  <c r="W21" i="113" s="1"/>
  <c r="Z21" i="113" s="1"/>
  <c r="AA21" i="113" s="1"/>
  <c r="V15" i="113"/>
  <c r="W15" i="113" s="1"/>
  <c r="Z15" i="113" s="1"/>
  <c r="AA15" i="113" s="1"/>
  <c r="V9" i="113"/>
  <c r="W9" i="113" s="1"/>
  <c r="Z9" i="113" s="1"/>
  <c r="AA9" i="113" s="1"/>
  <c r="V29" i="114"/>
  <c r="W29" i="114" s="1"/>
  <c r="Z29" i="114" s="1"/>
  <c r="AA29" i="114" s="1"/>
  <c r="V32" i="115"/>
  <c r="W32" i="115" s="1"/>
  <c r="Z32" i="115" s="1"/>
  <c r="AA32" i="115" s="1"/>
  <c r="AB32" i="115" s="1"/>
  <c r="AM32" i="115" s="1"/>
  <c r="V75" i="116"/>
  <c r="W75" i="116" s="1"/>
  <c r="Z75" i="116" s="1"/>
  <c r="AA75" i="116" s="1"/>
  <c r="V73" i="116"/>
  <c r="W73" i="116" s="1"/>
  <c r="Z73" i="116" s="1"/>
  <c r="AA73" i="116" s="1"/>
  <c r="V62" i="116"/>
  <c r="W62" i="116" s="1"/>
  <c r="Z62" i="116" s="1"/>
  <c r="AA62" i="116" s="1"/>
  <c r="V58" i="116"/>
  <c r="W58" i="116" s="1"/>
  <c r="Z58" i="116" s="1"/>
  <c r="AA58" i="116" s="1"/>
  <c r="V56" i="116"/>
  <c r="W56" i="116" s="1"/>
  <c r="Z56" i="116" s="1"/>
  <c r="AA56" i="116" s="1"/>
  <c r="V54" i="116"/>
  <c r="W54" i="116" s="1"/>
  <c r="Z54" i="116" s="1"/>
  <c r="AA54" i="116" s="1"/>
  <c r="V52" i="116"/>
  <c r="W52" i="116" s="1"/>
  <c r="Z52" i="116" s="1"/>
  <c r="AA52" i="116" s="1"/>
  <c r="X69" i="117"/>
  <c r="Y69" i="117" s="1"/>
  <c r="AB69" i="117" s="1"/>
  <c r="AC69" i="117" s="1"/>
  <c r="X65" i="117"/>
  <c r="Y65" i="117" s="1"/>
  <c r="AB65" i="117" s="1"/>
  <c r="AC65" i="117" s="1"/>
  <c r="X63" i="117"/>
  <c r="Y63" i="117" s="1"/>
  <c r="AB63" i="117" s="1"/>
  <c r="AC63" i="117" s="1"/>
  <c r="X61" i="117"/>
  <c r="Y61" i="117" s="1"/>
  <c r="AB61" i="117" s="1"/>
  <c r="AC61" i="117" s="1"/>
  <c r="V76" i="118"/>
  <c r="W76" i="118" s="1"/>
  <c r="Z76" i="118" s="1"/>
  <c r="AA76" i="118" s="1"/>
  <c r="AB76" i="118" s="1"/>
  <c r="AM76" i="118" s="1"/>
  <c r="V72" i="118"/>
  <c r="W72" i="118" s="1"/>
  <c r="Z72" i="118" s="1"/>
  <c r="AA72" i="118" s="1"/>
  <c r="AB72" i="118" s="1"/>
  <c r="AM72" i="118" s="1"/>
  <c r="V70" i="118"/>
  <c r="W70" i="118" s="1"/>
  <c r="Z70" i="118" s="1"/>
  <c r="AA70" i="118" s="1"/>
  <c r="AB70" i="118" s="1"/>
  <c r="AM70" i="118" s="1"/>
  <c r="V68" i="118"/>
  <c r="W68" i="118" s="1"/>
  <c r="Z68" i="118" s="1"/>
  <c r="AA68" i="118" s="1"/>
  <c r="AB68" i="118" s="1"/>
  <c r="AM68" i="118" s="1"/>
  <c r="V66" i="118"/>
  <c r="W66" i="118" s="1"/>
  <c r="Z66" i="118" s="1"/>
  <c r="AA66" i="118" s="1"/>
  <c r="AB66" i="118" s="1"/>
  <c r="AM66" i="118" s="1"/>
  <c r="V51" i="118"/>
  <c r="W51" i="118" s="1"/>
  <c r="Z51" i="118" s="1"/>
  <c r="AA51" i="118" s="1"/>
  <c r="AB51" i="118" s="1"/>
  <c r="AM51" i="118" s="1"/>
  <c r="V47" i="118"/>
  <c r="W47" i="118" s="1"/>
  <c r="Z47" i="118" s="1"/>
  <c r="AA47" i="118" s="1"/>
  <c r="AB47" i="118" s="1"/>
  <c r="AM47" i="118" s="1"/>
  <c r="V41" i="118"/>
  <c r="W41" i="118" s="1"/>
  <c r="Z41" i="118" s="1"/>
  <c r="AA41" i="118" s="1"/>
  <c r="AB41" i="118" s="1"/>
  <c r="AM41" i="118" s="1"/>
  <c r="W74" i="76"/>
  <c r="X74" i="76" s="1"/>
  <c r="AA74" i="76" s="1"/>
  <c r="AB74" i="76" s="1"/>
  <c r="W51" i="76"/>
  <c r="X51" i="76" s="1"/>
  <c r="AA51" i="76" s="1"/>
  <c r="AB51" i="76" s="1"/>
  <c r="W49" i="76"/>
  <c r="X49" i="76" s="1"/>
  <c r="AA49" i="76" s="1"/>
  <c r="AB49" i="76" s="1"/>
  <c r="W45" i="76"/>
  <c r="X45" i="76" s="1"/>
  <c r="AA45" i="76" s="1"/>
  <c r="AB45" i="76" s="1"/>
  <c r="W42" i="76"/>
  <c r="X42" i="76" s="1"/>
  <c r="AA42" i="76" s="1"/>
  <c r="AB42" i="76" s="1"/>
  <c r="W36" i="76"/>
  <c r="X36" i="76" s="1"/>
  <c r="AA36" i="76" s="1"/>
  <c r="AB36" i="76" s="1"/>
  <c r="W21" i="76"/>
  <c r="X21" i="76" s="1"/>
  <c r="AA21" i="76" s="1"/>
  <c r="AB21" i="76" s="1"/>
  <c r="W14" i="76"/>
  <c r="X14" i="76" s="1"/>
  <c r="AA14" i="76" s="1"/>
  <c r="AB14" i="76" s="1"/>
  <c r="W8" i="76"/>
  <c r="X8" i="76" s="1"/>
  <c r="AA8" i="76" s="1"/>
  <c r="AB8" i="76" s="1"/>
  <c r="W6" i="76"/>
  <c r="V44" i="31"/>
  <c r="W44" i="31" s="1"/>
  <c r="Z44" i="31" s="1"/>
  <c r="AA44" i="31" s="1"/>
  <c r="V51" i="114"/>
  <c r="W51" i="114" s="1"/>
  <c r="Z51" i="114" s="1"/>
  <c r="AA51" i="114" s="1"/>
  <c r="V35" i="114"/>
  <c r="W35" i="114" s="1"/>
  <c r="Z35" i="114" s="1"/>
  <c r="AA35" i="114" s="1"/>
  <c r="V28" i="114"/>
  <c r="W28" i="114" s="1"/>
  <c r="Z28" i="114" s="1"/>
  <c r="AA28" i="114" s="1"/>
  <c r="V76" i="115"/>
  <c r="W76" i="115" s="1"/>
  <c r="Z76" i="115" s="1"/>
  <c r="AA76" i="115" s="1"/>
  <c r="AB76" i="115" s="1"/>
  <c r="AM76" i="115" s="1"/>
  <c r="V64" i="115"/>
  <c r="W64" i="115" s="1"/>
  <c r="Z64" i="115" s="1"/>
  <c r="AA64" i="115" s="1"/>
  <c r="AB64" i="115" s="1"/>
  <c r="AM64" i="115" s="1"/>
  <c r="V30" i="115"/>
  <c r="W30" i="115" s="1"/>
  <c r="Z30" i="115" s="1"/>
  <c r="AA30" i="115" s="1"/>
  <c r="AB30" i="115" s="1"/>
  <c r="AM30" i="115" s="1"/>
  <c r="V19" i="115"/>
  <c r="W19" i="115" s="1"/>
  <c r="Z19" i="115" s="1"/>
  <c r="AA19" i="115" s="1"/>
  <c r="AB19" i="115" s="1"/>
  <c r="AM19" i="115" s="1"/>
  <c r="V9" i="115"/>
  <c r="W9" i="115" s="1"/>
  <c r="Z9" i="115" s="1"/>
  <c r="AA9" i="115" s="1"/>
  <c r="AB9" i="115" s="1"/>
  <c r="AM9" i="115" s="1"/>
  <c r="V72" i="116"/>
  <c r="W72" i="116" s="1"/>
  <c r="Z72" i="116" s="1"/>
  <c r="AA72" i="116" s="1"/>
  <c r="V61" i="116"/>
  <c r="W61" i="116" s="1"/>
  <c r="Z61" i="116" s="1"/>
  <c r="AA61" i="116" s="1"/>
  <c r="V36" i="116"/>
  <c r="W36" i="116" s="1"/>
  <c r="X68" i="117"/>
  <c r="Y68" i="117" s="1"/>
  <c r="AB68" i="117" s="1"/>
  <c r="AC68" i="117" s="1"/>
  <c r="X31" i="117"/>
  <c r="Y31" i="117" s="1"/>
  <c r="AB31" i="117" s="1"/>
  <c r="AC31" i="117" s="1"/>
  <c r="V67" i="118"/>
  <c r="W67" i="118" s="1"/>
  <c r="Z67" i="118" s="1"/>
  <c r="AA67" i="118" s="1"/>
  <c r="AB67" i="118" s="1"/>
  <c r="AM67" i="118" s="1"/>
  <c r="V48" i="118"/>
  <c r="W48" i="118" s="1"/>
  <c r="Z48" i="118" s="1"/>
  <c r="AA48" i="118" s="1"/>
  <c r="AB48" i="118" s="1"/>
  <c r="AM48" i="118" s="1"/>
  <c r="W47" i="76"/>
  <c r="X47" i="76" s="1"/>
  <c r="AA47" i="76" s="1"/>
  <c r="AB47" i="76" s="1"/>
  <c r="W46" i="76"/>
  <c r="X46" i="76" s="1"/>
  <c r="AA46" i="76" s="1"/>
  <c r="AB46" i="76" s="1"/>
  <c r="W41" i="76"/>
  <c r="X41" i="76" s="1"/>
  <c r="AA41" i="76" s="1"/>
  <c r="AB41" i="76" s="1"/>
  <c r="W40" i="76"/>
  <c r="X40" i="76" s="1"/>
  <c r="AA40" i="76" s="1"/>
  <c r="AB40" i="76" s="1"/>
  <c r="W22" i="76"/>
  <c r="X22" i="76" s="1"/>
  <c r="AA22" i="76" s="1"/>
  <c r="AB22" i="76" s="1"/>
  <c r="W71" i="80"/>
  <c r="X71" i="80" s="1"/>
  <c r="AA71" i="80" s="1"/>
  <c r="AB71" i="80" s="1"/>
  <c r="AC71" i="80" s="1"/>
  <c r="AN71" i="80" s="1"/>
  <c r="W57" i="80"/>
  <c r="X57" i="80" s="1"/>
  <c r="AA57" i="80" s="1"/>
  <c r="AB57" i="80" s="1"/>
  <c r="AC57" i="80" s="1"/>
  <c r="AN57" i="80" s="1"/>
  <c r="W53" i="80"/>
  <c r="X53" i="80" s="1"/>
  <c r="AA53" i="80" s="1"/>
  <c r="AB53" i="80" s="1"/>
  <c r="AC53" i="80" s="1"/>
  <c r="AN53" i="80" s="1"/>
  <c r="W49" i="80"/>
  <c r="X49" i="80" s="1"/>
  <c r="AA49" i="80" s="1"/>
  <c r="AB49" i="80" s="1"/>
  <c r="AC49" i="80" s="1"/>
  <c r="AN49" i="80" s="1"/>
  <c r="W35" i="80"/>
  <c r="X35" i="80" s="1"/>
  <c r="AA35" i="80" s="1"/>
  <c r="AB35" i="80" s="1"/>
  <c r="AC35" i="80" s="1"/>
  <c r="AN35" i="80" s="1"/>
  <c r="V75" i="113"/>
  <c r="W75" i="113" s="1"/>
  <c r="Z75" i="113" s="1"/>
  <c r="AA75" i="113" s="1"/>
  <c r="V69" i="113"/>
  <c r="W69" i="113" s="1"/>
  <c r="Z69" i="113" s="1"/>
  <c r="AA69" i="113" s="1"/>
  <c r="V41" i="113"/>
  <c r="W41" i="113" s="1"/>
  <c r="Z41" i="113" s="1"/>
  <c r="AA41" i="113" s="1"/>
  <c r="V37" i="113"/>
  <c r="W37" i="113" s="1"/>
  <c r="Z37" i="113" s="1"/>
  <c r="AA37" i="113" s="1"/>
  <c r="V31" i="113"/>
  <c r="W31" i="113" s="1"/>
  <c r="Z31" i="113" s="1"/>
  <c r="AA31" i="113" s="1"/>
  <c r="V22" i="113"/>
  <c r="W22" i="113" s="1"/>
  <c r="Z22" i="113" s="1"/>
  <c r="AA22" i="113" s="1"/>
  <c r="V11" i="113"/>
  <c r="W11" i="113" s="1"/>
  <c r="Z11" i="113" s="1"/>
  <c r="AA11" i="113" s="1"/>
  <c r="V53" i="114"/>
  <c r="W53" i="114" s="1"/>
  <c r="Z53" i="114" s="1"/>
  <c r="AA53" i="114" s="1"/>
  <c r="V45" i="114"/>
  <c r="W45" i="114" s="1"/>
  <c r="Z45" i="114" s="1"/>
  <c r="AA45" i="114" s="1"/>
  <c r="V37" i="114"/>
  <c r="W37" i="114" s="1"/>
  <c r="Z37" i="114" s="1"/>
  <c r="AA37" i="114" s="1"/>
  <c r="V31" i="114"/>
  <c r="W31" i="114" s="1"/>
  <c r="Z31" i="114" s="1"/>
  <c r="AA31" i="114" s="1"/>
  <c r="V70" i="115"/>
  <c r="W70" i="115" s="1"/>
  <c r="Z70" i="115" s="1"/>
  <c r="AA70" i="115" s="1"/>
  <c r="AB70" i="115" s="1"/>
  <c r="AM70" i="115" s="1"/>
  <c r="V33" i="115"/>
  <c r="W33" i="115" s="1"/>
  <c r="Z33" i="115" s="1"/>
  <c r="AA33" i="115" s="1"/>
  <c r="AB33" i="115" s="1"/>
  <c r="AM33" i="115" s="1"/>
  <c r="V74" i="116"/>
  <c r="W74" i="116" s="1"/>
  <c r="Z74" i="116" s="1"/>
  <c r="AA74" i="116" s="1"/>
  <c r="V63" i="116"/>
  <c r="W63" i="116" s="1"/>
  <c r="Z63" i="116" s="1"/>
  <c r="AA63" i="116" s="1"/>
  <c r="V57" i="116"/>
  <c r="W57" i="116" s="1"/>
  <c r="Z57" i="116" s="1"/>
  <c r="AA57" i="116" s="1"/>
  <c r="V53" i="116"/>
  <c r="W53" i="116" s="1"/>
  <c r="Z53" i="116" s="1"/>
  <c r="AA53" i="116" s="1"/>
  <c r="V48" i="116"/>
  <c r="W48" i="116" s="1"/>
  <c r="V38" i="116"/>
  <c r="W38" i="116" s="1"/>
  <c r="V29" i="116"/>
  <c r="W29" i="116" s="1"/>
  <c r="V25" i="116"/>
  <c r="W25" i="116" s="1"/>
  <c r="X70" i="117"/>
  <c r="Y70" i="117" s="1"/>
  <c r="AB70" i="117" s="1"/>
  <c r="AC70" i="117" s="1"/>
  <c r="X64" i="117"/>
  <c r="Y64" i="117" s="1"/>
  <c r="AB64" i="117" s="1"/>
  <c r="AC64" i="117" s="1"/>
  <c r="X60" i="117"/>
  <c r="Y60" i="117" s="1"/>
  <c r="AB60" i="117" s="1"/>
  <c r="AC60" i="117" s="1"/>
  <c r="X59" i="117"/>
  <c r="Y59" i="117" s="1"/>
  <c r="AB59" i="117" s="1"/>
  <c r="AC59" i="117" s="1"/>
  <c r="X55" i="117"/>
  <c r="Y55" i="117" s="1"/>
  <c r="AB55" i="117" s="1"/>
  <c r="AC55" i="117" s="1"/>
  <c r="X33" i="117"/>
  <c r="Y33" i="117" s="1"/>
  <c r="AB33" i="117" s="1"/>
  <c r="AC33" i="117" s="1"/>
  <c r="V69" i="118"/>
  <c r="W69" i="118" s="1"/>
  <c r="Z69" i="118" s="1"/>
  <c r="AA69" i="118" s="1"/>
  <c r="AB69" i="118" s="1"/>
  <c r="AM69" i="118" s="1"/>
  <c r="V54" i="118"/>
  <c r="W54" i="118" s="1"/>
  <c r="Z54" i="118" s="1"/>
  <c r="AA54" i="118" s="1"/>
  <c r="AB54" i="118" s="1"/>
  <c r="AM54" i="118" s="1"/>
  <c r="V50" i="118"/>
  <c r="W50" i="118" s="1"/>
  <c r="Z50" i="118" s="1"/>
  <c r="AA50" i="118" s="1"/>
  <c r="AB50" i="118" s="1"/>
  <c r="AM50" i="118" s="1"/>
  <c r="W73" i="76"/>
  <c r="X73" i="76" s="1"/>
  <c r="AA73" i="76" s="1"/>
  <c r="AB73" i="76" s="1"/>
  <c r="W50" i="76"/>
  <c r="X50" i="76" s="1"/>
  <c r="AA50" i="76" s="1"/>
  <c r="AB50" i="76" s="1"/>
  <c r="W44" i="76"/>
  <c r="X44" i="76" s="1"/>
  <c r="AA44" i="76" s="1"/>
  <c r="AB44" i="76" s="1"/>
  <c r="W20" i="76"/>
  <c r="X20" i="76" s="1"/>
  <c r="AA20" i="76" s="1"/>
  <c r="AB20" i="76" s="1"/>
  <c r="W13" i="76"/>
  <c r="X13" i="76" s="1"/>
  <c r="AA13" i="76" s="1"/>
  <c r="AB13" i="76" s="1"/>
  <c r="W51" i="80"/>
  <c r="X51" i="80" s="1"/>
  <c r="AA51" i="80" s="1"/>
  <c r="AB51" i="80" s="1"/>
  <c r="AC51" i="80" s="1"/>
  <c r="AN51" i="80" s="1"/>
  <c r="W37" i="80"/>
  <c r="X37" i="80" s="1"/>
  <c r="AA37" i="80" s="1"/>
  <c r="AB37" i="80" s="1"/>
  <c r="AC37" i="80" s="1"/>
  <c r="AN37" i="80" s="1"/>
  <c r="V57" i="31"/>
  <c r="W57" i="31" s="1"/>
  <c r="Z57" i="31" s="1"/>
  <c r="AA57" i="31" s="1"/>
  <c r="V28" i="31"/>
  <c r="W28" i="31" s="1"/>
  <c r="Z28" i="31" s="1"/>
  <c r="AA28" i="31" s="1"/>
  <c r="V18" i="31"/>
  <c r="W18" i="31" s="1"/>
  <c r="Z18" i="31" s="1"/>
  <c r="AA18" i="31" s="1"/>
  <c r="V12" i="31"/>
  <c r="V65" i="31"/>
  <c r="W65" i="31" s="1"/>
  <c r="Z65" i="31" s="1"/>
  <c r="AA65" i="31" s="1"/>
  <c r="V63" i="31"/>
  <c r="W63" i="31" s="1"/>
  <c r="Z63" i="31" s="1"/>
  <c r="AA63" i="31" s="1"/>
  <c r="V62" i="31"/>
  <c r="W62" i="31" s="1"/>
  <c r="Z62" i="31" s="1"/>
  <c r="AA62" i="31" s="1"/>
  <c r="V51" i="31"/>
  <c r="W51" i="31" s="1"/>
  <c r="Z51" i="31" s="1"/>
  <c r="AA51" i="31" s="1"/>
  <c r="V47" i="31"/>
  <c r="W47" i="31" s="1"/>
  <c r="Z47" i="31" s="1"/>
  <c r="AA47" i="31" s="1"/>
  <c r="V42" i="31"/>
  <c r="W42" i="31" s="1"/>
  <c r="Z42" i="31" s="1"/>
  <c r="AA42" i="31" s="1"/>
  <c r="V41" i="31"/>
  <c r="W41" i="31" s="1"/>
  <c r="Z41" i="31" s="1"/>
  <c r="AA41" i="31" s="1"/>
  <c r="V40" i="31"/>
  <c r="W40" i="31" s="1"/>
  <c r="Z40" i="31" s="1"/>
  <c r="AA40" i="31" s="1"/>
  <c r="V39" i="31"/>
  <c r="W39" i="31" s="1"/>
  <c r="Z39" i="31" s="1"/>
  <c r="AA39" i="31" s="1"/>
  <c r="V38" i="31"/>
  <c r="W38" i="31" s="1"/>
  <c r="Z38" i="31" s="1"/>
  <c r="AA38" i="31" s="1"/>
  <c r="V34" i="31"/>
  <c r="W34" i="31" s="1"/>
  <c r="Z34" i="31" s="1"/>
  <c r="AA34" i="31" s="1"/>
  <c r="V26" i="31"/>
  <c r="W26" i="31" s="1"/>
  <c r="Z26" i="31" s="1"/>
  <c r="AA26" i="31" s="1"/>
  <c r="V25" i="31"/>
  <c r="W25" i="31" s="1"/>
  <c r="Z25" i="31" s="1"/>
  <c r="AA25" i="31" s="1"/>
  <c r="V24" i="31"/>
  <c r="W24" i="31" s="1"/>
  <c r="Z24" i="31" s="1"/>
  <c r="AA24" i="31" s="1"/>
  <c r="V23" i="31"/>
  <c r="W23" i="31" s="1"/>
  <c r="Z23" i="31" s="1"/>
  <c r="AA23" i="31" s="1"/>
  <c r="V22" i="31"/>
  <c r="W22" i="31" s="1"/>
  <c r="Z22" i="31" s="1"/>
  <c r="AA22" i="31" s="1"/>
  <c r="V19" i="31"/>
  <c r="W19" i="31" s="1"/>
  <c r="Z19" i="31" s="1"/>
  <c r="AA19" i="31" s="1"/>
  <c r="V61" i="31"/>
  <c r="W61" i="31" s="1"/>
  <c r="Z61" i="31" s="1"/>
  <c r="AA61" i="31" s="1"/>
  <c r="V54" i="31"/>
  <c r="W54" i="31" s="1"/>
  <c r="Z54" i="31" s="1"/>
  <c r="AA54" i="31" s="1"/>
  <c r="V52" i="31"/>
  <c r="W52" i="31" s="1"/>
  <c r="Z52" i="31" s="1"/>
  <c r="AA52" i="31" s="1"/>
  <c r="V35" i="31"/>
  <c r="W35" i="31" s="1"/>
  <c r="Z35" i="31" s="1"/>
  <c r="AA35" i="31" s="1"/>
  <c r="V32" i="31"/>
  <c r="W32" i="31" s="1"/>
  <c r="Z32" i="31" s="1"/>
  <c r="AA32" i="31" s="1"/>
  <c r="V31" i="31"/>
  <c r="W31" i="31" s="1"/>
  <c r="Z31" i="31" s="1"/>
  <c r="AA31" i="31" s="1"/>
  <c r="V77" i="114"/>
  <c r="V76" i="114"/>
  <c r="W76" i="114" s="1"/>
  <c r="Z76" i="114" s="1"/>
  <c r="AA76" i="114" s="1"/>
  <c r="V74" i="114"/>
  <c r="W74" i="114" s="1"/>
  <c r="Z74" i="114" s="1"/>
  <c r="AA74" i="114" s="1"/>
  <c r="V73" i="114"/>
  <c r="W73" i="114" s="1"/>
  <c r="Z73" i="114" s="1"/>
  <c r="AA73" i="114" s="1"/>
  <c r="V72" i="114"/>
  <c r="W72" i="114" s="1"/>
  <c r="Z72" i="114" s="1"/>
  <c r="AA72" i="114" s="1"/>
  <c r="V71" i="114"/>
  <c r="W71" i="114" s="1"/>
  <c r="Z71" i="114" s="1"/>
  <c r="AA71" i="114" s="1"/>
  <c r="V21" i="114"/>
  <c r="W21" i="114" s="1"/>
  <c r="Z21" i="114" s="1"/>
  <c r="AA21" i="114" s="1"/>
  <c r="V20" i="114"/>
  <c r="W20" i="114" s="1"/>
  <c r="Z20" i="114" s="1"/>
  <c r="AA20" i="114" s="1"/>
  <c r="V18" i="114"/>
  <c r="W18" i="114" s="1"/>
  <c r="Z18" i="114" s="1"/>
  <c r="AA18" i="114" s="1"/>
  <c r="V15" i="114"/>
  <c r="W15" i="114" s="1"/>
  <c r="Z15" i="114" s="1"/>
  <c r="AA15" i="114" s="1"/>
  <c r="V13" i="114"/>
  <c r="W13" i="114" s="1"/>
  <c r="Z13" i="114" s="1"/>
  <c r="AA13" i="114" s="1"/>
  <c r="V12" i="114"/>
  <c r="W12" i="114" s="1"/>
  <c r="Z12" i="114" s="1"/>
  <c r="AA12" i="114" s="1"/>
  <c r="V41" i="115"/>
  <c r="W41" i="115" s="1"/>
  <c r="Z41" i="115" s="1"/>
  <c r="AA41" i="115" s="1"/>
  <c r="AB41" i="115" s="1"/>
  <c r="AM41" i="115" s="1"/>
  <c r="V40" i="115"/>
  <c r="W40" i="115" s="1"/>
  <c r="Z40" i="115" s="1"/>
  <c r="AA40" i="115" s="1"/>
  <c r="AB40" i="115" s="1"/>
  <c r="AM40" i="115" s="1"/>
  <c r="V39" i="115"/>
  <c r="W39" i="115" s="1"/>
  <c r="Z39" i="115" s="1"/>
  <c r="AA39" i="115" s="1"/>
  <c r="AB39" i="115" s="1"/>
  <c r="AM39" i="115" s="1"/>
  <c r="V46" i="116"/>
  <c r="W46" i="116" s="1"/>
  <c r="V45" i="116"/>
  <c r="W45" i="116" s="1"/>
  <c r="V43" i="116"/>
  <c r="W43" i="116" s="1"/>
  <c r="V11" i="116"/>
  <c r="W11" i="116" s="1"/>
  <c r="V10" i="116"/>
  <c r="W10" i="116" s="1"/>
  <c r="V9" i="116"/>
  <c r="W9" i="116" s="1"/>
  <c r="V8" i="116"/>
  <c r="X53" i="117"/>
  <c r="Y53" i="117" s="1"/>
  <c r="AB53" i="117" s="1"/>
  <c r="AC53" i="117" s="1"/>
  <c r="X52" i="117"/>
  <c r="Y52" i="117" s="1"/>
  <c r="AB52" i="117" s="1"/>
  <c r="AC52" i="117" s="1"/>
  <c r="X50" i="117"/>
  <c r="Y50" i="117" s="1"/>
  <c r="AB50" i="117" s="1"/>
  <c r="AC50" i="117" s="1"/>
  <c r="X26" i="117"/>
  <c r="Y26" i="117" s="1"/>
  <c r="AB26" i="117" s="1"/>
  <c r="AC26" i="117" s="1"/>
  <c r="X23" i="117"/>
  <c r="Y23" i="117" s="1"/>
  <c r="AB23" i="117" s="1"/>
  <c r="AC23" i="117" s="1"/>
  <c r="X21" i="117"/>
  <c r="Y21" i="117" s="1"/>
  <c r="AB21" i="117" s="1"/>
  <c r="AC21" i="117" s="1"/>
  <c r="X20" i="117"/>
  <c r="Y20" i="117" s="1"/>
  <c r="AB20" i="117" s="1"/>
  <c r="AC20" i="117" s="1"/>
  <c r="X18" i="117"/>
  <c r="Y18" i="117" s="1"/>
  <c r="AB18" i="117" s="1"/>
  <c r="AC18" i="117" s="1"/>
  <c r="X17" i="117"/>
  <c r="Y17" i="117" s="1"/>
  <c r="AB17" i="117" s="1"/>
  <c r="AC17" i="117" s="1"/>
  <c r="X16" i="117"/>
  <c r="Y16" i="117" s="1"/>
  <c r="AB16" i="117" s="1"/>
  <c r="AC16" i="117" s="1"/>
  <c r="X15" i="117"/>
  <c r="Y15" i="117" s="1"/>
  <c r="AB15" i="117" s="1"/>
  <c r="AC15" i="117" s="1"/>
  <c r="V59" i="118"/>
  <c r="W59" i="118" s="1"/>
  <c r="Z59" i="118" s="1"/>
  <c r="AA59" i="118" s="1"/>
  <c r="AB59" i="118" s="1"/>
  <c r="AM59" i="118" s="1"/>
  <c r="V58" i="118"/>
  <c r="W58" i="118" s="1"/>
  <c r="Z58" i="118" s="1"/>
  <c r="AA58" i="118" s="1"/>
  <c r="AB58" i="118" s="1"/>
  <c r="AM58" i="118" s="1"/>
  <c r="V57" i="118"/>
  <c r="W57" i="118" s="1"/>
  <c r="Z57" i="118" s="1"/>
  <c r="AA57" i="118" s="1"/>
  <c r="AB57" i="118" s="1"/>
  <c r="AM57" i="118" s="1"/>
  <c r="V31" i="118"/>
  <c r="W31" i="118" s="1"/>
  <c r="Z31" i="118" s="1"/>
  <c r="AA31" i="118" s="1"/>
  <c r="AB31" i="118" s="1"/>
  <c r="AM31" i="118" s="1"/>
  <c r="V29" i="118"/>
  <c r="W29" i="118" s="1"/>
  <c r="Z29" i="118" s="1"/>
  <c r="AA29" i="118" s="1"/>
  <c r="AB29" i="118" s="1"/>
  <c r="AM29" i="118" s="1"/>
  <c r="V28" i="118"/>
  <c r="W28" i="118" s="1"/>
  <c r="Z28" i="118" s="1"/>
  <c r="AA28" i="118" s="1"/>
  <c r="AB28" i="118" s="1"/>
  <c r="AM28" i="118" s="1"/>
  <c r="V27" i="118"/>
  <c r="W27" i="118" s="1"/>
  <c r="Z27" i="118" s="1"/>
  <c r="AA27" i="118" s="1"/>
  <c r="AB27" i="118" s="1"/>
  <c r="AM27" i="118" s="1"/>
  <c r="V26" i="118"/>
  <c r="W26" i="118" s="1"/>
  <c r="Z26" i="118" s="1"/>
  <c r="AA26" i="118" s="1"/>
  <c r="AB26" i="118" s="1"/>
  <c r="AM26" i="118" s="1"/>
  <c r="V25" i="118"/>
  <c r="W25" i="118" s="1"/>
  <c r="Z25" i="118" s="1"/>
  <c r="AA25" i="118" s="1"/>
  <c r="AB25" i="118" s="1"/>
  <c r="AM25" i="118" s="1"/>
  <c r="W34" i="76"/>
  <c r="X34" i="76" s="1"/>
  <c r="AA34" i="76" s="1"/>
  <c r="AB34" i="76" s="1"/>
  <c r="W33" i="76"/>
  <c r="X33" i="76" s="1"/>
  <c r="AA33" i="76" s="1"/>
  <c r="AB33" i="76" s="1"/>
  <c r="W31" i="76"/>
  <c r="X31" i="76" s="1"/>
  <c r="AA31" i="76" s="1"/>
  <c r="AB31" i="76" s="1"/>
  <c r="W16" i="76"/>
  <c r="X16" i="76" s="1"/>
  <c r="AA16" i="76" s="1"/>
  <c r="AB16" i="76" s="1"/>
  <c r="W62" i="80"/>
  <c r="X62" i="80" s="1"/>
  <c r="AA62" i="80" s="1"/>
  <c r="AB62" i="80" s="1"/>
  <c r="AC62" i="80" s="1"/>
  <c r="AN62" i="80" s="1"/>
  <c r="W61" i="80"/>
  <c r="X61" i="80" s="1"/>
  <c r="AA61" i="80" s="1"/>
  <c r="AB61" i="80" s="1"/>
  <c r="AC61" i="80" s="1"/>
  <c r="AN61" i="80" s="1"/>
  <c r="W59" i="80"/>
  <c r="X59" i="80" s="1"/>
  <c r="AA59" i="80" s="1"/>
  <c r="AB59" i="80" s="1"/>
  <c r="AC59" i="80" s="1"/>
  <c r="AN59" i="80" s="1"/>
  <c r="W21" i="80"/>
  <c r="X21" i="80" s="1"/>
  <c r="AA21" i="80" s="1"/>
  <c r="AB21" i="80" s="1"/>
  <c r="AC21" i="80" s="1"/>
  <c r="AN21" i="80" s="1"/>
  <c r="W20" i="80"/>
  <c r="X20" i="80" s="1"/>
  <c r="AA20" i="80" s="1"/>
  <c r="AB20" i="80" s="1"/>
  <c r="AC20" i="80" s="1"/>
  <c r="AN20" i="80" s="1"/>
  <c r="W19" i="80"/>
  <c r="X19" i="80" s="1"/>
  <c r="AA19" i="80" s="1"/>
  <c r="AB19" i="80" s="1"/>
  <c r="AC19" i="80" s="1"/>
  <c r="AN19" i="80" s="1"/>
  <c r="W13" i="80"/>
  <c r="X13" i="80" s="1"/>
  <c r="AA13" i="80" s="1"/>
  <c r="AB13" i="80" s="1"/>
  <c r="AC13" i="80" s="1"/>
  <c r="AN13" i="80" s="1"/>
  <c r="W12" i="80"/>
  <c r="X12" i="80" s="1"/>
  <c r="AA12" i="80" s="1"/>
  <c r="AB12" i="80" s="1"/>
  <c r="AC12" i="80" s="1"/>
  <c r="AN12" i="80" s="1"/>
  <c r="W10" i="80"/>
  <c r="X10" i="80" s="1"/>
  <c r="AA10" i="80" s="1"/>
  <c r="AB10" i="80" s="1"/>
  <c r="AC10" i="80" s="1"/>
  <c r="AN10" i="80" s="1"/>
  <c r="W7" i="80"/>
  <c r="X7" i="80" s="1"/>
  <c r="AA7" i="80" s="1"/>
  <c r="AB7" i="80" s="1"/>
  <c r="AC7" i="80" s="1"/>
  <c r="AN7" i="80" s="1"/>
  <c r="V45" i="31"/>
  <c r="W45" i="31" s="1"/>
  <c r="Z45" i="31" s="1"/>
  <c r="AA45" i="31" s="1"/>
  <c r="V33" i="31"/>
  <c r="W33" i="31" s="1"/>
  <c r="Z33" i="31" s="1"/>
  <c r="AA33" i="31" s="1"/>
  <c r="V20" i="31"/>
  <c r="W20" i="31" s="1"/>
  <c r="Z20" i="31" s="1"/>
  <c r="AA20" i="31" s="1"/>
  <c r="V59" i="113"/>
  <c r="W59" i="113" s="1"/>
  <c r="Z59" i="113" s="1"/>
  <c r="AA59" i="113" s="1"/>
  <c r="V58" i="113"/>
  <c r="W58" i="113" s="1"/>
  <c r="Z58" i="113" s="1"/>
  <c r="AA58" i="113" s="1"/>
  <c r="V57" i="113"/>
  <c r="W57" i="113" s="1"/>
  <c r="Z57" i="113" s="1"/>
  <c r="AA57" i="113" s="1"/>
  <c r="V39" i="114"/>
  <c r="W39" i="114" s="1"/>
  <c r="Z39" i="114" s="1"/>
  <c r="AA39" i="114" s="1"/>
  <c r="V13" i="115"/>
  <c r="W13" i="115" s="1"/>
  <c r="Z13" i="115" s="1"/>
  <c r="AA13" i="115" s="1"/>
  <c r="AB13" i="115" s="1"/>
  <c r="AM13" i="115" s="1"/>
  <c r="V12" i="115"/>
  <c r="W12" i="115" s="1"/>
  <c r="Z12" i="115" s="1"/>
  <c r="AA12" i="115" s="1"/>
  <c r="AB12" i="115" s="1"/>
  <c r="AM12" i="115" s="1"/>
  <c r="V11" i="115"/>
  <c r="W11" i="115" s="1"/>
  <c r="Z11" i="115" s="1"/>
  <c r="AA11" i="115" s="1"/>
  <c r="AB11" i="115" s="1"/>
  <c r="AM11" i="115" s="1"/>
  <c r="V19" i="116"/>
  <c r="W19" i="116" s="1"/>
  <c r="V16" i="116"/>
  <c r="W16" i="116" s="1"/>
  <c r="V14" i="116"/>
  <c r="W14" i="116" s="1"/>
  <c r="V13" i="116"/>
  <c r="W13" i="116" s="1"/>
  <c r="X37" i="117"/>
  <c r="Y37" i="117" s="1"/>
  <c r="AB37" i="117" s="1"/>
  <c r="AC37" i="117" s="1"/>
  <c r="X36" i="117"/>
  <c r="Y36" i="117" s="1"/>
  <c r="AB36" i="117" s="1"/>
  <c r="AC36" i="117" s="1"/>
  <c r="X11" i="117"/>
  <c r="Y11" i="117" s="1"/>
  <c r="AB11" i="117" s="1"/>
  <c r="AC11" i="117" s="1"/>
  <c r="V32" i="118"/>
  <c r="W32" i="118" s="1"/>
  <c r="Z32" i="118" s="1"/>
  <c r="AA32" i="118" s="1"/>
  <c r="AB32" i="118" s="1"/>
  <c r="AM32" i="118" s="1"/>
  <c r="V15" i="118"/>
  <c r="W15" i="118" s="1"/>
  <c r="Z15" i="118" s="1"/>
  <c r="AA15" i="118" s="1"/>
  <c r="AB15" i="118" s="1"/>
  <c r="AM15" i="118" s="1"/>
  <c r="V13" i="118"/>
  <c r="W13" i="118" s="1"/>
  <c r="Z13" i="118" s="1"/>
  <c r="AA13" i="118" s="1"/>
  <c r="AB13" i="118" s="1"/>
  <c r="AM13" i="118" s="1"/>
  <c r="V12" i="118"/>
  <c r="W12" i="118" s="1"/>
  <c r="Z12" i="118" s="1"/>
  <c r="AA12" i="118" s="1"/>
  <c r="AB12" i="118" s="1"/>
  <c r="AM12" i="118" s="1"/>
  <c r="V68" i="31"/>
  <c r="W68" i="31" s="1"/>
  <c r="Z68" i="31" s="1"/>
  <c r="AA68" i="31" s="1"/>
  <c r="V67" i="31"/>
  <c r="W67" i="31" s="1"/>
  <c r="Z67" i="31" s="1"/>
  <c r="AA67" i="31" s="1"/>
  <c r="V59" i="31"/>
  <c r="W59" i="31" s="1"/>
  <c r="Z59" i="31" s="1"/>
  <c r="AA59" i="31" s="1"/>
  <c r="V58" i="31"/>
  <c r="W58" i="31" s="1"/>
  <c r="Z58" i="31" s="1"/>
  <c r="AA58" i="31" s="1"/>
  <c r="V49" i="31"/>
  <c r="W49" i="31" s="1"/>
  <c r="Z49" i="31" s="1"/>
  <c r="AA49" i="31" s="1"/>
  <c r="V48" i="31"/>
  <c r="W48" i="31" s="1"/>
  <c r="Z48" i="31" s="1"/>
  <c r="AA48" i="31" s="1"/>
  <c r="V36" i="31"/>
  <c r="W36" i="31" s="1"/>
  <c r="Z36" i="31" s="1"/>
  <c r="AA36" i="31" s="1"/>
  <c r="V29" i="31"/>
  <c r="W29" i="31" s="1"/>
  <c r="Z29" i="31" s="1"/>
  <c r="AA29" i="31" s="1"/>
  <c r="V17" i="31"/>
  <c r="W17" i="31" s="1"/>
  <c r="Z17" i="31" s="1"/>
  <c r="AA17" i="31" s="1"/>
  <c r="V16" i="31"/>
  <c r="W16" i="31" s="1"/>
  <c r="Z16" i="31" s="1"/>
  <c r="AA16" i="31" s="1"/>
  <c r="V15" i="31"/>
  <c r="W15" i="31" s="1"/>
  <c r="Z15" i="31" s="1"/>
  <c r="AA15" i="31" s="1"/>
  <c r="V14" i="31"/>
  <c r="W14" i="31" s="1"/>
  <c r="Z14" i="31" s="1"/>
  <c r="AA14" i="31" s="1"/>
  <c r="V13" i="31"/>
  <c r="W13" i="31" s="1"/>
  <c r="Z13" i="31" s="1"/>
  <c r="AA13" i="31" s="1"/>
  <c r="Y10" i="46"/>
  <c r="V51" i="113"/>
  <c r="W51" i="113" s="1"/>
  <c r="Z51" i="113" s="1"/>
  <c r="AA51" i="113" s="1"/>
  <c r="V50" i="113"/>
  <c r="W50" i="113" s="1"/>
  <c r="Z50" i="113" s="1"/>
  <c r="AA50" i="113" s="1"/>
  <c r="V33" i="113"/>
  <c r="W33" i="113" s="1"/>
  <c r="Z33" i="113" s="1"/>
  <c r="AA33" i="113" s="1"/>
  <c r="V67" i="114"/>
  <c r="W67" i="114" s="1"/>
  <c r="Z67" i="114" s="1"/>
  <c r="AA67" i="114" s="1"/>
  <c r="V25" i="114"/>
  <c r="W25" i="114" s="1"/>
  <c r="Z25" i="114" s="1"/>
  <c r="AA25" i="114" s="1"/>
  <c r="V24" i="114"/>
  <c r="W24" i="114" s="1"/>
  <c r="Z24" i="114" s="1"/>
  <c r="AA24" i="114" s="1"/>
  <c r="V23" i="114"/>
  <c r="W23" i="114" s="1"/>
  <c r="Z23" i="114" s="1"/>
  <c r="AA23" i="114" s="1"/>
  <c r="V73" i="115"/>
  <c r="W73" i="115" s="1"/>
  <c r="Z73" i="115" s="1"/>
  <c r="AA73" i="115" s="1"/>
  <c r="AB73" i="115" s="1"/>
  <c r="AM73" i="115" s="1"/>
  <c r="V72" i="115"/>
  <c r="W72" i="115" s="1"/>
  <c r="Z72" i="115" s="1"/>
  <c r="AA72" i="115" s="1"/>
  <c r="AB72" i="115" s="1"/>
  <c r="AM72" i="115" s="1"/>
  <c r="V50" i="115"/>
  <c r="W50" i="115" s="1"/>
  <c r="Z50" i="115" s="1"/>
  <c r="AA50" i="115" s="1"/>
  <c r="AB50" i="115" s="1"/>
  <c r="AM50" i="115" s="1"/>
  <c r="V49" i="115"/>
  <c r="W49" i="115" s="1"/>
  <c r="Z49" i="115" s="1"/>
  <c r="AA49" i="115" s="1"/>
  <c r="AB49" i="115" s="1"/>
  <c r="AM49" i="115" s="1"/>
  <c r="V48" i="115"/>
  <c r="W48" i="115" s="1"/>
  <c r="Z48" i="115" s="1"/>
  <c r="AA48" i="115" s="1"/>
  <c r="AB48" i="115" s="1"/>
  <c r="AM48" i="115" s="1"/>
  <c r="V46" i="115"/>
  <c r="W46" i="115" s="1"/>
  <c r="Z46" i="115" s="1"/>
  <c r="AA46" i="115" s="1"/>
  <c r="AB46" i="115" s="1"/>
  <c r="AM46" i="115" s="1"/>
  <c r="V45" i="115"/>
  <c r="W45" i="115" s="1"/>
  <c r="Z45" i="115" s="1"/>
  <c r="AA45" i="115" s="1"/>
  <c r="AB45" i="115" s="1"/>
  <c r="AM45" i="115" s="1"/>
  <c r="V44" i="115"/>
  <c r="W44" i="115" s="1"/>
  <c r="Z44" i="115" s="1"/>
  <c r="AA44" i="115" s="1"/>
  <c r="AB44" i="115" s="1"/>
  <c r="AM44" i="115" s="1"/>
  <c r="V43" i="115"/>
  <c r="W43" i="115" s="1"/>
  <c r="Z43" i="115" s="1"/>
  <c r="AA43" i="115" s="1"/>
  <c r="AB43" i="115" s="1"/>
  <c r="AM43" i="115" s="1"/>
  <c r="V35" i="115"/>
  <c r="W35" i="115" s="1"/>
  <c r="Z35" i="115" s="1"/>
  <c r="AA35" i="115" s="1"/>
  <c r="AB35" i="115" s="1"/>
  <c r="AM35" i="115" s="1"/>
  <c r="X45" i="117"/>
  <c r="Y45" i="117" s="1"/>
  <c r="AB45" i="117" s="1"/>
  <c r="AC45" i="117" s="1"/>
  <c r="X44" i="117"/>
  <c r="Y44" i="117" s="1"/>
  <c r="AB44" i="117" s="1"/>
  <c r="AC44" i="117" s="1"/>
  <c r="X43" i="117"/>
  <c r="Y43" i="117" s="1"/>
  <c r="AB43" i="117" s="1"/>
  <c r="AC43" i="117" s="1"/>
  <c r="V23" i="118"/>
  <c r="W23" i="118" s="1"/>
  <c r="Z23" i="118" s="1"/>
  <c r="AA23" i="118" s="1"/>
  <c r="AB23" i="118" s="1"/>
  <c r="AM23" i="118" s="1"/>
  <c r="W63" i="76"/>
  <c r="X63" i="76" s="1"/>
  <c r="AA63" i="76" s="1"/>
  <c r="AB63" i="76" s="1"/>
  <c r="W62" i="76"/>
  <c r="X62" i="76" s="1"/>
  <c r="AA62" i="76" s="1"/>
  <c r="AB62" i="76" s="1"/>
  <c r="W61" i="76"/>
  <c r="X61" i="76" s="1"/>
  <c r="AA61" i="76" s="1"/>
  <c r="AB61" i="76" s="1"/>
  <c r="W60" i="76"/>
  <c r="X60" i="76" s="1"/>
  <c r="AA60" i="76" s="1"/>
  <c r="AB60" i="76" s="1"/>
  <c r="W39" i="80"/>
  <c r="X39" i="80" s="1"/>
  <c r="AA39" i="80" s="1"/>
  <c r="AB39" i="80" s="1"/>
  <c r="AC39" i="80" s="1"/>
  <c r="AN39" i="80" s="1"/>
  <c r="W24" i="76"/>
  <c r="X24" i="76" s="1"/>
  <c r="AA24" i="76" s="1"/>
  <c r="AB24" i="76" s="1"/>
  <c r="W30" i="80"/>
  <c r="X30" i="80" s="1"/>
  <c r="AA30" i="80" s="1"/>
  <c r="AB30" i="80" s="1"/>
  <c r="AC30" i="80" s="1"/>
  <c r="AN30" i="80" s="1"/>
  <c r="W29" i="80"/>
  <c r="X29" i="80" s="1"/>
  <c r="AA29" i="80" s="1"/>
  <c r="AB29" i="80" s="1"/>
  <c r="AC29" i="80" s="1"/>
  <c r="AN29" i="80" s="1"/>
  <c r="W28" i="80"/>
  <c r="X28" i="80" s="1"/>
  <c r="AA28" i="80" s="1"/>
  <c r="AB28" i="80" s="1"/>
  <c r="AC28" i="80" s="1"/>
  <c r="AN28" i="80" s="1"/>
  <c r="W26" i="80"/>
  <c r="X26" i="80" s="1"/>
  <c r="AA26" i="80" s="1"/>
  <c r="AB26" i="80" s="1"/>
  <c r="AC26" i="80" s="1"/>
  <c r="AN26" i="80" s="1"/>
  <c r="W25" i="80"/>
  <c r="X25" i="80" s="1"/>
  <c r="AA25" i="80" s="1"/>
  <c r="AB25" i="80" s="1"/>
  <c r="AC25" i="80" s="1"/>
  <c r="AN25" i="80" s="1"/>
  <c r="W24" i="80"/>
  <c r="X24" i="80" s="1"/>
  <c r="AA24" i="80" s="1"/>
  <c r="AB24" i="80" s="1"/>
  <c r="AC24" i="80" s="1"/>
  <c r="AN24" i="80" s="1"/>
  <c r="W23" i="80"/>
  <c r="X23" i="80" s="1"/>
  <c r="AA23" i="80" s="1"/>
  <c r="AB23" i="80" s="1"/>
  <c r="AC23" i="80" s="1"/>
  <c r="AN23" i="80" s="1"/>
  <c r="V64" i="113"/>
  <c r="W64" i="113" s="1"/>
  <c r="Z64" i="113" s="1"/>
  <c r="AA64" i="113" s="1"/>
  <c r="V63" i="113"/>
  <c r="W63" i="113" s="1"/>
  <c r="Z63" i="113" s="1"/>
  <c r="AA63" i="113" s="1"/>
  <c r="V62" i="113"/>
  <c r="W62" i="113" s="1"/>
  <c r="Z62" i="113" s="1"/>
  <c r="AA62" i="113" s="1"/>
  <c r="V61" i="113"/>
  <c r="W61" i="113" s="1"/>
  <c r="Z61" i="113" s="1"/>
  <c r="AA61" i="113" s="1"/>
  <c r="V53" i="113"/>
  <c r="W53" i="113" s="1"/>
  <c r="Z53" i="113" s="1"/>
  <c r="AA53" i="113" s="1"/>
  <c r="V25" i="113"/>
  <c r="W25" i="113" s="1"/>
  <c r="Z25" i="113" s="1"/>
  <c r="AA25" i="113" s="1"/>
  <c r="V17" i="113"/>
  <c r="W17" i="113" s="1"/>
  <c r="Z17" i="113" s="1"/>
  <c r="AA17" i="113" s="1"/>
  <c r="V62" i="114"/>
  <c r="W62" i="114" s="1"/>
  <c r="Z62" i="114" s="1"/>
  <c r="AA62" i="114" s="1"/>
  <c r="V61" i="114"/>
  <c r="W61" i="114" s="1"/>
  <c r="Z61" i="114" s="1"/>
  <c r="AA61" i="114" s="1"/>
  <c r="V60" i="114"/>
  <c r="W60" i="114" s="1"/>
  <c r="Z60" i="114" s="1"/>
  <c r="AA60" i="114" s="1"/>
  <c r="V58" i="114"/>
  <c r="W58" i="114" s="1"/>
  <c r="Z58" i="114" s="1"/>
  <c r="AA58" i="114" s="1"/>
  <c r="V57" i="114"/>
  <c r="W57" i="114" s="1"/>
  <c r="Z57" i="114" s="1"/>
  <c r="AA57" i="114" s="1"/>
  <c r="V56" i="114"/>
  <c r="W56" i="114" s="1"/>
  <c r="Z56" i="114" s="1"/>
  <c r="AA56" i="114" s="1"/>
  <c r="V55" i="114"/>
  <c r="W55" i="114" s="1"/>
  <c r="Z55" i="114" s="1"/>
  <c r="AA55" i="114" s="1"/>
  <c r="V47" i="114"/>
  <c r="W47" i="114" s="1"/>
  <c r="Z47" i="114" s="1"/>
  <c r="AA47" i="114" s="1"/>
  <c r="V10" i="114"/>
  <c r="W10" i="114" s="1"/>
  <c r="Z10" i="114" s="1"/>
  <c r="AA10" i="114" s="1"/>
  <c r="V9" i="114"/>
  <c r="W9" i="114" s="1"/>
  <c r="Z9" i="114" s="1"/>
  <c r="AA9" i="114" s="1"/>
  <c r="V8" i="114"/>
  <c r="V62" i="115"/>
  <c r="W62" i="115" s="1"/>
  <c r="Z62" i="115" s="1"/>
  <c r="AA62" i="115" s="1"/>
  <c r="AB62" i="115" s="1"/>
  <c r="AM62" i="115" s="1"/>
  <c r="V61" i="115"/>
  <c r="W61" i="115" s="1"/>
  <c r="Z61" i="115" s="1"/>
  <c r="AA61" i="115" s="1"/>
  <c r="AB61" i="115" s="1"/>
  <c r="AM61" i="115" s="1"/>
  <c r="V60" i="115"/>
  <c r="W60" i="115" s="1"/>
  <c r="Z60" i="115" s="1"/>
  <c r="AA60" i="115" s="1"/>
  <c r="AB60" i="115" s="1"/>
  <c r="AM60" i="115" s="1"/>
  <c r="V59" i="115"/>
  <c r="W59" i="115" s="1"/>
  <c r="Z59" i="115" s="1"/>
  <c r="AA59" i="115" s="1"/>
  <c r="AB59" i="115" s="1"/>
  <c r="AM59" i="115" s="1"/>
  <c r="V25" i="115"/>
  <c r="W25" i="115" s="1"/>
  <c r="Z25" i="115" s="1"/>
  <c r="AA25" i="115" s="1"/>
  <c r="AB25" i="115" s="1"/>
  <c r="AM25" i="115" s="1"/>
  <c r="V24" i="115"/>
  <c r="W24" i="115" s="1"/>
  <c r="Z24" i="115" s="1"/>
  <c r="AA24" i="115" s="1"/>
  <c r="AB24" i="115" s="1"/>
  <c r="AM24" i="115" s="1"/>
  <c r="V23" i="115"/>
  <c r="W23" i="115" s="1"/>
  <c r="Z23" i="115" s="1"/>
  <c r="AA23" i="115" s="1"/>
  <c r="AB23" i="115" s="1"/>
  <c r="AM23" i="115" s="1"/>
  <c r="V17" i="115"/>
  <c r="W17" i="115" s="1"/>
  <c r="Z17" i="115" s="1"/>
  <c r="AA17" i="115" s="1"/>
  <c r="AB17" i="115" s="1"/>
  <c r="AM17" i="115" s="1"/>
  <c r="V16" i="115"/>
  <c r="W16" i="115" s="1"/>
  <c r="Z16" i="115" s="1"/>
  <c r="AA16" i="115" s="1"/>
  <c r="AB16" i="115" s="1"/>
  <c r="AM16" i="115" s="1"/>
  <c r="V68" i="116"/>
  <c r="W68" i="116" s="1"/>
  <c r="Z68" i="116" s="1"/>
  <c r="AA68" i="116" s="1"/>
  <c r="V40" i="116"/>
  <c r="W40" i="116" s="1"/>
  <c r="V32" i="116"/>
  <c r="W32" i="116" s="1"/>
  <c r="V22" i="116"/>
  <c r="W22" i="116" s="1"/>
  <c r="V21" i="116"/>
  <c r="W21" i="116" s="1"/>
  <c r="X75" i="117"/>
  <c r="Y75" i="117" s="1"/>
  <c r="AB75" i="117" s="1"/>
  <c r="AC75" i="117" s="1"/>
  <c r="X47" i="117"/>
  <c r="Y47" i="117" s="1"/>
  <c r="AB47" i="117" s="1"/>
  <c r="AC47" i="117" s="1"/>
  <c r="X39" i="117"/>
  <c r="Y39" i="117" s="1"/>
  <c r="AB39" i="117" s="1"/>
  <c r="AC39" i="117" s="1"/>
  <c r="X29" i="117"/>
  <c r="Y29" i="117" s="1"/>
  <c r="AB29" i="117" s="1"/>
  <c r="AC29" i="117" s="1"/>
  <c r="X28" i="117"/>
  <c r="Y28" i="117" s="1"/>
  <c r="AB28" i="117" s="1"/>
  <c r="AC28" i="117" s="1"/>
  <c r="V45" i="118"/>
  <c r="W45" i="118" s="1"/>
  <c r="Z45" i="118" s="1"/>
  <c r="AA45" i="118" s="1"/>
  <c r="AB45" i="118" s="1"/>
  <c r="AM45" i="118" s="1"/>
  <c r="V44" i="118"/>
  <c r="W44" i="118" s="1"/>
  <c r="Z44" i="118" s="1"/>
  <c r="AA44" i="118" s="1"/>
  <c r="AB44" i="118" s="1"/>
  <c r="AM44" i="118" s="1"/>
  <c r="V35" i="118"/>
  <c r="W35" i="118" s="1"/>
  <c r="Z35" i="118" s="1"/>
  <c r="AA35" i="118" s="1"/>
  <c r="AB35" i="118" s="1"/>
  <c r="AM35" i="118" s="1"/>
  <c r="V34" i="118"/>
  <c r="W34" i="118" s="1"/>
  <c r="Z34" i="118" s="1"/>
  <c r="AA34" i="118" s="1"/>
  <c r="AB34" i="118" s="1"/>
  <c r="AM34" i="118" s="1"/>
  <c r="V17" i="118"/>
  <c r="W17" i="118" s="1"/>
  <c r="Z17" i="118" s="1"/>
  <c r="AA17" i="118" s="1"/>
  <c r="AB17" i="118" s="1"/>
  <c r="AM17" i="118" s="1"/>
  <c r="W71" i="76"/>
  <c r="X71" i="76" s="1"/>
  <c r="AA71" i="76" s="1"/>
  <c r="AB71" i="76" s="1"/>
  <c r="W68" i="76"/>
  <c r="X68" i="76" s="1"/>
  <c r="AA68" i="76" s="1"/>
  <c r="AB68" i="76" s="1"/>
  <c r="W66" i="76"/>
  <c r="X66" i="76" s="1"/>
  <c r="AA66" i="76" s="1"/>
  <c r="AB66" i="76" s="1"/>
  <c r="W65" i="76"/>
  <c r="X65" i="76" s="1"/>
  <c r="AA65" i="76" s="1"/>
  <c r="AB65" i="76" s="1"/>
  <c r="W56" i="76"/>
  <c r="X56" i="76" s="1"/>
  <c r="AA56" i="76" s="1"/>
  <c r="AB56" i="76" s="1"/>
  <c r="W28" i="76"/>
  <c r="X28" i="76" s="1"/>
  <c r="AA28" i="76" s="1"/>
  <c r="AB28" i="76" s="1"/>
  <c r="W27" i="76"/>
  <c r="X27" i="76" s="1"/>
  <c r="AA27" i="76" s="1"/>
  <c r="AB27" i="76" s="1"/>
  <c r="W73" i="80"/>
  <c r="X73" i="80" s="1"/>
  <c r="AA73" i="80" s="1"/>
  <c r="AB73" i="80" s="1"/>
  <c r="AC73" i="80" s="1"/>
  <c r="AN73" i="80" s="1"/>
  <c r="W65" i="80"/>
  <c r="X65" i="80" s="1"/>
  <c r="AA65" i="80" s="1"/>
  <c r="AB65" i="80" s="1"/>
  <c r="AC65" i="80" s="1"/>
  <c r="AN65" i="80" s="1"/>
  <c r="W46" i="80"/>
  <c r="X46" i="80" s="1"/>
  <c r="AA46" i="80" s="1"/>
  <c r="AB46" i="80" s="1"/>
  <c r="AC46" i="80" s="1"/>
  <c r="AN46" i="80" s="1"/>
  <c r="W45" i="80"/>
  <c r="X45" i="80" s="1"/>
  <c r="AA45" i="80" s="1"/>
  <c r="AB45" i="80" s="1"/>
  <c r="AC45" i="80" s="1"/>
  <c r="AN45" i="80" s="1"/>
  <c r="W43" i="80"/>
  <c r="X43" i="80" s="1"/>
  <c r="AA43" i="80" s="1"/>
  <c r="AB43" i="80" s="1"/>
  <c r="AC43" i="80" s="1"/>
  <c r="AN43" i="80" s="1"/>
  <c r="W41" i="80"/>
  <c r="X41" i="80" s="1"/>
  <c r="AA41" i="80" s="1"/>
  <c r="AB41" i="80" s="1"/>
  <c r="AC41" i="80" s="1"/>
  <c r="AN41" i="80" s="1"/>
  <c r="W33" i="80"/>
  <c r="X33" i="80" s="1"/>
  <c r="AA33" i="80" s="1"/>
  <c r="AB33" i="80" s="1"/>
  <c r="AC33" i="80" s="1"/>
  <c r="AN33" i="80" s="1"/>
  <c r="Y17" i="46"/>
  <c r="Z17" i="46" s="1"/>
  <c r="AC17" i="46" s="1"/>
  <c r="AD17" i="46" s="1"/>
  <c r="V64" i="31"/>
  <c r="W64" i="31" s="1"/>
  <c r="Z64" i="31" s="1"/>
  <c r="AA64" i="31" s="1"/>
  <c r="V60" i="31"/>
  <c r="W60" i="31" s="1"/>
  <c r="Z60" i="31" s="1"/>
  <c r="AA60" i="31" s="1"/>
  <c r="V56" i="31"/>
  <c r="W56" i="31" s="1"/>
  <c r="Z56" i="31" s="1"/>
  <c r="AA56" i="31" s="1"/>
  <c r="V50" i="31"/>
  <c r="W50" i="31" s="1"/>
  <c r="Z50" i="31" s="1"/>
  <c r="AA50" i="31" s="1"/>
  <c r="V46" i="31"/>
  <c r="W46" i="31" s="1"/>
  <c r="Z46" i="31" s="1"/>
  <c r="AA46" i="31" s="1"/>
  <c r="V43" i="31"/>
  <c r="W43" i="31" s="1"/>
  <c r="Z43" i="31" s="1"/>
  <c r="AA43" i="31" s="1"/>
  <c r="V37" i="31"/>
  <c r="W37" i="31" s="1"/>
  <c r="Z37" i="31" s="1"/>
  <c r="AA37" i="31" s="1"/>
  <c r="V30" i="31"/>
  <c r="W30" i="31" s="1"/>
  <c r="Z30" i="31" s="1"/>
  <c r="AA30" i="31" s="1"/>
  <c r="V27" i="31"/>
  <c r="W27" i="31" s="1"/>
  <c r="Z27" i="31" s="1"/>
  <c r="AA27" i="31" s="1"/>
  <c r="V21" i="31"/>
  <c r="W21" i="31" s="1"/>
  <c r="Z21" i="31" s="1"/>
  <c r="AA21" i="31" s="1"/>
  <c r="V71" i="113"/>
  <c r="W71" i="113" s="1"/>
  <c r="Z71" i="113" s="1"/>
  <c r="AA71" i="113" s="1"/>
  <c r="V70" i="113"/>
  <c r="W70" i="113" s="1"/>
  <c r="Z70" i="113" s="1"/>
  <c r="AA70" i="113" s="1"/>
  <c r="V65" i="113"/>
  <c r="W65" i="113" s="1"/>
  <c r="Z65" i="113" s="1"/>
  <c r="AA65" i="113" s="1"/>
  <c r="V55" i="113"/>
  <c r="W55" i="113" s="1"/>
  <c r="Z55" i="113" s="1"/>
  <c r="AA55" i="113" s="1"/>
  <c r="V54" i="113"/>
  <c r="W54" i="113" s="1"/>
  <c r="Z54" i="113" s="1"/>
  <c r="AA54" i="113" s="1"/>
  <c r="V49" i="113"/>
  <c r="W49" i="113" s="1"/>
  <c r="Z49" i="113" s="1"/>
  <c r="AA49" i="113" s="1"/>
  <c r="V27" i="113"/>
  <c r="W27" i="113" s="1"/>
  <c r="Z27" i="113" s="1"/>
  <c r="AA27" i="113" s="1"/>
  <c r="V26" i="113"/>
  <c r="W26" i="113" s="1"/>
  <c r="Z26" i="113" s="1"/>
  <c r="AA26" i="113" s="1"/>
  <c r="V12" i="113"/>
  <c r="W12" i="113" s="1"/>
  <c r="Z12" i="113" s="1"/>
  <c r="AA12" i="113" s="1"/>
  <c r="V69" i="114"/>
  <c r="W69" i="114" s="1"/>
  <c r="Z69" i="114" s="1"/>
  <c r="AA69" i="114" s="1"/>
  <c r="V68" i="114"/>
  <c r="W68" i="114" s="1"/>
  <c r="Z68" i="114" s="1"/>
  <c r="AA68" i="114" s="1"/>
  <c r="V63" i="114"/>
  <c r="W63" i="114" s="1"/>
  <c r="Z63" i="114" s="1"/>
  <c r="AA63" i="114" s="1"/>
  <c r="V41" i="114"/>
  <c r="W41" i="114" s="1"/>
  <c r="Z41" i="114" s="1"/>
  <c r="AA41" i="114" s="1"/>
  <c r="V40" i="114"/>
  <c r="W40" i="114" s="1"/>
  <c r="Z40" i="114" s="1"/>
  <c r="AA40" i="114" s="1"/>
  <c r="V26" i="114"/>
  <c r="W26" i="114" s="1"/>
  <c r="Z26" i="114" s="1"/>
  <c r="AA26" i="114" s="1"/>
  <c r="V19" i="114"/>
  <c r="W19" i="114" s="1"/>
  <c r="Z19" i="114" s="1"/>
  <c r="AA19" i="114" s="1"/>
  <c r="V71" i="115"/>
  <c r="W71" i="115" s="1"/>
  <c r="Z71" i="115" s="1"/>
  <c r="AA71" i="115" s="1"/>
  <c r="AB71" i="115" s="1"/>
  <c r="AM71" i="115" s="1"/>
  <c r="V57" i="115"/>
  <c r="W57" i="115" s="1"/>
  <c r="Z57" i="115" s="1"/>
  <c r="AA57" i="115" s="1"/>
  <c r="AB57" i="115" s="1"/>
  <c r="AM57" i="115" s="1"/>
  <c r="V56" i="115"/>
  <c r="W56" i="115" s="1"/>
  <c r="Z56" i="115" s="1"/>
  <c r="AA56" i="115" s="1"/>
  <c r="AB56" i="115" s="1"/>
  <c r="AM56" i="115" s="1"/>
  <c r="V51" i="115"/>
  <c r="W51" i="115" s="1"/>
  <c r="Z51" i="115" s="1"/>
  <c r="AA51" i="115" s="1"/>
  <c r="AB51" i="115" s="1"/>
  <c r="AM51" i="115" s="1"/>
  <c r="V29" i="115"/>
  <c r="W29" i="115" s="1"/>
  <c r="Z29" i="115" s="1"/>
  <c r="AA29" i="115" s="1"/>
  <c r="AB29" i="115" s="1"/>
  <c r="AM29" i="115" s="1"/>
  <c r="V28" i="115"/>
  <c r="W28" i="115" s="1"/>
  <c r="Z28" i="115" s="1"/>
  <c r="AA28" i="115" s="1"/>
  <c r="AB28" i="115" s="1"/>
  <c r="AM28" i="115" s="1"/>
  <c r="V14" i="115"/>
  <c r="W14" i="115" s="1"/>
  <c r="Z14" i="115" s="1"/>
  <c r="AA14" i="115" s="1"/>
  <c r="AB14" i="115" s="1"/>
  <c r="AM14" i="115" s="1"/>
  <c r="V70" i="116"/>
  <c r="W70" i="116" s="1"/>
  <c r="Z70" i="116" s="1"/>
  <c r="AA70" i="116" s="1"/>
  <c r="V69" i="116"/>
  <c r="W69" i="116" s="1"/>
  <c r="Z69" i="116" s="1"/>
  <c r="AA69" i="116" s="1"/>
  <c r="V64" i="116"/>
  <c r="W64" i="116" s="1"/>
  <c r="Z64" i="116" s="1"/>
  <c r="AA64" i="116" s="1"/>
  <c r="V42" i="116"/>
  <c r="W42" i="116" s="1"/>
  <c r="V41" i="116"/>
  <c r="W41" i="116" s="1"/>
  <c r="V27" i="116"/>
  <c r="W27" i="116" s="1"/>
  <c r="V20" i="116"/>
  <c r="W20" i="116" s="1"/>
  <c r="X76" i="117"/>
  <c r="Y76" i="117" s="1"/>
  <c r="AB76" i="117" s="1"/>
  <c r="AC76" i="117" s="1"/>
  <c r="X71" i="117"/>
  <c r="Y71" i="117" s="1"/>
  <c r="AB71" i="117" s="1"/>
  <c r="AC71" i="117" s="1"/>
  <c r="X49" i="117"/>
  <c r="Y49" i="117" s="1"/>
  <c r="AB49" i="117" s="1"/>
  <c r="AC49" i="117" s="1"/>
  <c r="X48" i="117"/>
  <c r="Y48" i="117" s="1"/>
  <c r="AB48" i="117" s="1"/>
  <c r="AC48" i="117" s="1"/>
  <c r="X34" i="117"/>
  <c r="Y34" i="117" s="1"/>
  <c r="AB34" i="117" s="1"/>
  <c r="AC34" i="117" s="1"/>
  <c r="X27" i="117"/>
  <c r="Y27" i="117" s="1"/>
  <c r="AB27" i="117" s="1"/>
  <c r="AC27" i="117" s="1"/>
  <c r="X13" i="117"/>
  <c r="Y13" i="117" s="1"/>
  <c r="AB13" i="117" s="1"/>
  <c r="AC13" i="117" s="1"/>
  <c r="X12" i="117"/>
  <c r="Y12" i="117" s="1"/>
  <c r="AB12" i="117" s="1"/>
  <c r="AC12" i="117" s="1"/>
  <c r="X8" i="117"/>
  <c r="V73" i="118"/>
  <c r="W73" i="118" s="1"/>
  <c r="Z73" i="118" s="1"/>
  <c r="AA73" i="118" s="1"/>
  <c r="AB73" i="118" s="1"/>
  <c r="AM73" i="118" s="1"/>
  <c r="V64" i="118"/>
  <c r="W64" i="118" s="1"/>
  <c r="Z64" i="118" s="1"/>
  <c r="AA64" i="118" s="1"/>
  <c r="AB64" i="118" s="1"/>
  <c r="AM64" i="118" s="1"/>
  <c r="V61" i="118"/>
  <c r="W61" i="118" s="1"/>
  <c r="Z61" i="118" s="1"/>
  <c r="AA61" i="118" s="1"/>
  <c r="AB61" i="118" s="1"/>
  <c r="AM61" i="118" s="1"/>
  <c r="V60" i="118"/>
  <c r="W60" i="118" s="1"/>
  <c r="Z60" i="118" s="1"/>
  <c r="AA60" i="118" s="1"/>
  <c r="AB60" i="118" s="1"/>
  <c r="AM60" i="118" s="1"/>
  <c r="V55" i="118"/>
  <c r="W55" i="118" s="1"/>
  <c r="Z55" i="118" s="1"/>
  <c r="AA55" i="118" s="1"/>
  <c r="AB55" i="118" s="1"/>
  <c r="AM55" i="118" s="1"/>
  <c r="V49" i="118"/>
  <c r="W49" i="118" s="1"/>
  <c r="Z49" i="118" s="1"/>
  <c r="AA49" i="118" s="1"/>
  <c r="AB49" i="118" s="1"/>
  <c r="AM49" i="118" s="1"/>
  <c r="V37" i="118"/>
  <c r="W37" i="118" s="1"/>
  <c r="Z37" i="118" s="1"/>
  <c r="AA37" i="118" s="1"/>
  <c r="AB37" i="118" s="1"/>
  <c r="AM37" i="118" s="1"/>
  <c r="V36" i="118"/>
  <c r="W36" i="118" s="1"/>
  <c r="Z36" i="118" s="1"/>
  <c r="AA36" i="118" s="1"/>
  <c r="AB36" i="118" s="1"/>
  <c r="AM36" i="118" s="1"/>
  <c r="V19" i="118"/>
  <c r="W19" i="118" s="1"/>
  <c r="Z19" i="118" s="1"/>
  <c r="AA19" i="118" s="1"/>
  <c r="AB19" i="118" s="1"/>
  <c r="AM19" i="118" s="1"/>
  <c r="V18" i="118"/>
  <c r="W18" i="118" s="1"/>
  <c r="Z18" i="118" s="1"/>
  <c r="AA18" i="118" s="1"/>
  <c r="AB18" i="118" s="1"/>
  <c r="AM18" i="118" s="1"/>
  <c r="W72" i="76"/>
  <c r="X72" i="76" s="1"/>
  <c r="AA72" i="76" s="1"/>
  <c r="AB72" i="76" s="1"/>
  <c r="W58" i="76"/>
  <c r="X58" i="76" s="1"/>
  <c r="AA58" i="76" s="1"/>
  <c r="AB58" i="76" s="1"/>
  <c r="W57" i="76"/>
  <c r="X57" i="76" s="1"/>
  <c r="AA57" i="76" s="1"/>
  <c r="AB57" i="76" s="1"/>
  <c r="W52" i="76"/>
  <c r="X52" i="76" s="1"/>
  <c r="AA52" i="76" s="1"/>
  <c r="AB52" i="76" s="1"/>
  <c r="W30" i="76"/>
  <c r="X30" i="76" s="1"/>
  <c r="AA30" i="76" s="1"/>
  <c r="AB30" i="76" s="1"/>
  <c r="W29" i="76"/>
  <c r="X29" i="76" s="1"/>
  <c r="AA29" i="76" s="1"/>
  <c r="AB29" i="76" s="1"/>
  <c r="W10" i="76"/>
  <c r="X10" i="76" s="1"/>
  <c r="AA10" i="76" s="1"/>
  <c r="AB10" i="76" s="1"/>
  <c r="W9" i="76"/>
  <c r="X9" i="76" s="1"/>
  <c r="AA9" i="76" s="1"/>
  <c r="AB9" i="76" s="1"/>
  <c r="W55" i="80"/>
  <c r="X55" i="80" s="1"/>
  <c r="AA55" i="80" s="1"/>
  <c r="AB55" i="80" s="1"/>
  <c r="AC55" i="80" s="1"/>
  <c r="AN55" i="80" s="1"/>
  <c r="V45" i="113"/>
  <c r="W45" i="113" s="1"/>
  <c r="Z45" i="113" s="1"/>
  <c r="AA45" i="113" s="1"/>
  <c r="V35" i="113"/>
  <c r="W35" i="113" s="1"/>
  <c r="Z35" i="113" s="1"/>
  <c r="AA35" i="113" s="1"/>
  <c r="V34" i="113"/>
  <c r="W34" i="113" s="1"/>
  <c r="Z34" i="113" s="1"/>
  <c r="AA34" i="113" s="1"/>
  <c r="V29" i="113"/>
  <c r="W29" i="113" s="1"/>
  <c r="Z29" i="113" s="1"/>
  <c r="AA29" i="113" s="1"/>
  <c r="V19" i="113"/>
  <c r="W19" i="113" s="1"/>
  <c r="Z19" i="113" s="1"/>
  <c r="AA19" i="113" s="1"/>
  <c r="V18" i="113"/>
  <c r="W18" i="113" s="1"/>
  <c r="Z18" i="113" s="1"/>
  <c r="AA18" i="113" s="1"/>
  <c r="V13" i="113"/>
  <c r="W13" i="113" s="1"/>
  <c r="Z13" i="113" s="1"/>
  <c r="AA13" i="113" s="1"/>
  <c r="V75" i="114"/>
  <c r="W75" i="114" s="1"/>
  <c r="Z75" i="114" s="1"/>
  <c r="AA75" i="114" s="1"/>
  <c r="V65" i="114"/>
  <c r="W65" i="114" s="1"/>
  <c r="Z65" i="114" s="1"/>
  <c r="AA65" i="114" s="1"/>
  <c r="V64" i="114"/>
  <c r="W64" i="114" s="1"/>
  <c r="Z64" i="114" s="1"/>
  <c r="AA64" i="114" s="1"/>
  <c r="V59" i="114"/>
  <c r="W59" i="114" s="1"/>
  <c r="Z59" i="114" s="1"/>
  <c r="AA59" i="114" s="1"/>
  <c r="V49" i="114"/>
  <c r="W49" i="114" s="1"/>
  <c r="Z49" i="114" s="1"/>
  <c r="AA49" i="114" s="1"/>
  <c r="V48" i="114"/>
  <c r="W48" i="114" s="1"/>
  <c r="Z48" i="114" s="1"/>
  <c r="AA48" i="114" s="1"/>
  <c r="V43" i="114"/>
  <c r="W43" i="114" s="1"/>
  <c r="Z43" i="114" s="1"/>
  <c r="AA43" i="114" s="1"/>
  <c r="V33" i="114"/>
  <c r="W33" i="114" s="1"/>
  <c r="Z33" i="114" s="1"/>
  <c r="AA33" i="114" s="1"/>
  <c r="V32" i="114"/>
  <c r="W32" i="114" s="1"/>
  <c r="Z32" i="114" s="1"/>
  <c r="AA32" i="114" s="1"/>
  <c r="V27" i="114"/>
  <c r="W27" i="114" s="1"/>
  <c r="Z27" i="114" s="1"/>
  <c r="AA27" i="114" s="1"/>
  <c r="V17" i="114"/>
  <c r="W17" i="114" s="1"/>
  <c r="Z17" i="114" s="1"/>
  <c r="AA17" i="114" s="1"/>
  <c r="V16" i="114"/>
  <c r="W16" i="114" s="1"/>
  <c r="Z16" i="114" s="1"/>
  <c r="AA16" i="114" s="1"/>
  <c r="V11" i="114"/>
  <c r="W11" i="114" s="1"/>
  <c r="Z11" i="114" s="1"/>
  <c r="AA11" i="114" s="1"/>
  <c r="V69" i="115"/>
  <c r="W69" i="115" s="1"/>
  <c r="Z69" i="115" s="1"/>
  <c r="AA69" i="115" s="1"/>
  <c r="AB69" i="115" s="1"/>
  <c r="AM69" i="115" s="1"/>
  <c r="V68" i="115"/>
  <c r="W68" i="115" s="1"/>
  <c r="Z68" i="115" s="1"/>
  <c r="AA68" i="115" s="1"/>
  <c r="AB68" i="115" s="1"/>
  <c r="AM68" i="115" s="1"/>
  <c r="V63" i="115"/>
  <c r="W63" i="115" s="1"/>
  <c r="Z63" i="115" s="1"/>
  <c r="AA63" i="115" s="1"/>
  <c r="AB63" i="115" s="1"/>
  <c r="AM63" i="115" s="1"/>
  <c r="V53" i="115"/>
  <c r="W53" i="115" s="1"/>
  <c r="Z53" i="115" s="1"/>
  <c r="AA53" i="115" s="1"/>
  <c r="AB53" i="115" s="1"/>
  <c r="AM53" i="115" s="1"/>
  <c r="V52" i="115"/>
  <c r="W52" i="115" s="1"/>
  <c r="Z52" i="115" s="1"/>
  <c r="AA52" i="115" s="1"/>
  <c r="AB52" i="115" s="1"/>
  <c r="AM52" i="115" s="1"/>
  <c r="V47" i="115"/>
  <c r="W47" i="115" s="1"/>
  <c r="Z47" i="115" s="1"/>
  <c r="AA47" i="115" s="1"/>
  <c r="AB47" i="115" s="1"/>
  <c r="AM47" i="115" s="1"/>
  <c r="V37" i="115"/>
  <c r="W37" i="115" s="1"/>
  <c r="Z37" i="115" s="1"/>
  <c r="AA37" i="115" s="1"/>
  <c r="AB37" i="115" s="1"/>
  <c r="AM37" i="115" s="1"/>
  <c r="V36" i="115"/>
  <c r="W36" i="115" s="1"/>
  <c r="Z36" i="115" s="1"/>
  <c r="AA36" i="115" s="1"/>
  <c r="AB36" i="115" s="1"/>
  <c r="AM36" i="115" s="1"/>
  <c r="V31" i="115"/>
  <c r="W31" i="115" s="1"/>
  <c r="Z31" i="115" s="1"/>
  <c r="AA31" i="115" s="1"/>
  <c r="AB31" i="115" s="1"/>
  <c r="AM31" i="115" s="1"/>
  <c r="V21" i="115"/>
  <c r="W21" i="115" s="1"/>
  <c r="Z21" i="115" s="1"/>
  <c r="AA21" i="115" s="1"/>
  <c r="AB21" i="115" s="1"/>
  <c r="AM21" i="115" s="1"/>
  <c r="V20" i="115"/>
  <c r="W20" i="115" s="1"/>
  <c r="Z20" i="115" s="1"/>
  <c r="AA20" i="115" s="1"/>
  <c r="AB20" i="115" s="1"/>
  <c r="AM20" i="115" s="1"/>
  <c r="V15" i="115"/>
  <c r="W15" i="115" s="1"/>
  <c r="Z15" i="115" s="1"/>
  <c r="AA15" i="115" s="1"/>
  <c r="AB15" i="115" s="1"/>
  <c r="AM15" i="115" s="1"/>
  <c r="V76" i="116"/>
  <c r="W76" i="116" s="1"/>
  <c r="Z76" i="116" s="1"/>
  <c r="AA76" i="116" s="1"/>
  <c r="V66" i="116"/>
  <c r="W66" i="116" s="1"/>
  <c r="Z66" i="116" s="1"/>
  <c r="AA66" i="116" s="1"/>
  <c r="V65" i="116"/>
  <c r="W65" i="116" s="1"/>
  <c r="Z65" i="116" s="1"/>
  <c r="AA65" i="116" s="1"/>
  <c r="V60" i="116"/>
  <c r="W60" i="116" s="1"/>
  <c r="Z60" i="116" s="1"/>
  <c r="AA60" i="116" s="1"/>
  <c r="V50" i="116"/>
  <c r="W50" i="116" s="1"/>
  <c r="V49" i="116"/>
  <c r="W49" i="116" s="1"/>
  <c r="V44" i="116"/>
  <c r="W44" i="116" s="1"/>
  <c r="V34" i="116"/>
  <c r="W34" i="116" s="1"/>
  <c r="V33" i="116"/>
  <c r="W33" i="116" s="1"/>
  <c r="V28" i="116"/>
  <c r="W28" i="116" s="1"/>
  <c r="V18" i="116"/>
  <c r="W18" i="116" s="1"/>
  <c r="V17" i="116"/>
  <c r="W17" i="116" s="1"/>
  <c r="V12" i="116"/>
  <c r="W12" i="116" s="1"/>
  <c r="X73" i="117"/>
  <c r="Y73" i="117" s="1"/>
  <c r="AB73" i="117" s="1"/>
  <c r="AC73" i="117" s="1"/>
  <c r="X72" i="117"/>
  <c r="Y72" i="117" s="1"/>
  <c r="AB72" i="117" s="1"/>
  <c r="AC72" i="117" s="1"/>
  <c r="X67" i="117"/>
  <c r="Y67" i="117" s="1"/>
  <c r="AB67" i="117" s="1"/>
  <c r="AC67" i="117" s="1"/>
  <c r="X57" i="117"/>
  <c r="Y57" i="117" s="1"/>
  <c r="AB57" i="117" s="1"/>
  <c r="AC57" i="117" s="1"/>
  <c r="X56" i="117"/>
  <c r="Y56" i="117" s="1"/>
  <c r="AB56" i="117" s="1"/>
  <c r="AC56" i="117" s="1"/>
  <c r="X51" i="117"/>
  <c r="Y51" i="117" s="1"/>
  <c r="AB51" i="117" s="1"/>
  <c r="AC51" i="117" s="1"/>
  <c r="X41" i="117"/>
  <c r="Y41" i="117" s="1"/>
  <c r="AB41" i="117" s="1"/>
  <c r="AC41" i="117" s="1"/>
  <c r="X40" i="117"/>
  <c r="Y40" i="117" s="1"/>
  <c r="AB40" i="117" s="1"/>
  <c r="AC40" i="117" s="1"/>
  <c r="X35" i="117"/>
  <c r="Y35" i="117" s="1"/>
  <c r="AB35" i="117" s="1"/>
  <c r="AC35" i="117" s="1"/>
  <c r="X25" i="117"/>
  <c r="Y25" i="117" s="1"/>
  <c r="AB25" i="117" s="1"/>
  <c r="AC25" i="117" s="1"/>
  <c r="X24" i="117"/>
  <c r="Y24" i="117" s="1"/>
  <c r="AB24" i="117" s="1"/>
  <c r="AC24" i="117" s="1"/>
  <c r="X19" i="117"/>
  <c r="Y19" i="117" s="1"/>
  <c r="AB19" i="117" s="1"/>
  <c r="AC19" i="117" s="1"/>
  <c r="V75" i="118"/>
  <c r="W75" i="118" s="1"/>
  <c r="Z75" i="118" s="1"/>
  <c r="AA75" i="118" s="1"/>
  <c r="AB75" i="118" s="1"/>
  <c r="AM75" i="118" s="1"/>
  <c r="V74" i="118"/>
  <c r="W74" i="118" s="1"/>
  <c r="Z74" i="118" s="1"/>
  <c r="AA74" i="118" s="1"/>
  <c r="AB74" i="118" s="1"/>
  <c r="AM74" i="118" s="1"/>
  <c r="V71" i="118"/>
  <c r="W71" i="118" s="1"/>
  <c r="Z71" i="118" s="1"/>
  <c r="AA71" i="118" s="1"/>
  <c r="AB71" i="118" s="1"/>
  <c r="AM71" i="118" s="1"/>
  <c r="V65" i="118"/>
  <c r="W65" i="118" s="1"/>
  <c r="Z65" i="118" s="1"/>
  <c r="AA65" i="118" s="1"/>
  <c r="AB65" i="118" s="1"/>
  <c r="AM65" i="118" s="1"/>
  <c r="V53" i="118"/>
  <c r="W53" i="118" s="1"/>
  <c r="Z53" i="118" s="1"/>
  <c r="AA53" i="118" s="1"/>
  <c r="AB53" i="118" s="1"/>
  <c r="AM53" i="118" s="1"/>
  <c r="V52" i="118"/>
  <c r="W52" i="118" s="1"/>
  <c r="Z52" i="118" s="1"/>
  <c r="AA52" i="118" s="1"/>
  <c r="AB52" i="118" s="1"/>
  <c r="AM52" i="118" s="1"/>
  <c r="V43" i="118"/>
  <c r="W43" i="118" s="1"/>
  <c r="Z43" i="118" s="1"/>
  <c r="AA43" i="118" s="1"/>
  <c r="AB43" i="118" s="1"/>
  <c r="AM43" i="118" s="1"/>
  <c r="V42" i="118"/>
  <c r="W42" i="118" s="1"/>
  <c r="Z42" i="118" s="1"/>
  <c r="AA42" i="118" s="1"/>
  <c r="AB42" i="118" s="1"/>
  <c r="AM42" i="118" s="1"/>
  <c r="V39" i="118"/>
  <c r="W39" i="118" s="1"/>
  <c r="Z39" i="118" s="1"/>
  <c r="AA39" i="118" s="1"/>
  <c r="AB39" i="118" s="1"/>
  <c r="AM39" i="118" s="1"/>
  <c r="V33" i="118"/>
  <c r="W33" i="118" s="1"/>
  <c r="Z33" i="118" s="1"/>
  <c r="AA33" i="118" s="1"/>
  <c r="AB33" i="118" s="1"/>
  <c r="AM33" i="118" s="1"/>
  <c r="V21" i="118"/>
  <c r="W21" i="118" s="1"/>
  <c r="Z21" i="118" s="1"/>
  <c r="AA21" i="118" s="1"/>
  <c r="AB21" i="118" s="1"/>
  <c r="AM21" i="118" s="1"/>
  <c r="V20" i="118"/>
  <c r="W20" i="118" s="1"/>
  <c r="Z20" i="118" s="1"/>
  <c r="AA20" i="118" s="1"/>
  <c r="AB20" i="118" s="1"/>
  <c r="AM20" i="118" s="1"/>
  <c r="V11" i="118"/>
  <c r="W11" i="118" s="1"/>
  <c r="Z11" i="118" s="1"/>
  <c r="AA11" i="118" s="1"/>
  <c r="AB11" i="118" s="1"/>
  <c r="AM11" i="118" s="1"/>
  <c r="V10" i="118"/>
  <c r="W10" i="118" s="1"/>
  <c r="Z10" i="118" s="1"/>
  <c r="AA10" i="118" s="1"/>
  <c r="AB10" i="118" s="1"/>
  <c r="AM10" i="118" s="1"/>
  <c r="W70" i="76"/>
  <c r="X70" i="76" s="1"/>
  <c r="AA70" i="76" s="1"/>
  <c r="AB70" i="76" s="1"/>
  <c r="W69" i="76"/>
  <c r="X69" i="76" s="1"/>
  <c r="AA69" i="76" s="1"/>
  <c r="AB69" i="76" s="1"/>
  <c r="W64" i="76"/>
  <c r="X64" i="76" s="1"/>
  <c r="AA64" i="76" s="1"/>
  <c r="AB64" i="76" s="1"/>
  <c r="W54" i="76"/>
  <c r="X54" i="76" s="1"/>
  <c r="AA54" i="76" s="1"/>
  <c r="AB54" i="76" s="1"/>
  <c r="W53" i="76"/>
  <c r="X53" i="76" s="1"/>
  <c r="AA53" i="76" s="1"/>
  <c r="AB53" i="76" s="1"/>
  <c r="W48" i="76"/>
  <c r="X48" i="76" s="1"/>
  <c r="AA48" i="76" s="1"/>
  <c r="AB48" i="76" s="1"/>
  <c r="W38" i="76"/>
  <c r="X38" i="76" s="1"/>
  <c r="AA38" i="76" s="1"/>
  <c r="AB38" i="76" s="1"/>
  <c r="W37" i="76"/>
  <c r="X37" i="76" s="1"/>
  <c r="AA37" i="76" s="1"/>
  <c r="AB37" i="76" s="1"/>
  <c r="W32" i="76"/>
  <c r="X32" i="76" s="1"/>
  <c r="AA32" i="76" s="1"/>
  <c r="AB32" i="76" s="1"/>
  <c r="W26" i="76"/>
  <c r="X26" i="76" s="1"/>
  <c r="AA26" i="76" s="1"/>
  <c r="AB26" i="76" s="1"/>
  <c r="W25" i="76"/>
  <c r="X25" i="76" s="1"/>
  <c r="AA25" i="76" s="1"/>
  <c r="AB25" i="76" s="1"/>
  <c r="W11" i="76"/>
  <c r="X11" i="76" s="1"/>
  <c r="AA11" i="76" s="1"/>
  <c r="AB11" i="76" s="1"/>
  <c r="W63" i="80"/>
  <c r="X63" i="80" s="1"/>
  <c r="AA63" i="80" s="1"/>
  <c r="AB63" i="80" s="1"/>
  <c r="AC63" i="80" s="1"/>
  <c r="AN63" i="80" s="1"/>
  <c r="W47" i="80"/>
  <c r="X47" i="80" s="1"/>
  <c r="AA47" i="80" s="1"/>
  <c r="AB47" i="80" s="1"/>
  <c r="AC47" i="80" s="1"/>
  <c r="AN47" i="80" s="1"/>
  <c r="W31" i="80"/>
  <c r="X31" i="80" s="1"/>
  <c r="AA31" i="80" s="1"/>
  <c r="AB31" i="80" s="1"/>
  <c r="AC31" i="80" s="1"/>
  <c r="AN31" i="80" s="1"/>
  <c r="W9" i="80"/>
  <c r="X9" i="80" s="1"/>
  <c r="AA9" i="80" s="1"/>
  <c r="AB9" i="80" s="1"/>
  <c r="AC9" i="80" s="1"/>
  <c r="AN9" i="80" s="1"/>
  <c r="W8" i="80"/>
  <c r="X8" i="80" s="1"/>
  <c r="AA8" i="80" s="1"/>
  <c r="AB8" i="80" s="1"/>
  <c r="AC8" i="80" s="1"/>
  <c r="AN8" i="80" s="1"/>
  <c r="W18" i="76"/>
  <c r="X18" i="76" s="1"/>
  <c r="AA18" i="76" s="1"/>
  <c r="AB18" i="76" s="1"/>
  <c r="W17" i="76"/>
  <c r="X17" i="76" s="1"/>
  <c r="AA17" i="76" s="1"/>
  <c r="AB17" i="76" s="1"/>
  <c r="W12" i="76"/>
  <c r="X12" i="76" s="1"/>
  <c r="AA12" i="76" s="1"/>
  <c r="AB12" i="76" s="1"/>
  <c r="W72" i="80"/>
  <c r="X72" i="80" s="1"/>
  <c r="AA72" i="80" s="1"/>
  <c r="AB72" i="80" s="1"/>
  <c r="AC72" i="80" s="1"/>
  <c r="AN72" i="80" s="1"/>
  <c r="W68" i="80"/>
  <c r="X68" i="80" s="1"/>
  <c r="AA68" i="80" s="1"/>
  <c r="AB68" i="80" s="1"/>
  <c r="AC68" i="80" s="1"/>
  <c r="AN68" i="80" s="1"/>
  <c r="W64" i="80"/>
  <c r="X64" i="80" s="1"/>
  <c r="AA64" i="80" s="1"/>
  <c r="AB64" i="80" s="1"/>
  <c r="AC64" i="80" s="1"/>
  <c r="AN64" i="80" s="1"/>
  <c r="W60" i="80"/>
  <c r="X60" i="80" s="1"/>
  <c r="AA60" i="80" s="1"/>
  <c r="AB60" i="80" s="1"/>
  <c r="AC60" i="80" s="1"/>
  <c r="AN60" i="80" s="1"/>
  <c r="W56" i="80"/>
  <c r="X56" i="80" s="1"/>
  <c r="AA56" i="80" s="1"/>
  <c r="AB56" i="80" s="1"/>
  <c r="AC56" i="80" s="1"/>
  <c r="AN56" i="80" s="1"/>
  <c r="W52" i="80"/>
  <c r="X52" i="80" s="1"/>
  <c r="AA52" i="80" s="1"/>
  <c r="AB52" i="80" s="1"/>
  <c r="AC52" i="80" s="1"/>
  <c r="AN52" i="80" s="1"/>
  <c r="W48" i="80"/>
  <c r="X48" i="80" s="1"/>
  <c r="AA48" i="80" s="1"/>
  <c r="AB48" i="80" s="1"/>
  <c r="AC48" i="80" s="1"/>
  <c r="AN48" i="80" s="1"/>
  <c r="W44" i="80"/>
  <c r="X44" i="80" s="1"/>
  <c r="AA44" i="80" s="1"/>
  <c r="AB44" i="80" s="1"/>
  <c r="AC44" i="80" s="1"/>
  <c r="AN44" i="80" s="1"/>
  <c r="W40" i="80"/>
  <c r="X40" i="80" s="1"/>
  <c r="AA40" i="80" s="1"/>
  <c r="AB40" i="80" s="1"/>
  <c r="AC40" i="80" s="1"/>
  <c r="AN40" i="80" s="1"/>
  <c r="W36" i="80"/>
  <c r="X36" i="80" s="1"/>
  <c r="AA36" i="80" s="1"/>
  <c r="AB36" i="80" s="1"/>
  <c r="AC36" i="80" s="1"/>
  <c r="AN36" i="80" s="1"/>
  <c r="W32" i="80"/>
  <c r="X32" i="80" s="1"/>
  <c r="AA32" i="80" s="1"/>
  <c r="AB32" i="80" s="1"/>
  <c r="AC32" i="80" s="1"/>
  <c r="AN32" i="80" s="1"/>
  <c r="W27" i="80"/>
  <c r="X27" i="80" s="1"/>
  <c r="AA27" i="80" s="1"/>
  <c r="AB27" i="80" s="1"/>
  <c r="AC27" i="80" s="1"/>
  <c r="AN27" i="80" s="1"/>
  <c r="W17" i="80"/>
  <c r="X17" i="80" s="1"/>
  <c r="AA17" i="80" s="1"/>
  <c r="AB17" i="80" s="1"/>
  <c r="AC17" i="80" s="1"/>
  <c r="AN17" i="80" s="1"/>
  <c r="W16" i="80"/>
  <c r="X16" i="80" s="1"/>
  <c r="AA16" i="80" s="1"/>
  <c r="AB16" i="80" s="1"/>
  <c r="AC16" i="80" s="1"/>
  <c r="AN16" i="80" s="1"/>
  <c r="W11" i="80"/>
  <c r="X11" i="80" s="1"/>
  <c r="AA11" i="80" s="1"/>
  <c r="AB11" i="80" s="1"/>
  <c r="AC11" i="80" s="1"/>
  <c r="AN11" i="80" s="1"/>
  <c r="J9" i="125"/>
  <c r="K9" i="125" s="1"/>
  <c r="L9" i="125" s="1"/>
  <c r="J10" i="125"/>
  <c r="K10" i="125" s="1"/>
  <c r="L10" i="125" s="1"/>
  <c r="J11" i="125"/>
  <c r="K11" i="125" s="1"/>
  <c r="L11" i="125" s="1"/>
  <c r="J12" i="125"/>
  <c r="K12" i="125" s="1"/>
  <c r="L12" i="125" s="1"/>
  <c r="J13" i="125"/>
  <c r="K13" i="125" s="1"/>
  <c r="L13" i="125" s="1"/>
  <c r="J14" i="125"/>
  <c r="K14" i="125" s="1"/>
  <c r="L14" i="125" s="1"/>
  <c r="J15" i="125"/>
  <c r="K15" i="125" s="1"/>
  <c r="L15" i="125" s="1"/>
  <c r="J16" i="125"/>
  <c r="K16" i="125" s="1"/>
  <c r="L16" i="125" s="1"/>
  <c r="J17" i="125"/>
  <c r="K17" i="125" s="1"/>
  <c r="L17" i="125" s="1"/>
  <c r="J18" i="125"/>
  <c r="K18" i="125" s="1"/>
  <c r="L18" i="125" s="1"/>
  <c r="J19" i="125"/>
  <c r="K19" i="125" s="1"/>
  <c r="L19" i="125" s="1"/>
  <c r="J20" i="125"/>
  <c r="K20" i="125" s="1"/>
  <c r="L20" i="125" s="1"/>
  <c r="J21" i="125"/>
  <c r="K21" i="125" s="1"/>
  <c r="L21" i="125" s="1"/>
  <c r="J22" i="125"/>
  <c r="K22" i="125" s="1"/>
  <c r="L22" i="125" s="1"/>
  <c r="J23" i="125"/>
  <c r="K23" i="125" s="1"/>
  <c r="L23" i="125" s="1"/>
  <c r="J24" i="125"/>
  <c r="K24" i="125" s="1"/>
  <c r="L24" i="125" s="1"/>
  <c r="J25" i="125"/>
  <c r="K25" i="125" s="1"/>
  <c r="L25" i="125" s="1"/>
  <c r="J26" i="125"/>
  <c r="K26" i="125" s="1"/>
  <c r="L26" i="125" s="1"/>
  <c r="J27" i="125"/>
  <c r="K27" i="125" s="1"/>
  <c r="L27" i="125" s="1"/>
  <c r="J28" i="125"/>
  <c r="K28" i="125" s="1"/>
  <c r="L28" i="125" s="1"/>
  <c r="J29" i="125"/>
  <c r="K29" i="125" s="1"/>
  <c r="L29" i="125" s="1"/>
  <c r="J30" i="125"/>
  <c r="K30" i="125" s="1"/>
  <c r="L30" i="125" s="1"/>
  <c r="J31" i="125"/>
  <c r="K31" i="125" s="1"/>
  <c r="L31" i="125" s="1"/>
  <c r="J32" i="125"/>
  <c r="K32" i="125" s="1"/>
  <c r="L32" i="125" s="1"/>
  <c r="J33" i="125"/>
  <c r="K33" i="125" s="1"/>
  <c r="L33" i="125" s="1"/>
  <c r="J34" i="125"/>
  <c r="K34" i="125" s="1"/>
  <c r="L34" i="125" s="1"/>
  <c r="J35" i="125"/>
  <c r="K35" i="125" s="1"/>
  <c r="L35" i="125" s="1"/>
  <c r="J36" i="125"/>
  <c r="K36" i="125" s="1"/>
  <c r="L36" i="125" s="1"/>
  <c r="J37" i="125"/>
  <c r="K37" i="125" s="1"/>
  <c r="L37" i="125" s="1"/>
  <c r="J38" i="125"/>
  <c r="K38" i="125" s="1"/>
  <c r="L38" i="125" s="1"/>
  <c r="J39" i="125"/>
  <c r="K39" i="125" s="1"/>
  <c r="L39" i="125" s="1"/>
  <c r="J40" i="125"/>
  <c r="K40" i="125" s="1"/>
  <c r="L40" i="125" s="1"/>
  <c r="J41" i="125"/>
  <c r="K41" i="125" s="1"/>
  <c r="L41" i="125" s="1"/>
  <c r="J42" i="125"/>
  <c r="K42" i="125" s="1"/>
  <c r="L42" i="125" s="1"/>
  <c r="J43" i="125"/>
  <c r="K43" i="125" s="1"/>
  <c r="L43" i="125" s="1"/>
  <c r="J44" i="125"/>
  <c r="K44" i="125" s="1"/>
  <c r="L44" i="125" s="1"/>
  <c r="J45" i="125"/>
  <c r="K45" i="125" s="1"/>
  <c r="L45" i="125" s="1"/>
  <c r="J46" i="125"/>
  <c r="K46" i="125" s="1"/>
  <c r="L46" i="125" s="1"/>
  <c r="J47" i="125"/>
  <c r="K47" i="125" s="1"/>
  <c r="L47" i="125" s="1"/>
  <c r="J48" i="125"/>
  <c r="K48" i="125" s="1"/>
  <c r="L48" i="125" s="1"/>
  <c r="J49" i="125"/>
  <c r="K49" i="125" s="1"/>
  <c r="L49" i="125" s="1"/>
  <c r="J50" i="125"/>
  <c r="K50" i="125" s="1"/>
  <c r="L50" i="125" s="1"/>
  <c r="J51" i="125"/>
  <c r="K51" i="125" s="1"/>
  <c r="L51" i="125" s="1"/>
  <c r="J52" i="125"/>
  <c r="K52" i="125" s="1"/>
  <c r="L52" i="125" s="1"/>
  <c r="J53" i="125"/>
  <c r="K53" i="125" s="1"/>
  <c r="L53" i="125" s="1"/>
  <c r="J54" i="125"/>
  <c r="K54" i="125" s="1"/>
  <c r="L54" i="125" s="1"/>
  <c r="J55" i="125"/>
  <c r="K55" i="125" s="1"/>
  <c r="L55" i="125" s="1"/>
  <c r="J56" i="125"/>
  <c r="K56" i="125" s="1"/>
  <c r="L56" i="125" s="1"/>
  <c r="J57" i="125"/>
  <c r="K57" i="125" s="1"/>
  <c r="L57" i="125" s="1"/>
  <c r="J58" i="125"/>
  <c r="K58" i="125" s="1"/>
  <c r="L58" i="125" s="1"/>
  <c r="J59" i="125"/>
  <c r="K59" i="125" s="1"/>
  <c r="L59" i="125" s="1"/>
  <c r="J60" i="125"/>
  <c r="K60" i="125" s="1"/>
  <c r="L60" i="125" s="1"/>
  <c r="J61" i="125"/>
  <c r="K61" i="125" s="1"/>
  <c r="L61" i="125" s="1"/>
  <c r="J62" i="125"/>
  <c r="K62" i="125" s="1"/>
  <c r="L62" i="125" s="1"/>
  <c r="J63" i="125"/>
  <c r="K63" i="125" s="1"/>
  <c r="L63" i="125" s="1"/>
  <c r="J64" i="125"/>
  <c r="K64" i="125" s="1"/>
  <c r="L64" i="125" s="1"/>
  <c r="J65" i="125"/>
  <c r="K65" i="125" s="1"/>
  <c r="L65" i="125" s="1"/>
  <c r="J66" i="125"/>
  <c r="K66" i="125" s="1"/>
  <c r="L66" i="125" s="1"/>
  <c r="J67" i="125"/>
  <c r="K67" i="125" s="1"/>
  <c r="L67" i="125" s="1"/>
  <c r="J68" i="125"/>
  <c r="K68" i="125" s="1"/>
  <c r="L68" i="125" s="1"/>
  <c r="J69" i="125"/>
  <c r="K69" i="125" s="1"/>
  <c r="L69" i="125" s="1"/>
  <c r="J70" i="125"/>
  <c r="K70" i="125" s="1"/>
  <c r="L70" i="125" s="1"/>
  <c r="J71" i="125"/>
  <c r="K71" i="125" s="1"/>
  <c r="L71" i="125" s="1"/>
  <c r="J72" i="125"/>
  <c r="K72" i="125" s="1"/>
  <c r="L72" i="125" s="1"/>
  <c r="J73" i="125"/>
  <c r="K73" i="125" s="1"/>
  <c r="L73" i="125" s="1"/>
  <c r="J74" i="125"/>
  <c r="K74" i="125" s="1"/>
  <c r="L74" i="125" s="1"/>
  <c r="J75" i="125"/>
  <c r="K75" i="125" s="1"/>
  <c r="L75" i="125" s="1"/>
  <c r="J76" i="125"/>
  <c r="K76" i="125" s="1"/>
  <c r="L76" i="125" s="1"/>
  <c r="J9" i="126"/>
  <c r="K9" i="126" s="1"/>
  <c r="L9" i="126" s="1"/>
  <c r="J10" i="126"/>
  <c r="K10" i="126" s="1"/>
  <c r="L10" i="126" s="1"/>
  <c r="J11" i="126"/>
  <c r="K11" i="126" s="1"/>
  <c r="L11" i="126" s="1"/>
  <c r="J12" i="126"/>
  <c r="K12" i="126" s="1"/>
  <c r="L12" i="126" s="1"/>
  <c r="J13" i="126"/>
  <c r="K13" i="126" s="1"/>
  <c r="L13" i="126" s="1"/>
  <c r="J14" i="126"/>
  <c r="K14" i="126" s="1"/>
  <c r="L14" i="126" s="1"/>
  <c r="J15" i="126"/>
  <c r="K15" i="126" s="1"/>
  <c r="L15" i="126" s="1"/>
  <c r="J16" i="126"/>
  <c r="K16" i="126" s="1"/>
  <c r="L16" i="126" s="1"/>
  <c r="J17" i="126"/>
  <c r="K17" i="126" s="1"/>
  <c r="L17" i="126" s="1"/>
  <c r="J18" i="126"/>
  <c r="K18" i="126" s="1"/>
  <c r="L18" i="126" s="1"/>
  <c r="J19" i="126"/>
  <c r="K19" i="126" s="1"/>
  <c r="L19" i="126" s="1"/>
  <c r="J20" i="126"/>
  <c r="K20" i="126" s="1"/>
  <c r="L20" i="126" s="1"/>
  <c r="J21" i="126"/>
  <c r="K21" i="126" s="1"/>
  <c r="L21" i="126" s="1"/>
  <c r="J22" i="126"/>
  <c r="K22" i="126" s="1"/>
  <c r="L22" i="126" s="1"/>
  <c r="J23" i="126"/>
  <c r="K23" i="126" s="1"/>
  <c r="L23" i="126" s="1"/>
  <c r="J24" i="126"/>
  <c r="K24" i="126" s="1"/>
  <c r="L24" i="126" s="1"/>
  <c r="J25" i="126"/>
  <c r="K25" i="126" s="1"/>
  <c r="L25" i="126" s="1"/>
  <c r="J26" i="126"/>
  <c r="K26" i="126" s="1"/>
  <c r="L26" i="126" s="1"/>
  <c r="J27" i="126"/>
  <c r="K27" i="126" s="1"/>
  <c r="L27" i="126" s="1"/>
  <c r="J28" i="126"/>
  <c r="K28" i="126" s="1"/>
  <c r="L28" i="126" s="1"/>
  <c r="J29" i="126"/>
  <c r="K29" i="126" s="1"/>
  <c r="L29" i="126" s="1"/>
  <c r="J30" i="126"/>
  <c r="K30" i="126" s="1"/>
  <c r="L30" i="126" s="1"/>
  <c r="J31" i="126"/>
  <c r="K31" i="126" s="1"/>
  <c r="L31" i="126" s="1"/>
  <c r="J32" i="126"/>
  <c r="K32" i="126" s="1"/>
  <c r="L32" i="126" s="1"/>
  <c r="J33" i="126"/>
  <c r="K33" i="126" s="1"/>
  <c r="L33" i="126" s="1"/>
  <c r="J34" i="126"/>
  <c r="K34" i="126" s="1"/>
  <c r="L34" i="126" s="1"/>
  <c r="J35" i="126"/>
  <c r="K35" i="126" s="1"/>
  <c r="L35" i="126" s="1"/>
  <c r="J36" i="126"/>
  <c r="K36" i="126" s="1"/>
  <c r="L36" i="126" s="1"/>
  <c r="J37" i="126"/>
  <c r="K37" i="126" s="1"/>
  <c r="L37" i="126" s="1"/>
  <c r="J38" i="126"/>
  <c r="K38" i="126" s="1"/>
  <c r="L38" i="126" s="1"/>
  <c r="J39" i="126"/>
  <c r="K39" i="126" s="1"/>
  <c r="L39" i="126" s="1"/>
  <c r="J40" i="126"/>
  <c r="K40" i="126" s="1"/>
  <c r="L40" i="126" s="1"/>
  <c r="J41" i="126"/>
  <c r="K41" i="126" s="1"/>
  <c r="L41" i="126" s="1"/>
  <c r="J42" i="126"/>
  <c r="K42" i="126" s="1"/>
  <c r="L42" i="126" s="1"/>
  <c r="J43" i="126"/>
  <c r="K43" i="126" s="1"/>
  <c r="L43" i="126" s="1"/>
  <c r="J44" i="126"/>
  <c r="K44" i="126" s="1"/>
  <c r="L44" i="126" s="1"/>
  <c r="J45" i="126"/>
  <c r="K45" i="126" s="1"/>
  <c r="L45" i="126" s="1"/>
  <c r="J46" i="126"/>
  <c r="K46" i="126" s="1"/>
  <c r="L46" i="126" s="1"/>
  <c r="J47" i="126"/>
  <c r="K47" i="126" s="1"/>
  <c r="L47" i="126" s="1"/>
  <c r="J48" i="126"/>
  <c r="K48" i="126" s="1"/>
  <c r="L48" i="126" s="1"/>
  <c r="J49" i="126"/>
  <c r="K49" i="126" s="1"/>
  <c r="L49" i="126" s="1"/>
  <c r="J50" i="126"/>
  <c r="K50" i="126" s="1"/>
  <c r="L50" i="126" s="1"/>
  <c r="J51" i="126"/>
  <c r="K51" i="126" s="1"/>
  <c r="L51" i="126" s="1"/>
  <c r="J52" i="126"/>
  <c r="K52" i="126" s="1"/>
  <c r="L52" i="126" s="1"/>
  <c r="J53" i="126"/>
  <c r="K53" i="126" s="1"/>
  <c r="L53" i="126" s="1"/>
  <c r="J54" i="126"/>
  <c r="K54" i="126" s="1"/>
  <c r="L54" i="126" s="1"/>
  <c r="J55" i="126"/>
  <c r="K55" i="126" s="1"/>
  <c r="L55" i="126" s="1"/>
  <c r="J56" i="126"/>
  <c r="K56" i="126" s="1"/>
  <c r="L56" i="126" s="1"/>
  <c r="J57" i="126"/>
  <c r="K57" i="126" s="1"/>
  <c r="L57" i="126" s="1"/>
  <c r="J58" i="126"/>
  <c r="K58" i="126" s="1"/>
  <c r="L58" i="126" s="1"/>
  <c r="J59" i="126"/>
  <c r="K59" i="126" s="1"/>
  <c r="L59" i="126" s="1"/>
  <c r="J60" i="126"/>
  <c r="K60" i="126" s="1"/>
  <c r="L60" i="126" s="1"/>
  <c r="J61" i="126"/>
  <c r="K61" i="126" s="1"/>
  <c r="L61" i="126" s="1"/>
  <c r="J62" i="126"/>
  <c r="K62" i="126" s="1"/>
  <c r="L62" i="126" s="1"/>
  <c r="J63" i="126"/>
  <c r="K63" i="126" s="1"/>
  <c r="L63" i="126" s="1"/>
  <c r="J64" i="126"/>
  <c r="K64" i="126" s="1"/>
  <c r="L64" i="126" s="1"/>
  <c r="J65" i="126"/>
  <c r="K65" i="126" s="1"/>
  <c r="L65" i="126" s="1"/>
  <c r="J66" i="126"/>
  <c r="K66" i="126" s="1"/>
  <c r="L66" i="126" s="1"/>
  <c r="J67" i="126"/>
  <c r="K67" i="126" s="1"/>
  <c r="L67" i="126" s="1"/>
  <c r="J68" i="126"/>
  <c r="K68" i="126" s="1"/>
  <c r="L68" i="126" s="1"/>
  <c r="J69" i="126"/>
  <c r="K69" i="126" s="1"/>
  <c r="L69" i="126" s="1"/>
  <c r="J70" i="126"/>
  <c r="K70" i="126" s="1"/>
  <c r="L70" i="126" s="1"/>
  <c r="J71" i="126"/>
  <c r="K71" i="126" s="1"/>
  <c r="L71" i="126" s="1"/>
  <c r="J72" i="126"/>
  <c r="K72" i="126" s="1"/>
  <c r="L72" i="126" s="1"/>
  <c r="J73" i="126"/>
  <c r="K73" i="126" s="1"/>
  <c r="L73" i="126" s="1"/>
  <c r="J74" i="126"/>
  <c r="K74" i="126" s="1"/>
  <c r="L74" i="126" s="1"/>
  <c r="J75" i="126"/>
  <c r="K75" i="126" s="1"/>
  <c r="L75" i="126" s="1"/>
  <c r="J76" i="126"/>
  <c r="K76" i="126" s="1"/>
  <c r="L76" i="126" s="1"/>
  <c r="J9" i="127"/>
  <c r="K9" i="127" s="1"/>
  <c r="L9" i="127" s="1"/>
  <c r="M9" i="127" s="1"/>
  <c r="N9" i="127" s="1"/>
  <c r="P9" i="127" s="1"/>
  <c r="J10" i="127"/>
  <c r="K10" i="127" s="1"/>
  <c r="L10" i="127" s="1"/>
  <c r="M10" i="127" s="1"/>
  <c r="N10" i="127" s="1"/>
  <c r="P10" i="127" s="1"/>
  <c r="J11" i="127"/>
  <c r="K11" i="127" s="1"/>
  <c r="L11" i="127" s="1"/>
  <c r="M11" i="127" s="1"/>
  <c r="N11" i="127" s="1"/>
  <c r="P11" i="127" s="1"/>
  <c r="J12" i="127"/>
  <c r="K12" i="127" s="1"/>
  <c r="L12" i="127" s="1"/>
  <c r="M12" i="127" s="1"/>
  <c r="N12" i="127" s="1"/>
  <c r="P12" i="127" s="1"/>
  <c r="J13" i="127"/>
  <c r="K13" i="127" s="1"/>
  <c r="L13" i="127" s="1"/>
  <c r="M13" i="127" s="1"/>
  <c r="N13" i="127" s="1"/>
  <c r="P13" i="127" s="1"/>
  <c r="J14" i="127"/>
  <c r="K14" i="127" s="1"/>
  <c r="L14" i="127" s="1"/>
  <c r="M14" i="127" s="1"/>
  <c r="N14" i="127" s="1"/>
  <c r="P14" i="127" s="1"/>
  <c r="J15" i="127"/>
  <c r="K15" i="127" s="1"/>
  <c r="L15" i="127" s="1"/>
  <c r="M15" i="127" s="1"/>
  <c r="N15" i="127" s="1"/>
  <c r="P15" i="127" s="1"/>
  <c r="J16" i="127"/>
  <c r="K16" i="127" s="1"/>
  <c r="L16" i="127" s="1"/>
  <c r="M16" i="127" s="1"/>
  <c r="N16" i="127" s="1"/>
  <c r="P16" i="127" s="1"/>
  <c r="J17" i="127"/>
  <c r="K17" i="127" s="1"/>
  <c r="L17" i="127" s="1"/>
  <c r="M17" i="127" s="1"/>
  <c r="N17" i="127" s="1"/>
  <c r="P17" i="127" s="1"/>
  <c r="J18" i="127"/>
  <c r="K18" i="127" s="1"/>
  <c r="L18" i="127" s="1"/>
  <c r="M18" i="127" s="1"/>
  <c r="N18" i="127" s="1"/>
  <c r="P18" i="127" s="1"/>
  <c r="J19" i="127"/>
  <c r="K19" i="127" s="1"/>
  <c r="L19" i="127" s="1"/>
  <c r="M19" i="127" s="1"/>
  <c r="N19" i="127" s="1"/>
  <c r="P19" i="127" s="1"/>
  <c r="J20" i="127"/>
  <c r="K20" i="127" s="1"/>
  <c r="L20" i="127" s="1"/>
  <c r="M20" i="127" s="1"/>
  <c r="N20" i="127" s="1"/>
  <c r="P20" i="127" s="1"/>
  <c r="J21" i="127"/>
  <c r="K21" i="127" s="1"/>
  <c r="L21" i="127" s="1"/>
  <c r="M21" i="127" s="1"/>
  <c r="N21" i="127" s="1"/>
  <c r="P21" i="127" s="1"/>
  <c r="J22" i="127"/>
  <c r="K22" i="127" s="1"/>
  <c r="L22" i="127" s="1"/>
  <c r="M22" i="127" s="1"/>
  <c r="N22" i="127" s="1"/>
  <c r="P22" i="127" s="1"/>
  <c r="J23" i="127"/>
  <c r="K23" i="127" s="1"/>
  <c r="L23" i="127" s="1"/>
  <c r="M23" i="127" s="1"/>
  <c r="N23" i="127" s="1"/>
  <c r="P23" i="127" s="1"/>
  <c r="J24" i="127"/>
  <c r="K24" i="127" s="1"/>
  <c r="L24" i="127" s="1"/>
  <c r="M24" i="127" s="1"/>
  <c r="N24" i="127" s="1"/>
  <c r="P24" i="127" s="1"/>
  <c r="J25" i="127"/>
  <c r="K25" i="127" s="1"/>
  <c r="L25" i="127" s="1"/>
  <c r="M25" i="127" s="1"/>
  <c r="N25" i="127" s="1"/>
  <c r="P25" i="127" s="1"/>
  <c r="J26" i="127"/>
  <c r="K26" i="127" s="1"/>
  <c r="L26" i="127" s="1"/>
  <c r="M26" i="127" s="1"/>
  <c r="N26" i="127" s="1"/>
  <c r="P26" i="127" s="1"/>
  <c r="J27" i="127"/>
  <c r="K27" i="127" s="1"/>
  <c r="L27" i="127" s="1"/>
  <c r="M27" i="127" s="1"/>
  <c r="N27" i="127" s="1"/>
  <c r="P27" i="127" s="1"/>
  <c r="J28" i="127"/>
  <c r="K28" i="127" s="1"/>
  <c r="L28" i="127" s="1"/>
  <c r="M28" i="127" s="1"/>
  <c r="N28" i="127" s="1"/>
  <c r="P28" i="127" s="1"/>
  <c r="J29" i="127"/>
  <c r="K29" i="127" s="1"/>
  <c r="L29" i="127" s="1"/>
  <c r="M29" i="127" s="1"/>
  <c r="N29" i="127" s="1"/>
  <c r="P29" i="127" s="1"/>
  <c r="J30" i="127"/>
  <c r="K30" i="127" s="1"/>
  <c r="L30" i="127" s="1"/>
  <c r="M30" i="127" s="1"/>
  <c r="N30" i="127" s="1"/>
  <c r="P30" i="127" s="1"/>
  <c r="J31" i="127"/>
  <c r="K31" i="127" s="1"/>
  <c r="L31" i="127" s="1"/>
  <c r="M31" i="127" s="1"/>
  <c r="N31" i="127" s="1"/>
  <c r="P31" i="127" s="1"/>
  <c r="J32" i="127"/>
  <c r="K32" i="127" s="1"/>
  <c r="L32" i="127" s="1"/>
  <c r="M32" i="127" s="1"/>
  <c r="N32" i="127" s="1"/>
  <c r="P32" i="127" s="1"/>
  <c r="J33" i="127"/>
  <c r="K33" i="127" s="1"/>
  <c r="L33" i="127" s="1"/>
  <c r="M33" i="127" s="1"/>
  <c r="N33" i="127" s="1"/>
  <c r="P33" i="127" s="1"/>
  <c r="J34" i="127"/>
  <c r="K34" i="127" s="1"/>
  <c r="L34" i="127" s="1"/>
  <c r="M34" i="127" s="1"/>
  <c r="N34" i="127" s="1"/>
  <c r="P34" i="127" s="1"/>
  <c r="J35" i="127"/>
  <c r="K35" i="127" s="1"/>
  <c r="L35" i="127" s="1"/>
  <c r="M35" i="127" s="1"/>
  <c r="N35" i="127" s="1"/>
  <c r="P35" i="127" s="1"/>
  <c r="J36" i="127"/>
  <c r="K36" i="127" s="1"/>
  <c r="L36" i="127" s="1"/>
  <c r="M36" i="127" s="1"/>
  <c r="N36" i="127" s="1"/>
  <c r="P36" i="127" s="1"/>
  <c r="J37" i="127"/>
  <c r="K37" i="127" s="1"/>
  <c r="L37" i="127" s="1"/>
  <c r="M37" i="127" s="1"/>
  <c r="N37" i="127" s="1"/>
  <c r="P37" i="127" s="1"/>
  <c r="J38" i="127"/>
  <c r="K38" i="127" s="1"/>
  <c r="L38" i="127" s="1"/>
  <c r="M38" i="127" s="1"/>
  <c r="N38" i="127" s="1"/>
  <c r="P38" i="127" s="1"/>
  <c r="J39" i="127"/>
  <c r="K39" i="127" s="1"/>
  <c r="L39" i="127" s="1"/>
  <c r="M39" i="127" s="1"/>
  <c r="N39" i="127" s="1"/>
  <c r="P39" i="127" s="1"/>
  <c r="J40" i="127"/>
  <c r="K40" i="127" s="1"/>
  <c r="L40" i="127" s="1"/>
  <c r="M40" i="127" s="1"/>
  <c r="N40" i="127" s="1"/>
  <c r="P40" i="127" s="1"/>
  <c r="J41" i="127"/>
  <c r="K41" i="127" s="1"/>
  <c r="L41" i="127" s="1"/>
  <c r="M41" i="127" s="1"/>
  <c r="N41" i="127" s="1"/>
  <c r="P41" i="127" s="1"/>
  <c r="J42" i="127"/>
  <c r="K42" i="127" s="1"/>
  <c r="L42" i="127" s="1"/>
  <c r="M42" i="127" s="1"/>
  <c r="N42" i="127" s="1"/>
  <c r="P42" i="127" s="1"/>
  <c r="J43" i="127"/>
  <c r="K43" i="127" s="1"/>
  <c r="L43" i="127" s="1"/>
  <c r="M43" i="127" s="1"/>
  <c r="N43" i="127" s="1"/>
  <c r="P43" i="127" s="1"/>
  <c r="J44" i="127"/>
  <c r="K44" i="127" s="1"/>
  <c r="L44" i="127" s="1"/>
  <c r="M44" i="127" s="1"/>
  <c r="N44" i="127" s="1"/>
  <c r="P44" i="127" s="1"/>
  <c r="J45" i="127"/>
  <c r="K45" i="127" s="1"/>
  <c r="L45" i="127" s="1"/>
  <c r="M45" i="127" s="1"/>
  <c r="N45" i="127" s="1"/>
  <c r="P45" i="127" s="1"/>
  <c r="J46" i="127"/>
  <c r="K46" i="127" s="1"/>
  <c r="L46" i="127" s="1"/>
  <c r="M46" i="127" s="1"/>
  <c r="N46" i="127" s="1"/>
  <c r="P46" i="127" s="1"/>
  <c r="J47" i="127"/>
  <c r="K47" i="127" s="1"/>
  <c r="L47" i="127" s="1"/>
  <c r="M47" i="127" s="1"/>
  <c r="N47" i="127" s="1"/>
  <c r="P47" i="127" s="1"/>
  <c r="J48" i="127"/>
  <c r="K48" i="127" s="1"/>
  <c r="L48" i="127" s="1"/>
  <c r="M48" i="127" s="1"/>
  <c r="N48" i="127" s="1"/>
  <c r="P48" i="127" s="1"/>
  <c r="J49" i="127"/>
  <c r="K49" i="127" s="1"/>
  <c r="L49" i="127" s="1"/>
  <c r="M49" i="127" s="1"/>
  <c r="N49" i="127" s="1"/>
  <c r="P49" i="127" s="1"/>
  <c r="J50" i="127"/>
  <c r="K50" i="127" s="1"/>
  <c r="L50" i="127" s="1"/>
  <c r="M50" i="127" s="1"/>
  <c r="N50" i="127" s="1"/>
  <c r="P50" i="127" s="1"/>
  <c r="J51" i="127"/>
  <c r="K51" i="127" s="1"/>
  <c r="L51" i="127" s="1"/>
  <c r="M51" i="127" s="1"/>
  <c r="N51" i="127" s="1"/>
  <c r="P51" i="127" s="1"/>
  <c r="J52" i="127"/>
  <c r="K52" i="127" s="1"/>
  <c r="L52" i="127" s="1"/>
  <c r="M52" i="127" s="1"/>
  <c r="N52" i="127" s="1"/>
  <c r="P52" i="127" s="1"/>
  <c r="J53" i="127"/>
  <c r="K53" i="127" s="1"/>
  <c r="L53" i="127" s="1"/>
  <c r="M53" i="127" s="1"/>
  <c r="N53" i="127" s="1"/>
  <c r="P53" i="127" s="1"/>
  <c r="J54" i="127"/>
  <c r="K54" i="127" s="1"/>
  <c r="L54" i="127" s="1"/>
  <c r="M54" i="127" s="1"/>
  <c r="N54" i="127" s="1"/>
  <c r="P54" i="127" s="1"/>
  <c r="J55" i="127"/>
  <c r="K55" i="127" s="1"/>
  <c r="L55" i="127" s="1"/>
  <c r="M55" i="127" s="1"/>
  <c r="N55" i="127" s="1"/>
  <c r="P55" i="127" s="1"/>
  <c r="J56" i="127"/>
  <c r="K56" i="127" s="1"/>
  <c r="L56" i="127" s="1"/>
  <c r="M56" i="127" s="1"/>
  <c r="N56" i="127" s="1"/>
  <c r="P56" i="127" s="1"/>
  <c r="J57" i="127"/>
  <c r="K57" i="127" s="1"/>
  <c r="L57" i="127" s="1"/>
  <c r="M57" i="127" s="1"/>
  <c r="N57" i="127" s="1"/>
  <c r="P57" i="127" s="1"/>
  <c r="J58" i="127"/>
  <c r="K58" i="127" s="1"/>
  <c r="L58" i="127" s="1"/>
  <c r="M58" i="127" s="1"/>
  <c r="N58" i="127" s="1"/>
  <c r="P58" i="127" s="1"/>
  <c r="J59" i="127"/>
  <c r="K59" i="127" s="1"/>
  <c r="L59" i="127" s="1"/>
  <c r="M59" i="127" s="1"/>
  <c r="N59" i="127" s="1"/>
  <c r="P59" i="127" s="1"/>
  <c r="J60" i="127"/>
  <c r="K60" i="127" s="1"/>
  <c r="L60" i="127" s="1"/>
  <c r="M60" i="127" s="1"/>
  <c r="N60" i="127" s="1"/>
  <c r="P60" i="127" s="1"/>
  <c r="J61" i="127"/>
  <c r="K61" i="127" s="1"/>
  <c r="L61" i="127" s="1"/>
  <c r="M61" i="127" s="1"/>
  <c r="N61" i="127" s="1"/>
  <c r="P61" i="127" s="1"/>
  <c r="J62" i="127"/>
  <c r="K62" i="127" s="1"/>
  <c r="L62" i="127" s="1"/>
  <c r="M62" i="127" s="1"/>
  <c r="N62" i="127" s="1"/>
  <c r="P62" i="127" s="1"/>
  <c r="J63" i="127"/>
  <c r="K63" i="127" s="1"/>
  <c r="L63" i="127" s="1"/>
  <c r="M63" i="127" s="1"/>
  <c r="N63" i="127" s="1"/>
  <c r="P63" i="127" s="1"/>
  <c r="J64" i="127"/>
  <c r="K64" i="127" s="1"/>
  <c r="L64" i="127" s="1"/>
  <c r="M64" i="127" s="1"/>
  <c r="N64" i="127" s="1"/>
  <c r="P64" i="127" s="1"/>
  <c r="J65" i="127"/>
  <c r="K65" i="127" s="1"/>
  <c r="L65" i="127" s="1"/>
  <c r="M65" i="127" s="1"/>
  <c r="N65" i="127" s="1"/>
  <c r="P65" i="127" s="1"/>
  <c r="J66" i="127"/>
  <c r="K66" i="127" s="1"/>
  <c r="L66" i="127" s="1"/>
  <c r="M66" i="127" s="1"/>
  <c r="N66" i="127" s="1"/>
  <c r="P66" i="127" s="1"/>
  <c r="J67" i="127"/>
  <c r="K67" i="127" s="1"/>
  <c r="L67" i="127" s="1"/>
  <c r="M67" i="127" s="1"/>
  <c r="N67" i="127" s="1"/>
  <c r="P67" i="127" s="1"/>
  <c r="J68" i="127"/>
  <c r="K68" i="127" s="1"/>
  <c r="L68" i="127" s="1"/>
  <c r="M68" i="127" s="1"/>
  <c r="N68" i="127" s="1"/>
  <c r="P68" i="127" s="1"/>
  <c r="J69" i="127"/>
  <c r="K69" i="127" s="1"/>
  <c r="L69" i="127" s="1"/>
  <c r="M69" i="127" s="1"/>
  <c r="N69" i="127" s="1"/>
  <c r="P69" i="127" s="1"/>
  <c r="J70" i="127"/>
  <c r="K70" i="127" s="1"/>
  <c r="L70" i="127" s="1"/>
  <c r="M70" i="127" s="1"/>
  <c r="N70" i="127" s="1"/>
  <c r="P70" i="127" s="1"/>
  <c r="J71" i="127"/>
  <c r="K71" i="127" s="1"/>
  <c r="L71" i="127" s="1"/>
  <c r="M71" i="127" s="1"/>
  <c r="N71" i="127" s="1"/>
  <c r="P71" i="127" s="1"/>
  <c r="J72" i="127"/>
  <c r="K72" i="127" s="1"/>
  <c r="L72" i="127" s="1"/>
  <c r="M72" i="127" s="1"/>
  <c r="N72" i="127" s="1"/>
  <c r="P72" i="127" s="1"/>
  <c r="J73" i="127"/>
  <c r="K73" i="127" s="1"/>
  <c r="L73" i="127" s="1"/>
  <c r="M73" i="127" s="1"/>
  <c r="N73" i="127" s="1"/>
  <c r="P73" i="127" s="1"/>
  <c r="J74" i="127"/>
  <c r="K74" i="127" s="1"/>
  <c r="L74" i="127" s="1"/>
  <c r="M74" i="127" s="1"/>
  <c r="N74" i="127" s="1"/>
  <c r="P74" i="127" s="1"/>
  <c r="J75" i="127"/>
  <c r="K75" i="127" s="1"/>
  <c r="L75" i="127" s="1"/>
  <c r="M75" i="127" s="1"/>
  <c r="N75" i="127" s="1"/>
  <c r="P75" i="127" s="1"/>
  <c r="J76" i="127"/>
  <c r="K76" i="127" s="1"/>
  <c r="L76" i="127" s="1"/>
  <c r="M76" i="127" s="1"/>
  <c r="N76" i="127" s="1"/>
  <c r="P76" i="127" s="1"/>
  <c r="J9" i="128"/>
  <c r="K9" i="128" s="1"/>
  <c r="L9" i="128" s="1"/>
  <c r="M9" i="128" s="1"/>
  <c r="N9" i="128" s="1"/>
  <c r="P9" i="128" s="1"/>
  <c r="J10" i="128"/>
  <c r="K10" i="128" s="1"/>
  <c r="L10" i="128" s="1"/>
  <c r="M10" i="128" s="1"/>
  <c r="N10" i="128" s="1"/>
  <c r="P10" i="128" s="1"/>
  <c r="J11" i="128"/>
  <c r="K11" i="128" s="1"/>
  <c r="L11" i="128" s="1"/>
  <c r="M11" i="128" s="1"/>
  <c r="N11" i="128" s="1"/>
  <c r="P11" i="128" s="1"/>
  <c r="J12" i="128"/>
  <c r="K12" i="128" s="1"/>
  <c r="L12" i="128" s="1"/>
  <c r="M12" i="128" s="1"/>
  <c r="N12" i="128" s="1"/>
  <c r="P12" i="128" s="1"/>
  <c r="J13" i="128"/>
  <c r="K13" i="128" s="1"/>
  <c r="L13" i="128" s="1"/>
  <c r="M13" i="128" s="1"/>
  <c r="N13" i="128" s="1"/>
  <c r="P13" i="128" s="1"/>
  <c r="J14" i="128"/>
  <c r="K14" i="128" s="1"/>
  <c r="L14" i="128" s="1"/>
  <c r="M14" i="128" s="1"/>
  <c r="N14" i="128" s="1"/>
  <c r="P14" i="128" s="1"/>
  <c r="J15" i="128"/>
  <c r="K15" i="128" s="1"/>
  <c r="L15" i="128" s="1"/>
  <c r="M15" i="128" s="1"/>
  <c r="N15" i="128" s="1"/>
  <c r="P15" i="128" s="1"/>
  <c r="J16" i="128"/>
  <c r="K16" i="128" s="1"/>
  <c r="L16" i="128" s="1"/>
  <c r="M16" i="128" s="1"/>
  <c r="N16" i="128" s="1"/>
  <c r="P16" i="128" s="1"/>
  <c r="J17" i="128"/>
  <c r="K17" i="128" s="1"/>
  <c r="L17" i="128" s="1"/>
  <c r="M17" i="128" s="1"/>
  <c r="N17" i="128" s="1"/>
  <c r="P17" i="128" s="1"/>
  <c r="J18" i="128"/>
  <c r="K18" i="128" s="1"/>
  <c r="L18" i="128" s="1"/>
  <c r="M18" i="128" s="1"/>
  <c r="N18" i="128" s="1"/>
  <c r="P18" i="128" s="1"/>
  <c r="J19" i="128"/>
  <c r="K19" i="128" s="1"/>
  <c r="L19" i="128" s="1"/>
  <c r="M19" i="128" s="1"/>
  <c r="N19" i="128" s="1"/>
  <c r="P19" i="128" s="1"/>
  <c r="J20" i="128"/>
  <c r="K20" i="128" s="1"/>
  <c r="L20" i="128" s="1"/>
  <c r="M20" i="128" s="1"/>
  <c r="N20" i="128" s="1"/>
  <c r="P20" i="128" s="1"/>
  <c r="J21" i="128"/>
  <c r="K21" i="128" s="1"/>
  <c r="L21" i="128" s="1"/>
  <c r="M21" i="128" s="1"/>
  <c r="N21" i="128" s="1"/>
  <c r="P21" i="128" s="1"/>
  <c r="J22" i="128"/>
  <c r="K22" i="128" s="1"/>
  <c r="L22" i="128" s="1"/>
  <c r="M22" i="128" s="1"/>
  <c r="N22" i="128" s="1"/>
  <c r="P22" i="128" s="1"/>
  <c r="J23" i="128"/>
  <c r="K23" i="128" s="1"/>
  <c r="L23" i="128" s="1"/>
  <c r="M23" i="128" s="1"/>
  <c r="N23" i="128" s="1"/>
  <c r="P23" i="128" s="1"/>
  <c r="J24" i="128"/>
  <c r="K24" i="128" s="1"/>
  <c r="L24" i="128" s="1"/>
  <c r="M24" i="128" s="1"/>
  <c r="N24" i="128" s="1"/>
  <c r="P24" i="128" s="1"/>
  <c r="J25" i="128"/>
  <c r="K25" i="128" s="1"/>
  <c r="L25" i="128" s="1"/>
  <c r="M25" i="128" s="1"/>
  <c r="N25" i="128" s="1"/>
  <c r="P25" i="128" s="1"/>
  <c r="J26" i="128"/>
  <c r="K26" i="128" s="1"/>
  <c r="L26" i="128" s="1"/>
  <c r="M26" i="128" s="1"/>
  <c r="N26" i="128" s="1"/>
  <c r="P26" i="128" s="1"/>
  <c r="J27" i="128"/>
  <c r="K27" i="128" s="1"/>
  <c r="L27" i="128" s="1"/>
  <c r="M27" i="128" s="1"/>
  <c r="N27" i="128" s="1"/>
  <c r="P27" i="128" s="1"/>
  <c r="J28" i="128"/>
  <c r="K28" i="128" s="1"/>
  <c r="L28" i="128" s="1"/>
  <c r="M28" i="128" s="1"/>
  <c r="N28" i="128" s="1"/>
  <c r="P28" i="128" s="1"/>
  <c r="J29" i="128"/>
  <c r="K29" i="128" s="1"/>
  <c r="L29" i="128" s="1"/>
  <c r="M29" i="128" s="1"/>
  <c r="N29" i="128" s="1"/>
  <c r="P29" i="128" s="1"/>
  <c r="J30" i="128"/>
  <c r="K30" i="128" s="1"/>
  <c r="L30" i="128" s="1"/>
  <c r="M30" i="128" s="1"/>
  <c r="N30" i="128" s="1"/>
  <c r="P30" i="128" s="1"/>
  <c r="J31" i="128"/>
  <c r="K31" i="128" s="1"/>
  <c r="L31" i="128" s="1"/>
  <c r="M31" i="128" s="1"/>
  <c r="N31" i="128" s="1"/>
  <c r="P31" i="128" s="1"/>
  <c r="J32" i="128"/>
  <c r="K32" i="128" s="1"/>
  <c r="L32" i="128" s="1"/>
  <c r="M32" i="128" s="1"/>
  <c r="N32" i="128" s="1"/>
  <c r="P32" i="128" s="1"/>
  <c r="J33" i="128"/>
  <c r="K33" i="128" s="1"/>
  <c r="L33" i="128" s="1"/>
  <c r="M33" i="128" s="1"/>
  <c r="N33" i="128" s="1"/>
  <c r="P33" i="128" s="1"/>
  <c r="J34" i="128"/>
  <c r="K34" i="128" s="1"/>
  <c r="L34" i="128" s="1"/>
  <c r="M34" i="128" s="1"/>
  <c r="N34" i="128" s="1"/>
  <c r="P34" i="128" s="1"/>
  <c r="J35" i="128"/>
  <c r="K35" i="128" s="1"/>
  <c r="L35" i="128" s="1"/>
  <c r="M35" i="128" s="1"/>
  <c r="N35" i="128" s="1"/>
  <c r="P35" i="128" s="1"/>
  <c r="J36" i="128"/>
  <c r="K36" i="128" s="1"/>
  <c r="L36" i="128" s="1"/>
  <c r="M36" i="128" s="1"/>
  <c r="N36" i="128" s="1"/>
  <c r="P36" i="128" s="1"/>
  <c r="J37" i="128"/>
  <c r="K37" i="128" s="1"/>
  <c r="L37" i="128" s="1"/>
  <c r="M37" i="128" s="1"/>
  <c r="N37" i="128" s="1"/>
  <c r="P37" i="128" s="1"/>
  <c r="J38" i="128"/>
  <c r="K38" i="128" s="1"/>
  <c r="L38" i="128" s="1"/>
  <c r="M38" i="128" s="1"/>
  <c r="N38" i="128" s="1"/>
  <c r="P38" i="128" s="1"/>
  <c r="J39" i="128"/>
  <c r="K39" i="128" s="1"/>
  <c r="L39" i="128" s="1"/>
  <c r="M39" i="128" s="1"/>
  <c r="N39" i="128" s="1"/>
  <c r="P39" i="128" s="1"/>
  <c r="J40" i="128"/>
  <c r="K40" i="128" s="1"/>
  <c r="L40" i="128" s="1"/>
  <c r="M40" i="128" s="1"/>
  <c r="N40" i="128" s="1"/>
  <c r="P40" i="128" s="1"/>
  <c r="J41" i="128"/>
  <c r="K41" i="128" s="1"/>
  <c r="L41" i="128" s="1"/>
  <c r="M41" i="128" s="1"/>
  <c r="N41" i="128" s="1"/>
  <c r="P41" i="128" s="1"/>
  <c r="J42" i="128"/>
  <c r="K42" i="128" s="1"/>
  <c r="L42" i="128" s="1"/>
  <c r="M42" i="128" s="1"/>
  <c r="N42" i="128" s="1"/>
  <c r="P42" i="128" s="1"/>
  <c r="J43" i="128"/>
  <c r="K43" i="128" s="1"/>
  <c r="L43" i="128" s="1"/>
  <c r="M43" i="128" s="1"/>
  <c r="N43" i="128" s="1"/>
  <c r="P43" i="128" s="1"/>
  <c r="J44" i="128"/>
  <c r="K44" i="128" s="1"/>
  <c r="L44" i="128" s="1"/>
  <c r="M44" i="128" s="1"/>
  <c r="N44" i="128" s="1"/>
  <c r="P44" i="128" s="1"/>
  <c r="J45" i="128"/>
  <c r="K45" i="128" s="1"/>
  <c r="L45" i="128" s="1"/>
  <c r="M45" i="128" s="1"/>
  <c r="N45" i="128" s="1"/>
  <c r="P45" i="128" s="1"/>
  <c r="J46" i="128"/>
  <c r="K46" i="128" s="1"/>
  <c r="L46" i="128" s="1"/>
  <c r="M46" i="128" s="1"/>
  <c r="N46" i="128" s="1"/>
  <c r="P46" i="128" s="1"/>
  <c r="J47" i="128"/>
  <c r="K47" i="128" s="1"/>
  <c r="L47" i="128" s="1"/>
  <c r="M47" i="128" s="1"/>
  <c r="N47" i="128" s="1"/>
  <c r="P47" i="128" s="1"/>
  <c r="J48" i="128"/>
  <c r="K48" i="128" s="1"/>
  <c r="L48" i="128" s="1"/>
  <c r="M48" i="128" s="1"/>
  <c r="N48" i="128" s="1"/>
  <c r="P48" i="128" s="1"/>
  <c r="J49" i="128"/>
  <c r="K49" i="128" s="1"/>
  <c r="L49" i="128" s="1"/>
  <c r="M49" i="128" s="1"/>
  <c r="N49" i="128" s="1"/>
  <c r="P49" i="128" s="1"/>
  <c r="J50" i="128"/>
  <c r="K50" i="128" s="1"/>
  <c r="L50" i="128" s="1"/>
  <c r="M50" i="128" s="1"/>
  <c r="N50" i="128" s="1"/>
  <c r="P50" i="128" s="1"/>
  <c r="J51" i="128"/>
  <c r="K51" i="128" s="1"/>
  <c r="L51" i="128" s="1"/>
  <c r="M51" i="128" s="1"/>
  <c r="N51" i="128" s="1"/>
  <c r="P51" i="128" s="1"/>
  <c r="J52" i="128"/>
  <c r="K52" i="128" s="1"/>
  <c r="L52" i="128" s="1"/>
  <c r="M52" i="128" s="1"/>
  <c r="N52" i="128" s="1"/>
  <c r="P52" i="128" s="1"/>
  <c r="J53" i="128"/>
  <c r="K53" i="128" s="1"/>
  <c r="L53" i="128" s="1"/>
  <c r="M53" i="128" s="1"/>
  <c r="N53" i="128" s="1"/>
  <c r="P53" i="128" s="1"/>
  <c r="J54" i="128"/>
  <c r="K54" i="128" s="1"/>
  <c r="L54" i="128" s="1"/>
  <c r="M54" i="128" s="1"/>
  <c r="N54" i="128" s="1"/>
  <c r="P54" i="128" s="1"/>
  <c r="J55" i="128"/>
  <c r="K55" i="128" s="1"/>
  <c r="L55" i="128" s="1"/>
  <c r="M55" i="128" s="1"/>
  <c r="N55" i="128" s="1"/>
  <c r="P55" i="128" s="1"/>
  <c r="J56" i="128"/>
  <c r="K56" i="128" s="1"/>
  <c r="L56" i="128" s="1"/>
  <c r="M56" i="128" s="1"/>
  <c r="N56" i="128" s="1"/>
  <c r="P56" i="128" s="1"/>
  <c r="J57" i="128"/>
  <c r="K57" i="128" s="1"/>
  <c r="L57" i="128" s="1"/>
  <c r="M57" i="128" s="1"/>
  <c r="N57" i="128" s="1"/>
  <c r="P57" i="128" s="1"/>
  <c r="J58" i="128"/>
  <c r="K58" i="128" s="1"/>
  <c r="L58" i="128" s="1"/>
  <c r="M58" i="128" s="1"/>
  <c r="N58" i="128" s="1"/>
  <c r="P58" i="128" s="1"/>
  <c r="J59" i="128"/>
  <c r="K59" i="128" s="1"/>
  <c r="L59" i="128" s="1"/>
  <c r="M59" i="128" s="1"/>
  <c r="N59" i="128" s="1"/>
  <c r="P59" i="128" s="1"/>
  <c r="J60" i="128"/>
  <c r="K60" i="128" s="1"/>
  <c r="L60" i="128" s="1"/>
  <c r="M60" i="128" s="1"/>
  <c r="N60" i="128" s="1"/>
  <c r="P60" i="128" s="1"/>
  <c r="J61" i="128"/>
  <c r="K61" i="128" s="1"/>
  <c r="L61" i="128" s="1"/>
  <c r="M61" i="128" s="1"/>
  <c r="N61" i="128" s="1"/>
  <c r="P61" i="128" s="1"/>
  <c r="J62" i="128"/>
  <c r="K62" i="128" s="1"/>
  <c r="L62" i="128" s="1"/>
  <c r="M62" i="128" s="1"/>
  <c r="N62" i="128" s="1"/>
  <c r="P62" i="128" s="1"/>
  <c r="J63" i="128"/>
  <c r="K63" i="128" s="1"/>
  <c r="L63" i="128" s="1"/>
  <c r="M63" i="128" s="1"/>
  <c r="N63" i="128" s="1"/>
  <c r="P63" i="128" s="1"/>
  <c r="J64" i="128"/>
  <c r="K64" i="128" s="1"/>
  <c r="L64" i="128" s="1"/>
  <c r="M64" i="128" s="1"/>
  <c r="N64" i="128" s="1"/>
  <c r="P64" i="128" s="1"/>
  <c r="J65" i="128"/>
  <c r="K65" i="128" s="1"/>
  <c r="L65" i="128" s="1"/>
  <c r="M65" i="128" s="1"/>
  <c r="N65" i="128" s="1"/>
  <c r="P65" i="128" s="1"/>
  <c r="J66" i="128"/>
  <c r="K66" i="128" s="1"/>
  <c r="L66" i="128" s="1"/>
  <c r="M66" i="128" s="1"/>
  <c r="N66" i="128" s="1"/>
  <c r="P66" i="128" s="1"/>
  <c r="J67" i="128"/>
  <c r="K67" i="128" s="1"/>
  <c r="L67" i="128" s="1"/>
  <c r="M67" i="128" s="1"/>
  <c r="N67" i="128" s="1"/>
  <c r="P67" i="128" s="1"/>
  <c r="J68" i="128"/>
  <c r="K68" i="128" s="1"/>
  <c r="L68" i="128" s="1"/>
  <c r="M68" i="128" s="1"/>
  <c r="N68" i="128" s="1"/>
  <c r="P68" i="128" s="1"/>
  <c r="J69" i="128"/>
  <c r="K69" i="128" s="1"/>
  <c r="L69" i="128" s="1"/>
  <c r="M69" i="128" s="1"/>
  <c r="N69" i="128" s="1"/>
  <c r="P69" i="128" s="1"/>
  <c r="J70" i="128"/>
  <c r="K70" i="128" s="1"/>
  <c r="L70" i="128" s="1"/>
  <c r="M70" i="128" s="1"/>
  <c r="N70" i="128" s="1"/>
  <c r="P70" i="128" s="1"/>
  <c r="J71" i="128"/>
  <c r="K71" i="128" s="1"/>
  <c r="L71" i="128" s="1"/>
  <c r="M71" i="128" s="1"/>
  <c r="N71" i="128" s="1"/>
  <c r="P71" i="128" s="1"/>
  <c r="J72" i="128"/>
  <c r="K72" i="128" s="1"/>
  <c r="L72" i="128" s="1"/>
  <c r="M72" i="128" s="1"/>
  <c r="N72" i="128" s="1"/>
  <c r="P72" i="128" s="1"/>
  <c r="J73" i="128"/>
  <c r="K73" i="128" s="1"/>
  <c r="L73" i="128" s="1"/>
  <c r="M73" i="128" s="1"/>
  <c r="N73" i="128" s="1"/>
  <c r="P73" i="128" s="1"/>
  <c r="J74" i="128"/>
  <c r="K74" i="128" s="1"/>
  <c r="L74" i="128" s="1"/>
  <c r="M74" i="128" s="1"/>
  <c r="N74" i="128" s="1"/>
  <c r="P74" i="128" s="1"/>
  <c r="J75" i="128"/>
  <c r="K75" i="128" s="1"/>
  <c r="L75" i="128" s="1"/>
  <c r="M75" i="128" s="1"/>
  <c r="N75" i="128" s="1"/>
  <c r="P75" i="128" s="1"/>
  <c r="J76" i="128"/>
  <c r="K76" i="128" s="1"/>
  <c r="L76" i="128" s="1"/>
  <c r="M76" i="128" s="1"/>
  <c r="N76" i="128" s="1"/>
  <c r="P76" i="128" s="1"/>
  <c r="J9" i="129"/>
  <c r="K9" i="129" s="1"/>
  <c r="L9" i="129" s="1"/>
  <c r="M9" i="129" s="1"/>
  <c r="N9" i="129" s="1"/>
  <c r="P9" i="129" s="1"/>
  <c r="J10" i="129"/>
  <c r="K10" i="129" s="1"/>
  <c r="L10" i="129" s="1"/>
  <c r="M10" i="129" s="1"/>
  <c r="N10" i="129" s="1"/>
  <c r="P10" i="129" s="1"/>
  <c r="J11" i="129"/>
  <c r="K11" i="129" s="1"/>
  <c r="L11" i="129" s="1"/>
  <c r="M11" i="129" s="1"/>
  <c r="N11" i="129" s="1"/>
  <c r="P11" i="129" s="1"/>
  <c r="J12" i="129"/>
  <c r="K12" i="129" s="1"/>
  <c r="L12" i="129" s="1"/>
  <c r="M12" i="129" s="1"/>
  <c r="N12" i="129" s="1"/>
  <c r="P12" i="129" s="1"/>
  <c r="J13" i="129"/>
  <c r="K13" i="129" s="1"/>
  <c r="L13" i="129" s="1"/>
  <c r="M13" i="129" s="1"/>
  <c r="N13" i="129" s="1"/>
  <c r="P13" i="129" s="1"/>
  <c r="J14" i="129"/>
  <c r="K14" i="129" s="1"/>
  <c r="L14" i="129" s="1"/>
  <c r="M14" i="129" s="1"/>
  <c r="N14" i="129" s="1"/>
  <c r="P14" i="129" s="1"/>
  <c r="J15" i="129"/>
  <c r="K15" i="129" s="1"/>
  <c r="L15" i="129" s="1"/>
  <c r="M15" i="129" s="1"/>
  <c r="N15" i="129" s="1"/>
  <c r="P15" i="129" s="1"/>
  <c r="J16" i="129"/>
  <c r="K16" i="129" s="1"/>
  <c r="L16" i="129" s="1"/>
  <c r="M16" i="129" s="1"/>
  <c r="N16" i="129" s="1"/>
  <c r="P16" i="129" s="1"/>
  <c r="J17" i="129"/>
  <c r="K17" i="129" s="1"/>
  <c r="L17" i="129" s="1"/>
  <c r="M17" i="129" s="1"/>
  <c r="N17" i="129" s="1"/>
  <c r="P17" i="129" s="1"/>
  <c r="J18" i="129"/>
  <c r="K18" i="129" s="1"/>
  <c r="L18" i="129" s="1"/>
  <c r="M18" i="129" s="1"/>
  <c r="N18" i="129" s="1"/>
  <c r="P18" i="129" s="1"/>
  <c r="J19" i="129"/>
  <c r="K19" i="129" s="1"/>
  <c r="L19" i="129" s="1"/>
  <c r="M19" i="129" s="1"/>
  <c r="N19" i="129" s="1"/>
  <c r="P19" i="129" s="1"/>
  <c r="J20" i="129"/>
  <c r="K20" i="129" s="1"/>
  <c r="L20" i="129" s="1"/>
  <c r="M20" i="129" s="1"/>
  <c r="N20" i="129" s="1"/>
  <c r="P20" i="129" s="1"/>
  <c r="J21" i="129"/>
  <c r="K21" i="129" s="1"/>
  <c r="L21" i="129" s="1"/>
  <c r="M21" i="129" s="1"/>
  <c r="N21" i="129" s="1"/>
  <c r="P21" i="129" s="1"/>
  <c r="J22" i="129"/>
  <c r="K22" i="129" s="1"/>
  <c r="L22" i="129" s="1"/>
  <c r="M22" i="129" s="1"/>
  <c r="N22" i="129" s="1"/>
  <c r="P22" i="129" s="1"/>
  <c r="J23" i="129"/>
  <c r="K23" i="129" s="1"/>
  <c r="L23" i="129" s="1"/>
  <c r="M23" i="129" s="1"/>
  <c r="N23" i="129" s="1"/>
  <c r="P23" i="129" s="1"/>
  <c r="J24" i="129"/>
  <c r="K24" i="129" s="1"/>
  <c r="L24" i="129" s="1"/>
  <c r="M24" i="129" s="1"/>
  <c r="N24" i="129" s="1"/>
  <c r="P24" i="129" s="1"/>
  <c r="J25" i="129"/>
  <c r="K25" i="129" s="1"/>
  <c r="L25" i="129" s="1"/>
  <c r="M25" i="129" s="1"/>
  <c r="N25" i="129" s="1"/>
  <c r="P25" i="129" s="1"/>
  <c r="J26" i="129"/>
  <c r="K26" i="129" s="1"/>
  <c r="L26" i="129" s="1"/>
  <c r="M26" i="129" s="1"/>
  <c r="N26" i="129" s="1"/>
  <c r="P26" i="129" s="1"/>
  <c r="J27" i="129"/>
  <c r="K27" i="129" s="1"/>
  <c r="L27" i="129" s="1"/>
  <c r="M27" i="129" s="1"/>
  <c r="N27" i="129" s="1"/>
  <c r="P27" i="129" s="1"/>
  <c r="J28" i="129"/>
  <c r="K28" i="129" s="1"/>
  <c r="L28" i="129" s="1"/>
  <c r="M28" i="129" s="1"/>
  <c r="N28" i="129" s="1"/>
  <c r="P28" i="129" s="1"/>
  <c r="J29" i="129"/>
  <c r="K29" i="129" s="1"/>
  <c r="L29" i="129" s="1"/>
  <c r="M29" i="129" s="1"/>
  <c r="N29" i="129" s="1"/>
  <c r="P29" i="129" s="1"/>
  <c r="J30" i="129"/>
  <c r="K30" i="129" s="1"/>
  <c r="L30" i="129" s="1"/>
  <c r="M30" i="129" s="1"/>
  <c r="N30" i="129" s="1"/>
  <c r="P30" i="129" s="1"/>
  <c r="J31" i="129"/>
  <c r="K31" i="129" s="1"/>
  <c r="L31" i="129" s="1"/>
  <c r="M31" i="129" s="1"/>
  <c r="N31" i="129" s="1"/>
  <c r="P31" i="129" s="1"/>
  <c r="J32" i="129"/>
  <c r="K32" i="129" s="1"/>
  <c r="L32" i="129" s="1"/>
  <c r="M32" i="129" s="1"/>
  <c r="N32" i="129" s="1"/>
  <c r="P32" i="129" s="1"/>
  <c r="J33" i="129"/>
  <c r="K33" i="129" s="1"/>
  <c r="L33" i="129" s="1"/>
  <c r="M33" i="129" s="1"/>
  <c r="N33" i="129" s="1"/>
  <c r="P33" i="129" s="1"/>
  <c r="J34" i="129"/>
  <c r="K34" i="129" s="1"/>
  <c r="L34" i="129" s="1"/>
  <c r="M34" i="129" s="1"/>
  <c r="N34" i="129" s="1"/>
  <c r="P34" i="129" s="1"/>
  <c r="J35" i="129"/>
  <c r="K35" i="129" s="1"/>
  <c r="L35" i="129" s="1"/>
  <c r="M35" i="129" s="1"/>
  <c r="N35" i="129" s="1"/>
  <c r="P35" i="129" s="1"/>
  <c r="J36" i="129"/>
  <c r="K36" i="129" s="1"/>
  <c r="L36" i="129" s="1"/>
  <c r="M36" i="129" s="1"/>
  <c r="N36" i="129" s="1"/>
  <c r="P36" i="129" s="1"/>
  <c r="J37" i="129"/>
  <c r="K37" i="129" s="1"/>
  <c r="L37" i="129" s="1"/>
  <c r="M37" i="129" s="1"/>
  <c r="N37" i="129" s="1"/>
  <c r="P37" i="129" s="1"/>
  <c r="J38" i="129"/>
  <c r="K38" i="129" s="1"/>
  <c r="L38" i="129" s="1"/>
  <c r="M38" i="129" s="1"/>
  <c r="N38" i="129" s="1"/>
  <c r="P38" i="129" s="1"/>
  <c r="J39" i="129"/>
  <c r="K39" i="129" s="1"/>
  <c r="L39" i="129" s="1"/>
  <c r="M39" i="129" s="1"/>
  <c r="N39" i="129" s="1"/>
  <c r="P39" i="129" s="1"/>
  <c r="J40" i="129"/>
  <c r="K40" i="129" s="1"/>
  <c r="L40" i="129" s="1"/>
  <c r="M40" i="129" s="1"/>
  <c r="N40" i="129" s="1"/>
  <c r="P40" i="129" s="1"/>
  <c r="J41" i="129"/>
  <c r="K41" i="129" s="1"/>
  <c r="L41" i="129" s="1"/>
  <c r="M41" i="129" s="1"/>
  <c r="N41" i="129" s="1"/>
  <c r="P41" i="129" s="1"/>
  <c r="J42" i="129"/>
  <c r="K42" i="129" s="1"/>
  <c r="L42" i="129" s="1"/>
  <c r="M42" i="129" s="1"/>
  <c r="N42" i="129" s="1"/>
  <c r="P42" i="129" s="1"/>
  <c r="J43" i="129"/>
  <c r="K43" i="129" s="1"/>
  <c r="L43" i="129" s="1"/>
  <c r="M43" i="129" s="1"/>
  <c r="N43" i="129" s="1"/>
  <c r="P43" i="129" s="1"/>
  <c r="J44" i="129"/>
  <c r="K44" i="129" s="1"/>
  <c r="L44" i="129" s="1"/>
  <c r="M44" i="129" s="1"/>
  <c r="N44" i="129" s="1"/>
  <c r="P44" i="129" s="1"/>
  <c r="J45" i="129"/>
  <c r="K45" i="129" s="1"/>
  <c r="L45" i="129" s="1"/>
  <c r="M45" i="129" s="1"/>
  <c r="N45" i="129" s="1"/>
  <c r="P45" i="129" s="1"/>
  <c r="J46" i="129"/>
  <c r="K46" i="129" s="1"/>
  <c r="L46" i="129" s="1"/>
  <c r="M46" i="129" s="1"/>
  <c r="N46" i="129" s="1"/>
  <c r="P46" i="129" s="1"/>
  <c r="J47" i="129"/>
  <c r="K47" i="129" s="1"/>
  <c r="L47" i="129" s="1"/>
  <c r="M47" i="129" s="1"/>
  <c r="N47" i="129" s="1"/>
  <c r="P47" i="129" s="1"/>
  <c r="J48" i="129"/>
  <c r="K48" i="129" s="1"/>
  <c r="L48" i="129" s="1"/>
  <c r="M48" i="129" s="1"/>
  <c r="N48" i="129" s="1"/>
  <c r="P48" i="129" s="1"/>
  <c r="J49" i="129"/>
  <c r="K49" i="129" s="1"/>
  <c r="L49" i="129" s="1"/>
  <c r="M49" i="129" s="1"/>
  <c r="N49" i="129" s="1"/>
  <c r="P49" i="129" s="1"/>
  <c r="J50" i="129"/>
  <c r="K50" i="129" s="1"/>
  <c r="L50" i="129" s="1"/>
  <c r="M50" i="129" s="1"/>
  <c r="N50" i="129" s="1"/>
  <c r="P50" i="129" s="1"/>
  <c r="J51" i="129"/>
  <c r="K51" i="129" s="1"/>
  <c r="L51" i="129" s="1"/>
  <c r="M51" i="129" s="1"/>
  <c r="N51" i="129" s="1"/>
  <c r="P51" i="129" s="1"/>
  <c r="J52" i="129"/>
  <c r="K52" i="129" s="1"/>
  <c r="L52" i="129" s="1"/>
  <c r="M52" i="129" s="1"/>
  <c r="N52" i="129" s="1"/>
  <c r="P52" i="129" s="1"/>
  <c r="J53" i="129"/>
  <c r="K53" i="129" s="1"/>
  <c r="L53" i="129" s="1"/>
  <c r="M53" i="129" s="1"/>
  <c r="N53" i="129" s="1"/>
  <c r="P53" i="129" s="1"/>
  <c r="J54" i="129"/>
  <c r="K54" i="129" s="1"/>
  <c r="L54" i="129" s="1"/>
  <c r="M54" i="129" s="1"/>
  <c r="N54" i="129" s="1"/>
  <c r="P54" i="129" s="1"/>
  <c r="J55" i="129"/>
  <c r="K55" i="129" s="1"/>
  <c r="L55" i="129" s="1"/>
  <c r="M55" i="129" s="1"/>
  <c r="N55" i="129" s="1"/>
  <c r="P55" i="129" s="1"/>
  <c r="J56" i="129"/>
  <c r="K56" i="129" s="1"/>
  <c r="L56" i="129" s="1"/>
  <c r="M56" i="129" s="1"/>
  <c r="N56" i="129" s="1"/>
  <c r="P56" i="129" s="1"/>
  <c r="J57" i="129"/>
  <c r="K57" i="129" s="1"/>
  <c r="L57" i="129" s="1"/>
  <c r="M57" i="129" s="1"/>
  <c r="N57" i="129" s="1"/>
  <c r="P57" i="129" s="1"/>
  <c r="J58" i="129"/>
  <c r="K58" i="129" s="1"/>
  <c r="L58" i="129" s="1"/>
  <c r="M58" i="129" s="1"/>
  <c r="N58" i="129" s="1"/>
  <c r="P58" i="129" s="1"/>
  <c r="J59" i="129"/>
  <c r="K59" i="129" s="1"/>
  <c r="L59" i="129" s="1"/>
  <c r="M59" i="129" s="1"/>
  <c r="N59" i="129" s="1"/>
  <c r="P59" i="129" s="1"/>
  <c r="J60" i="129"/>
  <c r="K60" i="129" s="1"/>
  <c r="L60" i="129" s="1"/>
  <c r="M60" i="129" s="1"/>
  <c r="N60" i="129" s="1"/>
  <c r="P60" i="129" s="1"/>
  <c r="J61" i="129"/>
  <c r="K61" i="129" s="1"/>
  <c r="L61" i="129" s="1"/>
  <c r="M61" i="129" s="1"/>
  <c r="N61" i="129" s="1"/>
  <c r="P61" i="129" s="1"/>
  <c r="J62" i="129"/>
  <c r="K62" i="129" s="1"/>
  <c r="L62" i="129" s="1"/>
  <c r="M62" i="129" s="1"/>
  <c r="N62" i="129" s="1"/>
  <c r="P62" i="129" s="1"/>
  <c r="J63" i="129"/>
  <c r="K63" i="129" s="1"/>
  <c r="L63" i="129" s="1"/>
  <c r="M63" i="129" s="1"/>
  <c r="N63" i="129" s="1"/>
  <c r="P63" i="129" s="1"/>
  <c r="J64" i="129"/>
  <c r="K64" i="129" s="1"/>
  <c r="L64" i="129" s="1"/>
  <c r="M64" i="129" s="1"/>
  <c r="N64" i="129" s="1"/>
  <c r="P64" i="129" s="1"/>
  <c r="J65" i="129"/>
  <c r="K65" i="129" s="1"/>
  <c r="L65" i="129" s="1"/>
  <c r="M65" i="129" s="1"/>
  <c r="N65" i="129" s="1"/>
  <c r="P65" i="129" s="1"/>
  <c r="J66" i="129"/>
  <c r="K66" i="129" s="1"/>
  <c r="L66" i="129" s="1"/>
  <c r="M66" i="129" s="1"/>
  <c r="N66" i="129" s="1"/>
  <c r="P66" i="129" s="1"/>
  <c r="J67" i="129"/>
  <c r="K67" i="129" s="1"/>
  <c r="L67" i="129" s="1"/>
  <c r="M67" i="129" s="1"/>
  <c r="N67" i="129" s="1"/>
  <c r="P67" i="129" s="1"/>
  <c r="J68" i="129"/>
  <c r="K68" i="129" s="1"/>
  <c r="L68" i="129" s="1"/>
  <c r="M68" i="129" s="1"/>
  <c r="N68" i="129" s="1"/>
  <c r="P68" i="129" s="1"/>
  <c r="J69" i="129"/>
  <c r="K69" i="129" s="1"/>
  <c r="L69" i="129" s="1"/>
  <c r="M69" i="129" s="1"/>
  <c r="N69" i="129" s="1"/>
  <c r="P69" i="129" s="1"/>
  <c r="J70" i="129"/>
  <c r="K70" i="129" s="1"/>
  <c r="L70" i="129" s="1"/>
  <c r="M70" i="129" s="1"/>
  <c r="N70" i="129" s="1"/>
  <c r="P70" i="129" s="1"/>
  <c r="J71" i="129"/>
  <c r="K71" i="129" s="1"/>
  <c r="L71" i="129" s="1"/>
  <c r="M71" i="129" s="1"/>
  <c r="N71" i="129" s="1"/>
  <c r="P71" i="129" s="1"/>
  <c r="J72" i="129"/>
  <c r="K72" i="129" s="1"/>
  <c r="L72" i="129" s="1"/>
  <c r="M72" i="129" s="1"/>
  <c r="N72" i="129" s="1"/>
  <c r="P72" i="129" s="1"/>
  <c r="J73" i="129"/>
  <c r="K73" i="129" s="1"/>
  <c r="L73" i="129" s="1"/>
  <c r="M73" i="129" s="1"/>
  <c r="N73" i="129" s="1"/>
  <c r="P73" i="129" s="1"/>
  <c r="J74" i="129"/>
  <c r="K74" i="129" s="1"/>
  <c r="L74" i="129" s="1"/>
  <c r="M74" i="129" s="1"/>
  <c r="N74" i="129" s="1"/>
  <c r="P74" i="129" s="1"/>
  <c r="J75" i="129"/>
  <c r="K75" i="129" s="1"/>
  <c r="L75" i="129" s="1"/>
  <c r="M75" i="129" s="1"/>
  <c r="N75" i="129" s="1"/>
  <c r="P75" i="129" s="1"/>
  <c r="J76" i="129"/>
  <c r="K76" i="129" s="1"/>
  <c r="L76" i="129" s="1"/>
  <c r="M76" i="129" s="1"/>
  <c r="N76" i="129" s="1"/>
  <c r="P76" i="129" s="1"/>
  <c r="J9" i="131"/>
  <c r="K9" i="131" s="1"/>
  <c r="L9" i="131" s="1"/>
  <c r="J10" i="131"/>
  <c r="K10" i="131" s="1"/>
  <c r="L10" i="131" s="1"/>
  <c r="J11" i="131"/>
  <c r="K11" i="131" s="1"/>
  <c r="L11" i="131" s="1"/>
  <c r="J12" i="131"/>
  <c r="K12" i="131" s="1"/>
  <c r="L12" i="131" s="1"/>
  <c r="J13" i="131"/>
  <c r="K13" i="131" s="1"/>
  <c r="L13" i="131" s="1"/>
  <c r="J14" i="131"/>
  <c r="K14" i="131" s="1"/>
  <c r="L14" i="131" s="1"/>
  <c r="J15" i="131"/>
  <c r="K15" i="131" s="1"/>
  <c r="L15" i="131" s="1"/>
  <c r="J16" i="131"/>
  <c r="K16" i="131" s="1"/>
  <c r="L16" i="131" s="1"/>
  <c r="J17" i="131"/>
  <c r="K17" i="131" s="1"/>
  <c r="L17" i="131" s="1"/>
  <c r="J18" i="131"/>
  <c r="K18" i="131" s="1"/>
  <c r="L18" i="131" s="1"/>
  <c r="J19" i="131"/>
  <c r="K19" i="131" s="1"/>
  <c r="L19" i="131" s="1"/>
  <c r="J20" i="131"/>
  <c r="K20" i="131" s="1"/>
  <c r="L20" i="131" s="1"/>
  <c r="J21" i="131"/>
  <c r="K21" i="131" s="1"/>
  <c r="L21" i="131" s="1"/>
  <c r="J22" i="131"/>
  <c r="K22" i="131" s="1"/>
  <c r="L22" i="131" s="1"/>
  <c r="J23" i="131"/>
  <c r="K23" i="131" s="1"/>
  <c r="L23" i="131" s="1"/>
  <c r="J24" i="131"/>
  <c r="K24" i="131" s="1"/>
  <c r="L24" i="131" s="1"/>
  <c r="J25" i="131"/>
  <c r="K25" i="131" s="1"/>
  <c r="L25" i="131" s="1"/>
  <c r="J26" i="131"/>
  <c r="K26" i="131" s="1"/>
  <c r="L26" i="131" s="1"/>
  <c r="J27" i="131"/>
  <c r="K27" i="131" s="1"/>
  <c r="L27" i="131" s="1"/>
  <c r="J28" i="131"/>
  <c r="K28" i="131" s="1"/>
  <c r="L28" i="131" s="1"/>
  <c r="J29" i="131"/>
  <c r="K29" i="131" s="1"/>
  <c r="L29" i="131" s="1"/>
  <c r="J30" i="131"/>
  <c r="K30" i="131" s="1"/>
  <c r="L30" i="131" s="1"/>
  <c r="J31" i="131"/>
  <c r="K31" i="131" s="1"/>
  <c r="L31" i="131" s="1"/>
  <c r="J32" i="131"/>
  <c r="K32" i="131" s="1"/>
  <c r="L32" i="131" s="1"/>
  <c r="J33" i="131"/>
  <c r="K33" i="131" s="1"/>
  <c r="L33" i="131" s="1"/>
  <c r="J34" i="131"/>
  <c r="K34" i="131" s="1"/>
  <c r="L34" i="131" s="1"/>
  <c r="J35" i="131"/>
  <c r="K35" i="131" s="1"/>
  <c r="L35" i="131" s="1"/>
  <c r="J36" i="131"/>
  <c r="K36" i="131" s="1"/>
  <c r="L36" i="131" s="1"/>
  <c r="J37" i="131"/>
  <c r="K37" i="131" s="1"/>
  <c r="L37" i="131" s="1"/>
  <c r="J38" i="131"/>
  <c r="K38" i="131" s="1"/>
  <c r="L38" i="131" s="1"/>
  <c r="J39" i="131"/>
  <c r="K39" i="131" s="1"/>
  <c r="L39" i="131" s="1"/>
  <c r="J40" i="131"/>
  <c r="K40" i="131" s="1"/>
  <c r="L40" i="131" s="1"/>
  <c r="J41" i="131"/>
  <c r="K41" i="131" s="1"/>
  <c r="L41" i="131" s="1"/>
  <c r="J42" i="131"/>
  <c r="K42" i="131" s="1"/>
  <c r="L42" i="131" s="1"/>
  <c r="J43" i="131"/>
  <c r="K43" i="131" s="1"/>
  <c r="L43" i="131" s="1"/>
  <c r="J44" i="131"/>
  <c r="K44" i="131" s="1"/>
  <c r="L44" i="131" s="1"/>
  <c r="J45" i="131"/>
  <c r="K45" i="131" s="1"/>
  <c r="L45" i="131" s="1"/>
  <c r="J46" i="131"/>
  <c r="K46" i="131" s="1"/>
  <c r="L46" i="131" s="1"/>
  <c r="J47" i="131"/>
  <c r="K47" i="131" s="1"/>
  <c r="L47" i="131" s="1"/>
  <c r="J48" i="131"/>
  <c r="K48" i="131" s="1"/>
  <c r="L48" i="131" s="1"/>
  <c r="J49" i="131"/>
  <c r="K49" i="131" s="1"/>
  <c r="L49" i="131" s="1"/>
  <c r="J50" i="131"/>
  <c r="K50" i="131" s="1"/>
  <c r="L50" i="131" s="1"/>
  <c r="J51" i="131"/>
  <c r="K51" i="131" s="1"/>
  <c r="L51" i="131" s="1"/>
  <c r="J52" i="131"/>
  <c r="K52" i="131" s="1"/>
  <c r="L52" i="131" s="1"/>
  <c r="J53" i="131"/>
  <c r="K53" i="131" s="1"/>
  <c r="L53" i="131" s="1"/>
  <c r="J54" i="131"/>
  <c r="K54" i="131" s="1"/>
  <c r="L54" i="131" s="1"/>
  <c r="J55" i="131"/>
  <c r="K55" i="131" s="1"/>
  <c r="L55" i="131" s="1"/>
  <c r="J56" i="131"/>
  <c r="K56" i="131" s="1"/>
  <c r="L56" i="131" s="1"/>
  <c r="J57" i="131"/>
  <c r="K57" i="131" s="1"/>
  <c r="L57" i="131" s="1"/>
  <c r="J58" i="131"/>
  <c r="K58" i="131" s="1"/>
  <c r="L58" i="131" s="1"/>
  <c r="J59" i="131"/>
  <c r="K59" i="131" s="1"/>
  <c r="L59" i="131" s="1"/>
  <c r="J60" i="131"/>
  <c r="K60" i="131" s="1"/>
  <c r="L60" i="131" s="1"/>
  <c r="J61" i="131"/>
  <c r="K61" i="131" s="1"/>
  <c r="L61" i="131" s="1"/>
  <c r="J62" i="131"/>
  <c r="K62" i="131" s="1"/>
  <c r="L62" i="131" s="1"/>
  <c r="J63" i="131"/>
  <c r="K63" i="131" s="1"/>
  <c r="L63" i="131" s="1"/>
  <c r="J64" i="131"/>
  <c r="K64" i="131" s="1"/>
  <c r="L64" i="131" s="1"/>
  <c r="J65" i="131"/>
  <c r="K65" i="131" s="1"/>
  <c r="L65" i="131" s="1"/>
  <c r="J66" i="131"/>
  <c r="K66" i="131" s="1"/>
  <c r="L66" i="131" s="1"/>
  <c r="J67" i="131"/>
  <c r="K67" i="131" s="1"/>
  <c r="L67" i="131" s="1"/>
  <c r="J68" i="131"/>
  <c r="K68" i="131" s="1"/>
  <c r="L68" i="131" s="1"/>
  <c r="J69" i="131"/>
  <c r="K69" i="131" s="1"/>
  <c r="L69" i="131" s="1"/>
  <c r="J70" i="131"/>
  <c r="K70" i="131" s="1"/>
  <c r="L70" i="131" s="1"/>
  <c r="J71" i="131"/>
  <c r="K71" i="131" s="1"/>
  <c r="L71" i="131" s="1"/>
  <c r="J72" i="131"/>
  <c r="K72" i="131" s="1"/>
  <c r="L72" i="131" s="1"/>
  <c r="J73" i="131"/>
  <c r="K73" i="131" s="1"/>
  <c r="L73" i="131" s="1"/>
  <c r="J74" i="131"/>
  <c r="K74" i="131" s="1"/>
  <c r="L74" i="131" s="1"/>
  <c r="J75" i="131"/>
  <c r="K75" i="131" s="1"/>
  <c r="L75" i="131" s="1"/>
  <c r="J76" i="131"/>
  <c r="K76" i="131" s="1"/>
  <c r="L76" i="131" s="1"/>
  <c r="Y29" i="46"/>
  <c r="Z29" i="46" s="1"/>
  <c r="AC29" i="46" s="1"/>
  <c r="AD29" i="46" s="1"/>
  <c r="AC13" i="119" l="1"/>
  <c r="AE13" i="119" s="1"/>
  <c r="AC45" i="119"/>
  <c r="AE45" i="119" s="1"/>
  <c r="AC63" i="119"/>
  <c r="AE63" i="119" s="1"/>
  <c r="AC20" i="119"/>
  <c r="AE20" i="119" s="1"/>
  <c r="AC38" i="119"/>
  <c r="AE38" i="119" s="1"/>
  <c r="AC50" i="119"/>
  <c r="AE50" i="119" s="1"/>
  <c r="AE66" i="117"/>
  <c r="AG66" i="117" s="1"/>
  <c r="AC55" i="116"/>
  <c r="AE55" i="116" s="1"/>
  <c r="AC21" i="119"/>
  <c r="AE21" i="119" s="1"/>
  <c r="AC53" i="119"/>
  <c r="AE53" i="119" s="1"/>
  <c r="AE54" i="117"/>
  <c r="AG54" i="117" s="1"/>
  <c r="AD35" i="76"/>
  <c r="AF35" i="76" s="1"/>
  <c r="AC24" i="119"/>
  <c r="AE24" i="119" s="1"/>
  <c r="AC42" i="119"/>
  <c r="AE42" i="119" s="1"/>
  <c r="AC48" i="119"/>
  <c r="AE48" i="119" s="1"/>
  <c r="AC58" i="119"/>
  <c r="AE58" i="119" s="1"/>
  <c r="AC64" i="119"/>
  <c r="AE64" i="119" s="1"/>
  <c r="AE58" i="117"/>
  <c r="AG58" i="117" s="1"/>
  <c r="AI76" i="129"/>
  <c r="R76" i="129"/>
  <c r="S76" i="129" s="1"/>
  <c r="AI74" i="129"/>
  <c r="R74" i="129"/>
  <c r="S74" i="129" s="1"/>
  <c r="AI72" i="129"/>
  <c r="R72" i="129"/>
  <c r="S72" i="129" s="1"/>
  <c r="AI70" i="129"/>
  <c r="R70" i="129"/>
  <c r="S70" i="129" s="1"/>
  <c r="AI68" i="129"/>
  <c r="R68" i="129"/>
  <c r="S68" i="129" s="1"/>
  <c r="AI66" i="129"/>
  <c r="R66" i="129"/>
  <c r="S66" i="129" s="1"/>
  <c r="AI64" i="129"/>
  <c r="R64" i="129"/>
  <c r="S64" i="129" s="1"/>
  <c r="AI62" i="129"/>
  <c r="R62" i="129"/>
  <c r="S62" i="129" s="1"/>
  <c r="AI60" i="129"/>
  <c r="R60" i="129"/>
  <c r="S60" i="129" s="1"/>
  <c r="AI58" i="129"/>
  <c r="R58" i="129"/>
  <c r="S58" i="129" s="1"/>
  <c r="AI56" i="129"/>
  <c r="R56" i="129"/>
  <c r="S56" i="129" s="1"/>
  <c r="AI54" i="129"/>
  <c r="R54" i="129"/>
  <c r="S54" i="129" s="1"/>
  <c r="AI52" i="129"/>
  <c r="R52" i="129"/>
  <c r="S52" i="129" s="1"/>
  <c r="AI50" i="129"/>
  <c r="R50" i="129"/>
  <c r="S50" i="129" s="1"/>
  <c r="AI48" i="129"/>
  <c r="R48" i="129"/>
  <c r="S48" i="129" s="1"/>
  <c r="AI46" i="129"/>
  <c r="R46" i="129"/>
  <c r="S46" i="129" s="1"/>
  <c r="AI44" i="129"/>
  <c r="R44" i="129"/>
  <c r="S44" i="129" s="1"/>
  <c r="AI42" i="129"/>
  <c r="R42" i="129"/>
  <c r="S42" i="129" s="1"/>
  <c r="AI40" i="129"/>
  <c r="R40" i="129"/>
  <c r="S40" i="129" s="1"/>
  <c r="AI38" i="129"/>
  <c r="R38" i="129"/>
  <c r="S38" i="129" s="1"/>
  <c r="AI36" i="129"/>
  <c r="R36" i="129"/>
  <c r="S36" i="129" s="1"/>
  <c r="AI34" i="129"/>
  <c r="R34" i="129"/>
  <c r="S34" i="129" s="1"/>
  <c r="AI32" i="129"/>
  <c r="R32" i="129"/>
  <c r="S32" i="129" s="1"/>
  <c r="AI30" i="129"/>
  <c r="R30" i="129"/>
  <c r="S30" i="129" s="1"/>
  <c r="AI28" i="129"/>
  <c r="R28" i="129"/>
  <c r="S28" i="129" s="1"/>
  <c r="AI26" i="129"/>
  <c r="R26" i="129"/>
  <c r="S26" i="129" s="1"/>
  <c r="AI24" i="129"/>
  <c r="R24" i="129"/>
  <c r="S24" i="129" s="1"/>
  <c r="AI22" i="129"/>
  <c r="R22" i="129"/>
  <c r="S22" i="129" s="1"/>
  <c r="AI20" i="129"/>
  <c r="R20" i="129"/>
  <c r="S20" i="129" s="1"/>
  <c r="AI18" i="129"/>
  <c r="R18" i="129"/>
  <c r="S18" i="129" s="1"/>
  <c r="AI16" i="129"/>
  <c r="R16" i="129"/>
  <c r="S16" i="129" s="1"/>
  <c r="AI14" i="129"/>
  <c r="R14" i="129"/>
  <c r="S14" i="129" s="1"/>
  <c r="AI12" i="129"/>
  <c r="R12" i="129"/>
  <c r="S12" i="129" s="1"/>
  <c r="AI10" i="129"/>
  <c r="R10" i="129"/>
  <c r="S10" i="129" s="1"/>
  <c r="AC74" i="119"/>
  <c r="AE74" i="119" s="1"/>
  <c r="AC76" i="119"/>
  <c r="AE76" i="119" s="1"/>
  <c r="AI75" i="129"/>
  <c r="R75" i="129"/>
  <c r="S75" i="129" s="1"/>
  <c r="AI73" i="129"/>
  <c r="R73" i="129"/>
  <c r="S73" i="129" s="1"/>
  <c r="AI71" i="129"/>
  <c r="R71" i="129"/>
  <c r="S71" i="129" s="1"/>
  <c r="AI69" i="129"/>
  <c r="R69" i="129"/>
  <c r="S69" i="129" s="1"/>
  <c r="AI67" i="129"/>
  <c r="R67" i="129"/>
  <c r="S67" i="129" s="1"/>
  <c r="AI65" i="129"/>
  <c r="R65" i="129"/>
  <c r="S65" i="129" s="1"/>
  <c r="AI63" i="129"/>
  <c r="R63" i="129"/>
  <c r="S63" i="129" s="1"/>
  <c r="AI61" i="129"/>
  <c r="R61" i="129"/>
  <c r="S61" i="129" s="1"/>
  <c r="AI59" i="129"/>
  <c r="R59" i="129"/>
  <c r="S59" i="129" s="1"/>
  <c r="AI57" i="129"/>
  <c r="R57" i="129"/>
  <c r="S57" i="129" s="1"/>
  <c r="AI55" i="129"/>
  <c r="R55" i="129"/>
  <c r="S55" i="129" s="1"/>
  <c r="AI53" i="129"/>
  <c r="R53" i="129"/>
  <c r="S53" i="129" s="1"/>
  <c r="AI51" i="129"/>
  <c r="R51" i="129"/>
  <c r="S51" i="129" s="1"/>
  <c r="AI49" i="129"/>
  <c r="R49" i="129"/>
  <c r="S49" i="129" s="1"/>
  <c r="AI47" i="129"/>
  <c r="R47" i="129"/>
  <c r="S47" i="129" s="1"/>
  <c r="AI45" i="129"/>
  <c r="R45" i="129"/>
  <c r="S45" i="129" s="1"/>
  <c r="AI43" i="129"/>
  <c r="R43" i="129"/>
  <c r="S43" i="129" s="1"/>
  <c r="AI41" i="129"/>
  <c r="R41" i="129"/>
  <c r="S41" i="129" s="1"/>
  <c r="AI39" i="129"/>
  <c r="R39" i="129"/>
  <c r="S39" i="129" s="1"/>
  <c r="AI37" i="129"/>
  <c r="R37" i="129"/>
  <c r="S37" i="129" s="1"/>
  <c r="AI35" i="129"/>
  <c r="R35" i="129"/>
  <c r="S35" i="129" s="1"/>
  <c r="AI33" i="129"/>
  <c r="R33" i="129"/>
  <c r="S33" i="129" s="1"/>
  <c r="AI31" i="129"/>
  <c r="R31" i="129"/>
  <c r="S31" i="129" s="1"/>
  <c r="AI29" i="129"/>
  <c r="R29" i="129"/>
  <c r="S29" i="129" s="1"/>
  <c r="AI27" i="129"/>
  <c r="R27" i="129"/>
  <c r="S27" i="129" s="1"/>
  <c r="AI25" i="129"/>
  <c r="R25" i="129"/>
  <c r="S25" i="129" s="1"/>
  <c r="AI23" i="129"/>
  <c r="R23" i="129"/>
  <c r="S23" i="129" s="1"/>
  <c r="AI21" i="129"/>
  <c r="R21" i="129"/>
  <c r="S21" i="129" s="1"/>
  <c r="AI19" i="129"/>
  <c r="R19" i="129"/>
  <c r="S19" i="129" s="1"/>
  <c r="AI17" i="129"/>
  <c r="R17" i="129"/>
  <c r="S17" i="129" s="1"/>
  <c r="AI15" i="129"/>
  <c r="R15" i="129"/>
  <c r="S15" i="129" s="1"/>
  <c r="AI13" i="129"/>
  <c r="R13" i="129"/>
  <c r="S13" i="129" s="1"/>
  <c r="AI11" i="129"/>
  <c r="R11" i="129"/>
  <c r="S11" i="129" s="1"/>
  <c r="AI9" i="129"/>
  <c r="R9" i="129"/>
  <c r="S9" i="129" s="1"/>
  <c r="M76" i="131"/>
  <c r="N76" i="131" s="1"/>
  <c r="P76" i="131" s="1"/>
  <c r="AI76" i="131" s="1"/>
  <c r="M74" i="131"/>
  <c r="N74" i="131" s="1"/>
  <c r="P74" i="131" s="1"/>
  <c r="AI74" i="131" s="1"/>
  <c r="M72" i="131"/>
  <c r="N72" i="131" s="1"/>
  <c r="P72" i="131" s="1"/>
  <c r="AI72" i="131" s="1"/>
  <c r="M70" i="131"/>
  <c r="N70" i="131" s="1"/>
  <c r="P70" i="131" s="1"/>
  <c r="AI70" i="131" s="1"/>
  <c r="M68" i="131"/>
  <c r="N68" i="131" s="1"/>
  <c r="P68" i="131" s="1"/>
  <c r="AI68" i="131" s="1"/>
  <c r="M66" i="131"/>
  <c r="N66" i="131" s="1"/>
  <c r="P66" i="131" s="1"/>
  <c r="AI66" i="131" s="1"/>
  <c r="M64" i="131"/>
  <c r="N64" i="131" s="1"/>
  <c r="P64" i="131" s="1"/>
  <c r="AI64" i="131" s="1"/>
  <c r="M62" i="131"/>
  <c r="N62" i="131" s="1"/>
  <c r="P62" i="131" s="1"/>
  <c r="AI62" i="131" s="1"/>
  <c r="M60" i="131"/>
  <c r="N60" i="131" s="1"/>
  <c r="P60" i="131" s="1"/>
  <c r="AI60" i="131" s="1"/>
  <c r="M58" i="131"/>
  <c r="N58" i="131" s="1"/>
  <c r="P58" i="131" s="1"/>
  <c r="AI58" i="131" s="1"/>
  <c r="M56" i="131"/>
  <c r="N56" i="131" s="1"/>
  <c r="P56" i="131" s="1"/>
  <c r="AI56" i="131" s="1"/>
  <c r="M54" i="131"/>
  <c r="N54" i="131" s="1"/>
  <c r="P54" i="131" s="1"/>
  <c r="AI54" i="131" s="1"/>
  <c r="M52" i="131"/>
  <c r="N52" i="131" s="1"/>
  <c r="P52" i="131" s="1"/>
  <c r="AI52" i="131" s="1"/>
  <c r="M50" i="131"/>
  <c r="N50" i="131" s="1"/>
  <c r="P50" i="131" s="1"/>
  <c r="AI50" i="131" s="1"/>
  <c r="M48" i="131"/>
  <c r="N48" i="131" s="1"/>
  <c r="P48" i="131" s="1"/>
  <c r="AI48" i="131" s="1"/>
  <c r="M46" i="131"/>
  <c r="N46" i="131" s="1"/>
  <c r="P46" i="131" s="1"/>
  <c r="AI46" i="131" s="1"/>
  <c r="M44" i="131"/>
  <c r="N44" i="131" s="1"/>
  <c r="P44" i="131" s="1"/>
  <c r="AI44" i="131" s="1"/>
  <c r="M42" i="131"/>
  <c r="N42" i="131" s="1"/>
  <c r="P42" i="131" s="1"/>
  <c r="AI42" i="131" s="1"/>
  <c r="M40" i="131"/>
  <c r="N40" i="131" s="1"/>
  <c r="P40" i="131" s="1"/>
  <c r="AI40" i="131" s="1"/>
  <c r="M38" i="131"/>
  <c r="N38" i="131" s="1"/>
  <c r="P38" i="131" s="1"/>
  <c r="AI38" i="131" s="1"/>
  <c r="M36" i="131"/>
  <c r="N36" i="131" s="1"/>
  <c r="P36" i="131" s="1"/>
  <c r="AI36" i="131" s="1"/>
  <c r="M34" i="131"/>
  <c r="N34" i="131" s="1"/>
  <c r="P34" i="131" s="1"/>
  <c r="AI34" i="131" s="1"/>
  <c r="M32" i="131"/>
  <c r="N32" i="131" s="1"/>
  <c r="P32" i="131" s="1"/>
  <c r="AI32" i="131" s="1"/>
  <c r="M30" i="131"/>
  <c r="N30" i="131" s="1"/>
  <c r="P30" i="131" s="1"/>
  <c r="AI30" i="131" s="1"/>
  <c r="M28" i="131"/>
  <c r="N28" i="131" s="1"/>
  <c r="P28" i="131" s="1"/>
  <c r="AI28" i="131" s="1"/>
  <c r="M26" i="131"/>
  <c r="N26" i="131" s="1"/>
  <c r="P26" i="131" s="1"/>
  <c r="AI26" i="131" s="1"/>
  <c r="M24" i="131"/>
  <c r="N24" i="131" s="1"/>
  <c r="P24" i="131" s="1"/>
  <c r="AI24" i="131" s="1"/>
  <c r="M22" i="131"/>
  <c r="N22" i="131" s="1"/>
  <c r="P22" i="131" s="1"/>
  <c r="AI22" i="131" s="1"/>
  <c r="M20" i="131"/>
  <c r="N20" i="131" s="1"/>
  <c r="P20" i="131" s="1"/>
  <c r="AI20" i="131" s="1"/>
  <c r="M18" i="131"/>
  <c r="N18" i="131" s="1"/>
  <c r="P18" i="131" s="1"/>
  <c r="AI18" i="131" s="1"/>
  <c r="M16" i="131"/>
  <c r="N16" i="131" s="1"/>
  <c r="P16" i="131" s="1"/>
  <c r="AI16" i="131" s="1"/>
  <c r="M14" i="131"/>
  <c r="N14" i="131" s="1"/>
  <c r="P14" i="131" s="1"/>
  <c r="AI14" i="131" s="1"/>
  <c r="M12" i="131"/>
  <c r="N12" i="131" s="1"/>
  <c r="P12" i="131" s="1"/>
  <c r="AI12" i="131" s="1"/>
  <c r="M10" i="131"/>
  <c r="N10" i="131" s="1"/>
  <c r="P10" i="131" s="1"/>
  <c r="AI10" i="131" s="1"/>
  <c r="M76" i="126"/>
  <c r="N76" i="126" s="1"/>
  <c r="P76" i="126" s="1"/>
  <c r="AI76" i="126" s="1"/>
  <c r="M74" i="126"/>
  <c r="N74" i="126" s="1"/>
  <c r="P74" i="126" s="1"/>
  <c r="AI74" i="126" s="1"/>
  <c r="M72" i="126"/>
  <c r="N72" i="126" s="1"/>
  <c r="P72" i="126" s="1"/>
  <c r="AI72" i="126" s="1"/>
  <c r="M70" i="126"/>
  <c r="N70" i="126" s="1"/>
  <c r="P70" i="126" s="1"/>
  <c r="AI70" i="126" s="1"/>
  <c r="M68" i="126"/>
  <c r="N68" i="126" s="1"/>
  <c r="P68" i="126" s="1"/>
  <c r="AI68" i="126" s="1"/>
  <c r="M66" i="126"/>
  <c r="N66" i="126" s="1"/>
  <c r="P66" i="126" s="1"/>
  <c r="AI66" i="126" s="1"/>
  <c r="M64" i="126"/>
  <c r="N64" i="126" s="1"/>
  <c r="P64" i="126" s="1"/>
  <c r="AI64" i="126" s="1"/>
  <c r="M62" i="126"/>
  <c r="N62" i="126" s="1"/>
  <c r="P62" i="126" s="1"/>
  <c r="AI62" i="126" s="1"/>
  <c r="M60" i="126"/>
  <c r="N60" i="126" s="1"/>
  <c r="P60" i="126" s="1"/>
  <c r="AI60" i="126" s="1"/>
  <c r="M58" i="126"/>
  <c r="N58" i="126" s="1"/>
  <c r="P58" i="126" s="1"/>
  <c r="AI58" i="126" s="1"/>
  <c r="M56" i="126"/>
  <c r="N56" i="126" s="1"/>
  <c r="P56" i="126" s="1"/>
  <c r="AI56" i="126" s="1"/>
  <c r="M54" i="126"/>
  <c r="N54" i="126" s="1"/>
  <c r="P54" i="126" s="1"/>
  <c r="AI54" i="126" s="1"/>
  <c r="M52" i="126"/>
  <c r="N52" i="126" s="1"/>
  <c r="P52" i="126" s="1"/>
  <c r="AI52" i="126" s="1"/>
  <c r="M50" i="126"/>
  <c r="N50" i="126" s="1"/>
  <c r="P50" i="126" s="1"/>
  <c r="AI50" i="126" s="1"/>
  <c r="M48" i="126"/>
  <c r="N48" i="126" s="1"/>
  <c r="P48" i="126" s="1"/>
  <c r="AI48" i="126" s="1"/>
  <c r="M46" i="126"/>
  <c r="N46" i="126" s="1"/>
  <c r="P46" i="126" s="1"/>
  <c r="AI46" i="126" s="1"/>
  <c r="M44" i="126"/>
  <c r="N44" i="126" s="1"/>
  <c r="P44" i="126" s="1"/>
  <c r="AI44" i="126" s="1"/>
  <c r="M42" i="126"/>
  <c r="N42" i="126" s="1"/>
  <c r="P42" i="126" s="1"/>
  <c r="AI42" i="126" s="1"/>
  <c r="M40" i="126"/>
  <c r="N40" i="126" s="1"/>
  <c r="P40" i="126" s="1"/>
  <c r="AI40" i="126" s="1"/>
  <c r="M38" i="126"/>
  <c r="N38" i="126" s="1"/>
  <c r="P38" i="126" s="1"/>
  <c r="AI38" i="126" s="1"/>
  <c r="M36" i="126"/>
  <c r="N36" i="126" s="1"/>
  <c r="P36" i="126" s="1"/>
  <c r="AI36" i="126" s="1"/>
  <c r="M34" i="126"/>
  <c r="N34" i="126" s="1"/>
  <c r="P34" i="126" s="1"/>
  <c r="AI34" i="126" s="1"/>
  <c r="M32" i="126"/>
  <c r="N32" i="126" s="1"/>
  <c r="P32" i="126" s="1"/>
  <c r="AI32" i="126" s="1"/>
  <c r="M30" i="126"/>
  <c r="N30" i="126" s="1"/>
  <c r="P30" i="126" s="1"/>
  <c r="AI30" i="126" s="1"/>
  <c r="M28" i="126"/>
  <c r="N28" i="126" s="1"/>
  <c r="P28" i="126" s="1"/>
  <c r="AI28" i="126" s="1"/>
  <c r="M26" i="126"/>
  <c r="N26" i="126" s="1"/>
  <c r="P26" i="126" s="1"/>
  <c r="AI26" i="126" s="1"/>
  <c r="M24" i="126"/>
  <c r="N24" i="126" s="1"/>
  <c r="P24" i="126" s="1"/>
  <c r="AI24" i="126" s="1"/>
  <c r="M22" i="126"/>
  <c r="N22" i="126" s="1"/>
  <c r="P22" i="126" s="1"/>
  <c r="AI22" i="126" s="1"/>
  <c r="M20" i="126"/>
  <c r="N20" i="126" s="1"/>
  <c r="P20" i="126" s="1"/>
  <c r="AI20" i="126" s="1"/>
  <c r="M18" i="126"/>
  <c r="N18" i="126" s="1"/>
  <c r="P18" i="126" s="1"/>
  <c r="AI18" i="126" s="1"/>
  <c r="M16" i="126"/>
  <c r="N16" i="126" s="1"/>
  <c r="P16" i="126" s="1"/>
  <c r="AI16" i="126" s="1"/>
  <c r="M14" i="126"/>
  <c r="N14" i="126" s="1"/>
  <c r="P14" i="126" s="1"/>
  <c r="AI14" i="126" s="1"/>
  <c r="M12" i="126"/>
  <c r="N12" i="126" s="1"/>
  <c r="P12" i="126" s="1"/>
  <c r="AI12" i="126" s="1"/>
  <c r="M10" i="126"/>
  <c r="N10" i="126" s="1"/>
  <c r="P10" i="126" s="1"/>
  <c r="AI10" i="126" s="1"/>
  <c r="M76" i="125"/>
  <c r="N76" i="125" s="1"/>
  <c r="P76" i="125" s="1"/>
  <c r="AI76" i="125" s="1"/>
  <c r="M74" i="125"/>
  <c r="N74" i="125" s="1"/>
  <c r="P74" i="125" s="1"/>
  <c r="AI74" i="125" s="1"/>
  <c r="M72" i="125"/>
  <c r="N72" i="125" s="1"/>
  <c r="P72" i="125" s="1"/>
  <c r="AI72" i="125" s="1"/>
  <c r="M70" i="125"/>
  <c r="N70" i="125" s="1"/>
  <c r="P70" i="125" s="1"/>
  <c r="AI70" i="125" s="1"/>
  <c r="M68" i="125"/>
  <c r="N68" i="125" s="1"/>
  <c r="P68" i="125" s="1"/>
  <c r="AI68" i="125" s="1"/>
  <c r="M66" i="125"/>
  <c r="N66" i="125" s="1"/>
  <c r="P66" i="125" s="1"/>
  <c r="AI66" i="125" s="1"/>
  <c r="M64" i="125"/>
  <c r="N64" i="125" s="1"/>
  <c r="P64" i="125" s="1"/>
  <c r="AI64" i="125" s="1"/>
  <c r="M62" i="125"/>
  <c r="N62" i="125" s="1"/>
  <c r="P62" i="125" s="1"/>
  <c r="AI62" i="125" s="1"/>
  <c r="M60" i="125"/>
  <c r="N60" i="125" s="1"/>
  <c r="P60" i="125" s="1"/>
  <c r="AI60" i="125" s="1"/>
  <c r="M58" i="125"/>
  <c r="N58" i="125" s="1"/>
  <c r="P58" i="125" s="1"/>
  <c r="AI58" i="125" s="1"/>
  <c r="M56" i="125"/>
  <c r="N56" i="125" s="1"/>
  <c r="P56" i="125" s="1"/>
  <c r="AI56" i="125" s="1"/>
  <c r="M54" i="125"/>
  <c r="N54" i="125" s="1"/>
  <c r="P54" i="125" s="1"/>
  <c r="AI54" i="125" s="1"/>
  <c r="M52" i="125"/>
  <c r="N52" i="125" s="1"/>
  <c r="P52" i="125" s="1"/>
  <c r="AI52" i="125" s="1"/>
  <c r="M50" i="125"/>
  <c r="N50" i="125" s="1"/>
  <c r="P50" i="125" s="1"/>
  <c r="AI50" i="125" s="1"/>
  <c r="M48" i="125"/>
  <c r="N48" i="125" s="1"/>
  <c r="P48" i="125" s="1"/>
  <c r="AI48" i="125" s="1"/>
  <c r="M46" i="125"/>
  <c r="N46" i="125" s="1"/>
  <c r="P46" i="125" s="1"/>
  <c r="AI46" i="125" s="1"/>
  <c r="M44" i="125"/>
  <c r="N44" i="125" s="1"/>
  <c r="P44" i="125" s="1"/>
  <c r="AI44" i="125" s="1"/>
  <c r="M42" i="125"/>
  <c r="N42" i="125" s="1"/>
  <c r="P42" i="125" s="1"/>
  <c r="AI42" i="125" s="1"/>
  <c r="M40" i="125"/>
  <c r="N40" i="125" s="1"/>
  <c r="P40" i="125" s="1"/>
  <c r="AI40" i="125" s="1"/>
  <c r="M38" i="125"/>
  <c r="N38" i="125" s="1"/>
  <c r="P38" i="125" s="1"/>
  <c r="AI38" i="125" s="1"/>
  <c r="M36" i="125"/>
  <c r="N36" i="125" s="1"/>
  <c r="P36" i="125" s="1"/>
  <c r="AI36" i="125" s="1"/>
  <c r="M34" i="125"/>
  <c r="N34" i="125" s="1"/>
  <c r="P34" i="125" s="1"/>
  <c r="AI34" i="125" s="1"/>
  <c r="M32" i="125"/>
  <c r="N32" i="125" s="1"/>
  <c r="P32" i="125" s="1"/>
  <c r="AI32" i="125" s="1"/>
  <c r="M30" i="125"/>
  <c r="N30" i="125" s="1"/>
  <c r="P30" i="125" s="1"/>
  <c r="AI30" i="125" s="1"/>
  <c r="M28" i="125"/>
  <c r="N28" i="125" s="1"/>
  <c r="P28" i="125" s="1"/>
  <c r="AI28" i="125" s="1"/>
  <c r="M26" i="125"/>
  <c r="N26" i="125" s="1"/>
  <c r="P26" i="125" s="1"/>
  <c r="AI26" i="125" s="1"/>
  <c r="M24" i="125"/>
  <c r="N24" i="125" s="1"/>
  <c r="P24" i="125" s="1"/>
  <c r="AI24" i="125" s="1"/>
  <c r="M22" i="125"/>
  <c r="N22" i="125" s="1"/>
  <c r="P22" i="125" s="1"/>
  <c r="AI22" i="125" s="1"/>
  <c r="M20" i="125"/>
  <c r="N20" i="125" s="1"/>
  <c r="P20" i="125" s="1"/>
  <c r="AI20" i="125" s="1"/>
  <c r="M18" i="125"/>
  <c r="N18" i="125" s="1"/>
  <c r="P18" i="125" s="1"/>
  <c r="AI18" i="125" s="1"/>
  <c r="M16" i="125"/>
  <c r="N16" i="125" s="1"/>
  <c r="P16" i="125" s="1"/>
  <c r="AI16" i="125" s="1"/>
  <c r="M14" i="125"/>
  <c r="N14" i="125" s="1"/>
  <c r="P14" i="125" s="1"/>
  <c r="AI14" i="125" s="1"/>
  <c r="M12" i="125"/>
  <c r="N12" i="125" s="1"/>
  <c r="P12" i="125" s="1"/>
  <c r="AI12" i="125" s="1"/>
  <c r="M10" i="125"/>
  <c r="N10" i="125" s="1"/>
  <c r="P10" i="125" s="1"/>
  <c r="AI10" i="125" s="1"/>
  <c r="M75" i="131"/>
  <c r="N75" i="131" s="1"/>
  <c r="P75" i="131" s="1"/>
  <c r="AI75" i="131" s="1"/>
  <c r="M73" i="131"/>
  <c r="N73" i="131" s="1"/>
  <c r="P73" i="131" s="1"/>
  <c r="AI73" i="131" s="1"/>
  <c r="M71" i="131"/>
  <c r="N71" i="131" s="1"/>
  <c r="P71" i="131" s="1"/>
  <c r="AI71" i="131" s="1"/>
  <c r="M69" i="131"/>
  <c r="N69" i="131" s="1"/>
  <c r="P69" i="131" s="1"/>
  <c r="AI69" i="131" s="1"/>
  <c r="M67" i="131"/>
  <c r="N67" i="131" s="1"/>
  <c r="P67" i="131" s="1"/>
  <c r="AI67" i="131" s="1"/>
  <c r="M65" i="131"/>
  <c r="N65" i="131" s="1"/>
  <c r="P65" i="131" s="1"/>
  <c r="AI65" i="131" s="1"/>
  <c r="M63" i="131"/>
  <c r="N63" i="131" s="1"/>
  <c r="P63" i="131" s="1"/>
  <c r="AI63" i="131" s="1"/>
  <c r="M61" i="131"/>
  <c r="N61" i="131" s="1"/>
  <c r="P61" i="131" s="1"/>
  <c r="AI61" i="131" s="1"/>
  <c r="M59" i="131"/>
  <c r="N59" i="131" s="1"/>
  <c r="P59" i="131" s="1"/>
  <c r="AI59" i="131" s="1"/>
  <c r="M57" i="131"/>
  <c r="N57" i="131" s="1"/>
  <c r="P57" i="131" s="1"/>
  <c r="AI57" i="131" s="1"/>
  <c r="M55" i="131"/>
  <c r="N55" i="131" s="1"/>
  <c r="P55" i="131" s="1"/>
  <c r="AI55" i="131" s="1"/>
  <c r="M53" i="131"/>
  <c r="N53" i="131" s="1"/>
  <c r="P53" i="131" s="1"/>
  <c r="AI53" i="131" s="1"/>
  <c r="M51" i="131"/>
  <c r="N51" i="131" s="1"/>
  <c r="P51" i="131" s="1"/>
  <c r="AI51" i="131" s="1"/>
  <c r="M49" i="131"/>
  <c r="N49" i="131" s="1"/>
  <c r="P49" i="131" s="1"/>
  <c r="AI49" i="131" s="1"/>
  <c r="M47" i="131"/>
  <c r="N47" i="131" s="1"/>
  <c r="P47" i="131" s="1"/>
  <c r="AI47" i="131" s="1"/>
  <c r="M45" i="131"/>
  <c r="N45" i="131" s="1"/>
  <c r="P45" i="131" s="1"/>
  <c r="AI45" i="131" s="1"/>
  <c r="M43" i="131"/>
  <c r="N43" i="131" s="1"/>
  <c r="P43" i="131" s="1"/>
  <c r="AI43" i="131" s="1"/>
  <c r="M41" i="131"/>
  <c r="N41" i="131" s="1"/>
  <c r="P41" i="131" s="1"/>
  <c r="AI41" i="131" s="1"/>
  <c r="M39" i="131"/>
  <c r="N39" i="131" s="1"/>
  <c r="P39" i="131" s="1"/>
  <c r="AI39" i="131" s="1"/>
  <c r="M37" i="131"/>
  <c r="N37" i="131" s="1"/>
  <c r="P37" i="131" s="1"/>
  <c r="AI37" i="131" s="1"/>
  <c r="M35" i="131"/>
  <c r="N35" i="131" s="1"/>
  <c r="P35" i="131" s="1"/>
  <c r="AI35" i="131" s="1"/>
  <c r="N33" i="131"/>
  <c r="P33" i="131" s="1"/>
  <c r="M33" i="131"/>
  <c r="M31" i="131"/>
  <c r="N31" i="131" s="1"/>
  <c r="P31" i="131" s="1"/>
  <c r="AI31" i="131" s="1"/>
  <c r="N29" i="131"/>
  <c r="P29" i="131" s="1"/>
  <c r="AI29" i="131" s="1"/>
  <c r="M29" i="131"/>
  <c r="M27" i="131"/>
  <c r="N27" i="131" s="1"/>
  <c r="P27" i="131" s="1"/>
  <c r="AI27" i="131" s="1"/>
  <c r="N25" i="131"/>
  <c r="P25" i="131" s="1"/>
  <c r="AI25" i="131" s="1"/>
  <c r="M25" i="131"/>
  <c r="M23" i="131"/>
  <c r="N23" i="131" s="1"/>
  <c r="P23" i="131" s="1"/>
  <c r="AI23" i="131" s="1"/>
  <c r="N21" i="131"/>
  <c r="P21" i="131" s="1"/>
  <c r="AI21" i="131" s="1"/>
  <c r="M21" i="131"/>
  <c r="M19" i="131"/>
  <c r="N19" i="131" s="1"/>
  <c r="P19" i="131" s="1"/>
  <c r="AI19" i="131" s="1"/>
  <c r="N17" i="131"/>
  <c r="P17" i="131" s="1"/>
  <c r="M17" i="131"/>
  <c r="M15" i="131"/>
  <c r="N15" i="131" s="1"/>
  <c r="P15" i="131" s="1"/>
  <c r="AI15" i="131" s="1"/>
  <c r="N13" i="131"/>
  <c r="P13" i="131" s="1"/>
  <c r="AI13" i="131" s="1"/>
  <c r="M13" i="131"/>
  <c r="M11" i="131"/>
  <c r="N11" i="131" s="1"/>
  <c r="P11" i="131" s="1"/>
  <c r="AI11" i="131" s="1"/>
  <c r="N9" i="131"/>
  <c r="P9" i="131" s="1"/>
  <c r="AI9" i="131" s="1"/>
  <c r="M9" i="131"/>
  <c r="M75" i="126"/>
  <c r="N75" i="126" s="1"/>
  <c r="P75" i="126" s="1"/>
  <c r="AI75" i="126" s="1"/>
  <c r="N73" i="126"/>
  <c r="P73" i="126" s="1"/>
  <c r="AI73" i="126" s="1"/>
  <c r="M73" i="126"/>
  <c r="M71" i="126"/>
  <c r="N71" i="126" s="1"/>
  <c r="P71" i="126" s="1"/>
  <c r="AI71" i="126" s="1"/>
  <c r="N69" i="126"/>
  <c r="P69" i="126" s="1"/>
  <c r="M69" i="126"/>
  <c r="M67" i="126"/>
  <c r="N67" i="126" s="1"/>
  <c r="P67" i="126" s="1"/>
  <c r="AI67" i="126" s="1"/>
  <c r="N65" i="126"/>
  <c r="P65" i="126" s="1"/>
  <c r="AI65" i="126" s="1"/>
  <c r="M65" i="126"/>
  <c r="M63" i="126"/>
  <c r="N63" i="126" s="1"/>
  <c r="P63" i="126" s="1"/>
  <c r="AI63" i="126" s="1"/>
  <c r="N61" i="126"/>
  <c r="P61" i="126" s="1"/>
  <c r="AI61" i="126" s="1"/>
  <c r="M61" i="126"/>
  <c r="M59" i="126"/>
  <c r="N59" i="126" s="1"/>
  <c r="P59" i="126" s="1"/>
  <c r="AI59" i="126" s="1"/>
  <c r="N57" i="126"/>
  <c r="P57" i="126" s="1"/>
  <c r="AI57" i="126" s="1"/>
  <c r="M57" i="126"/>
  <c r="M55" i="126"/>
  <c r="N55" i="126" s="1"/>
  <c r="P55" i="126" s="1"/>
  <c r="AI55" i="126" s="1"/>
  <c r="N53" i="126"/>
  <c r="P53" i="126" s="1"/>
  <c r="M53" i="126"/>
  <c r="M51" i="126"/>
  <c r="N51" i="126" s="1"/>
  <c r="P51" i="126" s="1"/>
  <c r="AI51" i="126" s="1"/>
  <c r="N49" i="126"/>
  <c r="P49" i="126" s="1"/>
  <c r="AI49" i="126" s="1"/>
  <c r="M49" i="126"/>
  <c r="M47" i="126"/>
  <c r="N47" i="126" s="1"/>
  <c r="P47" i="126" s="1"/>
  <c r="AI47" i="126" s="1"/>
  <c r="N45" i="126"/>
  <c r="P45" i="126" s="1"/>
  <c r="AI45" i="126" s="1"/>
  <c r="M45" i="126"/>
  <c r="M43" i="126"/>
  <c r="N43" i="126" s="1"/>
  <c r="P43" i="126" s="1"/>
  <c r="AI43" i="126" s="1"/>
  <c r="N41" i="126"/>
  <c r="P41" i="126" s="1"/>
  <c r="AI41" i="126" s="1"/>
  <c r="M41" i="126"/>
  <c r="M39" i="126"/>
  <c r="N39" i="126" s="1"/>
  <c r="P39" i="126" s="1"/>
  <c r="AI39" i="126" s="1"/>
  <c r="N37" i="126"/>
  <c r="P37" i="126" s="1"/>
  <c r="M37" i="126"/>
  <c r="M35" i="126"/>
  <c r="N35" i="126" s="1"/>
  <c r="P35" i="126" s="1"/>
  <c r="AI35" i="126" s="1"/>
  <c r="N33" i="126"/>
  <c r="P33" i="126" s="1"/>
  <c r="AI33" i="126" s="1"/>
  <c r="M33" i="126"/>
  <c r="M31" i="126"/>
  <c r="N31" i="126" s="1"/>
  <c r="P31" i="126" s="1"/>
  <c r="AI31" i="126" s="1"/>
  <c r="N29" i="126"/>
  <c r="P29" i="126" s="1"/>
  <c r="AI29" i="126" s="1"/>
  <c r="M29" i="126"/>
  <c r="M27" i="126"/>
  <c r="N27" i="126" s="1"/>
  <c r="P27" i="126" s="1"/>
  <c r="AI27" i="126" s="1"/>
  <c r="N25" i="126"/>
  <c r="P25" i="126" s="1"/>
  <c r="AI25" i="126" s="1"/>
  <c r="M25" i="126"/>
  <c r="M23" i="126"/>
  <c r="N23" i="126" s="1"/>
  <c r="P23" i="126" s="1"/>
  <c r="AI23" i="126" s="1"/>
  <c r="N21" i="126"/>
  <c r="P21" i="126" s="1"/>
  <c r="M21" i="126"/>
  <c r="M19" i="126"/>
  <c r="N19" i="126" s="1"/>
  <c r="P19" i="126" s="1"/>
  <c r="AI19" i="126" s="1"/>
  <c r="N17" i="126"/>
  <c r="P17" i="126" s="1"/>
  <c r="AI17" i="126" s="1"/>
  <c r="M17" i="126"/>
  <c r="M15" i="126"/>
  <c r="N15" i="126" s="1"/>
  <c r="P15" i="126" s="1"/>
  <c r="AI15" i="126" s="1"/>
  <c r="N13" i="126"/>
  <c r="P13" i="126" s="1"/>
  <c r="AI13" i="126" s="1"/>
  <c r="M13" i="126"/>
  <c r="M11" i="126"/>
  <c r="N11" i="126" s="1"/>
  <c r="P11" i="126" s="1"/>
  <c r="AI11" i="126" s="1"/>
  <c r="N9" i="126"/>
  <c r="P9" i="126" s="1"/>
  <c r="AI9" i="126" s="1"/>
  <c r="M9" i="126"/>
  <c r="M75" i="125"/>
  <c r="N75" i="125" s="1"/>
  <c r="P75" i="125" s="1"/>
  <c r="AI75" i="125" s="1"/>
  <c r="N73" i="125"/>
  <c r="P73" i="125" s="1"/>
  <c r="M73" i="125"/>
  <c r="M71" i="125"/>
  <c r="N71" i="125" s="1"/>
  <c r="P71" i="125" s="1"/>
  <c r="AI71" i="125" s="1"/>
  <c r="N69" i="125"/>
  <c r="P69" i="125" s="1"/>
  <c r="AI69" i="125" s="1"/>
  <c r="M69" i="125"/>
  <c r="M67" i="125"/>
  <c r="N67" i="125" s="1"/>
  <c r="P67" i="125" s="1"/>
  <c r="AI67" i="125" s="1"/>
  <c r="N65" i="125"/>
  <c r="P65" i="125" s="1"/>
  <c r="AI65" i="125" s="1"/>
  <c r="M65" i="125"/>
  <c r="M63" i="125"/>
  <c r="N63" i="125" s="1"/>
  <c r="P63" i="125" s="1"/>
  <c r="AI63" i="125" s="1"/>
  <c r="N61" i="125"/>
  <c r="P61" i="125" s="1"/>
  <c r="AI61" i="125" s="1"/>
  <c r="M61" i="125"/>
  <c r="M59" i="125"/>
  <c r="N59" i="125" s="1"/>
  <c r="P59" i="125" s="1"/>
  <c r="AI59" i="125" s="1"/>
  <c r="N57" i="125"/>
  <c r="P57" i="125" s="1"/>
  <c r="M57" i="125"/>
  <c r="M55" i="125"/>
  <c r="N55" i="125" s="1"/>
  <c r="P55" i="125" s="1"/>
  <c r="AI55" i="125" s="1"/>
  <c r="N53" i="125"/>
  <c r="P53" i="125" s="1"/>
  <c r="AI53" i="125" s="1"/>
  <c r="M53" i="125"/>
  <c r="M51" i="125"/>
  <c r="N51" i="125" s="1"/>
  <c r="P51" i="125" s="1"/>
  <c r="AI51" i="125" s="1"/>
  <c r="N49" i="125"/>
  <c r="P49" i="125" s="1"/>
  <c r="AI49" i="125" s="1"/>
  <c r="M49" i="125"/>
  <c r="M47" i="125"/>
  <c r="N47" i="125" s="1"/>
  <c r="P47" i="125" s="1"/>
  <c r="AI47" i="125" s="1"/>
  <c r="N45" i="125"/>
  <c r="P45" i="125" s="1"/>
  <c r="AI45" i="125" s="1"/>
  <c r="M45" i="125"/>
  <c r="M43" i="125"/>
  <c r="N43" i="125" s="1"/>
  <c r="P43" i="125" s="1"/>
  <c r="AI43" i="125" s="1"/>
  <c r="N41" i="125"/>
  <c r="P41" i="125" s="1"/>
  <c r="M41" i="125"/>
  <c r="M39" i="125"/>
  <c r="N39" i="125" s="1"/>
  <c r="P39" i="125" s="1"/>
  <c r="AI39" i="125" s="1"/>
  <c r="N37" i="125"/>
  <c r="P37" i="125" s="1"/>
  <c r="AI37" i="125" s="1"/>
  <c r="M37" i="125"/>
  <c r="M35" i="125"/>
  <c r="N35" i="125" s="1"/>
  <c r="P35" i="125" s="1"/>
  <c r="AI35" i="125" s="1"/>
  <c r="N33" i="125"/>
  <c r="P33" i="125" s="1"/>
  <c r="AI33" i="125" s="1"/>
  <c r="M33" i="125"/>
  <c r="M31" i="125"/>
  <c r="N31" i="125" s="1"/>
  <c r="P31" i="125" s="1"/>
  <c r="AI31" i="125" s="1"/>
  <c r="N29" i="125"/>
  <c r="P29" i="125" s="1"/>
  <c r="AI29" i="125" s="1"/>
  <c r="M29" i="125"/>
  <c r="M27" i="125"/>
  <c r="N27" i="125" s="1"/>
  <c r="P27" i="125" s="1"/>
  <c r="AI27" i="125" s="1"/>
  <c r="N25" i="125"/>
  <c r="P25" i="125" s="1"/>
  <c r="M25" i="125"/>
  <c r="M23" i="125"/>
  <c r="N23" i="125" s="1"/>
  <c r="P23" i="125" s="1"/>
  <c r="AI23" i="125" s="1"/>
  <c r="N21" i="125"/>
  <c r="P21" i="125" s="1"/>
  <c r="AI21" i="125" s="1"/>
  <c r="M21" i="125"/>
  <c r="M19" i="125"/>
  <c r="N19" i="125" s="1"/>
  <c r="P19" i="125" s="1"/>
  <c r="AI19" i="125" s="1"/>
  <c r="N17" i="125"/>
  <c r="P17" i="125" s="1"/>
  <c r="AI17" i="125" s="1"/>
  <c r="M17" i="125"/>
  <c r="M15" i="125"/>
  <c r="N15" i="125" s="1"/>
  <c r="P15" i="125" s="1"/>
  <c r="AI15" i="125" s="1"/>
  <c r="N13" i="125"/>
  <c r="P13" i="125" s="1"/>
  <c r="AI13" i="125" s="1"/>
  <c r="M13" i="125"/>
  <c r="M11" i="125"/>
  <c r="N11" i="125" s="1"/>
  <c r="P11" i="125" s="1"/>
  <c r="AI11" i="125" s="1"/>
  <c r="N9" i="125"/>
  <c r="P9" i="125" s="1"/>
  <c r="M9" i="125"/>
  <c r="AE22" i="117"/>
  <c r="AG22" i="117" s="1"/>
  <c r="AC51" i="116"/>
  <c r="AE51" i="116" s="1"/>
  <c r="AE9" i="117"/>
  <c r="AG9" i="117" s="1"/>
  <c r="AD43" i="76"/>
  <c r="AF43" i="76" s="1"/>
  <c r="AD59" i="76"/>
  <c r="AF59" i="76" s="1"/>
  <c r="AD55" i="76"/>
  <c r="AF55" i="76" s="1"/>
  <c r="AC52" i="114"/>
  <c r="AE52" i="114" s="1"/>
  <c r="AC16" i="119"/>
  <c r="AE16" i="119" s="1"/>
  <c r="AC14" i="113"/>
  <c r="AE14" i="113" s="1"/>
  <c r="AC20" i="113"/>
  <c r="AE20" i="113" s="1"/>
  <c r="AC67" i="119"/>
  <c r="AE67" i="119" s="1"/>
  <c r="Y15" i="46"/>
  <c r="Z15" i="46" s="1"/>
  <c r="AC15" i="46" s="1"/>
  <c r="AD15" i="46" s="1"/>
  <c r="AH15" i="46" s="1"/>
  <c r="AK15" i="46" s="1"/>
  <c r="Y13" i="46"/>
  <c r="Z13" i="46" s="1"/>
  <c r="AC13" i="46" s="1"/>
  <c r="AD13" i="46" s="1"/>
  <c r="AH13" i="46" s="1"/>
  <c r="AK13" i="46" s="1"/>
  <c r="Y12" i="46"/>
  <c r="Z12" i="46" s="1"/>
  <c r="AC12" i="46" s="1"/>
  <c r="AD12" i="46" s="1"/>
  <c r="AH12" i="46" s="1"/>
  <c r="AK12" i="46" s="1"/>
  <c r="Y28" i="46"/>
  <c r="Y30" i="46" s="1"/>
  <c r="Y11" i="46"/>
  <c r="Z11" i="46" s="1"/>
  <c r="AC11" i="46" s="1"/>
  <c r="AD11" i="46" s="1"/>
  <c r="AH11" i="46" s="1"/>
  <c r="AK11" i="46" s="1"/>
  <c r="AD15" i="76"/>
  <c r="AF15" i="76" s="1"/>
  <c r="AC11" i="119"/>
  <c r="AE11" i="119" s="1"/>
  <c r="AC19" i="119"/>
  <c r="AE19" i="119" s="1"/>
  <c r="AC27" i="119"/>
  <c r="AE27" i="119" s="1"/>
  <c r="AC35" i="119"/>
  <c r="AE35" i="119" s="1"/>
  <c r="AC43" i="119"/>
  <c r="AE43" i="119" s="1"/>
  <c r="AC51" i="119"/>
  <c r="AE51" i="119" s="1"/>
  <c r="AC59" i="119"/>
  <c r="AE59" i="119" s="1"/>
  <c r="AC73" i="119"/>
  <c r="AE73" i="119" s="1"/>
  <c r="AC75" i="119"/>
  <c r="AE75" i="119" s="1"/>
  <c r="AC71" i="116"/>
  <c r="AE71" i="116" s="1"/>
  <c r="AC56" i="113"/>
  <c r="AE56" i="113" s="1"/>
  <c r="AC66" i="113"/>
  <c r="AE66" i="113" s="1"/>
  <c r="AC72" i="113"/>
  <c r="AE72" i="113" s="1"/>
  <c r="AC12" i="119"/>
  <c r="AE12" i="119" s="1"/>
  <c r="AC28" i="119"/>
  <c r="AE28" i="119" s="1"/>
  <c r="AC40" i="119"/>
  <c r="AE40" i="119" s="1"/>
  <c r="AC44" i="119"/>
  <c r="AE44" i="119" s="1"/>
  <c r="AC56" i="119"/>
  <c r="AE56" i="119" s="1"/>
  <c r="AC60" i="119"/>
  <c r="AE60" i="119" s="1"/>
  <c r="AC66" i="119"/>
  <c r="AE66" i="119" s="1"/>
  <c r="AC68" i="119"/>
  <c r="AE68" i="119" s="1"/>
  <c r="AE38" i="117"/>
  <c r="AG38" i="117" s="1"/>
  <c r="AC67" i="116"/>
  <c r="AE67" i="116" s="1"/>
  <c r="AC22" i="114"/>
  <c r="AE22" i="114" s="1"/>
  <c r="AC54" i="114"/>
  <c r="AE54" i="114" s="1"/>
  <c r="AC70" i="114"/>
  <c r="AE70" i="114" s="1"/>
  <c r="AC68" i="113"/>
  <c r="AE68" i="113" s="1"/>
  <c r="V9" i="31"/>
  <c r="W9" i="31" s="1"/>
  <c r="Z9" i="31" s="1"/>
  <c r="AA9" i="31" s="1"/>
  <c r="Y16" i="46"/>
  <c r="Z16" i="46" s="1"/>
  <c r="AC16" i="46" s="1"/>
  <c r="AD16" i="46" s="1"/>
  <c r="AH16" i="46" s="1"/>
  <c r="AK16" i="46" s="1"/>
  <c r="Y14" i="46"/>
  <c r="Z14" i="46" s="1"/>
  <c r="AC14" i="46" s="1"/>
  <c r="AD14" i="46" s="1"/>
  <c r="AH14" i="46" s="1"/>
  <c r="AK14" i="46" s="1"/>
  <c r="Y35" i="46"/>
  <c r="Z35" i="46" s="1"/>
  <c r="AC35" i="46" s="1"/>
  <c r="Y23" i="46"/>
  <c r="Z23" i="46" s="1"/>
  <c r="AC23" i="46" s="1"/>
  <c r="AD23" i="46" s="1"/>
  <c r="D44" i="100" s="1"/>
  <c r="AI76" i="128"/>
  <c r="AI74" i="128"/>
  <c r="AI72" i="128"/>
  <c r="AI70" i="128"/>
  <c r="AI68" i="128"/>
  <c r="AI66" i="128"/>
  <c r="AI64" i="128"/>
  <c r="AI62" i="128"/>
  <c r="AI60" i="128"/>
  <c r="AI58" i="128"/>
  <c r="AI56" i="128"/>
  <c r="AI54" i="128"/>
  <c r="AI52" i="128"/>
  <c r="AI50" i="128"/>
  <c r="AI48" i="128"/>
  <c r="AI46" i="128"/>
  <c r="AI44" i="128"/>
  <c r="AI42" i="128"/>
  <c r="AI40" i="128"/>
  <c r="AI38" i="128"/>
  <c r="AI36" i="128"/>
  <c r="AI34" i="128"/>
  <c r="AI32" i="128"/>
  <c r="AI30" i="128"/>
  <c r="AI28" i="128"/>
  <c r="AI26" i="128"/>
  <c r="AI24" i="128"/>
  <c r="AI22" i="128"/>
  <c r="AI20" i="128"/>
  <c r="AI18" i="128"/>
  <c r="AI16" i="128"/>
  <c r="AI14" i="128"/>
  <c r="AI12" i="128"/>
  <c r="AI10" i="128"/>
  <c r="AI76" i="127"/>
  <c r="AI74" i="127"/>
  <c r="AI72" i="127"/>
  <c r="AI70" i="127"/>
  <c r="AI68" i="127"/>
  <c r="AI66" i="127"/>
  <c r="AI64" i="127"/>
  <c r="AI62" i="127"/>
  <c r="AI60" i="127"/>
  <c r="AI58" i="127"/>
  <c r="AI56" i="127"/>
  <c r="AI54" i="127"/>
  <c r="AI52" i="127"/>
  <c r="AI50" i="127"/>
  <c r="AI48" i="127"/>
  <c r="AI46" i="127"/>
  <c r="AI44" i="127"/>
  <c r="AI42" i="127"/>
  <c r="AI40" i="127"/>
  <c r="AI38" i="127"/>
  <c r="AI36" i="127"/>
  <c r="AI34" i="127"/>
  <c r="AI32" i="127"/>
  <c r="AI30" i="127"/>
  <c r="AI28" i="127"/>
  <c r="AI26" i="127"/>
  <c r="AI24" i="127"/>
  <c r="AI22" i="127"/>
  <c r="AI20" i="127"/>
  <c r="AI18" i="127"/>
  <c r="AI16" i="127"/>
  <c r="AI14" i="127"/>
  <c r="AI12" i="127"/>
  <c r="AI10" i="127"/>
  <c r="U16" i="100"/>
  <c r="AD16" i="80"/>
  <c r="AF16" i="80" s="1"/>
  <c r="U32" i="100"/>
  <c r="AD32" i="80"/>
  <c r="AF32" i="80" s="1"/>
  <c r="AD40" i="80"/>
  <c r="AF40" i="80" s="1"/>
  <c r="U40" i="100"/>
  <c r="U48" i="100"/>
  <c r="AD48" i="80"/>
  <c r="AF48" i="80" s="1"/>
  <c r="U56" i="100"/>
  <c r="AD56" i="80"/>
  <c r="AF56" i="80" s="1"/>
  <c r="U64" i="100"/>
  <c r="AD64" i="80"/>
  <c r="AF64" i="80" s="1"/>
  <c r="AD72" i="80"/>
  <c r="AF72" i="80" s="1"/>
  <c r="U72" i="100"/>
  <c r="AC17" i="76"/>
  <c r="AN17" i="76" s="1"/>
  <c r="AO17" i="76" s="1"/>
  <c r="AP18" i="72" s="1"/>
  <c r="T17" i="100"/>
  <c r="AD17" i="76"/>
  <c r="AF17" i="76" s="1"/>
  <c r="AD9" i="80"/>
  <c r="AF9" i="80" s="1"/>
  <c r="U9" i="100"/>
  <c r="U47" i="100"/>
  <c r="AD47" i="80"/>
  <c r="AF47" i="80" s="1"/>
  <c r="T11" i="100"/>
  <c r="AC11" i="76"/>
  <c r="AN11" i="76" s="1"/>
  <c r="AO11" i="76" s="1"/>
  <c r="AP12" i="72" s="1"/>
  <c r="AC26" i="76"/>
  <c r="AN26" i="76" s="1"/>
  <c r="AO26" i="76" s="1"/>
  <c r="AP27" i="72" s="1"/>
  <c r="T26" i="100"/>
  <c r="AD26" i="76"/>
  <c r="AF26" i="76" s="1"/>
  <c r="T37" i="100"/>
  <c r="AC37" i="76"/>
  <c r="AN37" i="76" s="1"/>
  <c r="AO37" i="76" s="1"/>
  <c r="AP38" i="72" s="1"/>
  <c r="AC48" i="76"/>
  <c r="AN48" i="76" s="1"/>
  <c r="AO48" i="76" s="1"/>
  <c r="AP49" i="72" s="1"/>
  <c r="T48" i="100"/>
  <c r="AC54" i="76"/>
  <c r="AN54" i="76" s="1"/>
  <c r="AO54" i="76" s="1"/>
  <c r="AP55" i="72" s="1"/>
  <c r="T54" i="100"/>
  <c r="AD54" i="76"/>
  <c r="AF54" i="76" s="1"/>
  <c r="AC69" i="76"/>
  <c r="AN69" i="76" s="1"/>
  <c r="AO69" i="76" s="1"/>
  <c r="AP70" i="72" s="1"/>
  <c r="T69" i="100"/>
  <c r="K8" i="100"/>
  <c r="AC10" i="118"/>
  <c r="AE10" i="118" s="1"/>
  <c r="K18" i="100"/>
  <c r="AC20" i="118"/>
  <c r="AE20" i="118" s="1"/>
  <c r="AC33" i="118"/>
  <c r="AE33" i="118" s="1"/>
  <c r="K31" i="100"/>
  <c r="AC42" i="118"/>
  <c r="AE42" i="118" s="1"/>
  <c r="K40" i="100"/>
  <c r="AC52" i="118"/>
  <c r="AE52" i="118" s="1"/>
  <c r="K50" i="100"/>
  <c r="AC65" i="118"/>
  <c r="AE65" i="118" s="1"/>
  <c r="K63" i="100"/>
  <c r="K72" i="100"/>
  <c r="AC74" i="118"/>
  <c r="AE74" i="118" s="1"/>
  <c r="J17" i="100"/>
  <c r="AD19" i="117"/>
  <c r="AO19" i="117" s="1"/>
  <c r="J23" i="100"/>
  <c r="AD25" i="117"/>
  <c r="AO25" i="117" s="1"/>
  <c r="J38" i="100"/>
  <c r="AD40" i="117"/>
  <c r="AO40" i="117" s="1"/>
  <c r="J49" i="100"/>
  <c r="AD51" i="117"/>
  <c r="AO51" i="117" s="1"/>
  <c r="AD57" i="117"/>
  <c r="AO57" i="117" s="1"/>
  <c r="J55" i="100"/>
  <c r="AE57" i="117"/>
  <c r="AG57" i="117" s="1"/>
  <c r="J70" i="100"/>
  <c r="AD72" i="117"/>
  <c r="AO72" i="117" s="1"/>
  <c r="Z12" i="116"/>
  <c r="AA12" i="116" s="1"/>
  <c r="Z18" i="116"/>
  <c r="AA18" i="116" s="1"/>
  <c r="Z33" i="116"/>
  <c r="AA33" i="116" s="1"/>
  <c r="Z44" i="116"/>
  <c r="AA44" i="116" s="1"/>
  <c r="Z50" i="116"/>
  <c r="AA50" i="116" s="1"/>
  <c r="I63" i="100"/>
  <c r="AB65" i="116"/>
  <c r="AM65" i="116" s="1"/>
  <c r="I74" i="100"/>
  <c r="AB76" i="116"/>
  <c r="AM76" i="116" s="1"/>
  <c r="H18" i="100"/>
  <c r="AC20" i="115"/>
  <c r="AE20" i="115" s="1"/>
  <c r="H29" i="100"/>
  <c r="AC31" i="115"/>
  <c r="AE31" i="115" s="1"/>
  <c r="H35" i="100"/>
  <c r="AC37" i="115"/>
  <c r="AE37" i="115" s="1"/>
  <c r="H50" i="100"/>
  <c r="AC52" i="115"/>
  <c r="AE52" i="115" s="1"/>
  <c r="H61" i="100"/>
  <c r="AC63" i="115"/>
  <c r="AE63" i="115" s="1"/>
  <c r="H67" i="100"/>
  <c r="AC69" i="115"/>
  <c r="AE69" i="115" s="1"/>
  <c r="G14" i="100"/>
  <c r="AB16" i="114"/>
  <c r="AM16" i="114" s="1"/>
  <c r="G25" i="100"/>
  <c r="AB27" i="114"/>
  <c r="AM27" i="114" s="1"/>
  <c r="G31" i="100"/>
  <c r="AB33" i="114"/>
  <c r="AM33" i="114" s="1"/>
  <c r="AB48" i="114"/>
  <c r="AM48" i="114" s="1"/>
  <c r="G46" i="100"/>
  <c r="AB59" i="114"/>
  <c r="AM59" i="114" s="1"/>
  <c r="G57" i="100"/>
  <c r="AC59" i="114"/>
  <c r="AE59" i="114" s="1"/>
  <c r="G63" i="100"/>
  <c r="AB65" i="114"/>
  <c r="AM65" i="114" s="1"/>
  <c r="F11" i="100"/>
  <c r="AB13" i="113"/>
  <c r="AM13" i="113" s="1"/>
  <c r="AB19" i="113"/>
  <c r="AM19" i="113" s="1"/>
  <c r="F17" i="100"/>
  <c r="AC19" i="113"/>
  <c r="AE19" i="113" s="1"/>
  <c r="F32" i="100"/>
  <c r="AB34" i="113"/>
  <c r="AM34" i="113" s="1"/>
  <c r="AB45" i="113"/>
  <c r="AM45" i="113" s="1"/>
  <c r="F43" i="100"/>
  <c r="AC45" i="113"/>
  <c r="AE45" i="113" s="1"/>
  <c r="T9" i="100"/>
  <c r="AC9" i="76"/>
  <c r="AN9" i="76" s="1"/>
  <c r="AO9" i="76" s="1"/>
  <c r="AP10" i="72" s="1"/>
  <c r="AC29" i="76"/>
  <c r="AN29" i="76" s="1"/>
  <c r="AO29" i="76" s="1"/>
  <c r="AP30" i="72" s="1"/>
  <c r="T29" i="100"/>
  <c r="T52" i="100"/>
  <c r="AC52" i="76"/>
  <c r="AN52" i="76" s="1"/>
  <c r="AO52" i="76" s="1"/>
  <c r="AP53" i="72" s="1"/>
  <c r="T58" i="100"/>
  <c r="AC58" i="76"/>
  <c r="AN58" i="76" s="1"/>
  <c r="AO58" i="76" s="1"/>
  <c r="AP59" i="72" s="1"/>
  <c r="K16" i="100"/>
  <c r="AC18" i="118"/>
  <c r="AE18" i="118" s="1"/>
  <c r="AC36" i="118"/>
  <c r="AE36" i="118" s="1"/>
  <c r="K34" i="100"/>
  <c r="K47" i="100"/>
  <c r="AC49" i="118"/>
  <c r="AE49" i="118" s="1"/>
  <c r="AC60" i="118"/>
  <c r="AE60" i="118" s="1"/>
  <c r="K58" i="100"/>
  <c r="K62" i="100"/>
  <c r="AC64" i="118"/>
  <c r="AE64" i="118" s="1"/>
  <c r="Y8" i="117"/>
  <c r="X77" i="117"/>
  <c r="J11" i="100"/>
  <c r="AD13" i="117"/>
  <c r="AO13" i="117" s="1"/>
  <c r="J32" i="100"/>
  <c r="AD34" i="117"/>
  <c r="AO34" i="117" s="1"/>
  <c r="AD49" i="117"/>
  <c r="AO49" i="117" s="1"/>
  <c r="J47" i="100"/>
  <c r="J74" i="100"/>
  <c r="AD76" i="117"/>
  <c r="AO76" i="117" s="1"/>
  <c r="Z27" i="116"/>
  <c r="AA27" i="116" s="1"/>
  <c r="Z42" i="116"/>
  <c r="AA42" i="116" s="1"/>
  <c r="I67" i="100"/>
  <c r="AB69" i="116"/>
  <c r="AM69" i="116" s="1"/>
  <c r="H12" i="100"/>
  <c r="AC14" i="115"/>
  <c r="AE14" i="115" s="1"/>
  <c r="AC29" i="115"/>
  <c r="AE29" i="115" s="1"/>
  <c r="H27" i="100"/>
  <c r="AC56" i="115"/>
  <c r="AE56" i="115" s="1"/>
  <c r="H54" i="100"/>
  <c r="H69" i="100"/>
  <c r="AC71" i="115"/>
  <c r="AE71" i="115" s="1"/>
  <c r="AB26" i="114"/>
  <c r="AM26" i="114" s="1"/>
  <c r="G24" i="100"/>
  <c r="AB41" i="114"/>
  <c r="AM41" i="114" s="1"/>
  <c r="G39" i="100"/>
  <c r="AC41" i="114"/>
  <c r="AE41" i="114" s="1"/>
  <c r="G66" i="100"/>
  <c r="AB68" i="114"/>
  <c r="AM68" i="114" s="1"/>
  <c r="AB12" i="113"/>
  <c r="AM12" i="113" s="1"/>
  <c r="F10" i="100"/>
  <c r="AC12" i="113"/>
  <c r="AE12" i="113" s="1"/>
  <c r="AB27" i="113"/>
  <c r="AM27" i="113" s="1"/>
  <c r="F25" i="100"/>
  <c r="AC27" i="113"/>
  <c r="AE27" i="113" s="1"/>
  <c r="AB49" i="113"/>
  <c r="AM49" i="113" s="1"/>
  <c r="F47" i="100"/>
  <c r="AC49" i="113"/>
  <c r="AE49" i="113" s="1"/>
  <c r="F53" i="100"/>
  <c r="AB55" i="113"/>
  <c r="AM55" i="113" s="1"/>
  <c r="F68" i="100"/>
  <c r="AB70" i="113"/>
  <c r="AM70" i="113" s="1"/>
  <c r="AB27" i="31"/>
  <c r="AC27" i="31"/>
  <c r="AB37" i="31"/>
  <c r="AC37" i="31"/>
  <c r="AB46" i="31"/>
  <c r="AC46" i="31"/>
  <c r="AC56" i="31"/>
  <c r="AB56" i="31"/>
  <c r="AC64" i="31"/>
  <c r="AB64" i="31"/>
  <c r="U41" i="100"/>
  <c r="AD41" i="80"/>
  <c r="AF41" i="80" s="1"/>
  <c r="U45" i="100"/>
  <c r="AD45" i="80"/>
  <c r="AF45" i="80" s="1"/>
  <c r="AD65" i="80"/>
  <c r="AF65" i="80" s="1"/>
  <c r="U65" i="100"/>
  <c r="AC27" i="76"/>
  <c r="AN27" i="76" s="1"/>
  <c r="AO27" i="76" s="1"/>
  <c r="AP28" i="72" s="1"/>
  <c r="T27" i="100"/>
  <c r="AC56" i="76"/>
  <c r="AN56" i="76" s="1"/>
  <c r="AO56" i="76" s="1"/>
  <c r="AP57" i="72" s="1"/>
  <c r="T56" i="100"/>
  <c r="AD56" i="76"/>
  <c r="AF56" i="76" s="1"/>
  <c r="T66" i="100"/>
  <c r="AC66" i="76"/>
  <c r="AN66" i="76" s="1"/>
  <c r="AO66" i="76" s="1"/>
  <c r="AP67" i="72" s="1"/>
  <c r="T71" i="100"/>
  <c r="AC71" i="76"/>
  <c r="AN71" i="76" s="1"/>
  <c r="AO71" i="76" s="1"/>
  <c r="AP72" i="72" s="1"/>
  <c r="K32" i="100"/>
  <c r="AC34" i="118"/>
  <c r="AE34" i="118" s="1"/>
  <c r="K42" i="100"/>
  <c r="AC44" i="118"/>
  <c r="AE44" i="118" s="1"/>
  <c r="J26" i="100"/>
  <c r="AD28" i="117"/>
  <c r="AO28" i="117" s="1"/>
  <c r="AD39" i="117"/>
  <c r="AO39" i="117" s="1"/>
  <c r="J37" i="100"/>
  <c r="AD75" i="117"/>
  <c r="AO75" i="117" s="1"/>
  <c r="J73" i="100"/>
  <c r="Z22" i="116"/>
  <c r="AA22" i="116" s="1"/>
  <c r="Z40" i="116"/>
  <c r="AA40" i="116" s="1"/>
  <c r="AC16" i="115"/>
  <c r="AE16" i="115" s="1"/>
  <c r="H14" i="100"/>
  <c r="H21" i="100"/>
  <c r="AC23" i="115"/>
  <c r="AE23" i="115" s="1"/>
  <c r="AC25" i="115"/>
  <c r="AE25" i="115" s="1"/>
  <c r="H23" i="100"/>
  <c r="AC60" i="115"/>
  <c r="AE60" i="115" s="1"/>
  <c r="H58" i="100"/>
  <c r="AC62" i="115"/>
  <c r="AE62" i="115" s="1"/>
  <c r="H60" i="100"/>
  <c r="AB9" i="114"/>
  <c r="AM9" i="114" s="1"/>
  <c r="G7" i="100"/>
  <c r="AC9" i="114"/>
  <c r="AE9" i="114" s="1"/>
  <c r="G45" i="100"/>
  <c r="AB47" i="114"/>
  <c r="AM47" i="114" s="1"/>
  <c r="AB56" i="114"/>
  <c r="AM56" i="114" s="1"/>
  <c r="G54" i="100"/>
  <c r="G56" i="100"/>
  <c r="AB58" i="114"/>
  <c r="AM58" i="114" s="1"/>
  <c r="G59" i="100"/>
  <c r="AB61" i="114"/>
  <c r="AM61" i="114" s="1"/>
  <c r="F15" i="100"/>
  <c r="AB17" i="113"/>
  <c r="AM17" i="113" s="1"/>
  <c r="AB53" i="113"/>
  <c r="AM53" i="113" s="1"/>
  <c r="F51" i="100"/>
  <c r="AB62" i="113"/>
  <c r="AM62" i="113" s="1"/>
  <c r="F60" i="100"/>
  <c r="AC62" i="113"/>
  <c r="AE62" i="113" s="1"/>
  <c r="AB64" i="113"/>
  <c r="AM64" i="113" s="1"/>
  <c r="F62" i="100"/>
  <c r="AC64" i="113"/>
  <c r="AE64" i="113" s="1"/>
  <c r="AD23" i="80"/>
  <c r="AF23" i="80" s="1"/>
  <c r="U23" i="100"/>
  <c r="U25" i="100"/>
  <c r="AD25" i="80"/>
  <c r="AF25" i="80" s="1"/>
  <c r="AD28" i="80"/>
  <c r="AF28" i="80" s="1"/>
  <c r="U28" i="100"/>
  <c r="AD30" i="80"/>
  <c r="AF30" i="80" s="1"/>
  <c r="U30" i="100"/>
  <c r="AD39" i="80"/>
  <c r="AF39" i="80" s="1"/>
  <c r="U39" i="100"/>
  <c r="AC61" i="76"/>
  <c r="AN61" i="76" s="1"/>
  <c r="AO61" i="76" s="1"/>
  <c r="AP62" i="72" s="1"/>
  <c r="T61" i="100"/>
  <c r="AC63" i="76"/>
  <c r="AN63" i="76" s="1"/>
  <c r="AO63" i="76" s="1"/>
  <c r="AP64" i="72" s="1"/>
  <c r="T63" i="100"/>
  <c r="AD63" i="76"/>
  <c r="AF63" i="76" s="1"/>
  <c r="AD43" i="117"/>
  <c r="AO43" i="117" s="1"/>
  <c r="J41" i="100"/>
  <c r="AE43" i="117"/>
  <c r="AG43" i="117" s="1"/>
  <c r="J43" i="100"/>
  <c r="AD45" i="117"/>
  <c r="AO45" i="117" s="1"/>
  <c r="H41" i="100"/>
  <c r="AC43" i="115"/>
  <c r="AE43" i="115" s="1"/>
  <c r="AC45" i="115"/>
  <c r="AE45" i="115" s="1"/>
  <c r="H43" i="100"/>
  <c r="AC48" i="115"/>
  <c r="AE48" i="115" s="1"/>
  <c r="H46" i="100"/>
  <c r="H48" i="100"/>
  <c r="AC50" i="115"/>
  <c r="AE50" i="115" s="1"/>
  <c r="H71" i="100"/>
  <c r="AC73" i="115"/>
  <c r="AE73" i="115" s="1"/>
  <c r="AB24" i="114"/>
  <c r="AM24" i="114" s="1"/>
  <c r="G22" i="100"/>
  <c r="AC24" i="114"/>
  <c r="AE24" i="114" s="1"/>
  <c r="G65" i="100"/>
  <c r="AB67" i="114"/>
  <c r="AM67" i="114" s="1"/>
  <c r="AB50" i="113"/>
  <c r="AM50" i="113" s="1"/>
  <c r="F48" i="100"/>
  <c r="Z10" i="46"/>
  <c r="AB14" i="31"/>
  <c r="AC14" i="31"/>
  <c r="AB16" i="31"/>
  <c r="AC16" i="31"/>
  <c r="AB29" i="31"/>
  <c r="AC29" i="31"/>
  <c r="AC48" i="31"/>
  <c r="AB48" i="31"/>
  <c r="AB58" i="31"/>
  <c r="AC58" i="31"/>
  <c r="AB67" i="31"/>
  <c r="AC67" i="31"/>
  <c r="K11" i="100"/>
  <c r="AC13" i="118"/>
  <c r="AE13" i="118" s="1"/>
  <c r="K30" i="100"/>
  <c r="AC32" i="118"/>
  <c r="AE32" i="118" s="1"/>
  <c r="J34" i="100"/>
  <c r="AD36" i="117"/>
  <c r="AO36" i="117" s="1"/>
  <c r="Z13" i="116"/>
  <c r="AA13" i="116" s="1"/>
  <c r="Z16" i="116"/>
  <c r="AA16" i="116" s="1"/>
  <c r="H9" i="100"/>
  <c r="AC11" i="115"/>
  <c r="AE11" i="115" s="1"/>
  <c r="H11" i="100"/>
  <c r="AC13" i="115"/>
  <c r="AE13" i="115" s="1"/>
  <c r="F55" i="100"/>
  <c r="AB57" i="113"/>
  <c r="AM57" i="113" s="1"/>
  <c r="F57" i="100"/>
  <c r="AB59" i="113"/>
  <c r="AM59" i="113" s="1"/>
  <c r="AB33" i="31"/>
  <c r="AC33" i="31"/>
  <c r="U7" i="100"/>
  <c r="AD7" i="80"/>
  <c r="AF7" i="80" s="1"/>
  <c r="AD12" i="80"/>
  <c r="AF12" i="80" s="1"/>
  <c r="U12" i="100"/>
  <c r="U19" i="100"/>
  <c r="AD19" i="80"/>
  <c r="AF19" i="80" s="1"/>
  <c r="AD21" i="80"/>
  <c r="AF21" i="80" s="1"/>
  <c r="U21" i="100"/>
  <c r="U61" i="100"/>
  <c r="AD61" i="80"/>
  <c r="AF61" i="80" s="1"/>
  <c r="AC16" i="76"/>
  <c r="AN16" i="76" s="1"/>
  <c r="AO16" i="76" s="1"/>
  <c r="AP17" i="72" s="1"/>
  <c r="T16" i="100"/>
  <c r="T33" i="100"/>
  <c r="AC33" i="76"/>
  <c r="AN33" i="76" s="1"/>
  <c r="AO33" i="76" s="1"/>
  <c r="AP34" i="72" s="1"/>
  <c r="AC25" i="118"/>
  <c r="AE25" i="118" s="1"/>
  <c r="K23" i="100"/>
  <c r="K25" i="100"/>
  <c r="AC27" i="118"/>
  <c r="AE27" i="118" s="1"/>
  <c r="K27" i="100"/>
  <c r="AC29" i="118"/>
  <c r="AE29" i="118" s="1"/>
  <c r="K55" i="100"/>
  <c r="AC57" i="118"/>
  <c r="AE57" i="118" s="1"/>
  <c r="K57" i="100"/>
  <c r="AC59" i="118"/>
  <c r="AE59" i="118" s="1"/>
  <c r="J14" i="100"/>
  <c r="AD16" i="117"/>
  <c r="AO16" i="117" s="1"/>
  <c r="AD18" i="117"/>
  <c r="AO18" i="117" s="1"/>
  <c r="J16" i="100"/>
  <c r="AE18" i="117"/>
  <c r="AG18" i="117" s="1"/>
  <c r="AD21" i="117"/>
  <c r="AO21" i="117" s="1"/>
  <c r="J19" i="100"/>
  <c r="AD26" i="117"/>
  <c r="AO26" i="117" s="1"/>
  <c r="J24" i="100"/>
  <c r="AE26" i="117"/>
  <c r="AG26" i="117" s="1"/>
  <c r="AD52" i="117"/>
  <c r="AO52" i="117" s="1"/>
  <c r="J50" i="100"/>
  <c r="AE52" i="117"/>
  <c r="AG52" i="117" s="1"/>
  <c r="V77" i="116"/>
  <c r="W8" i="116"/>
  <c r="Z10" i="116"/>
  <c r="AA10" i="116" s="1"/>
  <c r="Z43" i="116"/>
  <c r="AA43" i="116" s="1"/>
  <c r="Z46" i="116"/>
  <c r="AA46" i="116" s="1"/>
  <c r="H38" i="100"/>
  <c r="AC40" i="115"/>
  <c r="AE40" i="115" s="1"/>
  <c r="AB12" i="114"/>
  <c r="AM12" i="114" s="1"/>
  <c r="G10" i="100"/>
  <c r="AC12" i="114"/>
  <c r="AE12" i="114" s="1"/>
  <c r="AB15" i="114"/>
  <c r="AM15" i="114" s="1"/>
  <c r="G13" i="100"/>
  <c r="AC15" i="114"/>
  <c r="AE15" i="114" s="1"/>
  <c r="AB20" i="114"/>
  <c r="AM20" i="114" s="1"/>
  <c r="G18" i="100"/>
  <c r="AB71" i="114"/>
  <c r="AM71" i="114" s="1"/>
  <c r="G69" i="100"/>
  <c r="AC71" i="114"/>
  <c r="AE71" i="114" s="1"/>
  <c r="AB73" i="114"/>
  <c r="AM73" i="114" s="1"/>
  <c r="G71" i="100"/>
  <c r="AB76" i="114"/>
  <c r="AM76" i="114" s="1"/>
  <c r="G74" i="100"/>
  <c r="AC76" i="114"/>
  <c r="AE76" i="114" s="1"/>
  <c r="AC32" i="31"/>
  <c r="AB32" i="31"/>
  <c r="AC52" i="31"/>
  <c r="AB52" i="31"/>
  <c r="AB61" i="31"/>
  <c r="AC61" i="31"/>
  <c r="Z28" i="46"/>
  <c r="AC22" i="31"/>
  <c r="AB22" i="31"/>
  <c r="AB24" i="31"/>
  <c r="AC24" i="31"/>
  <c r="AC26" i="31"/>
  <c r="AB26" i="31"/>
  <c r="AB38" i="31"/>
  <c r="AC38" i="31"/>
  <c r="AC40" i="31"/>
  <c r="AB40" i="31"/>
  <c r="AB42" i="31"/>
  <c r="AC42" i="31"/>
  <c r="AC51" i="31"/>
  <c r="AB51" i="31"/>
  <c r="AB63" i="31"/>
  <c r="AC63" i="31"/>
  <c r="W12" i="31"/>
  <c r="V69" i="31"/>
  <c r="AC28" i="31"/>
  <c r="AB28" i="31"/>
  <c r="AD51" i="80"/>
  <c r="AF51" i="80" s="1"/>
  <c r="U51" i="100"/>
  <c r="AC20" i="76"/>
  <c r="AN20" i="76" s="1"/>
  <c r="AO20" i="76" s="1"/>
  <c r="AP21" i="72" s="1"/>
  <c r="T20" i="100"/>
  <c r="T50" i="100"/>
  <c r="AC50" i="76"/>
  <c r="AN50" i="76" s="1"/>
  <c r="AO50" i="76" s="1"/>
  <c r="AP51" i="72" s="1"/>
  <c r="K48" i="100"/>
  <c r="AC50" i="118"/>
  <c r="AE50" i="118" s="1"/>
  <c r="K67" i="100"/>
  <c r="AC69" i="118"/>
  <c r="AE69" i="118" s="1"/>
  <c r="J53" i="100"/>
  <c r="AD55" i="117"/>
  <c r="AO55" i="117" s="1"/>
  <c r="AD60" i="117"/>
  <c r="AO60" i="117" s="1"/>
  <c r="J58" i="100"/>
  <c r="AD70" i="117"/>
  <c r="AO70" i="117" s="1"/>
  <c r="J68" i="100"/>
  <c r="Z29" i="116"/>
  <c r="AA29" i="116" s="1"/>
  <c r="Z48" i="116"/>
  <c r="AA48" i="116" s="1"/>
  <c r="I55" i="100"/>
  <c r="AB57" i="116"/>
  <c r="AM57" i="116" s="1"/>
  <c r="AB74" i="116"/>
  <c r="AM74" i="116" s="1"/>
  <c r="I72" i="100"/>
  <c r="AC70" i="115"/>
  <c r="AE70" i="115" s="1"/>
  <c r="H68" i="100"/>
  <c r="G35" i="100"/>
  <c r="AB37" i="114"/>
  <c r="AM37" i="114" s="1"/>
  <c r="AB53" i="114"/>
  <c r="AM53" i="114" s="1"/>
  <c r="G51" i="100"/>
  <c r="F20" i="100"/>
  <c r="AB22" i="113"/>
  <c r="AM22" i="113" s="1"/>
  <c r="F35" i="100"/>
  <c r="AB37" i="113"/>
  <c r="AM37" i="113" s="1"/>
  <c r="AB69" i="113"/>
  <c r="AM69" i="113" s="1"/>
  <c r="F67" i="100"/>
  <c r="AC69" i="113"/>
  <c r="AE69" i="113" s="1"/>
  <c r="AD49" i="80"/>
  <c r="AF49" i="80" s="1"/>
  <c r="U49" i="100"/>
  <c r="AD57" i="80"/>
  <c r="AF57" i="80" s="1"/>
  <c r="U57" i="100"/>
  <c r="T22" i="100"/>
  <c r="AC22" i="76"/>
  <c r="AN22" i="76" s="1"/>
  <c r="AO22" i="76" s="1"/>
  <c r="AP23" i="72" s="1"/>
  <c r="AC41" i="76"/>
  <c r="AN41" i="76" s="1"/>
  <c r="AO41" i="76" s="1"/>
  <c r="AP42" i="72" s="1"/>
  <c r="T41" i="100"/>
  <c r="T47" i="100"/>
  <c r="AC47" i="76"/>
  <c r="AN47" i="76" s="1"/>
  <c r="AO47" i="76" s="1"/>
  <c r="AP48" i="72" s="1"/>
  <c r="AC67" i="118"/>
  <c r="AE67" i="118" s="1"/>
  <c r="K65" i="100"/>
  <c r="J66" i="100"/>
  <c r="AD68" i="117"/>
  <c r="AO68" i="117" s="1"/>
  <c r="AB61" i="116"/>
  <c r="AM61" i="116" s="1"/>
  <c r="I59" i="100"/>
  <c r="AC9" i="115"/>
  <c r="AE9" i="115" s="1"/>
  <c r="H7" i="100"/>
  <c r="H28" i="100"/>
  <c r="AC30" i="115"/>
  <c r="AE30" i="115" s="1"/>
  <c r="H62" i="100"/>
  <c r="AC64" i="115"/>
  <c r="AE64" i="115" s="1"/>
  <c r="AB28" i="114"/>
  <c r="AM28" i="114" s="1"/>
  <c r="G26" i="100"/>
  <c r="AC28" i="114"/>
  <c r="AE28" i="114" s="1"/>
  <c r="G49" i="100"/>
  <c r="AB51" i="114"/>
  <c r="AM51" i="114" s="1"/>
  <c r="X6" i="76"/>
  <c r="W75" i="76"/>
  <c r="W79" i="76" s="1"/>
  <c r="T14" i="100"/>
  <c r="AC14" i="76"/>
  <c r="AN14" i="76" s="1"/>
  <c r="AO14" i="76" s="1"/>
  <c r="AP15" i="72" s="1"/>
  <c r="AC36" i="76"/>
  <c r="AN36" i="76" s="1"/>
  <c r="AO36" i="76" s="1"/>
  <c r="AP37" i="72" s="1"/>
  <c r="T36" i="100"/>
  <c r="AC45" i="76"/>
  <c r="AN45" i="76" s="1"/>
  <c r="AO45" i="76" s="1"/>
  <c r="AP46" i="72" s="1"/>
  <c r="T45" i="100"/>
  <c r="AD45" i="76"/>
  <c r="AF45" i="76" s="1"/>
  <c r="T51" i="100"/>
  <c r="AC51" i="76"/>
  <c r="AN51" i="76" s="1"/>
  <c r="AO51" i="76" s="1"/>
  <c r="AP52" i="72" s="1"/>
  <c r="AC41" i="118"/>
  <c r="AE41" i="118" s="1"/>
  <c r="K39" i="100"/>
  <c r="K49" i="100"/>
  <c r="AC51" i="118"/>
  <c r="AE51" i="118" s="1"/>
  <c r="K66" i="100"/>
  <c r="AC68" i="118"/>
  <c r="AE68" i="118" s="1"/>
  <c r="AC72" i="118"/>
  <c r="AE72" i="118" s="1"/>
  <c r="K70" i="100"/>
  <c r="J59" i="100"/>
  <c r="AD61" i="117"/>
  <c r="AO61" i="117" s="1"/>
  <c r="AD65" i="117"/>
  <c r="AO65" i="117" s="1"/>
  <c r="J63" i="100"/>
  <c r="I50" i="100"/>
  <c r="AB52" i="116"/>
  <c r="AM52" i="116" s="1"/>
  <c r="I54" i="100"/>
  <c r="AB56" i="116"/>
  <c r="AM56" i="116" s="1"/>
  <c r="AB62" i="116"/>
  <c r="AM62" i="116" s="1"/>
  <c r="I60" i="100"/>
  <c r="AC62" i="116"/>
  <c r="AE62" i="116" s="1"/>
  <c r="AB75" i="116"/>
  <c r="AM75" i="116" s="1"/>
  <c r="I73" i="100"/>
  <c r="G27" i="100"/>
  <c r="AB29" i="114"/>
  <c r="AM29" i="114" s="1"/>
  <c r="AB15" i="113"/>
  <c r="AM15" i="113" s="1"/>
  <c r="F13" i="100"/>
  <c r="F21" i="100"/>
  <c r="AB23" i="113"/>
  <c r="AM23" i="113" s="1"/>
  <c r="F41" i="100"/>
  <c r="AB43" i="113"/>
  <c r="AM43" i="113" s="1"/>
  <c r="AB67" i="113"/>
  <c r="AM67" i="113" s="1"/>
  <c r="F65" i="100"/>
  <c r="W77" i="120"/>
  <c r="Z8" i="120"/>
  <c r="W77" i="118"/>
  <c r="Z8" i="118"/>
  <c r="AB30" i="116"/>
  <c r="AM30" i="116" s="1"/>
  <c r="I28" i="100"/>
  <c r="AC30" i="116"/>
  <c r="AE30" i="116" s="1"/>
  <c r="AB35" i="116"/>
  <c r="AM35" i="116" s="1"/>
  <c r="I33" i="100"/>
  <c r="Z8" i="115"/>
  <c r="W77" i="115"/>
  <c r="W75" i="80"/>
  <c r="W79" i="80" s="1"/>
  <c r="W77" i="119"/>
  <c r="Z8" i="119"/>
  <c r="I24" i="100"/>
  <c r="AB26" i="116"/>
  <c r="AM26" i="116" s="1"/>
  <c r="Z8" i="113"/>
  <c r="W77" i="113"/>
  <c r="AF29" i="46"/>
  <c r="AE29" i="46"/>
  <c r="AI33" i="131"/>
  <c r="AI17" i="131"/>
  <c r="AI75" i="128"/>
  <c r="AI73" i="128"/>
  <c r="AI71" i="128"/>
  <c r="AI69" i="128"/>
  <c r="AI67" i="128"/>
  <c r="AI65" i="128"/>
  <c r="AI63" i="128"/>
  <c r="AI61" i="128"/>
  <c r="AI59" i="128"/>
  <c r="AI57" i="128"/>
  <c r="AI55" i="128"/>
  <c r="AI53" i="128"/>
  <c r="AI51" i="128"/>
  <c r="AI49" i="128"/>
  <c r="AI47" i="128"/>
  <c r="AI45" i="128"/>
  <c r="AI43" i="128"/>
  <c r="AI41" i="128"/>
  <c r="AI39" i="128"/>
  <c r="AI37" i="128"/>
  <c r="AI35" i="128"/>
  <c r="AI33" i="128"/>
  <c r="AI31" i="128"/>
  <c r="AI29" i="128"/>
  <c r="AI27" i="128"/>
  <c r="AI25" i="128"/>
  <c r="AI23" i="128"/>
  <c r="AI21" i="128"/>
  <c r="AI19" i="128"/>
  <c r="AI17" i="128"/>
  <c r="AI15" i="128"/>
  <c r="AI13" i="128"/>
  <c r="AI11" i="128"/>
  <c r="AI9" i="128"/>
  <c r="AI75" i="127"/>
  <c r="AI73" i="127"/>
  <c r="AI71" i="127"/>
  <c r="AI69" i="127"/>
  <c r="AI67" i="127"/>
  <c r="AI65" i="127"/>
  <c r="AI63" i="127"/>
  <c r="AI61" i="127"/>
  <c r="AI59" i="127"/>
  <c r="AI57" i="127"/>
  <c r="AI55" i="127"/>
  <c r="AI53" i="127"/>
  <c r="AI51" i="127"/>
  <c r="AI49" i="127"/>
  <c r="AI47" i="127"/>
  <c r="AI45" i="127"/>
  <c r="AI43" i="127"/>
  <c r="AI41" i="127"/>
  <c r="AI39" i="127"/>
  <c r="AI37" i="127"/>
  <c r="AI35" i="127"/>
  <c r="AI33" i="127"/>
  <c r="AI31" i="127"/>
  <c r="AI29" i="127"/>
  <c r="AI27" i="127"/>
  <c r="AI25" i="127"/>
  <c r="AI23" i="127"/>
  <c r="AI21" i="127"/>
  <c r="AI19" i="127"/>
  <c r="AI17" i="127"/>
  <c r="AI15" i="127"/>
  <c r="AI13" i="127"/>
  <c r="AI11" i="127"/>
  <c r="AI9" i="127"/>
  <c r="AI69" i="126"/>
  <c r="AI53" i="126"/>
  <c r="AI37" i="126"/>
  <c r="AI21" i="126"/>
  <c r="AI73" i="125"/>
  <c r="AI57" i="125"/>
  <c r="AI41" i="125"/>
  <c r="AI25" i="125"/>
  <c r="AI9" i="125"/>
  <c r="U11" i="100"/>
  <c r="AD11" i="80"/>
  <c r="AF11" i="80" s="1"/>
  <c r="AD17" i="80"/>
  <c r="AF17" i="80" s="1"/>
  <c r="U17" i="100"/>
  <c r="U27" i="100"/>
  <c r="AD27" i="80"/>
  <c r="AF27" i="80" s="1"/>
  <c r="AD36" i="80"/>
  <c r="AF36" i="80" s="1"/>
  <c r="U36" i="100"/>
  <c r="U44" i="100"/>
  <c r="AD44" i="80"/>
  <c r="AF44" i="80" s="1"/>
  <c r="AD52" i="80"/>
  <c r="AF52" i="80" s="1"/>
  <c r="U52" i="100"/>
  <c r="AD60" i="80"/>
  <c r="AF60" i="80" s="1"/>
  <c r="U60" i="100"/>
  <c r="AD68" i="80"/>
  <c r="AF68" i="80" s="1"/>
  <c r="U68" i="100"/>
  <c r="AC12" i="76"/>
  <c r="AN12" i="76" s="1"/>
  <c r="AO12" i="76" s="1"/>
  <c r="AP13" i="72" s="1"/>
  <c r="T12" i="100"/>
  <c r="AC18" i="76"/>
  <c r="AN18" i="76" s="1"/>
  <c r="AO18" i="76" s="1"/>
  <c r="AP19" i="72" s="1"/>
  <c r="T18" i="100"/>
  <c r="AD18" i="76"/>
  <c r="AF18" i="76" s="1"/>
  <c r="U8" i="100"/>
  <c r="AD8" i="80"/>
  <c r="AF8" i="80" s="1"/>
  <c r="U31" i="100"/>
  <c r="AD31" i="80"/>
  <c r="AF31" i="80" s="1"/>
  <c r="AD63" i="80"/>
  <c r="AF63" i="80" s="1"/>
  <c r="U63" i="100"/>
  <c r="T25" i="100"/>
  <c r="AC25" i="76"/>
  <c r="AN25" i="76" s="1"/>
  <c r="AO25" i="76" s="1"/>
  <c r="AP26" i="72" s="1"/>
  <c r="T32" i="100"/>
  <c r="AC32" i="76"/>
  <c r="AN32" i="76" s="1"/>
  <c r="AO32" i="76" s="1"/>
  <c r="AP33" i="72" s="1"/>
  <c r="AC38" i="76"/>
  <c r="AN38" i="76" s="1"/>
  <c r="AO38" i="76" s="1"/>
  <c r="AP39" i="72" s="1"/>
  <c r="T38" i="100"/>
  <c r="AC53" i="76"/>
  <c r="AN53" i="76" s="1"/>
  <c r="AO53" i="76" s="1"/>
  <c r="AP54" i="72" s="1"/>
  <c r="T53" i="100"/>
  <c r="AD53" i="76"/>
  <c r="AF53" i="76" s="1"/>
  <c r="T64" i="100"/>
  <c r="AC64" i="76"/>
  <c r="AN64" i="76" s="1"/>
  <c r="AO64" i="76" s="1"/>
  <c r="AP65" i="72" s="1"/>
  <c r="AC70" i="76"/>
  <c r="AN70" i="76" s="1"/>
  <c r="AO70" i="76" s="1"/>
  <c r="AP71" i="72" s="1"/>
  <c r="T70" i="100"/>
  <c r="AD70" i="76"/>
  <c r="AF70" i="76" s="1"/>
  <c r="K9" i="100"/>
  <c r="AC11" i="118"/>
  <c r="AE11" i="118" s="1"/>
  <c r="K19" i="100"/>
  <c r="AC21" i="118"/>
  <c r="AE21" i="118" s="1"/>
  <c r="K37" i="100"/>
  <c r="AC39" i="118"/>
  <c r="AE39" i="118" s="1"/>
  <c r="K41" i="100"/>
  <c r="AC43" i="118"/>
  <c r="AE43" i="118" s="1"/>
  <c r="AC53" i="118"/>
  <c r="AE53" i="118" s="1"/>
  <c r="K51" i="100"/>
  <c r="AC71" i="118"/>
  <c r="AE71" i="118" s="1"/>
  <c r="K69" i="100"/>
  <c r="AC75" i="118"/>
  <c r="AE75" i="118" s="1"/>
  <c r="K73" i="100"/>
  <c r="J22" i="100"/>
  <c r="AD24" i="117"/>
  <c r="AO24" i="117" s="1"/>
  <c r="J33" i="100"/>
  <c r="AD35" i="117"/>
  <c r="AO35" i="117" s="1"/>
  <c r="AD41" i="117"/>
  <c r="AO41" i="117" s="1"/>
  <c r="J39" i="100"/>
  <c r="J54" i="100"/>
  <c r="AD56" i="117"/>
  <c r="AO56" i="117" s="1"/>
  <c r="J65" i="100"/>
  <c r="AD67" i="117"/>
  <c r="AO67" i="117" s="1"/>
  <c r="J71" i="100"/>
  <c r="AD73" i="117"/>
  <c r="AO73" i="117" s="1"/>
  <c r="Z17" i="116"/>
  <c r="AA17" i="116" s="1"/>
  <c r="Z28" i="116"/>
  <c r="AA28" i="116" s="1"/>
  <c r="Z34" i="116"/>
  <c r="AA34" i="116" s="1"/>
  <c r="Z49" i="116"/>
  <c r="AA49" i="116" s="1"/>
  <c r="AB60" i="116"/>
  <c r="AM60" i="116" s="1"/>
  <c r="I58" i="100"/>
  <c r="AB66" i="116"/>
  <c r="AM66" i="116" s="1"/>
  <c r="I64" i="100"/>
  <c r="H13" i="100"/>
  <c r="AC15" i="115"/>
  <c r="AE15" i="115" s="1"/>
  <c r="H19" i="100"/>
  <c r="AC21" i="115"/>
  <c r="AE21" i="115" s="1"/>
  <c r="H34" i="100"/>
  <c r="AC36" i="115"/>
  <c r="AE36" i="115" s="1"/>
  <c r="AC47" i="115"/>
  <c r="AE47" i="115" s="1"/>
  <c r="H45" i="100"/>
  <c r="AC53" i="115"/>
  <c r="AE53" i="115" s="1"/>
  <c r="H51" i="100"/>
  <c r="H66" i="100"/>
  <c r="AC68" i="115"/>
  <c r="AE68" i="115" s="1"/>
  <c r="AB11" i="114"/>
  <c r="AM11" i="114" s="1"/>
  <c r="G9" i="100"/>
  <c r="AC11" i="114"/>
  <c r="AE11" i="114" s="1"/>
  <c r="AB17" i="114"/>
  <c r="AM17" i="114" s="1"/>
  <c r="G15" i="100"/>
  <c r="AC17" i="114"/>
  <c r="AE17" i="114" s="1"/>
  <c r="G30" i="100"/>
  <c r="AB32" i="114"/>
  <c r="AM32" i="114" s="1"/>
  <c r="AB43" i="114"/>
  <c r="AM43" i="114" s="1"/>
  <c r="G41" i="100"/>
  <c r="AC43" i="114"/>
  <c r="AE43" i="114" s="1"/>
  <c r="G47" i="100"/>
  <c r="AB49" i="114"/>
  <c r="AM49" i="114" s="1"/>
  <c r="G62" i="100"/>
  <c r="AB64" i="114"/>
  <c r="AM64" i="114" s="1"/>
  <c r="G73" i="100"/>
  <c r="AB75" i="114"/>
  <c r="AM75" i="114" s="1"/>
  <c r="AB18" i="113"/>
  <c r="AM18" i="113" s="1"/>
  <c r="F16" i="100"/>
  <c r="F27" i="100"/>
  <c r="AB29" i="113"/>
  <c r="AM29" i="113" s="1"/>
  <c r="F33" i="100"/>
  <c r="AB35" i="113"/>
  <c r="AM35" i="113" s="1"/>
  <c r="AD55" i="80"/>
  <c r="AF55" i="80" s="1"/>
  <c r="U55" i="100"/>
  <c r="AC10" i="76"/>
  <c r="AN10" i="76" s="1"/>
  <c r="AO10" i="76" s="1"/>
  <c r="AP11" i="72" s="1"/>
  <c r="T10" i="100"/>
  <c r="AD10" i="76"/>
  <c r="AF10" i="76" s="1"/>
  <c r="T30" i="100"/>
  <c r="AC30" i="76"/>
  <c r="AN30" i="76" s="1"/>
  <c r="AO30" i="76" s="1"/>
  <c r="AP31" i="72" s="1"/>
  <c r="AC57" i="76"/>
  <c r="AN57" i="76" s="1"/>
  <c r="AO57" i="76" s="1"/>
  <c r="AP58" i="72" s="1"/>
  <c r="T57" i="100"/>
  <c r="AD57" i="76"/>
  <c r="AF57" i="76" s="1"/>
  <c r="AC72" i="76"/>
  <c r="AN72" i="76" s="1"/>
  <c r="AO72" i="76" s="1"/>
  <c r="AP73" i="72" s="1"/>
  <c r="T72" i="100"/>
  <c r="AC19" i="118"/>
  <c r="AE19" i="118" s="1"/>
  <c r="K17" i="100"/>
  <c r="AC37" i="118"/>
  <c r="AE37" i="118" s="1"/>
  <c r="K35" i="100"/>
  <c r="AC55" i="118"/>
  <c r="AE55" i="118" s="1"/>
  <c r="K53" i="100"/>
  <c r="K59" i="100"/>
  <c r="AC61" i="118"/>
  <c r="AE61" i="118" s="1"/>
  <c r="AC73" i="118"/>
  <c r="AE73" i="118" s="1"/>
  <c r="K71" i="100"/>
  <c r="J10" i="100"/>
  <c r="AD12" i="117"/>
  <c r="AO12" i="117" s="1"/>
  <c r="J25" i="100"/>
  <c r="AD27" i="117"/>
  <c r="AO27" i="117" s="1"/>
  <c r="AD48" i="117"/>
  <c r="AO48" i="117" s="1"/>
  <c r="J46" i="100"/>
  <c r="AE48" i="117"/>
  <c r="AG48" i="117" s="1"/>
  <c r="AD71" i="117"/>
  <c r="AO71" i="117" s="1"/>
  <c r="J69" i="100"/>
  <c r="Z20" i="116"/>
  <c r="AA20" i="116" s="1"/>
  <c r="Z41" i="116"/>
  <c r="AA41" i="116" s="1"/>
  <c r="I62" i="100"/>
  <c r="AB64" i="116"/>
  <c r="AM64" i="116" s="1"/>
  <c r="I68" i="100"/>
  <c r="AB70" i="116"/>
  <c r="AM70" i="116" s="1"/>
  <c r="AC28" i="115"/>
  <c r="AE28" i="115" s="1"/>
  <c r="H26" i="100"/>
  <c r="H49" i="100"/>
  <c r="AC51" i="115"/>
  <c r="AE51" i="115" s="1"/>
  <c r="H55" i="100"/>
  <c r="AC57" i="115"/>
  <c r="AE57" i="115" s="1"/>
  <c r="AB19" i="114"/>
  <c r="AM19" i="114" s="1"/>
  <c r="G17" i="100"/>
  <c r="G38" i="100"/>
  <c r="AB40" i="114"/>
  <c r="AM40" i="114" s="1"/>
  <c r="AB63" i="114"/>
  <c r="AM63" i="114" s="1"/>
  <c r="G61" i="100"/>
  <c r="AC63" i="114"/>
  <c r="AE63" i="114" s="1"/>
  <c r="AB69" i="114"/>
  <c r="AM69" i="114" s="1"/>
  <c r="G67" i="100"/>
  <c r="AC69" i="114"/>
  <c r="AE69" i="114" s="1"/>
  <c r="F24" i="100"/>
  <c r="AB26" i="113"/>
  <c r="AM26" i="113" s="1"/>
  <c r="AB54" i="113"/>
  <c r="AM54" i="113" s="1"/>
  <c r="F52" i="100"/>
  <c r="AC54" i="113"/>
  <c r="AE54" i="113" s="1"/>
  <c r="F63" i="100"/>
  <c r="AB65" i="113"/>
  <c r="AM65" i="113" s="1"/>
  <c r="F69" i="100"/>
  <c r="AB71" i="113"/>
  <c r="AM71" i="113" s="1"/>
  <c r="AC21" i="31"/>
  <c r="AB21" i="31"/>
  <c r="AC30" i="31"/>
  <c r="AB30" i="31"/>
  <c r="AC43" i="31"/>
  <c r="AB43" i="31"/>
  <c r="AC50" i="31"/>
  <c r="AB50" i="31"/>
  <c r="AB60" i="31"/>
  <c r="AC60" i="31"/>
  <c r="AE17" i="46"/>
  <c r="AF17" i="46"/>
  <c r="AF18" i="46" s="1"/>
  <c r="AD50" i="46" s="1"/>
  <c r="U33" i="100"/>
  <c r="AD33" i="80"/>
  <c r="AF33" i="80" s="1"/>
  <c r="U43" i="100"/>
  <c r="AD43" i="80"/>
  <c r="AF43" i="80" s="1"/>
  <c r="U46" i="100"/>
  <c r="AD46" i="80"/>
  <c r="AF46" i="80" s="1"/>
  <c r="U73" i="100"/>
  <c r="AD73" i="80"/>
  <c r="AF73" i="80" s="1"/>
  <c r="AC28" i="76"/>
  <c r="AN28" i="76" s="1"/>
  <c r="AO28" i="76" s="1"/>
  <c r="AP29" i="72" s="1"/>
  <c r="T28" i="100"/>
  <c r="W28" i="100" s="1"/>
  <c r="AD28" i="76"/>
  <c r="AF28" i="76" s="1"/>
  <c r="T65" i="100"/>
  <c r="AC65" i="76"/>
  <c r="AN65" i="76" s="1"/>
  <c r="AO65" i="76" s="1"/>
  <c r="AP66" i="72" s="1"/>
  <c r="T68" i="100"/>
  <c r="AC68" i="76"/>
  <c r="AN68" i="76" s="1"/>
  <c r="AO68" i="76" s="1"/>
  <c r="AP69" i="72" s="1"/>
  <c r="AC17" i="118"/>
  <c r="AE17" i="118" s="1"/>
  <c r="K15" i="100"/>
  <c r="K33" i="100"/>
  <c r="AC35" i="118"/>
  <c r="AE35" i="118" s="1"/>
  <c r="AC45" i="118"/>
  <c r="AE45" i="118" s="1"/>
  <c r="K43" i="100"/>
  <c r="J27" i="100"/>
  <c r="AD29" i="117"/>
  <c r="AO29" i="117" s="1"/>
  <c r="J45" i="100"/>
  <c r="AD47" i="117"/>
  <c r="AO47" i="117" s="1"/>
  <c r="Z21" i="116"/>
  <c r="AA21" i="116" s="1"/>
  <c r="Z32" i="116"/>
  <c r="AA32" i="116" s="1"/>
  <c r="I66" i="100"/>
  <c r="AB68" i="116"/>
  <c r="AM68" i="116" s="1"/>
  <c r="H15" i="100"/>
  <c r="AC17" i="115"/>
  <c r="AE17" i="115" s="1"/>
  <c r="H22" i="100"/>
  <c r="AC24" i="115"/>
  <c r="AE24" i="115" s="1"/>
  <c r="AC59" i="115"/>
  <c r="AE59" i="115" s="1"/>
  <c r="H57" i="100"/>
  <c r="AC61" i="115"/>
  <c r="AE61" i="115" s="1"/>
  <c r="H59" i="100"/>
  <c r="W8" i="114"/>
  <c r="V78" i="114"/>
  <c r="AB10" i="114"/>
  <c r="AM10" i="114" s="1"/>
  <c r="G8" i="100"/>
  <c r="AC10" i="114"/>
  <c r="AE10" i="114" s="1"/>
  <c r="G53" i="100"/>
  <c r="AB55" i="114"/>
  <c r="AM55" i="114" s="1"/>
  <c r="AB57" i="114"/>
  <c r="AM57" i="114" s="1"/>
  <c r="G55" i="100"/>
  <c r="AC57" i="114"/>
  <c r="AE57" i="114" s="1"/>
  <c r="G58" i="100"/>
  <c r="AB60" i="114"/>
  <c r="AM60" i="114" s="1"/>
  <c r="AB62" i="114"/>
  <c r="AM62" i="114" s="1"/>
  <c r="G60" i="100"/>
  <c r="F23" i="100"/>
  <c r="AB25" i="113"/>
  <c r="AM25" i="113" s="1"/>
  <c r="AB61" i="113"/>
  <c r="AM61" i="113" s="1"/>
  <c r="F59" i="100"/>
  <c r="F61" i="100"/>
  <c r="AB63" i="113"/>
  <c r="AM63" i="113" s="1"/>
  <c r="U24" i="100"/>
  <c r="AD24" i="80"/>
  <c r="AF24" i="80" s="1"/>
  <c r="AD26" i="80"/>
  <c r="AF26" i="80" s="1"/>
  <c r="U26" i="100"/>
  <c r="AD29" i="80"/>
  <c r="AF29" i="80" s="1"/>
  <c r="U29" i="100"/>
  <c r="AC24" i="76"/>
  <c r="AN24" i="76" s="1"/>
  <c r="AO24" i="76" s="1"/>
  <c r="AP25" i="72" s="1"/>
  <c r="T24" i="100"/>
  <c r="AC60" i="76"/>
  <c r="AN60" i="76" s="1"/>
  <c r="AO60" i="76" s="1"/>
  <c r="AP61" i="72" s="1"/>
  <c r="T60" i="100"/>
  <c r="AD60" i="76"/>
  <c r="AF60" i="76" s="1"/>
  <c r="T62" i="100"/>
  <c r="AC62" i="76"/>
  <c r="AN62" i="76" s="1"/>
  <c r="AO62" i="76" s="1"/>
  <c r="AP63" i="72" s="1"/>
  <c r="AC23" i="118"/>
  <c r="AE23" i="118" s="1"/>
  <c r="K21" i="100"/>
  <c r="AD44" i="117"/>
  <c r="AO44" i="117" s="1"/>
  <c r="J42" i="100"/>
  <c r="H33" i="100"/>
  <c r="AC35" i="115"/>
  <c r="AE35" i="115" s="1"/>
  <c r="H42" i="100"/>
  <c r="AC44" i="115"/>
  <c r="AE44" i="115" s="1"/>
  <c r="H44" i="100"/>
  <c r="AC46" i="115"/>
  <c r="AE46" i="115" s="1"/>
  <c r="AC49" i="115"/>
  <c r="AE49" i="115" s="1"/>
  <c r="H47" i="100"/>
  <c r="AC72" i="115"/>
  <c r="AE72" i="115" s="1"/>
  <c r="H70" i="100"/>
  <c r="AB23" i="114"/>
  <c r="AM23" i="114" s="1"/>
  <c r="G21" i="100"/>
  <c r="AC23" i="114"/>
  <c r="AE23" i="114" s="1"/>
  <c r="G23" i="100"/>
  <c r="AB25" i="114"/>
  <c r="AM25" i="114" s="1"/>
  <c r="AB33" i="113"/>
  <c r="AM33" i="113" s="1"/>
  <c r="F31" i="100"/>
  <c r="F49" i="100"/>
  <c r="AB51" i="113"/>
  <c r="AM51" i="113" s="1"/>
  <c r="AB13" i="31"/>
  <c r="AC13" i="31"/>
  <c r="AB15" i="31"/>
  <c r="AC15" i="31"/>
  <c r="AC17" i="31"/>
  <c r="AB17" i="31"/>
  <c r="AB36" i="31"/>
  <c r="AC36" i="31"/>
  <c r="AB49" i="31"/>
  <c r="AC49" i="31"/>
  <c r="AB59" i="31"/>
  <c r="AC59" i="31"/>
  <c r="AC68" i="31"/>
  <c r="AB68" i="31"/>
  <c r="K10" i="100"/>
  <c r="AC12" i="118"/>
  <c r="AE12" i="118" s="1"/>
  <c r="AC15" i="118"/>
  <c r="AE15" i="118" s="1"/>
  <c r="K13" i="100"/>
  <c r="AD11" i="117"/>
  <c r="AO11" i="117" s="1"/>
  <c r="J9" i="100"/>
  <c r="J35" i="100"/>
  <c r="AD37" i="117"/>
  <c r="AO37" i="117" s="1"/>
  <c r="Z14" i="116"/>
  <c r="AA14" i="116" s="1"/>
  <c r="Z19" i="116"/>
  <c r="AA19" i="116" s="1"/>
  <c r="H10" i="100"/>
  <c r="AC12" i="115"/>
  <c r="AE12" i="115" s="1"/>
  <c r="AB39" i="114"/>
  <c r="AM39" i="114" s="1"/>
  <c r="G37" i="100"/>
  <c r="F56" i="100"/>
  <c r="AB58" i="113"/>
  <c r="AM58" i="113" s="1"/>
  <c r="AB20" i="31"/>
  <c r="AC20" i="31"/>
  <c r="AB45" i="31"/>
  <c r="AC45" i="31"/>
  <c r="U10" i="100"/>
  <c r="AD10" i="80"/>
  <c r="AF10" i="80" s="1"/>
  <c r="AD13" i="80"/>
  <c r="AF13" i="80" s="1"/>
  <c r="U13" i="100"/>
  <c r="U20" i="100"/>
  <c r="AD20" i="80"/>
  <c r="AF20" i="80" s="1"/>
  <c r="AD59" i="80"/>
  <c r="AF59" i="80" s="1"/>
  <c r="U59" i="100"/>
  <c r="AD62" i="80"/>
  <c r="AF62" i="80" s="1"/>
  <c r="U62" i="100"/>
  <c r="AC31" i="76"/>
  <c r="AN31" i="76" s="1"/>
  <c r="AO31" i="76" s="1"/>
  <c r="AP32" i="72" s="1"/>
  <c r="T31" i="100"/>
  <c r="AC34" i="76"/>
  <c r="AN34" i="76" s="1"/>
  <c r="AO34" i="76" s="1"/>
  <c r="AP35" i="72" s="1"/>
  <c r="T34" i="100"/>
  <c r="K24" i="100"/>
  <c r="AC26" i="118"/>
  <c r="AE26" i="118" s="1"/>
  <c r="AC28" i="118"/>
  <c r="AE28" i="118" s="1"/>
  <c r="K26" i="100"/>
  <c r="AC31" i="118"/>
  <c r="AE31" i="118" s="1"/>
  <c r="K29" i="100"/>
  <c r="AC58" i="118"/>
  <c r="AE58" i="118" s="1"/>
  <c r="K56" i="100"/>
  <c r="J13" i="100"/>
  <c r="AD15" i="117"/>
  <c r="AO15" i="117" s="1"/>
  <c r="AD17" i="117"/>
  <c r="AO17" i="117" s="1"/>
  <c r="J15" i="100"/>
  <c r="AE17" i="117"/>
  <c r="AG17" i="117" s="1"/>
  <c r="J18" i="100"/>
  <c r="AD20" i="117"/>
  <c r="AO20" i="117" s="1"/>
  <c r="AD23" i="117"/>
  <c r="AO23" i="117" s="1"/>
  <c r="J21" i="100"/>
  <c r="AE23" i="117"/>
  <c r="AG23" i="117" s="1"/>
  <c r="J48" i="100"/>
  <c r="AD50" i="117"/>
  <c r="AO50" i="117" s="1"/>
  <c r="J51" i="100"/>
  <c r="AD53" i="117"/>
  <c r="AO53" i="117" s="1"/>
  <c r="Z9" i="116"/>
  <c r="AA9" i="116" s="1"/>
  <c r="Z11" i="116"/>
  <c r="AA11" i="116" s="1"/>
  <c r="Z45" i="116"/>
  <c r="AA45" i="116" s="1"/>
  <c r="H37" i="100"/>
  <c r="AC39" i="115"/>
  <c r="AE39" i="115" s="1"/>
  <c r="H39" i="100"/>
  <c r="AC41" i="115"/>
  <c r="AE41" i="115" s="1"/>
  <c r="AB13" i="114"/>
  <c r="AM13" i="114" s="1"/>
  <c r="G11" i="100"/>
  <c r="AC13" i="114"/>
  <c r="AE13" i="114" s="1"/>
  <c r="AB18" i="114"/>
  <c r="AM18" i="114" s="1"/>
  <c r="G16" i="100"/>
  <c r="G19" i="100"/>
  <c r="AB21" i="114"/>
  <c r="AM21" i="114" s="1"/>
  <c r="AB72" i="114"/>
  <c r="AM72" i="114" s="1"/>
  <c r="G70" i="100"/>
  <c r="G72" i="100"/>
  <c r="AB74" i="114"/>
  <c r="AM74" i="114" s="1"/>
  <c r="AC31" i="31"/>
  <c r="AB31" i="31"/>
  <c r="AB35" i="31"/>
  <c r="AC35" i="31"/>
  <c r="AC54" i="31"/>
  <c r="AB54" i="31"/>
  <c r="AB19" i="31"/>
  <c r="AC19" i="31"/>
  <c r="AC23" i="31"/>
  <c r="AB23" i="31"/>
  <c r="AB25" i="31"/>
  <c r="AC25" i="31"/>
  <c r="AC34" i="31"/>
  <c r="AB34" i="31"/>
  <c r="AB39" i="31"/>
  <c r="AC39" i="31"/>
  <c r="AC41" i="31"/>
  <c r="AB41" i="31"/>
  <c r="AB47" i="31"/>
  <c r="AC47" i="31"/>
  <c r="AC62" i="31"/>
  <c r="AB62" i="31"/>
  <c r="AB65" i="31"/>
  <c r="AC65" i="31"/>
  <c r="AB18" i="31"/>
  <c r="AC18" i="31"/>
  <c r="AC57" i="31"/>
  <c r="AB57" i="31"/>
  <c r="U37" i="100"/>
  <c r="AD37" i="80"/>
  <c r="AF37" i="80" s="1"/>
  <c r="T13" i="100"/>
  <c r="AC13" i="76"/>
  <c r="AN13" i="76" s="1"/>
  <c r="AO13" i="76" s="1"/>
  <c r="AP14" i="72" s="1"/>
  <c r="AC44" i="76"/>
  <c r="AN44" i="76" s="1"/>
  <c r="AO44" i="76" s="1"/>
  <c r="AP45" i="72" s="1"/>
  <c r="T44" i="100"/>
  <c r="T73" i="100"/>
  <c r="AC73" i="76"/>
  <c r="AN73" i="76" s="1"/>
  <c r="AO73" i="76" s="1"/>
  <c r="AP74" i="72" s="1"/>
  <c r="AC54" i="118"/>
  <c r="AE54" i="118" s="1"/>
  <c r="K52" i="100"/>
  <c r="AD33" i="117"/>
  <c r="AO33" i="117" s="1"/>
  <c r="J31" i="100"/>
  <c r="J57" i="100"/>
  <c r="AD59" i="117"/>
  <c r="AO59" i="117" s="1"/>
  <c r="AD64" i="117"/>
  <c r="AO64" i="117" s="1"/>
  <c r="J62" i="100"/>
  <c r="Z25" i="116"/>
  <c r="AA25" i="116" s="1"/>
  <c r="Z38" i="116"/>
  <c r="AA38" i="116" s="1"/>
  <c r="AB53" i="116"/>
  <c r="AM53" i="116" s="1"/>
  <c r="I51" i="100"/>
  <c r="AC53" i="116"/>
  <c r="AE53" i="116" s="1"/>
  <c r="AB63" i="116"/>
  <c r="AM63" i="116" s="1"/>
  <c r="I61" i="100"/>
  <c r="AC33" i="115"/>
  <c r="AE33" i="115" s="1"/>
  <c r="H31" i="100"/>
  <c r="G29" i="100"/>
  <c r="AB31" i="114"/>
  <c r="AM31" i="114" s="1"/>
  <c r="G43" i="100"/>
  <c r="AB45" i="114"/>
  <c r="AM45" i="114" s="1"/>
  <c r="F9" i="100"/>
  <c r="AB11" i="113"/>
  <c r="AM11" i="113" s="1"/>
  <c r="AB31" i="113"/>
  <c r="AM31" i="113" s="1"/>
  <c r="F29" i="100"/>
  <c r="AC31" i="113"/>
  <c r="AE31" i="113" s="1"/>
  <c r="AB41" i="113"/>
  <c r="AM41" i="113" s="1"/>
  <c r="F39" i="100"/>
  <c r="AB75" i="113"/>
  <c r="AM75" i="113" s="1"/>
  <c r="F73" i="100"/>
  <c r="AC75" i="113"/>
  <c r="AE75" i="113" s="1"/>
  <c r="AD35" i="80"/>
  <c r="AF35" i="80" s="1"/>
  <c r="U35" i="100"/>
  <c r="AD53" i="80"/>
  <c r="AF53" i="80" s="1"/>
  <c r="U53" i="100"/>
  <c r="AD71" i="80"/>
  <c r="AF71" i="80" s="1"/>
  <c r="U71" i="100"/>
  <c r="AC40" i="76"/>
  <c r="AN40" i="76" s="1"/>
  <c r="AO40" i="76" s="1"/>
  <c r="AP41" i="72" s="1"/>
  <c r="T40" i="100"/>
  <c r="AD40" i="76"/>
  <c r="AF40" i="76" s="1"/>
  <c r="T46" i="100"/>
  <c r="AC46" i="76"/>
  <c r="AN46" i="76" s="1"/>
  <c r="AO46" i="76" s="1"/>
  <c r="AP47" i="72" s="1"/>
  <c r="K46" i="100"/>
  <c r="AC48" i="118"/>
  <c r="AE48" i="118" s="1"/>
  <c r="AD31" i="117"/>
  <c r="AO31" i="117" s="1"/>
  <c r="J29" i="100"/>
  <c r="Z36" i="116"/>
  <c r="AA36" i="116" s="1"/>
  <c r="I70" i="100"/>
  <c r="AB72" i="116"/>
  <c r="AM72" i="116" s="1"/>
  <c r="H17" i="100"/>
  <c r="AC19" i="115"/>
  <c r="AE19" i="115" s="1"/>
  <c r="H74" i="100"/>
  <c r="AC76" i="115"/>
  <c r="AE76" i="115" s="1"/>
  <c r="AB35" i="114"/>
  <c r="AM35" i="114" s="1"/>
  <c r="G33" i="100"/>
  <c r="AC35" i="114"/>
  <c r="AE35" i="114" s="1"/>
  <c r="AC44" i="31"/>
  <c r="AB44" i="31"/>
  <c r="T8" i="100"/>
  <c r="AC8" i="76"/>
  <c r="AN8" i="76" s="1"/>
  <c r="AO8" i="76" s="1"/>
  <c r="AP9" i="72" s="1"/>
  <c r="T21" i="100"/>
  <c r="AC21" i="76"/>
  <c r="AN21" i="76" s="1"/>
  <c r="AO21" i="76" s="1"/>
  <c r="AP22" i="72" s="1"/>
  <c r="T42" i="100"/>
  <c r="AC42" i="76"/>
  <c r="AN42" i="76" s="1"/>
  <c r="AO42" i="76" s="1"/>
  <c r="AP43" i="72" s="1"/>
  <c r="T49" i="100"/>
  <c r="AC49" i="76"/>
  <c r="AN49" i="76" s="1"/>
  <c r="AO49" i="76" s="1"/>
  <c r="AP50" i="72" s="1"/>
  <c r="T74" i="100"/>
  <c r="AC74" i="76"/>
  <c r="AN74" i="76" s="1"/>
  <c r="AO74" i="76" s="1"/>
  <c r="AP75" i="72" s="1"/>
  <c r="AC47" i="118"/>
  <c r="AE47" i="118" s="1"/>
  <c r="K45" i="100"/>
  <c r="K64" i="100"/>
  <c r="AC66" i="118"/>
  <c r="AE66" i="118" s="1"/>
  <c r="K68" i="100"/>
  <c r="AC70" i="118"/>
  <c r="AE70" i="118" s="1"/>
  <c r="AC76" i="118"/>
  <c r="AE76" i="118" s="1"/>
  <c r="K74" i="100"/>
  <c r="AD63" i="117"/>
  <c r="AO63" i="117" s="1"/>
  <c r="J61" i="100"/>
  <c r="AD69" i="117"/>
  <c r="AO69" i="117" s="1"/>
  <c r="J67" i="100"/>
  <c r="AE69" i="117"/>
  <c r="AG69" i="117" s="1"/>
  <c r="I52" i="100"/>
  <c r="AB54" i="116"/>
  <c r="AM54" i="116" s="1"/>
  <c r="I56" i="100"/>
  <c r="AB58" i="116"/>
  <c r="AM58" i="116" s="1"/>
  <c r="I71" i="100"/>
  <c r="AB73" i="116"/>
  <c r="AM73" i="116" s="1"/>
  <c r="AC32" i="115"/>
  <c r="AE32" i="115" s="1"/>
  <c r="H30" i="100"/>
  <c r="F7" i="100"/>
  <c r="AB9" i="113"/>
  <c r="AM9" i="113" s="1"/>
  <c r="AB21" i="113"/>
  <c r="AM21" i="113" s="1"/>
  <c r="F19" i="100"/>
  <c r="AB39" i="113"/>
  <c r="AM39" i="113" s="1"/>
  <c r="F37" i="100"/>
  <c r="AC39" i="113"/>
  <c r="AE39" i="113" s="1"/>
  <c r="AB47" i="113"/>
  <c r="AM47" i="113" s="1"/>
  <c r="F45" i="100"/>
  <c r="AC47" i="113"/>
  <c r="AE47" i="113" s="1"/>
  <c r="AB73" i="113"/>
  <c r="AM73" i="113" s="1"/>
  <c r="F71" i="100"/>
  <c r="AC73" i="113"/>
  <c r="AE73" i="113" s="1"/>
  <c r="AD23" i="76"/>
  <c r="AF23" i="76" s="1"/>
  <c r="AC9" i="119"/>
  <c r="AE9" i="119" s="1"/>
  <c r="AC15" i="119"/>
  <c r="AE15" i="119" s="1"/>
  <c r="AC17" i="119"/>
  <c r="AE17" i="119" s="1"/>
  <c r="AC23" i="119"/>
  <c r="AE23" i="119" s="1"/>
  <c r="AC25" i="119"/>
  <c r="AE25" i="119" s="1"/>
  <c r="AC31" i="119"/>
  <c r="AE31" i="119" s="1"/>
  <c r="AC33" i="119"/>
  <c r="AE33" i="119" s="1"/>
  <c r="AC39" i="119"/>
  <c r="AE39" i="119" s="1"/>
  <c r="AC41" i="119"/>
  <c r="AE41" i="119" s="1"/>
  <c r="AC47" i="119"/>
  <c r="AE47" i="119" s="1"/>
  <c r="AC49" i="119"/>
  <c r="AE49" i="119" s="1"/>
  <c r="AC55" i="119"/>
  <c r="AE55" i="119" s="1"/>
  <c r="AC57" i="119"/>
  <c r="AE57" i="119" s="1"/>
  <c r="AC61" i="119"/>
  <c r="AE61" i="119" s="1"/>
  <c r="AC69" i="119"/>
  <c r="AE69" i="119" s="1"/>
  <c r="V77" i="118"/>
  <c r="AE62" i="117"/>
  <c r="AG62" i="117" s="1"/>
  <c r="AE74" i="117"/>
  <c r="AG74" i="117" s="1"/>
  <c r="AB15" i="116"/>
  <c r="AM15" i="116" s="1"/>
  <c r="I13" i="100"/>
  <c r="AC15" i="116"/>
  <c r="AE15" i="116" s="1"/>
  <c r="I22" i="100"/>
  <c r="AB24" i="116"/>
  <c r="AM24" i="116" s="1"/>
  <c r="I37" i="100"/>
  <c r="AB39" i="116"/>
  <c r="AM39" i="116" s="1"/>
  <c r="AC59" i="116"/>
  <c r="AE59" i="116" s="1"/>
  <c r="V77" i="115"/>
  <c r="AC14" i="114"/>
  <c r="AE14" i="114" s="1"/>
  <c r="AC30" i="114"/>
  <c r="AE30" i="114" s="1"/>
  <c r="AC36" i="114"/>
  <c r="AE36" i="114" s="1"/>
  <c r="AC46" i="114"/>
  <c r="AE46" i="114" s="1"/>
  <c r="AC66" i="114"/>
  <c r="AE66" i="114" s="1"/>
  <c r="AC16" i="113"/>
  <c r="AE16" i="113" s="1"/>
  <c r="AC36" i="113"/>
  <c r="AE36" i="113" s="1"/>
  <c r="AC40" i="113"/>
  <c r="AE40" i="113" s="1"/>
  <c r="AC48" i="113"/>
  <c r="AE48" i="113" s="1"/>
  <c r="AD55" i="31"/>
  <c r="AE55" i="31" s="1"/>
  <c r="AH55" i="31" s="1"/>
  <c r="AA6" i="80"/>
  <c r="X75" i="80"/>
  <c r="X79" i="80" s="1"/>
  <c r="AD7" i="76"/>
  <c r="AF7" i="76" s="1"/>
  <c r="AD19" i="76"/>
  <c r="AF19" i="76" s="1"/>
  <c r="AC10" i="119"/>
  <c r="AE10" i="119" s="1"/>
  <c r="AC14" i="119"/>
  <c r="AE14" i="119" s="1"/>
  <c r="AC18" i="119"/>
  <c r="AE18" i="119" s="1"/>
  <c r="AC22" i="119"/>
  <c r="AE22" i="119" s="1"/>
  <c r="AC26" i="119"/>
  <c r="AE26" i="119" s="1"/>
  <c r="AC30" i="119"/>
  <c r="AE30" i="119" s="1"/>
  <c r="AC32" i="119"/>
  <c r="AE32" i="119" s="1"/>
  <c r="AC34" i="119"/>
  <c r="AE34" i="119" s="1"/>
  <c r="AC36" i="119"/>
  <c r="AE36" i="119" s="1"/>
  <c r="AC52" i="119"/>
  <c r="AE52" i="119" s="1"/>
  <c r="AC54" i="119"/>
  <c r="AE54" i="119" s="1"/>
  <c r="AC70" i="119"/>
  <c r="AE70" i="119" s="1"/>
  <c r="AE30" i="117"/>
  <c r="AG30" i="117" s="1"/>
  <c r="I21" i="100"/>
  <c r="AB23" i="116"/>
  <c r="AM23" i="116" s="1"/>
  <c r="AB31" i="116"/>
  <c r="AM31" i="116" s="1"/>
  <c r="I29" i="100"/>
  <c r="I35" i="100"/>
  <c r="AB37" i="116"/>
  <c r="AM37" i="116" s="1"/>
  <c r="I45" i="100"/>
  <c r="AB47" i="116"/>
  <c r="AM47" i="116" s="1"/>
  <c r="AC34" i="114"/>
  <c r="AE34" i="114" s="1"/>
  <c r="AC44" i="114"/>
  <c r="AE44" i="114" s="1"/>
  <c r="V77" i="113"/>
  <c r="AC28" i="113"/>
  <c r="AE28" i="113" s="1"/>
  <c r="AC42" i="113"/>
  <c r="AE42" i="113" s="1"/>
  <c r="AC46" i="113"/>
  <c r="AE46" i="113" s="1"/>
  <c r="AC74" i="113"/>
  <c r="AE74" i="113" s="1"/>
  <c r="AD53" i="31"/>
  <c r="AE53" i="31" s="1"/>
  <c r="AH53" i="31" s="1"/>
  <c r="H20" i="5"/>
  <c r="J8" i="128"/>
  <c r="J8" i="131"/>
  <c r="J8" i="129"/>
  <c r="J8" i="127"/>
  <c r="J8" i="125"/>
  <c r="J8" i="126"/>
  <c r="W50" i="100" l="1"/>
  <c r="AC35" i="116"/>
  <c r="AE35" i="116" s="1"/>
  <c r="AC74" i="116"/>
  <c r="AE74" i="116" s="1"/>
  <c r="AD20" i="76"/>
  <c r="AF20" i="76" s="1"/>
  <c r="AD16" i="76"/>
  <c r="AF16" i="76" s="1"/>
  <c r="AD29" i="76"/>
  <c r="AF29" i="76" s="1"/>
  <c r="AD69" i="76"/>
  <c r="AF69" i="76" s="1"/>
  <c r="AC63" i="116"/>
  <c r="AE63" i="116" s="1"/>
  <c r="AD34" i="76"/>
  <c r="AF34" i="76" s="1"/>
  <c r="AC60" i="116"/>
  <c r="AE60" i="116" s="1"/>
  <c r="AD12" i="76"/>
  <c r="AF12" i="76" s="1"/>
  <c r="AE60" i="117"/>
  <c r="AG60" i="117" s="1"/>
  <c r="AD61" i="76"/>
  <c r="AF61" i="76" s="1"/>
  <c r="AE39" i="117"/>
  <c r="AG39" i="117" s="1"/>
  <c r="AE49" i="117"/>
  <c r="AG49" i="117" s="1"/>
  <c r="AH23" i="46"/>
  <c r="AK23" i="46" s="1"/>
  <c r="W72" i="100"/>
  <c r="W69" i="100"/>
  <c r="W54" i="100"/>
  <c r="V70" i="31"/>
  <c r="V72" i="31" s="1"/>
  <c r="Y18" i="46"/>
  <c r="Y38" i="46" s="1"/>
  <c r="J77" i="129"/>
  <c r="K8" i="129"/>
  <c r="AC56" i="116"/>
  <c r="AE56" i="116" s="1"/>
  <c r="AC21" i="113"/>
  <c r="AE21" i="113" s="1"/>
  <c r="AC9" i="113"/>
  <c r="AE9" i="113" s="1"/>
  <c r="AD8" i="76"/>
  <c r="AF8" i="76" s="1"/>
  <c r="AC72" i="116"/>
  <c r="AE72" i="116" s="1"/>
  <c r="AE31" i="117"/>
  <c r="AG31" i="117" s="1"/>
  <c r="AD46" i="76"/>
  <c r="AF46" i="76" s="1"/>
  <c r="AC41" i="113"/>
  <c r="AE41" i="113" s="1"/>
  <c r="AE15" i="117"/>
  <c r="AG15" i="117" s="1"/>
  <c r="AE55" i="117"/>
  <c r="AG55" i="117" s="1"/>
  <c r="AE75" i="117"/>
  <c r="AG75" i="117" s="1"/>
  <c r="AC47" i="116"/>
  <c r="AE47" i="116" s="1"/>
  <c r="AE63" i="117"/>
  <c r="AG63" i="117" s="1"/>
  <c r="AD74" i="76"/>
  <c r="AF74" i="76" s="1"/>
  <c r="AD41" i="31"/>
  <c r="AE41" i="31" s="1"/>
  <c r="AH41" i="31" s="1"/>
  <c r="AC74" i="114"/>
  <c r="AE74" i="114" s="1"/>
  <c r="AC72" i="114"/>
  <c r="AE72" i="114" s="1"/>
  <c r="AC21" i="114"/>
  <c r="AE21" i="114" s="1"/>
  <c r="AC18" i="114"/>
  <c r="AE18" i="114" s="1"/>
  <c r="AD33" i="76"/>
  <c r="AF33" i="76" s="1"/>
  <c r="AC59" i="113"/>
  <c r="AE59" i="113" s="1"/>
  <c r="AD27" i="76"/>
  <c r="AF27" i="76" s="1"/>
  <c r="AD64" i="31"/>
  <c r="AE64" i="31" s="1"/>
  <c r="AH64" i="31" s="1"/>
  <c r="AD56" i="31"/>
  <c r="AE56" i="31" s="1"/>
  <c r="AH56" i="31" s="1"/>
  <c r="AC70" i="113"/>
  <c r="AE70" i="113" s="1"/>
  <c r="AC26" i="114"/>
  <c r="AE26" i="114" s="1"/>
  <c r="AC69" i="116"/>
  <c r="AE69" i="116" s="1"/>
  <c r="AE13" i="117"/>
  <c r="AG13" i="117" s="1"/>
  <c r="AC48" i="114"/>
  <c r="AE48" i="114" s="1"/>
  <c r="AC33" i="114"/>
  <c r="AE33" i="114" s="1"/>
  <c r="AE44" i="117"/>
  <c r="AG44" i="117" s="1"/>
  <c r="AD62" i="76"/>
  <c r="AF62" i="76" s="1"/>
  <c r="AE47" i="117"/>
  <c r="AG47" i="117" s="1"/>
  <c r="AC64" i="114"/>
  <c r="AE64" i="114" s="1"/>
  <c r="AC65" i="116"/>
  <c r="AE65" i="116" s="1"/>
  <c r="AE40" i="117"/>
  <c r="AG40" i="117" s="1"/>
  <c r="AC39" i="116"/>
  <c r="AE39" i="116" s="1"/>
  <c r="AC58" i="116"/>
  <c r="AE58" i="116" s="1"/>
  <c r="AD42" i="76"/>
  <c r="AF42" i="76" s="1"/>
  <c r="AC45" i="114"/>
  <c r="AE45" i="114" s="1"/>
  <c r="W70" i="100"/>
  <c r="AE50" i="117"/>
  <c r="AG50" i="117" s="1"/>
  <c r="AE20" i="117"/>
  <c r="AG20" i="117" s="1"/>
  <c r="AD51" i="76"/>
  <c r="AF51" i="76" s="1"/>
  <c r="AC51" i="114"/>
  <c r="AE51" i="114" s="1"/>
  <c r="AD47" i="76"/>
  <c r="AF47" i="76" s="1"/>
  <c r="AD41" i="76"/>
  <c r="AF41" i="76" s="1"/>
  <c r="AD22" i="76"/>
  <c r="AF22" i="76" s="1"/>
  <c r="W67" i="100"/>
  <c r="AC37" i="113"/>
  <c r="AE37" i="113" s="1"/>
  <c r="AD63" i="31"/>
  <c r="AE63" i="31" s="1"/>
  <c r="AH63" i="31" s="1"/>
  <c r="AD42" i="31"/>
  <c r="AE42" i="31" s="1"/>
  <c r="AH42" i="31" s="1"/>
  <c r="AD38" i="31"/>
  <c r="AE38" i="31" s="1"/>
  <c r="AH38" i="31" s="1"/>
  <c r="AD24" i="31"/>
  <c r="AE24" i="31" s="1"/>
  <c r="AH24" i="31" s="1"/>
  <c r="AD61" i="31"/>
  <c r="AE61" i="31" s="1"/>
  <c r="AH61" i="31" s="1"/>
  <c r="AE21" i="117"/>
  <c r="AG21" i="117" s="1"/>
  <c r="AE36" i="117"/>
  <c r="AG36" i="117" s="1"/>
  <c r="AD67" i="31"/>
  <c r="AE67" i="31" s="1"/>
  <c r="AH67" i="31" s="1"/>
  <c r="AD58" i="31"/>
  <c r="AE58" i="31" s="1"/>
  <c r="AH58" i="31" s="1"/>
  <c r="AD29" i="31"/>
  <c r="AE29" i="31" s="1"/>
  <c r="AH29" i="31" s="1"/>
  <c r="AD16" i="31"/>
  <c r="AE16" i="31" s="1"/>
  <c r="AH16" i="31" s="1"/>
  <c r="AD14" i="31"/>
  <c r="AE14" i="31" s="1"/>
  <c r="AH14" i="31" s="1"/>
  <c r="AC50" i="113"/>
  <c r="AE50" i="113" s="1"/>
  <c r="AC67" i="114"/>
  <c r="AE67" i="114" s="1"/>
  <c r="AE45" i="117"/>
  <c r="AG45" i="117" s="1"/>
  <c r="AC61" i="114"/>
  <c r="AE61" i="114" s="1"/>
  <c r="AD71" i="76"/>
  <c r="AF71" i="76" s="1"/>
  <c r="AD52" i="76"/>
  <c r="AF52" i="76" s="1"/>
  <c r="AD9" i="76"/>
  <c r="AF9" i="76" s="1"/>
  <c r="AC34" i="113"/>
  <c r="AE34" i="113" s="1"/>
  <c r="AC13" i="113"/>
  <c r="AE13" i="113" s="1"/>
  <c r="AC16" i="114"/>
  <c r="AE16" i="114" s="1"/>
  <c r="AE19" i="117"/>
  <c r="AG19" i="117" s="1"/>
  <c r="AD48" i="76"/>
  <c r="AF48" i="76" s="1"/>
  <c r="AD37" i="76"/>
  <c r="AF37" i="76" s="1"/>
  <c r="AD11" i="76"/>
  <c r="AF11" i="76" s="1"/>
  <c r="AD20" i="31"/>
  <c r="AE20" i="31" s="1"/>
  <c r="AH20" i="31" s="1"/>
  <c r="AD68" i="76"/>
  <c r="AF68" i="76" s="1"/>
  <c r="AD30" i="31"/>
  <c r="AE30" i="31" s="1"/>
  <c r="AH30" i="31" s="1"/>
  <c r="AC71" i="113"/>
  <c r="AE71" i="113" s="1"/>
  <c r="AC40" i="114"/>
  <c r="AE40" i="114" s="1"/>
  <c r="AC19" i="114"/>
  <c r="AE19" i="114" s="1"/>
  <c r="AC70" i="116"/>
  <c r="AE70" i="116" s="1"/>
  <c r="AE27" i="117"/>
  <c r="AG27" i="117" s="1"/>
  <c r="AD30" i="76"/>
  <c r="AF30" i="76" s="1"/>
  <c r="AC35" i="113"/>
  <c r="AE35" i="113" s="1"/>
  <c r="W66" i="100"/>
  <c r="AE73" i="117"/>
  <c r="AG73" i="117" s="1"/>
  <c r="AE67" i="117"/>
  <c r="AG67" i="117" s="1"/>
  <c r="AE56" i="117"/>
  <c r="AG56" i="117" s="1"/>
  <c r="AE41" i="117"/>
  <c r="AG41" i="117" s="1"/>
  <c r="AE35" i="117"/>
  <c r="AG35" i="117" s="1"/>
  <c r="AD38" i="76"/>
  <c r="AF38" i="76" s="1"/>
  <c r="AD32" i="76"/>
  <c r="AF32" i="76" s="1"/>
  <c r="AC67" i="113"/>
  <c r="AE67" i="113" s="1"/>
  <c r="AC43" i="113"/>
  <c r="AE43" i="113" s="1"/>
  <c r="W59" i="100"/>
  <c r="AD57" i="31"/>
  <c r="AE57" i="31" s="1"/>
  <c r="AH57" i="31" s="1"/>
  <c r="AD62" i="31"/>
  <c r="AE62" i="31" s="1"/>
  <c r="AH62" i="31" s="1"/>
  <c r="AD34" i="31"/>
  <c r="AE34" i="31" s="1"/>
  <c r="AH34" i="31" s="1"/>
  <c r="AD23" i="31"/>
  <c r="AE23" i="31" s="1"/>
  <c r="AH23" i="31" s="1"/>
  <c r="AD54" i="31"/>
  <c r="AE54" i="31" s="1"/>
  <c r="AH54" i="31" s="1"/>
  <c r="AD31" i="31"/>
  <c r="AE31" i="31" s="1"/>
  <c r="AH31" i="31" s="1"/>
  <c r="AD45" i="31"/>
  <c r="AE45" i="31" s="1"/>
  <c r="AH45" i="31" s="1"/>
  <c r="AD59" i="31"/>
  <c r="AE59" i="31" s="1"/>
  <c r="AH59" i="31" s="1"/>
  <c r="AD49" i="31"/>
  <c r="AE49" i="31" s="1"/>
  <c r="AH49" i="31" s="1"/>
  <c r="AD36" i="31"/>
  <c r="AE36" i="31" s="1"/>
  <c r="AH36" i="31" s="1"/>
  <c r="AD15" i="31"/>
  <c r="AE15" i="31" s="1"/>
  <c r="AH15" i="31" s="1"/>
  <c r="AD13" i="31"/>
  <c r="AE13" i="31" s="1"/>
  <c r="AH13" i="31" s="1"/>
  <c r="AD50" i="31"/>
  <c r="AE50" i="31" s="1"/>
  <c r="AH50" i="31" s="1"/>
  <c r="AD43" i="31"/>
  <c r="AE43" i="31" s="1"/>
  <c r="AH43" i="31" s="1"/>
  <c r="AD21" i="31"/>
  <c r="AE21" i="31" s="1"/>
  <c r="AH21" i="31" s="1"/>
  <c r="J77" i="126"/>
  <c r="K8" i="126"/>
  <c r="J77" i="125"/>
  <c r="K8" i="125"/>
  <c r="J77" i="131"/>
  <c r="K8" i="131"/>
  <c r="AB6" i="80"/>
  <c r="AC6" i="80" s="1"/>
  <c r="AA75" i="80"/>
  <c r="AA79" i="80" s="1"/>
  <c r="W45" i="100"/>
  <c r="AB36" i="116"/>
  <c r="AM36" i="116" s="1"/>
  <c r="I34" i="100"/>
  <c r="W34" i="100" s="1"/>
  <c r="AB25" i="116"/>
  <c r="AM25" i="116" s="1"/>
  <c r="I23" i="100"/>
  <c r="W23" i="100" s="1"/>
  <c r="AB11" i="116"/>
  <c r="AM11" i="116" s="1"/>
  <c r="I9" i="100"/>
  <c r="W9" i="100" s="1"/>
  <c r="AC11" i="116"/>
  <c r="AE11" i="116" s="1"/>
  <c r="I17" i="100"/>
  <c r="W17" i="100" s="1"/>
  <c r="AB19" i="116"/>
  <c r="AM19" i="116" s="1"/>
  <c r="AB14" i="116"/>
  <c r="AM14" i="116" s="1"/>
  <c r="I12" i="100"/>
  <c r="W12" i="100" s="1"/>
  <c r="W78" i="114"/>
  <c r="Z8" i="114"/>
  <c r="I18" i="100"/>
  <c r="W18" i="100" s="1"/>
  <c r="AB20" i="116"/>
  <c r="AM20" i="116" s="1"/>
  <c r="W33" i="100"/>
  <c r="I15" i="100"/>
  <c r="W15" i="100" s="1"/>
  <c r="AB17" i="116"/>
  <c r="AM17" i="116" s="1"/>
  <c r="AE30" i="46"/>
  <c r="AG50" i="46"/>
  <c r="AG29" i="46"/>
  <c r="AA8" i="113"/>
  <c r="Z77" i="113"/>
  <c r="AA8" i="119"/>
  <c r="Z77" i="119"/>
  <c r="AA8" i="115"/>
  <c r="AB8" i="115" s="1"/>
  <c r="Z77" i="115"/>
  <c r="W13" i="100"/>
  <c r="W35" i="100"/>
  <c r="I46" i="100"/>
  <c r="W46" i="100" s="1"/>
  <c r="AB48" i="116"/>
  <c r="AM48" i="116" s="1"/>
  <c r="W58" i="100"/>
  <c r="W69" i="31"/>
  <c r="W70" i="31" s="1"/>
  <c r="W72" i="31" s="1"/>
  <c r="Z12" i="31"/>
  <c r="AC28" i="46"/>
  <c r="Z30" i="46"/>
  <c r="W74" i="100"/>
  <c r="AB10" i="116"/>
  <c r="AM10" i="116" s="1"/>
  <c r="I8" i="100"/>
  <c r="W8" i="100" s="1"/>
  <c r="W57" i="100"/>
  <c r="I14" i="100"/>
  <c r="AB16" i="116"/>
  <c r="AM16" i="116" s="1"/>
  <c r="W60" i="100"/>
  <c r="W51" i="100"/>
  <c r="I20" i="100"/>
  <c r="W20" i="100" s="1"/>
  <c r="AB22" i="116"/>
  <c r="AM22" i="116" s="1"/>
  <c r="W68" i="100"/>
  <c r="AB42" i="116"/>
  <c r="AM42" i="116" s="1"/>
  <c r="I40" i="100"/>
  <c r="W40" i="100" s="1"/>
  <c r="AC42" i="116"/>
  <c r="AE42" i="116" s="1"/>
  <c r="I25" i="100"/>
  <c r="W25" i="100" s="1"/>
  <c r="AB27" i="116"/>
  <c r="AM27" i="116" s="1"/>
  <c r="Y77" i="117"/>
  <c r="AB8" i="117"/>
  <c r="AB50" i="116"/>
  <c r="AM50" i="116" s="1"/>
  <c r="I48" i="100"/>
  <c r="W48" i="100" s="1"/>
  <c r="I42" i="100"/>
  <c r="W42" i="100" s="1"/>
  <c r="AB44" i="116"/>
  <c r="AM44" i="116" s="1"/>
  <c r="I31" i="100"/>
  <c r="W31" i="100" s="1"/>
  <c r="AB33" i="116"/>
  <c r="AM33" i="116" s="1"/>
  <c r="AB12" i="116"/>
  <c r="AM12" i="116" s="1"/>
  <c r="I10" i="100"/>
  <c r="W10" i="100" s="1"/>
  <c r="J77" i="127"/>
  <c r="K8" i="127"/>
  <c r="J77" i="128"/>
  <c r="K8" i="128"/>
  <c r="J20" i="5"/>
  <c r="H22" i="5"/>
  <c r="AC37" i="116"/>
  <c r="AE37" i="116" s="1"/>
  <c r="AC31" i="116"/>
  <c r="AE31" i="116" s="1"/>
  <c r="AC23" i="116"/>
  <c r="AE23" i="116" s="1"/>
  <c r="AC24" i="116"/>
  <c r="AE24" i="116" s="1"/>
  <c r="W71" i="100"/>
  <c r="W37" i="100"/>
  <c r="AC73" i="116"/>
  <c r="AE73" i="116" s="1"/>
  <c r="AC54" i="116"/>
  <c r="AE54" i="116" s="1"/>
  <c r="AD49" i="76"/>
  <c r="AF49" i="76" s="1"/>
  <c r="AD21" i="76"/>
  <c r="AF21" i="76" s="1"/>
  <c r="AD44" i="31"/>
  <c r="AE44" i="31" s="1"/>
  <c r="AH44" i="31" s="1"/>
  <c r="W73" i="100"/>
  <c r="W29" i="100"/>
  <c r="AC11" i="113"/>
  <c r="AE11" i="113" s="1"/>
  <c r="AC31" i="114"/>
  <c r="AE31" i="114" s="1"/>
  <c r="AB38" i="116"/>
  <c r="AM38" i="116" s="1"/>
  <c r="I36" i="100"/>
  <c r="W36" i="100" s="1"/>
  <c r="AE64" i="117"/>
  <c r="AG64" i="117" s="1"/>
  <c r="AE59" i="117"/>
  <c r="AG59" i="117" s="1"/>
  <c r="AE33" i="117"/>
  <c r="AG33" i="117" s="1"/>
  <c r="AD73" i="76"/>
  <c r="AF73" i="76" s="1"/>
  <c r="AD44" i="76"/>
  <c r="AF44" i="76" s="1"/>
  <c r="AD13" i="76"/>
  <c r="AF13" i="76" s="1"/>
  <c r="AD18" i="31"/>
  <c r="AE18" i="31" s="1"/>
  <c r="AH18" i="31" s="1"/>
  <c r="AD65" i="31"/>
  <c r="AE65" i="31" s="1"/>
  <c r="AH65" i="31" s="1"/>
  <c r="AD47" i="31"/>
  <c r="AE47" i="31" s="1"/>
  <c r="AH47" i="31" s="1"/>
  <c r="AD39" i="31"/>
  <c r="AE39" i="31" s="1"/>
  <c r="AH39" i="31" s="1"/>
  <c r="AD25" i="31"/>
  <c r="AE25" i="31" s="1"/>
  <c r="AH25" i="31" s="1"/>
  <c r="AD19" i="31"/>
  <c r="AE19" i="31" s="1"/>
  <c r="AH19" i="31" s="1"/>
  <c r="AD35" i="31"/>
  <c r="AE35" i="31" s="1"/>
  <c r="AH35" i="31" s="1"/>
  <c r="AB45" i="116"/>
  <c r="AM45" i="116" s="1"/>
  <c r="I43" i="100"/>
  <c r="W43" i="100" s="1"/>
  <c r="AC45" i="116"/>
  <c r="AE45" i="116" s="1"/>
  <c r="AB9" i="116"/>
  <c r="AM9" i="116" s="1"/>
  <c r="I7" i="100"/>
  <c r="W7" i="100" s="1"/>
  <c r="AE53" i="117"/>
  <c r="AG53" i="117" s="1"/>
  <c r="AD31" i="76"/>
  <c r="AF31" i="76" s="1"/>
  <c r="AC58" i="113"/>
  <c r="AE58" i="113" s="1"/>
  <c r="W56" i="100"/>
  <c r="AC39" i="114"/>
  <c r="AE39" i="114" s="1"/>
  <c r="AE37" i="117"/>
  <c r="AG37" i="117" s="1"/>
  <c r="AE11" i="117"/>
  <c r="AG11" i="117" s="1"/>
  <c r="AD68" i="31"/>
  <c r="AE68" i="31" s="1"/>
  <c r="AH68" i="31" s="1"/>
  <c r="AD17" i="31"/>
  <c r="AE17" i="31" s="1"/>
  <c r="AH17" i="31" s="1"/>
  <c r="AC51" i="113"/>
  <c r="AE51" i="113" s="1"/>
  <c r="W49" i="100"/>
  <c r="AC33" i="113"/>
  <c r="AE33" i="113" s="1"/>
  <c r="AC25" i="114"/>
  <c r="AE25" i="114" s="1"/>
  <c r="AD24" i="76"/>
  <c r="AF24" i="76" s="1"/>
  <c r="AC63" i="113"/>
  <c r="AE63" i="113" s="1"/>
  <c r="W61" i="100"/>
  <c r="AC61" i="113"/>
  <c r="AE61" i="113" s="1"/>
  <c r="AC25" i="113"/>
  <c r="AE25" i="113" s="1"/>
  <c r="AC62" i="114"/>
  <c r="AE62" i="114" s="1"/>
  <c r="AC60" i="114"/>
  <c r="AE60" i="114" s="1"/>
  <c r="AC55" i="114"/>
  <c r="AE55" i="114" s="1"/>
  <c r="AC68" i="116"/>
  <c r="AE68" i="116" s="1"/>
  <c r="I30" i="100"/>
  <c r="W30" i="100" s="1"/>
  <c r="AB32" i="116"/>
  <c r="AM32" i="116" s="1"/>
  <c r="I19" i="100"/>
  <c r="W19" i="100" s="1"/>
  <c r="AB21" i="116"/>
  <c r="AM21" i="116" s="1"/>
  <c r="AE29" i="117"/>
  <c r="AG29" i="117" s="1"/>
  <c r="AD65" i="76"/>
  <c r="AF65" i="76" s="1"/>
  <c r="AG17" i="46"/>
  <c r="AE18" i="46"/>
  <c r="AC50" i="46" s="1"/>
  <c r="AD60" i="31"/>
  <c r="AE60" i="31" s="1"/>
  <c r="AH60" i="31" s="1"/>
  <c r="AC65" i="113"/>
  <c r="AE65" i="113" s="1"/>
  <c r="W63" i="100"/>
  <c r="W52" i="100"/>
  <c r="AC26" i="113"/>
  <c r="AE26" i="113" s="1"/>
  <c r="W24" i="100"/>
  <c r="AC64" i="116"/>
  <c r="AE64" i="116" s="1"/>
  <c r="AB41" i="116"/>
  <c r="AM41" i="116" s="1"/>
  <c r="I39" i="100"/>
  <c r="W39" i="100" s="1"/>
  <c r="AE71" i="117"/>
  <c r="AG71" i="117" s="1"/>
  <c r="AE12" i="117"/>
  <c r="AG12" i="117" s="1"/>
  <c r="AD72" i="76"/>
  <c r="AF72" i="76" s="1"/>
  <c r="AC29" i="113"/>
  <c r="AE29" i="113" s="1"/>
  <c r="AC18" i="113"/>
  <c r="AE18" i="113" s="1"/>
  <c r="AC75" i="114"/>
  <c r="AE75" i="114" s="1"/>
  <c r="AC49" i="114"/>
  <c r="AE49" i="114" s="1"/>
  <c r="AC32" i="114"/>
  <c r="AE32" i="114" s="1"/>
  <c r="AC66" i="116"/>
  <c r="AE66" i="116" s="1"/>
  <c r="I47" i="100"/>
  <c r="W47" i="100" s="1"/>
  <c r="AB49" i="116"/>
  <c r="AM49" i="116" s="1"/>
  <c r="AB34" i="116"/>
  <c r="AM34" i="116" s="1"/>
  <c r="I32" i="100"/>
  <c r="W32" i="100" s="1"/>
  <c r="AC34" i="116"/>
  <c r="AE34" i="116" s="1"/>
  <c r="I26" i="100"/>
  <c r="W26" i="100" s="1"/>
  <c r="AB28" i="116"/>
  <c r="AM28" i="116" s="1"/>
  <c r="AE24" i="117"/>
  <c r="AG24" i="117" s="1"/>
  <c r="AD64" i="76"/>
  <c r="AF64" i="76" s="1"/>
  <c r="AD25" i="76"/>
  <c r="AF25" i="76" s="1"/>
  <c r="AH50" i="46"/>
  <c r="AF30" i="46"/>
  <c r="AF38" i="46" s="1"/>
  <c r="AC26" i="116"/>
  <c r="AE26" i="116" s="1"/>
  <c r="AA8" i="118"/>
  <c r="AB8" i="118" s="1"/>
  <c r="Z77" i="118"/>
  <c r="Z77" i="120"/>
  <c r="AA8" i="120"/>
  <c r="AB8" i="120" s="1"/>
  <c r="W65" i="100"/>
  <c r="AC23" i="113"/>
  <c r="AE23" i="113" s="1"/>
  <c r="W21" i="100"/>
  <c r="AC15" i="113"/>
  <c r="AE15" i="113" s="1"/>
  <c r="AC29" i="114"/>
  <c r="AE29" i="114" s="1"/>
  <c r="AC75" i="116"/>
  <c r="AE75" i="116" s="1"/>
  <c r="AC52" i="116"/>
  <c r="AE52" i="116" s="1"/>
  <c r="AE65" i="117"/>
  <c r="AG65" i="117" s="1"/>
  <c r="AE61" i="117"/>
  <c r="AG61" i="117" s="1"/>
  <c r="AD36" i="76"/>
  <c r="AF36" i="76" s="1"/>
  <c r="AD14" i="76"/>
  <c r="AF14" i="76" s="1"/>
  <c r="AA6" i="76"/>
  <c r="X75" i="76"/>
  <c r="X79" i="76" s="1"/>
  <c r="AC61" i="116"/>
  <c r="AE61" i="116" s="1"/>
  <c r="AE68" i="117"/>
  <c r="AG68" i="117" s="1"/>
  <c r="AC22" i="113"/>
  <c r="AE22" i="113" s="1"/>
  <c r="AC53" i="114"/>
  <c r="AE53" i="114" s="1"/>
  <c r="AC37" i="114"/>
  <c r="AE37" i="114" s="1"/>
  <c r="AC57" i="116"/>
  <c r="AE57" i="116" s="1"/>
  <c r="I27" i="100"/>
  <c r="W27" i="100" s="1"/>
  <c r="AB29" i="116"/>
  <c r="AM29" i="116" s="1"/>
  <c r="AE70" i="117"/>
  <c r="AG70" i="117" s="1"/>
  <c r="AD50" i="76"/>
  <c r="AF50" i="76" s="1"/>
  <c r="AD28" i="31"/>
  <c r="AE28" i="31" s="1"/>
  <c r="AH28" i="31" s="1"/>
  <c r="AD51" i="31"/>
  <c r="AE51" i="31" s="1"/>
  <c r="AH51" i="31" s="1"/>
  <c r="AD40" i="31"/>
  <c r="AE40" i="31" s="1"/>
  <c r="AH40" i="31" s="1"/>
  <c r="AD26" i="31"/>
  <c r="AE26" i="31" s="1"/>
  <c r="AH26" i="31" s="1"/>
  <c r="AD22" i="31"/>
  <c r="AE22" i="31" s="1"/>
  <c r="AH22" i="31" s="1"/>
  <c r="AD52" i="31"/>
  <c r="AE52" i="31" s="1"/>
  <c r="AH52" i="31" s="1"/>
  <c r="AD32" i="31"/>
  <c r="AE32" i="31" s="1"/>
  <c r="AH32" i="31" s="1"/>
  <c r="AC73" i="114"/>
  <c r="AE73" i="114" s="1"/>
  <c r="AC20" i="114"/>
  <c r="AE20" i="114" s="1"/>
  <c r="I44" i="100"/>
  <c r="W44" i="100" s="1"/>
  <c r="AB46" i="116"/>
  <c r="AM46" i="116" s="1"/>
  <c r="I41" i="100"/>
  <c r="AB43" i="116"/>
  <c r="AM43" i="116" s="1"/>
  <c r="Z8" i="116"/>
  <c r="W77" i="116"/>
  <c r="AE16" i="117"/>
  <c r="AG16" i="117" s="1"/>
  <c r="AD33" i="31"/>
  <c r="AE33" i="31" s="1"/>
  <c r="AH33" i="31" s="1"/>
  <c r="AC57" i="113"/>
  <c r="AE57" i="113" s="1"/>
  <c r="W55" i="100"/>
  <c r="AB13" i="116"/>
  <c r="AM13" i="116" s="1"/>
  <c r="I11" i="100"/>
  <c r="W11" i="100" s="1"/>
  <c r="AC13" i="116"/>
  <c r="AE13" i="116" s="1"/>
  <c r="AD48" i="31"/>
  <c r="AE48" i="31" s="1"/>
  <c r="AH48" i="31" s="1"/>
  <c r="AC10" i="46"/>
  <c r="Z18" i="46"/>
  <c r="W62" i="100"/>
  <c r="AC53" i="113"/>
  <c r="AE53" i="113" s="1"/>
  <c r="AC17" i="113"/>
  <c r="AE17" i="113" s="1"/>
  <c r="AC58" i="114"/>
  <c r="AE58" i="114" s="1"/>
  <c r="AC56" i="114"/>
  <c r="AE56" i="114" s="1"/>
  <c r="AC47" i="114"/>
  <c r="AE47" i="114" s="1"/>
  <c r="AB40" i="116"/>
  <c r="AM40" i="116" s="1"/>
  <c r="I38" i="100"/>
  <c r="W38" i="100" s="1"/>
  <c r="AC40" i="116"/>
  <c r="AE40" i="116" s="1"/>
  <c r="AE28" i="117"/>
  <c r="AG28" i="117" s="1"/>
  <c r="AD66" i="76"/>
  <c r="AF66" i="76" s="1"/>
  <c r="AD46" i="31"/>
  <c r="AE46" i="31" s="1"/>
  <c r="AH46" i="31" s="1"/>
  <c r="AD37" i="31"/>
  <c r="AE37" i="31" s="1"/>
  <c r="AH37" i="31" s="1"/>
  <c r="AD27" i="31"/>
  <c r="AE27" i="31" s="1"/>
  <c r="AH27" i="31" s="1"/>
  <c r="AC55" i="113"/>
  <c r="AE55" i="113" s="1"/>
  <c r="W53" i="100"/>
  <c r="AC68" i="114"/>
  <c r="AE68" i="114" s="1"/>
  <c r="AE76" i="117"/>
  <c r="AG76" i="117" s="1"/>
  <c r="AE34" i="117"/>
  <c r="AG34" i="117" s="1"/>
  <c r="AD58" i="76"/>
  <c r="AF58" i="76" s="1"/>
  <c r="AC65" i="114"/>
  <c r="AE65" i="114" s="1"/>
  <c r="AC27" i="114"/>
  <c r="AE27" i="114" s="1"/>
  <c r="AC76" i="116"/>
  <c r="AE76" i="116" s="1"/>
  <c r="AB18" i="116"/>
  <c r="AM18" i="116" s="1"/>
  <c r="I16" i="100"/>
  <c r="W16" i="100" s="1"/>
  <c r="AE72" i="117"/>
  <c r="AG72" i="117" s="1"/>
  <c r="AE51" i="117"/>
  <c r="AG51" i="117" s="1"/>
  <c r="AE25" i="117"/>
  <c r="AG25" i="117" s="1"/>
  <c r="W64" i="100"/>
  <c r="AC50" i="116" l="1"/>
  <c r="AE50" i="116" s="1"/>
  <c r="AC36" i="116"/>
  <c r="AE36" i="116" s="1"/>
  <c r="AC18" i="116"/>
  <c r="AE18" i="116" s="1"/>
  <c r="AC41" i="116"/>
  <c r="AE41" i="116" s="1"/>
  <c r="AC25" i="116"/>
  <c r="AE25" i="116" s="1"/>
  <c r="AL58" i="31"/>
  <c r="Z77" i="116"/>
  <c r="AA8" i="116"/>
  <c r="AB8" i="116" s="1"/>
  <c r="AM8" i="118"/>
  <c r="AM77" i="118" s="1"/>
  <c r="AB77" i="118"/>
  <c r="AM8" i="115"/>
  <c r="AM77" i="115" s="1"/>
  <c r="AB77" i="115"/>
  <c r="L8" i="129"/>
  <c r="K77" i="129"/>
  <c r="AM8" i="120"/>
  <c r="AM77" i="120" s="1"/>
  <c r="AB77" i="120"/>
  <c r="Z38" i="46"/>
  <c r="AC44" i="116"/>
  <c r="AE44" i="116" s="1"/>
  <c r="AC10" i="116"/>
  <c r="AE10" i="116" s="1"/>
  <c r="AC46" i="116"/>
  <c r="AE46" i="116" s="1"/>
  <c r="AC29" i="116"/>
  <c r="AE29" i="116" s="1"/>
  <c r="AC32" i="116"/>
  <c r="AE32" i="116" s="1"/>
  <c r="AC17" i="116"/>
  <c r="AE17" i="116" s="1"/>
  <c r="AC14" i="116"/>
  <c r="AE14" i="116" s="1"/>
  <c r="AC19" i="116"/>
  <c r="AE19" i="116" s="1"/>
  <c r="AD10" i="46"/>
  <c r="AC18" i="46"/>
  <c r="I6" i="100"/>
  <c r="I75" i="100" s="1"/>
  <c r="AC43" i="116"/>
  <c r="AE43" i="116" s="1"/>
  <c r="AA75" i="76"/>
  <c r="AA79" i="76" s="1"/>
  <c r="AB6" i="76"/>
  <c r="M6" i="100"/>
  <c r="M75" i="100" s="1"/>
  <c r="AC8" i="120"/>
  <c r="AA77" i="120"/>
  <c r="AC28" i="116"/>
  <c r="AE28" i="116" s="1"/>
  <c r="AC49" i="116"/>
  <c r="AE49" i="116" s="1"/>
  <c r="AC21" i="116"/>
  <c r="AE21" i="116" s="1"/>
  <c r="K20" i="5"/>
  <c r="J22" i="5"/>
  <c r="AC12" i="116"/>
  <c r="AE12" i="116" s="1"/>
  <c r="AC33" i="116"/>
  <c r="AE33" i="116" s="1"/>
  <c r="AB77" i="117"/>
  <c r="AC8" i="117"/>
  <c r="AC27" i="116"/>
  <c r="AE27" i="116" s="1"/>
  <c r="AC22" i="116"/>
  <c r="AE22" i="116" s="1"/>
  <c r="AC16" i="116"/>
  <c r="AE16" i="116" s="1"/>
  <c r="Z69" i="31"/>
  <c r="Z70" i="31" s="1"/>
  <c r="Z72" i="31" s="1"/>
  <c r="AA12" i="31"/>
  <c r="AG30" i="46"/>
  <c r="AH29" i="46"/>
  <c r="AK29" i="46" s="1"/>
  <c r="AE38" i="46"/>
  <c r="AC20" i="116"/>
  <c r="AE20" i="116" s="1"/>
  <c r="AA8" i="114"/>
  <c r="Z78" i="114"/>
  <c r="K77" i="131"/>
  <c r="L8" i="131"/>
  <c r="M8" i="131" s="1"/>
  <c r="M77" i="131" s="1"/>
  <c r="N81" i="131" s="1"/>
  <c r="L8" i="125"/>
  <c r="M8" i="125" s="1"/>
  <c r="M77" i="125" s="1"/>
  <c r="N81" i="125" s="1"/>
  <c r="K77" i="125"/>
  <c r="L8" i="126"/>
  <c r="M8" i="126" s="1"/>
  <c r="M77" i="126" s="1"/>
  <c r="N81" i="126" s="1"/>
  <c r="K77" i="126"/>
  <c r="K6" i="100"/>
  <c r="K75" i="100" s="1"/>
  <c r="AA77" i="118"/>
  <c r="AC8" i="118"/>
  <c r="AF40" i="46"/>
  <c r="AG40" i="46" s="1"/>
  <c r="AM40" i="46" s="1"/>
  <c r="AG18" i="46"/>
  <c r="AH17" i="46"/>
  <c r="AK17" i="46" s="1"/>
  <c r="AC9" i="116"/>
  <c r="AE9" i="116" s="1"/>
  <c r="AC38" i="116"/>
  <c r="AE38" i="116" s="1"/>
  <c r="L8" i="128"/>
  <c r="K77" i="128"/>
  <c r="K77" i="127"/>
  <c r="L8" i="127"/>
  <c r="AC30" i="46"/>
  <c r="AD28" i="46"/>
  <c r="AC48" i="116"/>
  <c r="AE48" i="116" s="1"/>
  <c r="AC8" i="115"/>
  <c r="AA77" i="115"/>
  <c r="H6" i="100"/>
  <c r="H75" i="100" s="1"/>
  <c r="AA77" i="119"/>
  <c r="L6" i="100"/>
  <c r="L75" i="100" s="1"/>
  <c r="AB8" i="119"/>
  <c r="AB8" i="113"/>
  <c r="AC8" i="113" s="1"/>
  <c r="F6" i="100"/>
  <c r="AA77" i="113"/>
  <c r="U6" i="100"/>
  <c r="U75" i="100" s="1"/>
  <c r="AB75" i="80"/>
  <c r="AB79" i="80" s="1"/>
  <c r="AA77" i="116" l="1"/>
  <c r="M8" i="129"/>
  <c r="L77" i="129"/>
  <c r="AE8" i="113"/>
  <c r="AC77" i="113"/>
  <c r="F75" i="100"/>
  <c r="AC8" i="119"/>
  <c r="AM8" i="119"/>
  <c r="AB77" i="119"/>
  <c r="M8" i="127"/>
  <c r="M77" i="127" s="1"/>
  <c r="N81" i="127" s="1"/>
  <c r="L77" i="127"/>
  <c r="N8" i="127"/>
  <c r="L77" i="126"/>
  <c r="N8" i="126"/>
  <c r="L77" i="125"/>
  <c r="N8" i="125"/>
  <c r="G6" i="100"/>
  <c r="G75" i="100" s="1"/>
  <c r="AB8" i="114"/>
  <c r="AA78" i="114"/>
  <c r="AB12" i="31"/>
  <c r="AC12" i="31"/>
  <c r="AC69" i="31" s="1"/>
  <c r="AC70" i="31" s="1"/>
  <c r="AC72" i="31" s="1"/>
  <c r="AA69" i="31"/>
  <c r="AA70" i="31" s="1"/>
  <c r="E41" i="100" s="1"/>
  <c r="K22" i="5"/>
  <c r="M20" i="5"/>
  <c r="AD18" i="46"/>
  <c r="D22" i="100" s="1"/>
  <c r="AH10" i="46"/>
  <c r="AB77" i="113"/>
  <c r="AM8" i="113"/>
  <c r="AE8" i="115"/>
  <c r="AC77" i="115"/>
  <c r="AD30" i="46"/>
  <c r="D14" i="100" s="1"/>
  <c r="AH28" i="46"/>
  <c r="L77" i="128"/>
  <c r="M8" i="128"/>
  <c r="M77" i="128" s="1"/>
  <c r="N81" i="128" s="1"/>
  <c r="AF44" i="46"/>
  <c r="AC77" i="118"/>
  <c r="AE8" i="118"/>
  <c r="L77" i="131"/>
  <c r="N8" i="131"/>
  <c r="AE42" i="46"/>
  <c r="AG42" i="46" s="1"/>
  <c r="AM42" i="46" s="1"/>
  <c r="AE43" i="46"/>
  <c r="AG38" i="46"/>
  <c r="AD8" i="117"/>
  <c r="AC77" i="117"/>
  <c r="J6" i="100"/>
  <c r="J75" i="100" s="1"/>
  <c r="AE8" i="120"/>
  <c r="AC77" i="120"/>
  <c r="T6" i="100"/>
  <c r="T75" i="100" s="1"/>
  <c r="AB75" i="76"/>
  <c r="AB79" i="76" s="1"/>
  <c r="AC6" i="76"/>
  <c r="AC8" i="116"/>
  <c r="AM8" i="116"/>
  <c r="AB77" i="116"/>
  <c r="AC38" i="46"/>
  <c r="I66" i="31"/>
  <c r="K66" i="31" s="1"/>
  <c r="L66" i="31" s="1"/>
  <c r="I41" i="33"/>
  <c r="K41" i="33" s="1"/>
  <c r="AH41" i="33" s="1"/>
  <c r="J41" i="120"/>
  <c r="I41" i="120"/>
  <c r="J41" i="118"/>
  <c r="I41" i="118"/>
  <c r="J41" i="116"/>
  <c r="I41" i="116"/>
  <c r="J41" i="114"/>
  <c r="I41" i="114"/>
  <c r="J18" i="119"/>
  <c r="I18" i="119"/>
  <c r="J18" i="117"/>
  <c r="I18" i="117"/>
  <c r="J18" i="115"/>
  <c r="I18" i="115"/>
  <c r="J40" i="120"/>
  <c r="I40" i="120"/>
  <c r="J40" i="118"/>
  <c r="I40" i="118"/>
  <c r="J40" i="116"/>
  <c r="I40" i="116"/>
  <c r="J40" i="114"/>
  <c r="I40" i="114"/>
  <c r="J47" i="119"/>
  <c r="I47" i="119"/>
  <c r="J47" i="117"/>
  <c r="I47" i="117"/>
  <c r="J47" i="115"/>
  <c r="I47" i="115"/>
  <c r="I55" i="33"/>
  <c r="K55" i="33" s="1"/>
  <c r="AH55" i="33" s="1"/>
  <c r="J55" i="120"/>
  <c r="I55" i="120"/>
  <c r="J55" i="118"/>
  <c r="I55" i="118"/>
  <c r="J55" i="116"/>
  <c r="I55" i="116"/>
  <c r="J55" i="114"/>
  <c r="I55" i="114"/>
  <c r="J53" i="119"/>
  <c r="I53" i="119"/>
  <c r="J53" i="117"/>
  <c r="I53" i="117"/>
  <c r="J53" i="115"/>
  <c r="I53" i="115"/>
  <c r="I42" i="33"/>
  <c r="K42" i="33" s="1"/>
  <c r="AH42" i="33" s="1"/>
  <c r="J42" i="120"/>
  <c r="I42" i="120"/>
  <c r="J42" i="118"/>
  <c r="I42" i="118"/>
  <c r="J42" i="116"/>
  <c r="I42" i="116"/>
  <c r="J42" i="114"/>
  <c r="I42" i="114"/>
  <c r="J39" i="119"/>
  <c r="I39" i="119"/>
  <c r="J39" i="117"/>
  <c r="I39" i="117"/>
  <c r="J39" i="115"/>
  <c r="I39" i="115"/>
  <c r="I25" i="33"/>
  <c r="K25" i="33" s="1"/>
  <c r="AH25" i="33" s="1"/>
  <c r="J25" i="120"/>
  <c r="I25" i="120"/>
  <c r="J25" i="118"/>
  <c r="I25" i="118"/>
  <c r="J25" i="116"/>
  <c r="I25" i="116"/>
  <c r="J25" i="114"/>
  <c r="I25" i="114"/>
  <c r="J22" i="119"/>
  <c r="I22" i="119"/>
  <c r="J22" i="117"/>
  <c r="I22" i="117"/>
  <c r="J22" i="115"/>
  <c r="I22" i="115"/>
  <c r="I66" i="33"/>
  <c r="K66" i="33" s="1"/>
  <c r="AH66" i="33" s="1"/>
  <c r="J66" i="120"/>
  <c r="I66" i="120"/>
  <c r="J66" i="118"/>
  <c r="I66" i="118"/>
  <c r="J66" i="116"/>
  <c r="I66" i="116"/>
  <c r="J66" i="114"/>
  <c r="I66" i="114"/>
  <c r="J74" i="119"/>
  <c r="I74" i="119"/>
  <c r="J74" i="117"/>
  <c r="I74" i="117"/>
  <c r="J74" i="115"/>
  <c r="I74" i="115"/>
  <c r="I19" i="33"/>
  <c r="K19" i="33" s="1"/>
  <c r="AH19" i="33" s="1"/>
  <c r="J19" i="120"/>
  <c r="I19" i="120"/>
  <c r="J19" i="118"/>
  <c r="I19" i="118"/>
  <c r="J19" i="116"/>
  <c r="I19" i="116"/>
  <c r="J19" i="114"/>
  <c r="I19" i="114"/>
  <c r="J48" i="119"/>
  <c r="I48" i="119"/>
  <c r="J48" i="117"/>
  <c r="I48" i="117"/>
  <c r="J48" i="115"/>
  <c r="I48" i="115"/>
  <c r="I26" i="33"/>
  <c r="K26" i="33" s="1"/>
  <c r="AH26" i="33" s="1"/>
  <c r="J26" i="120"/>
  <c r="I26" i="120"/>
  <c r="J26" i="118"/>
  <c r="I26" i="118"/>
  <c r="J26" i="116"/>
  <c r="I26" i="116"/>
  <c r="J26" i="114"/>
  <c r="I26" i="114"/>
  <c r="J56" i="119"/>
  <c r="I56" i="119"/>
  <c r="J56" i="117"/>
  <c r="I56" i="117"/>
  <c r="J56" i="115"/>
  <c r="I56" i="115"/>
  <c r="I60" i="33"/>
  <c r="K60" i="33" s="1"/>
  <c r="AH60" i="33" s="1"/>
  <c r="J60" i="120"/>
  <c r="I60" i="120"/>
  <c r="J60" i="118"/>
  <c r="I60" i="118"/>
  <c r="J60" i="116"/>
  <c r="I60" i="116"/>
  <c r="J60" i="114"/>
  <c r="I60" i="114"/>
  <c r="J75" i="119"/>
  <c r="I75" i="119"/>
  <c r="J75" i="117"/>
  <c r="I75" i="117"/>
  <c r="J75" i="115"/>
  <c r="I75" i="115"/>
  <c r="I34" i="33"/>
  <c r="K34" i="33" s="1"/>
  <c r="AH34" i="33" s="1"/>
  <c r="J34" i="120"/>
  <c r="I34" i="120"/>
  <c r="J34" i="118"/>
  <c r="I34" i="118"/>
  <c r="J34" i="116"/>
  <c r="I34" i="116"/>
  <c r="J34" i="114"/>
  <c r="I34" i="114"/>
  <c r="J51" i="119"/>
  <c r="I51" i="119"/>
  <c r="J51" i="117"/>
  <c r="I51" i="117"/>
  <c r="J51" i="115"/>
  <c r="I51" i="115"/>
  <c r="I50" i="33"/>
  <c r="K50" i="33" s="1"/>
  <c r="AH50" i="33" s="1"/>
  <c r="J50" i="120"/>
  <c r="I50" i="120"/>
  <c r="J50" i="118"/>
  <c r="I50" i="118"/>
  <c r="J50" i="116"/>
  <c r="I50" i="116"/>
  <c r="J50" i="114"/>
  <c r="I50" i="114"/>
  <c r="J38" i="119"/>
  <c r="I38" i="119"/>
  <c r="J38" i="117"/>
  <c r="I38" i="117"/>
  <c r="J38" i="115"/>
  <c r="I38" i="115"/>
  <c r="I15" i="33"/>
  <c r="K15" i="33" s="1"/>
  <c r="AH15" i="33" s="1"/>
  <c r="J15" i="120"/>
  <c r="I15" i="120"/>
  <c r="J15" i="118"/>
  <c r="I15" i="118"/>
  <c r="J15" i="116"/>
  <c r="I15" i="116"/>
  <c r="J15" i="114"/>
  <c r="I15" i="114"/>
  <c r="J73" i="119"/>
  <c r="I73" i="119"/>
  <c r="J73" i="117"/>
  <c r="I73" i="117"/>
  <c r="J73" i="115"/>
  <c r="I73" i="115"/>
  <c r="I64" i="33"/>
  <c r="K64" i="33" s="1"/>
  <c r="AH64" i="33" s="1"/>
  <c r="J64" i="120"/>
  <c r="I64" i="120"/>
  <c r="J64" i="118"/>
  <c r="I64" i="118"/>
  <c r="J64" i="116"/>
  <c r="I64" i="116"/>
  <c r="J64" i="114"/>
  <c r="I64" i="114"/>
  <c r="J36" i="119"/>
  <c r="I36" i="119"/>
  <c r="J36" i="117"/>
  <c r="I36" i="117"/>
  <c r="J36" i="115"/>
  <c r="I36" i="115"/>
  <c r="I76" i="33"/>
  <c r="K76" i="33" s="1"/>
  <c r="AH76" i="33" s="1"/>
  <c r="J76" i="120"/>
  <c r="I76" i="120"/>
  <c r="J76" i="118"/>
  <c r="I76" i="118"/>
  <c r="J76" i="116"/>
  <c r="I76" i="116"/>
  <c r="J76" i="114"/>
  <c r="I76" i="114"/>
  <c r="J69" i="119"/>
  <c r="I69" i="119"/>
  <c r="J69" i="117"/>
  <c r="I69" i="117"/>
  <c r="J69" i="115"/>
  <c r="I69" i="115"/>
  <c r="I37" i="33"/>
  <c r="K37" i="33" s="1"/>
  <c r="AH37" i="33" s="1"/>
  <c r="J37" i="120"/>
  <c r="I37" i="120"/>
  <c r="J37" i="118"/>
  <c r="I37" i="118"/>
  <c r="J37" i="116"/>
  <c r="I37" i="116"/>
  <c r="J37" i="114"/>
  <c r="I37" i="114"/>
  <c r="J14" i="119"/>
  <c r="I14" i="119"/>
  <c r="J14" i="117"/>
  <c r="I14" i="117"/>
  <c r="J14" i="115"/>
  <c r="I14" i="115"/>
  <c r="J63" i="120"/>
  <c r="I63" i="120"/>
  <c r="J63" i="118"/>
  <c r="I63" i="118"/>
  <c r="J63" i="116"/>
  <c r="I63" i="116"/>
  <c r="J63" i="114"/>
  <c r="I63" i="114"/>
  <c r="J12" i="119"/>
  <c r="I12" i="119"/>
  <c r="J12" i="117"/>
  <c r="I12" i="117"/>
  <c r="J12" i="115"/>
  <c r="I12" i="115"/>
  <c r="I67" i="33"/>
  <c r="K67" i="33" s="1"/>
  <c r="AH67" i="33" s="1"/>
  <c r="J67" i="120"/>
  <c r="I67" i="120"/>
  <c r="J67" i="118"/>
  <c r="I67" i="118"/>
  <c r="J67" i="116"/>
  <c r="I67" i="116"/>
  <c r="J67" i="114"/>
  <c r="I67" i="114"/>
  <c r="J46" i="119"/>
  <c r="I46" i="119"/>
  <c r="J46" i="117"/>
  <c r="I46" i="117"/>
  <c r="J46" i="115"/>
  <c r="I46" i="115"/>
  <c r="J41" i="119"/>
  <c r="I41" i="119"/>
  <c r="J41" i="117"/>
  <c r="I41" i="117"/>
  <c r="J41" i="115"/>
  <c r="I41" i="115"/>
  <c r="I18" i="33"/>
  <c r="K18" i="33" s="1"/>
  <c r="AH18" i="33" s="1"/>
  <c r="J18" i="120"/>
  <c r="I18" i="120"/>
  <c r="J18" i="118"/>
  <c r="I18" i="118"/>
  <c r="J18" i="116"/>
  <c r="I18" i="116"/>
  <c r="J18" i="114"/>
  <c r="I18" i="114"/>
  <c r="J40" i="119"/>
  <c r="I40" i="119"/>
  <c r="J40" i="117"/>
  <c r="I40" i="117"/>
  <c r="J40" i="115"/>
  <c r="I40" i="115"/>
  <c r="I47" i="33"/>
  <c r="K47" i="33" s="1"/>
  <c r="AH47" i="33" s="1"/>
  <c r="J47" i="120"/>
  <c r="I47" i="120"/>
  <c r="J47" i="118"/>
  <c r="I47" i="118"/>
  <c r="J47" i="116"/>
  <c r="I47" i="116"/>
  <c r="J47" i="114"/>
  <c r="I47" i="114"/>
  <c r="J55" i="119"/>
  <c r="I55" i="119"/>
  <c r="J55" i="117"/>
  <c r="I55" i="117"/>
  <c r="J55" i="115"/>
  <c r="I55" i="115"/>
  <c r="I53" i="33"/>
  <c r="K53" i="33" s="1"/>
  <c r="AH53" i="33" s="1"/>
  <c r="J53" i="120"/>
  <c r="I53" i="120"/>
  <c r="J53" i="118"/>
  <c r="I53" i="118"/>
  <c r="J53" i="116"/>
  <c r="I53" i="116"/>
  <c r="J53" i="114"/>
  <c r="I53" i="114"/>
  <c r="J42" i="119"/>
  <c r="I42" i="119"/>
  <c r="J42" i="117"/>
  <c r="I42" i="117"/>
  <c r="J42" i="115"/>
  <c r="I42" i="115"/>
  <c r="I39" i="33"/>
  <c r="K39" i="33" s="1"/>
  <c r="AH39" i="33" s="1"/>
  <c r="J39" i="120"/>
  <c r="I39" i="120"/>
  <c r="K39" i="120" s="1"/>
  <c r="L39" i="120" s="1"/>
  <c r="M39" i="120" s="1"/>
  <c r="J39" i="118"/>
  <c r="I39" i="118"/>
  <c r="K39" i="118" s="1"/>
  <c r="L39" i="118" s="1"/>
  <c r="M39" i="118" s="1"/>
  <c r="J39" i="116"/>
  <c r="I39" i="116"/>
  <c r="K39" i="116" s="1"/>
  <c r="L39" i="116" s="1"/>
  <c r="J39" i="114"/>
  <c r="I39" i="114"/>
  <c r="K39" i="114" s="1"/>
  <c r="L39" i="114" s="1"/>
  <c r="J25" i="119"/>
  <c r="I25" i="119"/>
  <c r="K25" i="119" s="1"/>
  <c r="L25" i="119" s="1"/>
  <c r="J25" i="117"/>
  <c r="I25" i="117"/>
  <c r="J25" i="115"/>
  <c r="I25" i="115"/>
  <c r="I22" i="33"/>
  <c r="K22" i="33" s="1"/>
  <c r="AH22" i="33" s="1"/>
  <c r="J22" i="120"/>
  <c r="I22" i="120"/>
  <c r="J22" i="118"/>
  <c r="I22" i="118"/>
  <c r="J22" i="116"/>
  <c r="I22" i="116"/>
  <c r="J22" i="114"/>
  <c r="I22" i="114"/>
  <c r="J66" i="119"/>
  <c r="I66" i="119"/>
  <c r="J66" i="117"/>
  <c r="I66" i="117"/>
  <c r="J66" i="115"/>
  <c r="I66" i="115"/>
  <c r="I74" i="33"/>
  <c r="K74" i="33" s="1"/>
  <c r="AH74" i="33" s="1"/>
  <c r="J74" i="120"/>
  <c r="I74" i="120"/>
  <c r="J74" i="118"/>
  <c r="I74" i="118"/>
  <c r="J74" i="116"/>
  <c r="I74" i="116"/>
  <c r="J74" i="114"/>
  <c r="I74" i="114"/>
  <c r="J19" i="119"/>
  <c r="I19" i="119"/>
  <c r="J19" i="117"/>
  <c r="I19" i="117"/>
  <c r="K19" i="117" s="1"/>
  <c r="L19" i="117" s="1"/>
  <c r="J19" i="115"/>
  <c r="I19" i="115"/>
  <c r="K19" i="115" s="1"/>
  <c r="L19" i="115" s="1"/>
  <c r="M19" i="115" s="1"/>
  <c r="I48" i="33"/>
  <c r="K48" i="33" s="1"/>
  <c r="AH48" i="33" s="1"/>
  <c r="J48" i="120"/>
  <c r="I48" i="120"/>
  <c r="J48" i="118"/>
  <c r="I48" i="118"/>
  <c r="J48" i="116"/>
  <c r="I48" i="116"/>
  <c r="J48" i="114"/>
  <c r="I48" i="114"/>
  <c r="J26" i="119"/>
  <c r="I26" i="119"/>
  <c r="J26" i="117"/>
  <c r="I26" i="117"/>
  <c r="J26" i="115"/>
  <c r="I26" i="115"/>
  <c r="I56" i="33"/>
  <c r="K56" i="33" s="1"/>
  <c r="AH56" i="33" s="1"/>
  <c r="J56" i="120"/>
  <c r="I56" i="120"/>
  <c r="K56" i="120" s="1"/>
  <c r="L56" i="120" s="1"/>
  <c r="M56" i="120" s="1"/>
  <c r="J56" i="118"/>
  <c r="I56" i="118"/>
  <c r="K56" i="118" s="1"/>
  <c r="L56" i="118" s="1"/>
  <c r="M56" i="118" s="1"/>
  <c r="J56" i="116"/>
  <c r="I56" i="116"/>
  <c r="K56" i="116" s="1"/>
  <c r="L56" i="116" s="1"/>
  <c r="J56" i="114"/>
  <c r="I56" i="114"/>
  <c r="K56" i="114" s="1"/>
  <c r="L56" i="114" s="1"/>
  <c r="J60" i="119"/>
  <c r="I60" i="119"/>
  <c r="K60" i="119" s="1"/>
  <c r="L60" i="119" s="1"/>
  <c r="J60" i="117"/>
  <c r="I60" i="117"/>
  <c r="K60" i="117" s="1"/>
  <c r="L60" i="117" s="1"/>
  <c r="J60" i="115"/>
  <c r="I60" i="115"/>
  <c r="K60" i="115" s="1"/>
  <c r="L60" i="115" s="1"/>
  <c r="M60" i="115" s="1"/>
  <c r="I75" i="33"/>
  <c r="K75" i="33" s="1"/>
  <c r="AH75" i="33" s="1"/>
  <c r="J75" i="120"/>
  <c r="I75" i="120"/>
  <c r="J75" i="118"/>
  <c r="I75" i="118"/>
  <c r="J75" i="116"/>
  <c r="I75" i="116"/>
  <c r="J75" i="114"/>
  <c r="I75" i="114"/>
  <c r="J34" i="119"/>
  <c r="I34" i="119"/>
  <c r="J34" i="117"/>
  <c r="I34" i="117"/>
  <c r="J34" i="115"/>
  <c r="I34" i="115"/>
  <c r="I51" i="33"/>
  <c r="K51" i="33" s="1"/>
  <c r="AH51" i="33" s="1"/>
  <c r="J51" i="120"/>
  <c r="I51" i="120"/>
  <c r="K51" i="120" s="1"/>
  <c r="L51" i="120" s="1"/>
  <c r="M51" i="120" s="1"/>
  <c r="J51" i="118"/>
  <c r="I51" i="118"/>
  <c r="K51" i="118" s="1"/>
  <c r="L51" i="118" s="1"/>
  <c r="M51" i="118" s="1"/>
  <c r="J51" i="116"/>
  <c r="I51" i="116"/>
  <c r="K51" i="116" s="1"/>
  <c r="L51" i="116" s="1"/>
  <c r="J51" i="114"/>
  <c r="I51" i="114"/>
  <c r="K51" i="114" s="1"/>
  <c r="L51" i="114" s="1"/>
  <c r="J50" i="119"/>
  <c r="I50" i="119"/>
  <c r="K50" i="119" s="1"/>
  <c r="L50" i="119" s="1"/>
  <c r="J50" i="117"/>
  <c r="I50" i="117"/>
  <c r="K50" i="117" s="1"/>
  <c r="L50" i="117" s="1"/>
  <c r="J50" i="115"/>
  <c r="I50" i="115"/>
  <c r="K50" i="115" s="1"/>
  <c r="L50" i="115" s="1"/>
  <c r="M50" i="115" s="1"/>
  <c r="I38" i="33"/>
  <c r="K38" i="33" s="1"/>
  <c r="AH38" i="33" s="1"/>
  <c r="J38" i="120"/>
  <c r="I38" i="120"/>
  <c r="J38" i="118"/>
  <c r="I38" i="118"/>
  <c r="J38" i="116"/>
  <c r="I38" i="116"/>
  <c r="J38" i="114"/>
  <c r="I38" i="114"/>
  <c r="J15" i="119"/>
  <c r="I15" i="119"/>
  <c r="J15" i="117"/>
  <c r="I15" i="117"/>
  <c r="J15" i="115"/>
  <c r="I15" i="115"/>
  <c r="J73" i="120"/>
  <c r="I73" i="120"/>
  <c r="J73" i="118"/>
  <c r="I73" i="118"/>
  <c r="J73" i="116"/>
  <c r="I73" i="116"/>
  <c r="J73" i="114"/>
  <c r="I73" i="114"/>
  <c r="J64" i="119"/>
  <c r="I64" i="119"/>
  <c r="J64" i="117"/>
  <c r="I64" i="117"/>
  <c r="J64" i="115"/>
  <c r="I64" i="115"/>
  <c r="I36" i="33"/>
  <c r="K36" i="33" s="1"/>
  <c r="AH36" i="33" s="1"/>
  <c r="J36" i="120"/>
  <c r="I36" i="120"/>
  <c r="J36" i="118"/>
  <c r="I36" i="118"/>
  <c r="J36" i="116"/>
  <c r="I36" i="116"/>
  <c r="J36" i="114"/>
  <c r="I36" i="114"/>
  <c r="J76" i="119"/>
  <c r="I76" i="119"/>
  <c r="J76" i="117"/>
  <c r="I76" i="117"/>
  <c r="J76" i="115"/>
  <c r="I76" i="115"/>
  <c r="I69" i="33"/>
  <c r="K69" i="33" s="1"/>
  <c r="AH69" i="33" s="1"/>
  <c r="J69" i="120"/>
  <c r="I69" i="120"/>
  <c r="J69" i="118"/>
  <c r="I69" i="118"/>
  <c r="J69" i="116"/>
  <c r="I69" i="116"/>
  <c r="J69" i="114"/>
  <c r="I69" i="114"/>
  <c r="J37" i="119"/>
  <c r="I37" i="119"/>
  <c r="J37" i="117"/>
  <c r="I37" i="117"/>
  <c r="J37" i="115"/>
  <c r="I37" i="115"/>
  <c r="I14" i="33"/>
  <c r="K14" i="33" s="1"/>
  <c r="AH14" i="33" s="1"/>
  <c r="J14" i="120"/>
  <c r="I14" i="120"/>
  <c r="J14" i="118"/>
  <c r="I14" i="118"/>
  <c r="J14" i="116"/>
  <c r="I14" i="116"/>
  <c r="J14" i="114"/>
  <c r="I14" i="114"/>
  <c r="J63" i="119"/>
  <c r="I63" i="119"/>
  <c r="J63" i="117"/>
  <c r="I63" i="117"/>
  <c r="J63" i="115"/>
  <c r="I63" i="115"/>
  <c r="I12" i="33"/>
  <c r="K12" i="33" s="1"/>
  <c r="AH12" i="33" s="1"/>
  <c r="J12" i="120"/>
  <c r="I12" i="120"/>
  <c r="J12" i="118"/>
  <c r="I12" i="118"/>
  <c r="J12" i="116"/>
  <c r="I12" i="116"/>
  <c r="J12" i="114"/>
  <c r="I12" i="114"/>
  <c r="J67" i="119"/>
  <c r="I67" i="119"/>
  <c r="J67" i="117"/>
  <c r="I67" i="117"/>
  <c r="J67" i="115"/>
  <c r="I67" i="115"/>
  <c r="I46" i="33"/>
  <c r="K46" i="33" s="1"/>
  <c r="AH46" i="33" s="1"/>
  <c r="J46" i="120"/>
  <c r="I46" i="120"/>
  <c r="J46" i="118"/>
  <c r="I46" i="118"/>
  <c r="J46" i="116"/>
  <c r="I46" i="116"/>
  <c r="J46" i="114"/>
  <c r="I46" i="114"/>
  <c r="K46" i="114" s="1"/>
  <c r="L46" i="114" s="1"/>
  <c r="AE44" i="46" l="1"/>
  <c r="N8" i="128"/>
  <c r="K69" i="115"/>
  <c r="L69" i="115" s="1"/>
  <c r="M69" i="115" s="1"/>
  <c r="K69" i="117"/>
  <c r="L69" i="117" s="1"/>
  <c r="T69" i="33" s="1"/>
  <c r="K69" i="119"/>
  <c r="L69" i="119" s="1"/>
  <c r="V69" i="33" s="1"/>
  <c r="K76" i="114"/>
  <c r="L76" i="114" s="1"/>
  <c r="K76" i="116"/>
  <c r="L76" i="116" s="1"/>
  <c r="M76" i="116" s="1"/>
  <c r="N76" i="116" s="1"/>
  <c r="P76" i="116" s="1"/>
  <c r="K76" i="118"/>
  <c r="L76" i="118" s="1"/>
  <c r="M76" i="118" s="1"/>
  <c r="K76" i="120"/>
  <c r="L76" i="120" s="1"/>
  <c r="M76" i="120" s="1"/>
  <c r="K73" i="115"/>
  <c r="L73" i="115" s="1"/>
  <c r="M73" i="115" s="1"/>
  <c r="N8" i="129"/>
  <c r="M77" i="129"/>
  <c r="N81" i="129" s="1"/>
  <c r="K19" i="119"/>
  <c r="L19" i="119" s="1"/>
  <c r="V19" i="33" s="1"/>
  <c r="K74" i="114"/>
  <c r="L74" i="114" s="1"/>
  <c r="K74" i="116"/>
  <c r="L74" i="116" s="1"/>
  <c r="M74" i="116" s="1"/>
  <c r="N74" i="116" s="1"/>
  <c r="P74" i="116" s="1"/>
  <c r="K74" i="118"/>
  <c r="L74" i="118" s="1"/>
  <c r="M74" i="118" s="1"/>
  <c r="K74" i="120"/>
  <c r="L74" i="120" s="1"/>
  <c r="M74" i="120" s="1"/>
  <c r="K25" i="115"/>
  <c r="L25" i="115" s="1"/>
  <c r="M25" i="115" s="1"/>
  <c r="K25" i="117"/>
  <c r="L25" i="117" s="1"/>
  <c r="M25" i="117" s="1"/>
  <c r="N25" i="117" s="1"/>
  <c r="P25" i="117" s="1"/>
  <c r="K73" i="117"/>
  <c r="L73" i="117" s="1"/>
  <c r="T73" i="33" s="1"/>
  <c r="K73" i="119"/>
  <c r="L73" i="119" s="1"/>
  <c r="M73" i="119" s="1"/>
  <c r="N73" i="119" s="1"/>
  <c r="P73" i="119" s="1"/>
  <c r="K15" i="114"/>
  <c r="L15" i="114" s="1"/>
  <c r="K15" i="116"/>
  <c r="L15" i="116" s="1"/>
  <c r="S15" i="33" s="1"/>
  <c r="K15" i="118"/>
  <c r="L15" i="118" s="1"/>
  <c r="M15" i="118" s="1"/>
  <c r="K15" i="120"/>
  <c r="L15" i="120" s="1"/>
  <c r="M15" i="120" s="1"/>
  <c r="K51" i="115"/>
  <c r="L51" i="115" s="1"/>
  <c r="M51" i="115" s="1"/>
  <c r="K51" i="117"/>
  <c r="L51" i="117" s="1"/>
  <c r="M51" i="117" s="1"/>
  <c r="N51" i="117" s="1"/>
  <c r="P51" i="117" s="1"/>
  <c r="K51" i="119"/>
  <c r="L51" i="119" s="1"/>
  <c r="M51" i="119" s="1"/>
  <c r="N51" i="119" s="1"/>
  <c r="P51" i="119" s="1"/>
  <c r="K34" i="114"/>
  <c r="L34" i="114" s="1"/>
  <c r="M34" i="114" s="1"/>
  <c r="N34" i="114" s="1"/>
  <c r="P34" i="114" s="1"/>
  <c r="K34" i="116"/>
  <c r="L34" i="116" s="1"/>
  <c r="K34" i="118"/>
  <c r="L34" i="118" s="1"/>
  <c r="M34" i="118" s="1"/>
  <c r="K34" i="120"/>
  <c r="L34" i="120" s="1"/>
  <c r="M34" i="120" s="1"/>
  <c r="K56" i="115"/>
  <c r="L56" i="115" s="1"/>
  <c r="M56" i="115" s="1"/>
  <c r="K56" i="117"/>
  <c r="L56" i="117" s="1"/>
  <c r="K56" i="119"/>
  <c r="L56" i="119" s="1"/>
  <c r="V56" i="33" s="1"/>
  <c r="K26" i="114"/>
  <c r="L26" i="114" s="1"/>
  <c r="M26" i="114" s="1"/>
  <c r="N26" i="114" s="1"/>
  <c r="P26" i="114" s="1"/>
  <c r="K26" i="116"/>
  <c r="L26" i="116" s="1"/>
  <c r="S26" i="33" s="1"/>
  <c r="K26" i="118"/>
  <c r="L26" i="118" s="1"/>
  <c r="M26" i="118" s="1"/>
  <c r="K67" i="115"/>
  <c r="L67" i="115" s="1"/>
  <c r="M67" i="115" s="1"/>
  <c r="K67" i="117"/>
  <c r="L67" i="117" s="1"/>
  <c r="M67" i="117" s="1"/>
  <c r="N67" i="117" s="1"/>
  <c r="P67" i="117" s="1"/>
  <c r="K67" i="119"/>
  <c r="L67" i="119" s="1"/>
  <c r="M67" i="119" s="1"/>
  <c r="N67" i="119" s="1"/>
  <c r="P67" i="119" s="1"/>
  <c r="K12" i="114"/>
  <c r="L12" i="114" s="1"/>
  <c r="K12" i="116"/>
  <c r="L12" i="116" s="1"/>
  <c r="M12" i="116" s="1"/>
  <c r="N12" i="116" s="1"/>
  <c r="P12" i="116" s="1"/>
  <c r="K12" i="118"/>
  <c r="L12" i="118" s="1"/>
  <c r="M12" i="118" s="1"/>
  <c r="K12" i="120"/>
  <c r="L12" i="120" s="1"/>
  <c r="M12" i="120" s="1"/>
  <c r="K40" i="115"/>
  <c r="L40" i="115" s="1"/>
  <c r="M40" i="115" s="1"/>
  <c r="K40" i="117"/>
  <c r="L40" i="117" s="1"/>
  <c r="T40" i="33" s="1"/>
  <c r="K40" i="119"/>
  <c r="L40" i="119" s="1"/>
  <c r="M40" i="119" s="1"/>
  <c r="N40" i="119" s="1"/>
  <c r="P40" i="119" s="1"/>
  <c r="K46" i="116"/>
  <c r="L46" i="116" s="1"/>
  <c r="M46" i="116" s="1"/>
  <c r="N46" i="116" s="1"/>
  <c r="P46" i="116" s="1"/>
  <c r="K46" i="118"/>
  <c r="L46" i="118" s="1"/>
  <c r="M46" i="118" s="1"/>
  <c r="K46" i="120"/>
  <c r="L46" i="120" s="1"/>
  <c r="M46" i="120" s="1"/>
  <c r="K26" i="120"/>
  <c r="L26" i="120" s="1"/>
  <c r="M26" i="120" s="1"/>
  <c r="K74" i="115"/>
  <c r="L74" i="115" s="1"/>
  <c r="M74" i="115" s="1"/>
  <c r="K74" i="117"/>
  <c r="L74" i="117" s="1"/>
  <c r="K74" i="119"/>
  <c r="L74" i="119" s="1"/>
  <c r="M74" i="119" s="1"/>
  <c r="N74" i="119" s="1"/>
  <c r="P74" i="119" s="1"/>
  <c r="K66" i="114"/>
  <c r="L66" i="114" s="1"/>
  <c r="Q66" i="33" s="1"/>
  <c r="K66" i="116"/>
  <c r="L66" i="116" s="1"/>
  <c r="M66" i="116" s="1"/>
  <c r="N66" i="116" s="1"/>
  <c r="P66" i="116" s="1"/>
  <c r="K66" i="118"/>
  <c r="L66" i="118" s="1"/>
  <c r="M66" i="118" s="1"/>
  <c r="K66" i="120"/>
  <c r="L66" i="120" s="1"/>
  <c r="M66" i="120" s="1"/>
  <c r="K39" i="115"/>
  <c r="L39" i="115" s="1"/>
  <c r="M39" i="115" s="1"/>
  <c r="K39" i="117"/>
  <c r="L39" i="117" s="1"/>
  <c r="M39" i="117" s="1"/>
  <c r="N39" i="117" s="1"/>
  <c r="P39" i="117" s="1"/>
  <c r="K39" i="119"/>
  <c r="L39" i="119" s="1"/>
  <c r="K42" i="114"/>
  <c r="L42" i="114" s="1"/>
  <c r="Q42" i="33" s="1"/>
  <c r="K42" i="116"/>
  <c r="L42" i="116" s="1"/>
  <c r="S42" i="33" s="1"/>
  <c r="K42" i="118"/>
  <c r="L42" i="118" s="1"/>
  <c r="M42" i="118" s="1"/>
  <c r="K42" i="120"/>
  <c r="L42" i="120" s="1"/>
  <c r="M42" i="120" s="1"/>
  <c r="K47" i="115"/>
  <c r="L47" i="115" s="1"/>
  <c r="M47" i="115" s="1"/>
  <c r="K47" i="117"/>
  <c r="L47" i="117" s="1"/>
  <c r="M47" i="117" s="1"/>
  <c r="N47" i="117" s="1"/>
  <c r="P47" i="117" s="1"/>
  <c r="K47" i="119"/>
  <c r="L47" i="119" s="1"/>
  <c r="V47" i="33" s="1"/>
  <c r="K40" i="114"/>
  <c r="L40" i="114" s="1"/>
  <c r="K40" i="116"/>
  <c r="L40" i="116" s="1"/>
  <c r="S40" i="33" s="1"/>
  <c r="K40" i="118"/>
  <c r="L40" i="118" s="1"/>
  <c r="M40" i="118" s="1"/>
  <c r="K40" i="120"/>
  <c r="L40" i="120" s="1"/>
  <c r="M40" i="120" s="1"/>
  <c r="K37" i="115"/>
  <c r="L37" i="115" s="1"/>
  <c r="M37" i="115" s="1"/>
  <c r="K37" i="117"/>
  <c r="L37" i="117" s="1"/>
  <c r="M37" i="117" s="1"/>
  <c r="N37" i="117" s="1"/>
  <c r="P37" i="117" s="1"/>
  <c r="K37" i="119"/>
  <c r="L37" i="119" s="1"/>
  <c r="M37" i="119" s="1"/>
  <c r="N37" i="119" s="1"/>
  <c r="P37" i="119" s="1"/>
  <c r="K69" i="114"/>
  <c r="L69" i="114" s="1"/>
  <c r="Q69" i="33" s="1"/>
  <c r="K69" i="116"/>
  <c r="L69" i="116" s="1"/>
  <c r="K69" i="118"/>
  <c r="L69" i="118" s="1"/>
  <c r="M69" i="118" s="1"/>
  <c r="K69" i="120"/>
  <c r="L69" i="120" s="1"/>
  <c r="M69" i="120" s="1"/>
  <c r="K64" i="115"/>
  <c r="L64" i="115" s="1"/>
  <c r="M64" i="115" s="1"/>
  <c r="K64" i="117"/>
  <c r="L64" i="117" s="1"/>
  <c r="K64" i="119"/>
  <c r="L64" i="119" s="1"/>
  <c r="M64" i="119" s="1"/>
  <c r="N64" i="119" s="1"/>
  <c r="P64" i="119" s="1"/>
  <c r="K73" i="114"/>
  <c r="L73" i="114" s="1"/>
  <c r="M73" i="114" s="1"/>
  <c r="N73" i="114" s="1"/>
  <c r="P73" i="114" s="1"/>
  <c r="K73" i="116"/>
  <c r="L73" i="116" s="1"/>
  <c r="S73" i="33" s="1"/>
  <c r="K73" i="118"/>
  <c r="L73" i="118" s="1"/>
  <c r="M73" i="118" s="1"/>
  <c r="K73" i="120"/>
  <c r="L73" i="120" s="1"/>
  <c r="M73" i="120" s="1"/>
  <c r="K18" i="114"/>
  <c r="L18" i="114" s="1"/>
  <c r="Q18" i="33" s="1"/>
  <c r="K18" i="116"/>
  <c r="L18" i="116" s="1"/>
  <c r="S18" i="33" s="1"/>
  <c r="K18" i="118"/>
  <c r="L18" i="118" s="1"/>
  <c r="M18" i="118" s="1"/>
  <c r="K18" i="120"/>
  <c r="L18" i="120" s="1"/>
  <c r="M18" i="120" s="1"/>
  <c r="K12" i="115"/>
  <c r="L12" i="115" s="1"/>
  <c r="M12" i="115" s="1"/>
  <c r="K12" i="117"/>
  <c r="L12" i="117" s="1"/>
  <c r="T12" i="33" s="1"/>
  <c r="K12" i="119"/>
  <c r="L12" i="119" s="1"/>
  <c r="K63" i="114"/>
  <c r="L63" i="114" s="1"/>
  <c r="M63" i="114" s="1"/>
  <c r="N63" i="114" s="1"/>
  <c r="P63" i="114" s="1"/>
  <c r="K63" i="116"/>
  <c r="L63" i="116" s="1"/>
  <c r="M63" i="116" s="1"/>
  <c r="N63" i="116" s="1"/>
  <c r="P63" i="116" s="1"/>
  <c r="K63" i="118"/>
  <c r="L63" i="118" s="1"/>
  <c r="M63" i="118" s="1"/>
  <c r="K63" i="120"/>
  <c r="L63" i="120" s="1"/>
  <c r="M63" i="120" s="1"/>
  <c r="I73" i="33"/>
  <c r="K73" i="33" s="1"/>
  <c r="AH73" i="33" s="1"/>
  <c r="I63" i="33"/>
  <c r="K63" i="33" s="1"/>
  <c r="AH63" i="33" s="1"/>
  <c r="I40" i="33"/>
  <c r="K40" i="33" s="1"/>
  <c r="AH40" i="33" s="1"/>
  <c r="N56" i="120"/>
  <c r="P56" i="120" s="1"/>
  <c r="W56" i="33"/>
  <c r="J26" i="113"/>
  <c r="N19" i="115"/>
  <c r="P19" i="115" s="1"/>
  <c r="R19" i="33"/>
  <c r="T19" i="33"/>
  <c r="M19" i="117"/>
  <c r="N19" i="117" s="1"/>
  <c r="P19" i="117" s="1"/>
  <c r="M19" i="119"/>
  <c r="N19" i="119" s="1"/>
  <c r="P19" i="119" s="1"/>
  <c r="I19" i="113"/>
  <c r="M74" i="114"/>
  <c r="N74" i="114" s="1"/>
  <c r="P74" i="114" s="1"/>
  <c r="Q74" i="33"/>
  <c r="W74" i="33"/>
  <c r="J66" i="113"/>
  <c r="R25" i="33"/>
  <c r="N25" i="115"/>
  <c r="P25" i="115" s="1"/>
  <c r="T25" i="33"/>
  <c r="M25" i="119"/>
  <c r="N25" i="119" s="1"/>
  <c r="P25" i="119" s="1"/>
  <c r="V25" i="33"/>
  <c r="I25" i="113"/>
  <c r="M39" i="114"/>
  <c r="N39" i="114" s="1"/>
  <c r="P39" i="114" s="1"/>
  <c r="Q39" i="33"/>
  <c r="M39" i="116"/>
  <c r="N39" i="116" s="1"/>
  <c r="P39" i="116" s="1"/>
  <c r="S39" i="33"/>
  <c r="U39" i="33"/>
  <c r="N39" i="118"/>
  <c r="P39" i="118" s="1"/>
  <c r="W39" i="33"/>
  <c r="N39" i="120"/>
  <c r="P39" i="120" s="1"/>
  <c r="J42" i="113"/>
  <c r="J55" i="113"/>
  <c r="R40" i="33"/>
  <c r="N40" i="115"/>
  <c r="P40" i="115" s="1"/>
  <c r="M40" i="117"/>
  <c r="N40" i="117" s="1"/>
  <c r="P40" i="117" s="1"/>
  <c r="I40" i="113"/>
  <c r="M18" i="114"/>
  <c r="N18" i="114" s="1"/>
  <c r="P18" i="114" s="1"/>
  <c r="U18" i="33"/>
  <c r="N18" i="118"/>
  <c r="P18" i="118" s="1"/>
  <c r="W18" i="33"/>
  <c r="J41" i="113"/>
  <c r="J46" i="113"/>
  <c r="R12" i="33"/>
  <c r="M12" i="117"/>
  <c r="N12" i="117" s="1"/>
  <c r="P12" i="117" s="1"/>
  <c r="V12" i="33"/>
  <c r="M12" i="119"/>
  <c r="N12" i="119" s="1"/>
  <c r="P12" i="119" s="1"/>
  <c r="I12" i="113"/>
  <c r="N63" i="118"/>
  <c r="P63" i="118" s="1"/>
  <c r="W63" i="33"/>
  <c r="N63" i="120"/>
  <c r="P63" i="120" s="1"/>
  <c r="J14" i="113"/>
  <c r="N69" i="115"/>
  <c r="P69" i="115" s="1"/>
  <c r="M69" i="117"/>
  <c r="N69" i="117" s="1"/>
  <c r="P69" i="117" s="1"/>
  <c r="M69" i="119"/>
  <c r="N69" i="119" s="1"/>
  <c r="P69" i="119" s="1"/>
  <c r="I69" i="113"/>
  <c r="M76" i="114"/>
  <c r="N76" i="114" s="1"/>
  <c r="P76" i="114" s="1"/>
  <c r="Q76" i="33"/>
  <c r="N76" i="118"/>
  <c r="P76" i="118" s="1"/>
  <c r="W76" i="33"/>
  <c r="J36" i="113"/>
  <c r="N73" i="115"/>
  <c r="P73" i="115" s="1"/>
  <c r="R73" i="33"/>
  <c r="V73" i="33"/>
  <c r="I73" i="113"/>
  <c r="Q15" i="33"/>
  <c r="M15" i="114"/>
  <c r="N15" i="114" s="1"/>
  <c r="P15" i="114" s="1"/>
  <c r="M15" i="116"/>
  <c r="N15" i="116" s="1"/>
  <c r="P15" i="116" s="1"/>
  <c r="U15" i="33"/>
  <c r="W15" i="33"/>
  <c r="J38" i="113"/>
  <c r="N51" i="115"/>
  <c r="P51" i="115" s="1"/>
  <c r="R51" i="33"/>
  <c r="V51" i="33"/>
  <c r="I51" i="113"/>
  <c r="Q34" i="33"/>
  <c r="M34" i="116"/>
  <c r="N34" i="116" s="1"/>
  <c r="P34" i="116" s="1"/>
  <c r="S34" i="33"/>
  <c r="J75" i="113"/>
  <c r="N56" i="115"/>
  <c r="P56" i="115" s="1"/>
  <c r="M56" i="117"/>
  <c r="N56" i="117" s="1"/>
  <c r="P56" i="117" s="1"/>
  <c r="T56" i="33"/>
  <c r="M56" i="119"/>
  <c r="N56" i="119" s="1"/>
  <c r="P56" i="119" s="1"/>
  <c r="I56" i="113"/>
  <c r="M26" i="116"/>
  <c r="N26" i="116" s="1"/>
  <c r="P26" i="116" s="1"/>
  <c r="N26" i="118"/>
  <c r="P26" i="118" s="1"/>
  <c r="U26" i="33"/>
  <c r="W26" i="33"/>
  <c r="J48" i="113"/>
  <c r="R74" i="33"/>
  <c r="T74" i="33"/>
  <c r="M74" i="117"/>
  <c r="N74" i="117" s="1"/>
  <c r="P74" i="117" s="1"/>
  <c r="I74" i="113"/>
  <c r="M66" i="114"/>
  <c r="N66" i="114" s="1"/>
  <c r="P66" i="114" s="1"/>
  <c r="S66" i="33"/>
  <c r="N66" i="118"/>
  <c r="P66" i="118" s="1"/>
  <c r="U66" i="33"/>
  <c r="W66" i="33"/>
  <c r="J22" i="113"/>
  <c r="T39" i="33"/>
  <c r="V39" i="33"/>
  <c r="M39" i="119"/>
  <c r="N39" i="119" s="1"/>
  <c r="P39" i="119" s="1"/>
  <c r="I39" i="113"/>
  <c r="M42" i="114"/>
  <c r="N42" i="114" s="1"/>
  <c r="P42" i="114" s="1"/>
  <c r="N42" i="118"/>
  <c r="P42" i="118" s="1"/>
  <c r="W42" i="33"/>
  <c r="N42" i="120"/>
  <c r="P42" i="120" s="1"/>
  <c r="J53" i="113"/>
  <c r="R47" i="33"/>
  <c r="T47" i="33"/>
  <c r="M47" i="119"/>
  <c r="N47" i="119" s="1"/>
  <c r="P47" i="119" s="1"/>
  <c r="I47" i="113"/>
  <c r="M40" i="114"/>
  <c r="N40" i="114" s="1"/>
  <c r="P40" i="114" s="1"/>
  <c r="Q40" i="33"/>
  <c r="N40" i="118"/>
  <c r="P40" i="118" s="1"/>
  <c r="N40" i="120"/>
  <c r="P40" i="120" s="1"/>
  <c r="J18" i="113"/>
  <c r="N66" i="31"/>
  <c r="M66" i="31"/>
  <c r="AE8" i="116"/>
  <c r="AC77" i="116"/>
  <c r="AN6" i="76"/>
  <c r="AC75" i="76"/>
  <c r="AC77" i="76" s="1"/>
  <c r="AE77" i="120"/>
  <c r="AD77" i="117"/>
  <c r="AO8" i="117"/>
  <c r="P8" i="128"/>
  <c r="N77" i="128"/>
  <c r="W14" i="100"/>
  <c r="AE77" i="115"/>
  <c r="AM77" i="113"/>
  <c r="W22" i="100"/>
  <c r="AD38" i="46"/>
  <c r="AA72" i="31"/>
  <c r="AD12" i="31"/>
  <c r="AB69" i="31"/>
  <c r="AC8" i="114"/>
  <c r="AM8" i="114"/>
  <c r="AB78" i="114"/>
  <c r="P8" i="125"/>
  <c r="N77" i="125"/>
  <c r="N77" i="126"/>
  <c r="P8" i="126"/>
  <c r="P8" i="127"/>
  <c r="N77" i="127"/>
  <c r="AM77" i="119"/>
  <c r="W6" i="100"/>
  <c r="Q46" i="33"/>
  <c r="M46" i="114"/>
  <c r="N46" i="114" s="1"/>
  <c r="P46" i="114" s="1"/>
  <c r="S46" i="33"/>
  <c r="N46" i="118"/>
  <c r="P46" i="118" s="1"/>
  <c r="U46" i="33"/>
  <c r="R67" i="33"/>
  <c r="T67" i="33"/>
  <c r="V67" i="33"/>
  <c r="I67" i="113"/>
  <c r="Q12" i="33"/>
  <c r="M12" i="114"/>
  <c r="N12" i="114" s="1"/>
  <c r="P12" i="114" s="1"/>
  <c r="N12" i="118"/>
  <c r="P12" i="118" s="1"/>
  <c r="W12" i="33"/>
  <c r="J63" i="113"/>
  <c r="R37" i="33"/>
  <c r="N37" i="115"/>
  <c r="P37" i="115" s="1"/>
  <c r="I37" i="113"/>
  <c r="M69" i="114"/>
  <c r="N69" i="114" s="1"/>
  <c r="P69" i="114" s="1"/>
  <c r="S69" i="33"/>
  <c r="M69" i="116"/>
  <c r="N69" i="116" s="1"/>
  <c r="P69" i="116" s="1"/>
  <c r="N69" i="118"/>
  <c r="P69" i="118" s="1"/>
  <c r="J76" i="113"/>
  <c r="N64" i="115"/>
  <c r="P64" i="115" s="1"/>
  <c r="M64" i="117"/>
  <c r="N64" i="117" s="1"/>
  <c r="P64" i="117" s="1"/>
  <c r="T64" i="33"/>
  <c r="V64" i="33"/>
  <c r="I64" i="113"/>
  <c r="M73" i="116"/>
  <c r="N73" i="116" s="1"/>
  <c r="P73" i="116" s="1"/>
  <c r="U73" i="33"/>
  <c r="N73" i="118"/>
  <c r="P73" i="118" s="1"/>
  <c r="J15" i="113"/>
  <c r="R50" i="33"/>
  <c r="N50" i="115"/>
  <c r="P50" i="115" s="1"/>
  <c r="M50" i="117"/>
  <c r="N50" i="117" s="1"/>
  <c r="P50" i="117" s="1"/>
  <c r="T50" i="33"/>
  <c r="V50" i="33"/>
  <c r="M50" i="119"/>
  <c r="N50" i="119" s="1"/>
  <c r="P50" i="119" s="1"/>
  <c r="I50" i="113"/>
  <c r="Q51" i="33"/>
  <c r="M51" i="114"/>
  <c r="N51" i="114" s="1"/>
  <c r="P51" i="114" s="1"/>
  <c r="S51" i="33"/>
  <c r="M51" i="116"/>
  <c r="N51" i="116" s="1"/>
  <c r="P51" i="116" s="1"/>
  <c r="N51" i="118"/>
  <c r="P51" i="118" s="1"/>
  <c r="U51" i="33"/>
  <c r="N51" i="120"/>
  <c r="P51" i="120" s="1"/>
  <c r="W51" i="33"/>
  <c r="J34" i="113"/>
  <c r="N60" i="115"/>
  <c r="P60" i="115" s="1"/>
  <c r="R60" i="33"/>
  <c r="M60" i="117"/>
  <c r="N60" i="117" s="1"/>
  <c r="P60" i="117" s="1"/>
  <c r="T60" i="33"/>
  <c r="V60" i="33"/>
  <c r="M60" i="119"/>
  <c r="N60" i="119" s="1"/>
  <c r="P60" i="119" s="1"/>
  <c r="I60" i="113"/>
  <c r="M56" i="114"/>
  <c r="N56" i="114" s="1"/>
  <c r="P56" i="114" s="1"/>
  <c r="Q56" i="33"/>
  <c r="S56" i="33"/>
  <c r="M56" i="116"/>
  <c r="N56" i="116" s="1"/>
  <c r="P56" i="116" s="1"/>
  <c r="U56" i="33"/>
  <c r="N56" i="118"/>
  <c r="P56" i="118" s="1"/>
  <c r="J67" i="113"/>
  <c r="K63" i="115"/>
  <c r="L63" i="115" s="1"/>
  <c r="M63" i="115" s="1"/>
  <c r="K63" i="117"/>
  <c r="L63" i="117" s="1"/>
  <c r="K63" i="119"/>
  <c r="L63" i="119" s="1"/>
  <c r="I63" i="113"/>
  <c r="K63" i="113" s="1"/>
  <c r="L63" i="113" s="1"/>
  <c r="K14" i="114"/>
  <c r="L14" i="114" s="1"/>
  <c r="K14" i="116"/>
  <c r="L14" i="116" s="1"/>
  <c r="K14" i="118"/>
  <c r="L14" i="118" s="1"/>
  <c r="M14" i="118" s="1"/>
  <c r="K14" i="120"/>
  <c r="L14" i="120" s="1"/>
  <c r="M14" i="120" s="1"/>
  <c r="J37" i="113"/>
  <c r="K76" i="115"/>
  <c r="L76" i="115" s="1"/>
  <c r="M76" i="115" s="1"/>
  <c r="K76" i="117"/>
  <c r="L76" i="117" s="1"/>
  <c r="K76" i="119"/>
  <c r="L76" i="119" s="1"/>
  <c r="I76" i="113"/>
  <c r="K36" i="114"/>
  <c r="L36" i="114" s="1"/>
  <c r="K36" i="116"/>
  <c r="L36" i="116" s="1"/>
  <c r="K36" i="118"/>
  <c r="L36" i="118" s="1"/>
  <c r="M36" i="118" s="1"/>
  <c r="K36" i="120"/>
  <c r="L36" i="120" s="1"/>
  <c r="M36" i="120" s="1"/>
  <c r="J64" i="113"/>
  <c r="K15" i="115"/>
  <c r="L15" i="115" s="1"/>
  <c r="M15" i="115" s="1"/>
  <c r="K15" i="117"/>
  <c r="L15" i="117" s="1"/>
  <c r="K15" i="119"/>
  <c r="L15" i="119" s="1"/>
  <c r="I15" i="113"/>
  <c r="K15" i="113" s="1"/>
  <c r="L15" i="113" s="1"/>
  <c r="K38" i="114"/>
  <c r="L38" i="114" s="1"/>
  <c r="K38" i="116"/>
  <c r="L38" i="116" s="1"/>
  <c r="K38" i="118"/>
  <c r="L38" i="118" s="1"/>
  <c r="M38" i="118" s="1"/>
  <c r="K38" i="120"/>
  <c r="L38" i="120" s="1"/>
  <c r="M38" i="120" s="1"/>
  <c r="J50" i="113"/>
  <c r="K34" i="115"/>
  <c r="L34" i="115" s="1"/>
  <c r="M34" i="115" s="1"/>
  <c r="K34" i="117"/>
  <c r="L34" i="117" s="1"/>
  <c r="K34" i="119"/>
  <c r="L34" i="119" s="1"/>
  <c r="I34" i="113"/>
  <c r="K75" i="114"/>
  <c r="L75" i="114" s="1"/>
  <c r="K75" i="116"/>
  <c r="L75" i="116" s="1"/>
  <c r="K75" i="118"/>
  <c r="L75" i="118" s="1"/>
  <c r="M75" i="118" s="1"/>
  <c r="K75" i="120"/>
  <c r="L75" i="120" s="1"/>
  <c r="M75" i="120" s="1"/>
  <c r="J60" i="113"/>
  <c r="K26" i="115"/>
  <c r="L26" i="115" s="1"/>
  <c r="M26" i="115" s="1"/>
  <c r="K26" i="117"/>
  <c r="L26" i="117" s="1"/>
  <c r="K26" i="119"/>
  <c r="L26" i="119" s="1"/>
  <c r="I26" i="113"/>
  <c r="K26" i="113" s="1"/>
  <c r="L26" i="113" s="1"/>
  <c r="K48" i="114"/>
  <c r="L48" i="114" s="1"/>
  <c r="K48" i="116"/>
  <c r="L48" i="116" s="1"/>
  <c r="K48" i="118"/>
  <c r="L48" i="118" s="1"/>
  <c r="M48" i="118" s="1"/>
  <c r="K48" i="120"/>
  <c r="L48" i="120" s="1"/>
  <c r="M48" i="120" s="1"/>
  <c r="J19" i="113"/>
  <c r="K66" i="115"/>
  <c r="L66" i="115" s="1"/>
  <c r="M66" i="115" s="1"/>
  <c r="K66" i="117"/>
  <c r="L66" i="117" s="1"/>
  <c r="K66" i="119"/>
  <c r="L66" i="119" s="1"/>
  <c r="I66" i="113"/>
  <c r="K66" i="113" s="1"/>
  <c r="L66" i="113" s="1"/>
  <c r="K22" i="114"/>
  <c r="L22" i="114" s="1"/>
  <c r="K22" i="116"/>
  <c r="L22" i="116" s="1"/>
  <c r="K22" i="118"/>
  <c r="L22" i="118" s="1"/>
  <c r="M22" i="118" s="1"/>
  <c r="K22" i="120"/>
  <c r="L22" i="120" s="1"/>
  <c r="M22" i="120" s="1"/>
  <c r="J25" i="113"/>
  <c r="K42" i="115"/>
  <c r="L42" i="115" s="1"/>
  <c r="M42" i="115" s="1"/>
  <c r="K42" i="117"/>
  <c r="L42" i="117" s="1"/>
  <c r="K42" i="119"/>
  <c r="L42" i="119" s="1"/>
  <c r="I42" i="113"/>
  <c r="K42" i="113" s="1"/>
  <c r="L42" i="113" s="1"/>
  <c r="K53" i="114"/>
  <c r="L53" i="114" s="1"/>
  <c r="K53" i="116"/>
  <c r="L53" i="116" s="1"/>
  <c r="K53" i="118"/>
  <c r="L53" i="118" s="1"/>
  <c r="M53" i="118" s="1"/>
  <c r="K53" i="120"/>
  <c r="L53" i="120" s="1"/>
  <c r="M53" i="120" s="1"/>
  <c r="K55" i="115"/>
  <c r="L55" i="115" s="1"/>
  <c r="M55" i="115" s="1"/>
  <c r="K55" i="117"/>
  <c r="L55" i="117" s="1"/>
  <c r="K55" i="119"/>
  <c r="L55" i="119" s="1"/>
  <c r="I55" i="113"/>
  <c r="K55" i="113" s="1"/>
  <c r="L55" i="113" s="1"/>
  <c r="K47" i="114"/>
  <c r="L47" i="114" s="1"/>
  <c r="K47" i="116"/>
  <c r="L47" i="116" s="1"/>
  <c r="K47" i="118"/>
  <c r="L47" i="118" s="1"/>
  <c r="M47" i="118" s="1"/>
  <c r="K47" i="120"/>
  <c r="L47" i="120" s="1"/>
  <c r="M47" i="120" s="1"/>
  <c r="J40" i="113"/>
  <c r="K41" i="115"/>
  <c r="L41" i="115" s="1"/>
  <c r="M41" i="115" s="1"/>
  <c r="K41" i="117"/>
  <c r="L41" i="117" s="1"/>
  <c r="K41" i="119"/>
  <c r="L41" i="119" s="1"/>
  <c r="I41" i="113"/>
  <c r="K46" i="115"/>
  <c r="L46" i="115" s="1"/>
  <c r="M46" i="115" s="1"/>
  <c r="K46" i="117"/>
  <c r="L46" i="117" s="1"/>
  <c r="K46" i="119"/>
  <c r="L46" i="119" s="1"/>
  <c r="I46" i="113"/>
  <c r="K46" i="113" s="1"/>
  <c r="L46" i="113" s="1"/>
  <c r="K67" i="114"/>
  <c r="L67" i="114" s="1"/>
  <c r="K67" i="116"/>
  <c r="L67" i="116" s="1"/>
  <c r="K67" i="118"/>
  <c r="L67" i="118" s="1"/>
  <c r="M67" i="118" s="1"/>
  <c r="K67" i="120"/>
  <c r="L67" i="120" s="1"/>
  <c r="M67" i="120" s="1"/>
  <c r="J12" i="113"/>
  <c r="K14" i="115"/>
  <c r="L14" i="115" s="1"/>
  <c r="M14" i="115" s="1"/>
  <c r="K14" i="117"/>
  <c r="L14" i="117" s="1"/>
  <c r="K14" i="119"/>
  <c r="L14" i="119" s="1"/>
  <c r="I14" i="113"/>
  <c r="K14" i="113" s="1"/>
  <c r="L14" i="113" s="1"/>
  <c r="K37" i="114"/>
  <c r="L37" i="114" s="1"/>
  <c r="K37" i="116"/>
  <c r="L37" i="116" s="1"/>
  <c r="K37" i="118"/>
  <c r="L37" i="118" s="1"/>
  <c r="M37" i="118" s="1"/>
  <c r="K37" i="120"/>
  <c r="L37" i="120" s="1"/>
  <c r="M37" i="120" s="1"/>
  <c r="J69" i="113"/>
  <c r="K36" i="115"/>
  <c r="L36" i="115" s="1"/>
  <c r="M36" i="115" s="1"/>
  <c r="K36" i="117"/>
  <c r="L36" i="117" s="1"/>
  <c r="K36" i="119"/>
  <c r="L36" i="119" s="1"/>
  <c r="I36" i="113"/>
  <c r="K64" i="114"/>
  <c r="L64" i="114" s="1"/>
  <c r="K64" i="116"/>
  <c r="L64" i="116" s="1"/>
  <c r="K64" i="118"/>
  <c r="L64" i="118" s="1"/>
  <c r="M64" i="118" s="1"/>
  <c r="K64" i="120"/>
  <c r="L64" i="120" s="1"/>
  <c r="M64" i="120" s="1"/>
  <c r="J73" i="113"/>
  <c r="K38" i="115"/>
  <c r="L38" i="115" s="1"/>
  <c r="M38" i="115" s="1"/>
  <c r="K38" i="117"/>
  <c r="L38" i="117" s="1"/>
  <c r="K38" i="119"/>
  <c r="L38" i="119" s="1"/>
  <c r="I38" i="113"/>
  <c r="K38" i="113" s="1"/>
  <c r="L38" i="113" s="1"/>
  <c r="K50" i="114"/>
  <c r="L50" i="114" s="1"/>
  <c r="K50" i="116"/>
  <c r="L50" i="116" s="1"/>
  <c r="K50" i="118"/>
  <c r="L50" i="118" s="1"/>
  <c r="M50" i="118" s="1"/>
  <c r="K50" i="120"/>
  <c r="L50" i="120" s="1"/>
  <c r="M50" i="120" s="1"/>
  <c r="J51" i="113"/>
  <c r="K75" i="115"/>
  <c r="L75" i="115" s="1"/>
  <c r="M75" i="115" s="1"/>
  <c r="K75" i="117"/>
  <c r="L75" i="117" s="1"/>
  <c r="K75" i="119"/>
  <c r="L75" i="119" s="1"/>
  <c r="I75" i="113"/>
  <c r="K60" i="114"/>
  <c r="L60" i="114" s="1"/>
  <c r="K60" i="116"/>
  <c r="L60" i="116" s="1"/>
  <c r="K60" i="118"/>
  <c r="L60" i="118" s="1"/>
  <c r="M60" i="118" s="1"/>
  <c r="K60" i="120"/>
  <c r="L60" i="120" s="1"/>
  <c r="M60" i="120" s="1"/>
  <c r="J56" i="113"/>
  <c r="K48" i="115"/>
  <c r="L48" i="115" s="1"/>
  <c r="M48" i="115" s="1"/>
  <c r="K48" i="117"/>
  <c r="L48" i="117" s="1"/>
  <c r="K48" i="119"/>
  <c r="L48" i="119" s="1"/>
  <c r="I48" i="113"/>
  <c r="K48" i="113" s="1"/>
  <c r="L48" i="113" s="1"/>
  <c r="K19" i="114"/>
  <c r="L19" i="114" s="1"/>
  <c r="K19" i="116"/>
  <c r="L19" i="116" s="1"/>
  <c r="K19" i="118"/>
  <c r="L19" i="118" s="1"/>
  <c r="M19" i="118" s="1"/>
  <c r="K19" i="120"/>
  <c r="L19" i="120" s="1"/>
  <c r="M19" i="120" s="1"/>
  <c r="J74" i="113"/>
  <c r="K22" i="115"/>
  <c r="L22" i="115" s="1"/>
  <c r="M22" i="115" s="1"/>
  <c r="K22" i="117"/>
  <c r="L22" i="117" s="1"/>
  <c r="K22" i="119"/>
  <c r="L22" i="119" s="1"/>
  <c r="I22" i="113"/>
  <c r="K25" i="114"/>
  <c r="L25" i="114" s="1"/>
  <c r="K25" i="116"/>
  <c r="L25" i="116" s="1"/>
  <c r="K25" i="118"/>
  <c r="L25" i="118" s="1"/>
  <c r="M25" i="118" s="1"/>
  <c r="K25" i="120"/>
  <c r="L25" i="120" s="1"/>
  <c r="M25" i="120" s="1"/>
  <c r="J39" i="113"/>
  <c r="K53" i="115"/>
  <c r="L53" i="115" s="1"/>
  <c r="M53" i="115" s="1"/>
  <c r="K53" i="117"/>
  <c r="L53" i="117" s="1"/>
  <c r="K53" i="119"/>
  <c r="L53" i="119" s="1"/>
  <c r="I53" i="113"/>
  <c r="K53" i="113" s="1"/>
  <c r="L53" i="113" s="1"/>
  <c r="K55" i="114"/>
  <c r="L55" i="114" s="1"/>
  <c r="K55" i="116"/>
  <c r="L55" i="116" s="1"/>
  <c r="K55" i="118"/>
  <c r="L55" i="118" s="1"/>
  <c r="M55" i="118" s="1"/>
  <c r="K55" i="120"/>
  <c r="L55" i="120" s="1"/>
  <c r="M55" i="120" s="1"/>
  <c r="J47" i="113"/>
  <c r="K18" i="115"/>
  <c r="L18" i="115" s="1"/>
  <c r="M18" i="115" s="1"/>
  <c r="K18" i="117"/>
  <c r="L18" i="117" s="1"/>
  <c r="K18" i="119"/>
  <c r="L18" i="119" s="1"/>
  <c r="I18" i="113"/>
  <c r="K41" i="114"/>
  <c r="L41" i="114" s="1"/>
  <c r="K41" i="116"/>
  <c r="L41" i="116" s="1"/>
  <c r="K41" i="118"/>
  <c r="L41" i="118" s="1"/>
  <c r="M41" i="118" s="1"/>
  <c r="K41" i="120"/>
  <c r="L41" i="120" s="1"/>
  <c r="M41" i="120" s="1"/>
  <c r="AM77" i="116"/>
  <c r="AD6" i="76"/>
  <c r="AE8" i="117"/>
  <c r="AG44" i="46"/>
  <c r="P8" i="131"/>
  <c r="N77" i="131"/>
  <c r="AE77" i="118"/>
  <c r="AK28" i="46"/>
  <c r="AH30" i="46"/>
  <c r="AK10" i="46"/>
  <c r="AH18" i="46"/>
  <c r="AH38" i="46" s="1"/>
  <c r="M22" i="5"/>
  <c r="AC77" i="119"/>
  <c r="AE8" i="119"/>
  <c r="AE77" i="113"/>
  <c r="I23" i="46"/>
  <c r="K23" i="46" s="1"/>
  <c r="L23" i="46" s="1"/>
  <c r="I35" i="46"/>
  <c r="K44" i="76"/>
  <c r="J44" i="76"/>
  <c r="K35" i="80"/>
  <c r="J35" i="80"/>
  <c r="K67" i="80"/>
  <c r="J67" i="80"/>
  <c r="K62" i="76"/>
  <c r="J62" i="76"/>
  <c r="K71" i="80"/>
  <c r="J71" i="80"/>
  <c r="K46" i="76"/>
  <c r="J46" i="76"/>
  <c r="K40" i="76"/>
  <c r="J40" i="76"/>
  <c r="K39" i="80"/>
  <c r="J39" i="80"/>
  <c r="K36" i="76"/>
  <c r="J36" i="76"/>
  <c r="K45" i="76"/>
  <c r="J45" i="76"/>
  <c r="K58" i="76"/>
  <c r="J58" i="76"/>
  <c r="K65" i="76"/>
  <c r="J65" i="76"/>
  <c r="K74" i="76"/>
  <c r="J74" i="76"/>
  <c r="K34" i="76"/>
  <c r="J34" i="76"/>
  <c r="K48" i="76"/>
  <c r="J48" i="76"/>
  <c r="K53" i="76"/>
  <c r="J53" i="76"/>
  <c r="K38" i="76"/>
  <c r="J38" i="76"/>
  <c r="K61" i="76"/>
  <c r="J61" i="76"/>
  <c r="K54" i="76"/>
  <c r="J54" i="76"/>
  <c r="K72" i="76"/>
  <c r="J72" i="76"/>
  <c r="K64" i="76"/>
  <c r="J64" i="76"/>
  <c r="K23" i="80"/>
  <c r="J23" i="80"/>
  <c r="K37" i="76"/>
  <c r="J37" i="76"/>
  <c r="K51" i="80"/>
  <c r="J51" i="80"/>
  <c r="K49" i="76"/>
  <c r="J49" i="76"/>
  <c r="K32" i="76"/>
  <c r="J32" i="76"/>
  <c r="K73" i="76"/>
  <c r="J73" i="76"/>
  <c r="I27" i="33"/>
  <c r="K27" i="33" s="1"/>
  <c r="AH27" i="33" s="1"/>
  <c r="J27" i="120"/>
  <c r="I27" i="120"/>
  <c r="J27" i="118"/>
  <c r="I27" i="118"/>
  <c r="J27" i="116"/>
  <c r="I27" i="116"/>
  <c r="J27" i="114"/>
  <c r="I27" i="114"/>
  <c r="J9" i="119"/>
  <c r="I9" i="119"/>
  <c r="J9" i="117"/>
  <c r="I9" i="117"/>
  <c r="J9" i="115"/>
  <c r="I9" i="115"/>
  <c r="I71" i="33"/>
  <c r="K71" i="33" s="1"/>
  <c r="AH71" i="33" s="1"/>
  <c r="J71" i="120"/>
  <c r="I71" i="120"/>
  <c r="J71" i="118"/>
  <c r="I71" i="118"/>
  <c r="J71" i="116"/>
  <c r="I71" i="116"/>
  <c r="J71" i="114"/>
  <c r="I71" i="114"/>
  <c r="J10" i="119"/>
  <c r="I10" i="119"/>
  <c r="J10" i="117"/>
  <c r="I10" i="117"/>
  <c r="J10" i="115"/>
  <c r="I10" i="115"/>
  <c r="I23" i="33"/>
  <c r="K23" i="33" s="1"/>
  <c r="AH23" i="33" s="1"/>
  <c r="J23" i="120"/>
  <c r="I23" i="120"/>
  <c r="J23" i="118"/>
  <c r="I23" i="118"/>
  <c r="J23" i="116"/>
  <c r="I23" i="116"/>
  <c r="J23" i="114"/>
  <c r="I23" i="114"/>
  <c r="J29" i="119"/>
  <c r="I29" i="119"/>
  <c r="J29" i="117"/>
  <c r="I29" i="117"/>
  <c r="J29" i="115"/>
  <c r="I29" i="115"/>
  <c r="I54" i="33"/>
  <c r="K54" i="33" s="1"/>
  <c r="AH54" i="33" s="1"/>
  <c r="J54" i="120"/>
  <c r="I54" i="120"/>
  <c r="J54" i="118"/>
  <c r="I54" i="118"/>
  <c r="J54" i="116"/>
  <c r="I54" i="116"/>
  <c r="J54" i="114"/>
  <c r="I54" i="114"/>
  <c r="J32" i="119"/>
  <c r="I32" i="119"/>
  <c r="J32" i="117"/>
  <c r="I32" i="117"/>
  <c r="J32" i="115"/>
  <c r="I32" i="115"/>
  <c r="I33" i="33"/>
  <c r="K33" i="33" s="1"/>
  <c r="AH33" i="33" s="1"/>
  <c r="J33" i="120"/>
  <c r="I33" i="120"/>
  <c r="J33" i="118"/>
  <c r="I33" i="118"/>
  <c r="J33" i="116"/>
  <c r="I33" i="116"/>
  <c r="J33" i="114"/>
  <c r="I33" i="114"/>
  <c r="J30" i="119"/>
  <c r="I30" i="119"/>
  <c r="J30" i="117"/>
  <c r="I30" i="117"/>
  <c r="J30" i="115"/>
  <c r="I30" i="115"/>
  <c r="I58" i="33"/>
  <c r="K58" i="33" s="1"/>
  <c r="AH58" i="33" s="1"/>
  <c r="J58" i="120"/>
  <c r="I58" i="120"/>
  <c r="J58" i="118"/>
  <c r="I58" i="118"/>
  <c r="J58" i="116"/>
  <c r="I58" i="116"/>
  <c r="J58" i="114"/>
  <c r="I58" i="114"/>
  <c r="J17" i="119"/>
  <c r="I17" i="119"/>
  <c r="J17" i="117"/>
  <c r="I17" i="117"/>
  <c r="J17" i="115"/>
  <c r="I17" i="115"/>
  <c r="I57" i="33"/>
  <c r="K57" i="33" s="1"/>
  <c r="AH57" i="33" s="1"/>
  <c r="J57" i="120"/>
  <c r="I57" i="120"/>
  <c r="J57" i="118"/>
  <c r="I57" i="118"/>
  <c r="J57" i="116"/>
  <c r="I57" i="116"/>
  <c r="J57" i="114"/>
  <c r="I57" i="114"/>
  <c r="J59" i="119"/>
  <c r="I59" i="119"/>
  <c r="J59" i="117"/>
  <c r="I59" i="117"/>
  <c r="J59" i="115"/>
  <c r="I59" i="115"/>
  <c r="I52" i="33"/>
  <c r="K52" i="33" s="1"/>
  <c r="AH52" i="33" s="1"/>
  <c r="J52" i="120"/>
  <c r="I52" i="120"/>
  <c r="J52" i="118"/>
  <c r="I52" i="118"/>
  <c r="J52" i="116"/>
  <c r="I52" i="116"/>
  <c r="J52" i="114"/>
  <c r="I52" i="114"/>
  <c r="J61" i="119"/>
  <c r="I61" i="119"/>
  <c r="J61" i="117"/>
  <c r="I61" i="117"/>
  <c r="J61" i="115"/>
  <c r="I61" i="115"/>
  <c r="I31" i="33"/>
  <c r="K31" i="33" s="1"/>
  <c r="AH31" i="33" s="1"/>
  <c r="J31" i="120"/>
  <c r="I31" i="120"/>
  <c r="J31" i="118"/>
  <c r="I31" i="118"/>
  <c r="J31" i="116"/>
  <c r="I31" i="116"/>
  <c r="J31" i="114"/>
  <c r="I31" i="114"/>
  <c r="J28" i="119"/>
  <c r="I28" i="119"/>
  <c r="J28" i="117"/>
  <c r="I28" i="117"/>
  <c r="J28" i="115"/>
  <c r="I28" i="115"/>
  <c r="I44" i="33"/>
  <c r="K44" i="33" s="1"/>
  <c r="AH44" i="33" s="1"/>
  <c r="J44" i="120"/>
  <c r="I44" i="120"/>
  <c r="J44" i="118"/>
  <c r="I44" i="118"/>
  <c r="J44" i="116"/>
  <c r="I44" i="116"/>
  <c r="K44" i="116" s="1"/>
  <c r="L44" i="116" s="1"/>
  <c r="J44" i="114"/>
  <c r="I44" i="114"/>
  <c r="K44" i="114" s="1"/>
  <c r="L44" i="114" s="1"/>
  <c r="J62" i="119"/>
  <c r="I62" i="119"/>
  <c r="K62" i="119" s="1"/>
  <c r="L62" i="119" s="1"/>
  <c r="J62" i="117"/>
  <c r="I62" i="117"/>
  <c r="K62" i="117" s="1"/>
  <c r="L62" i="117" s="1"/>
  <c r="J62" i="115"/>
  <c r="I62" i="115"/>
  <c r="K62" i="115" s="1"/>
  <c r="L62" i="115" s="1"/>
  <c r="M62" i="115" s="1"/>
  <c r="I49" i="33"/>
  <c r="K49" i="33" s="1"/>
  <c r="AH49" i="33" s="1"/>
  <c r="J49" i="120"/>
  <c r="I49" i="120"/>
  <c r="J49" i="118"/>
  <c r="I49" i="118"/>
  <c r="J49" i="116"/>
  <c r="I49" i="116"/>
  <c r="J49" i="114"/>
  <c r="I49" i="114"/>
  <c r="J68" i="119"/>
  <c r="I68" i="119"/>
  <c r="J68" i="117"/>
  <c r="I68" i="117"/>
  <c r="J68" i="115"/>
  <c r="I68" i="115"/>
  <c r="J77" i="114"/>
  <c r="I77" i="114"/>
  <c r="J35" i="119"/>
  <c r="I35" i="119"/>
  <c r="J35" i="117"/>
  <c r="I35" i="117"/>
  <c r="J35" i="115"/>
  <c r="I35" i="115"/>
  <c r="I43" i="33"/>
  <c r="K43" i="33" s="1"/>
  <c r="J43" i="120"/>
  <c r="I43" i="120"/>
  <c r="K43" i="120" s="1"/>
  <c r="L43" i="120" s="1"/>
  <c r="M43" i="120" s="1"/>
  <c r="J43" i="118"/>
  <c r="I43" i="118"/>
  <c r="K43" i="118" s="1"/>
  <c r="L43" i="118" s="1"/>
  <c r="M43" i="118" s="1"/>
  <c r="J43" i="116"/>
  <c r="I43" i="116"/>
  <c r="K43" i="116" s="1"/>
  <c r="L43" i="116" s="1"/>
  <c r="J43" i="114"/>
  <c r="I43" i="114"/>
  <c r="K43" i="114" s="1"/>
  <c r="L43" i="114" s="1"/>
  <c r="J24" i="119"/>
  <c r="I24" i="119"/>
  <c r="K24" i="119" s="1"/>
  <c r="L24" i="119" s="1"/>
  <c r="J24" i="117"/>
  <c r="I24" i="117"/>
  <c r="K24" i="117" s="1"/>
  <c r="L24" i="117" s="1"/>
  <c r="J24" i="115"/>
  <c r="I24" i="115"/>
  <c r="K24" i="115" s="1"/>
  <c r="L24" i="115" s="1"/>
  <c r="M24" i="115" s="1"/>
  <c r="I65" i="33"/>
  <c r="K65" i="33" s="1"/>
  <c r="AH65" i="33" s="1"/>
  <c r="J65" i="120"/>
  <c r="I65" i="120"/>
  <c r="J65" i="118"/>
  <c r="I65" i="118"/>
  <c r="J65" i="116"/>
  <c r="I65" i="116"/>
  <c r="J65" i="114"/>
  <c r="I65" i="114"/>
  <c r="J21" i="119"/>
  <c r="I21" i="119"/>
  <c r="J21" i="117"/>
  <c r="I21" i="117"/>
  <c r="J21" i="115"/>
  <c r="I21" i="115"/>
  <c r="I13" i="33"/>
  <c r="K13" i="33" s="1"/>
  <c r="AH13" i="33" s="1"/>
  <c r="J13" i="120"/>
  <c r="I13" i="120"/>
  <c r="K13" i="120" s="1"/>
  <c r="L13" i="120" s="1"/>
  <c r="M13" i="120" s="1"/>
  <c r="J13" i="118"/>
  <c r="I13" i="118"/>
  <c r="K13" i="118" s="1"/>
  <c r="L13" i="118" s="1"/>
  <c r="M13" i="118" s="1"/>
  <c r="J13" i="116"/>
  <c r="I13" i="116"/>
  <c r="K13" i="116" s="1"/>
  <c r="L13" i="116" s="1"/>
  <c r="J13" i="114"/>
  <c r="I13" i="114"/>
  <c r="K13" i="114" s="1"/>
  <c r="L13" i="114" s="1"/>
  <c r="J45" i="119"/>
  <c r="I45" i="119"/>
  <c r="K45" i="119" s="1"/>
  <c r="L45" i="119" s="1"/>
  <c r="J45" i="117"/>
  <c r="I45" i="117"/>
  <c r="K45" i="117" s="1"/>
  <c r="L45" i="117" s="1"/>
  <c r="J45" i="115"/>
  <c r="I45" i="115"/>
  <c r="K45" i="115" s="1"/>
  <c r="L45" i="115" s="1"/>
  <c r="M45" i="115" s="1"/>
  <c r="I70" i="33"/>
  <c r="K70" i="33" s="1"/>
  <c r="AH70" i="33" s="1"/>
  <c r="J70" i="120"/>
  <c r="I70" i="120"/>
  <c r="J70" i="118"/>
  <c r="I70" i="118"/>
  <c r="J70" i="116"/>
  <c r="I70" i="116"/>
  <c r="J70" i="114"/>
  <c r="I70" i="114"/>
  <c r="J72" i="119"/>
  <c r="I72" i="119"/>
  <c r="J72" i="117"/>
  <c r="I72" i="117"/>
  <c r="J72" i="115"/>
  <c r="I72" i="115"/>
  <c r="I20" i="33"/>
  <c r="K20" i="33" s="1"/>
  <c r="AH20" i="33" s="1"/>
  <c r="J20" i="120"/>
  <c r="I20" i="120"/>
  <c r="K20" i="120" s="1"/>
  <c r="L20" i="120" s="1"/>
  <c r="M20" i="120" s="1"/>
  <c r="J20" i="118"/>
  <c r="I20" i="118"/>
  <c r="K20" i="118" s="1"/>
  <c r="L20" i="118" s="1"/>
  <c r="M20" i="118" s="1"/>
  <c r="J20" i="116"/>
  <c r="I20" i="116"/>
  <c r="K20" i="116" s="1"/>
  <c r="L20" i="116" s="1"/>
  <c r="J20" i="114"/>
  <c r="I20" i="114"/>
  <c r="K20" i="114" s="1"/>
  <c r="L20" i="114" s="1"/>
  <c r="J11" i="119"/>
  <c r="I11" i="119"/>
  <c r="K11" i="119" s="1"/>
  <c r="L11" i="119" s="1"/>
  <c r="J11" i="117"/>
  <c r="I11" i="117"/>
  <c r="K11" i="117" s="1"/>
  <c r="L11" i="117" s="1"/>
  <c r="J11" i="115"/>
  <c r="I11" i="115"/>
  <c r="K11" i="115" s="1"/>
  <c r="L11" i="115" s="1"/>
  <c r="M11" i="115" s="1"/>
  <c r="J27" i="119"/>
  <c r="I27" i="119"/>
  <c r="J27" i="117"/>
  <c r="I27" i="117"/>
  <c r="J27" i="115"/>
  <c r="I27" i="115"/>
  <c r="I9" i="33"/>
  <c r="K9" i="33" s="1"/>
  <c r="AH9" i="33" s="1"/>
  <c r="J9" i="120"/>
  <c r="I9" i="120"/>
  <c r="J9" i="118"/>
  <c r="I9" i="118"/>
  <c r="J9" i="116"/>
  <c r="I9" i="116"/>
  <c r="J9" i="114"/>
  <c r="I9" i="114"/>
  <c r="J71" i="119"/>
  <c r="I71" i="119"/>
  <c r="J71" i="117"/>
  <c r="I71" i="117"/>
  <c r="J71" i="115"/>
  <c r="I71" i="115"/>
  <c r="I10" i="33"/>
  <c r="K10" i="33" s="1"/>
  <c r="AH10" i="33" s="1"/>
  <c r="J10" i="120"/>
  <c r="I10" i="120"/>
  <c r="K10" i="120" s="1"/>
  <c r="L10" i="120" s="1"/>
  <c r="M10" i="120" s="1"/>
  <c r="J10" i="118"/>
  <c r="I10" i="118"/>
  <c r="K10" i="118" s="1"/>
  <c r="L10" i="118" s="1"/>
  <c r="M10" i="118" s="1"/>
  <c r="J10" i="116"/>
  <c r="I10" i="116"/>
  <c r="K10" i="116" s="1"/>
  <c r="L10" i="116" s="1"/>
  <c r="J10" i="114"/>
  <c r="I10" i="114"/>
  <c r="K10" i="114" s="1"/>
  <c r="L10" i="114" s="1"/>
  <c r="J23" i="119"/>
  <c r="I23" i="119"/>
  <c r="K23" i="119" s="1"/>
  <c r="L23" i="119" s="1"/>
  <c r="J23" i="117"/>
  <c r="I23" i="117"/>
  <c r="K23" i="117" s="1"/>
  <c r="L23" i="117" s="1"/>
  <c r="J23" i="115"/>
  <c r="I23" i="115"/>
  <c r="K23" i="115" s="1"/>
  <c r="L23" i="115" s="1"/>
  <c r="M23" i="115" s="1"/>
  <c r="I29" i="33"/>
  <c r="K29" i="33" s="1"/>
  <c r="AH29" i="33" s="1"/>
  <c r="J29" i="120"/>
  <c r="I29" i="120"/>
  <c r="J29" i="118"/>
  <c r="I29" i="118"/>
  <c r="J29" i="116"/>
  <c r="I29" i="116"/>
  <c r="J29" i="114"/>
  <c r="I29" i="114"/>
  <c r="J54" i="119"/>
  <c r="I54" i="119"/>
  <c r="J54" i="117"/>
  <c r="I54" i="117"/>
  <c r="J54" i="115"/>
  <c r="I54" i="115"/>
  <c r="I32" i="33"/>
  <c r="K32" i="33" s="1"/>
  <c r="AH32" i="33" s="1"/>
  <c r="J32" i="120"/>
  <c r="I32" i="120"/>
  <c r="K32" i="120" s="1"/>
  <c r="L32" i="120" s="1"/>
  <c r="M32" i="120" s="1"/>
  <c r="J32" i="118"/>
  <c r="I32" i="118"/>
  <c r="K32" i="118" s="1"/>
  <c r="L32" i="118" s="1"/>
  <c r="M32" i="118" s="1"/>
  <c r="J32" i="116"/>
  <c r="I32" i="116"/>
  <c r="K32" i="116" s="1"/>
  <c r="L32" i="116" s="1"/>
  <c r="J32" i="114"/>
  <c r="I32" i="114"/>
  <c r="K32" i="114" s="1"/>
  <c r="L32" i="114" s="1"/>
  <c r="J33" i="119"/>
  <c r="I33" i="119"/>
  <c r="K33" i="119" s="1"/>
  <c r="L33" i="119" s="1"/>
  <c r="J33" i="117"/>
  <c r="I33" i="117"/>
  <c r="K33" i="117" s="1"/>
  <c r="L33" i="117" s="1"/>
  <c r="J33" i="115"/>
  <c r="I33" i="115"/>
  <c r="K33" i="115" s="1"/>
  <c r="L33" i="115" s="1"/>
  <c r="M33" i="115" s="1"/>
  <c r="I30" i="33"/>
  <c r="K30" i="33" s="1"/>
  <c r="AH30" i="33" s="1"/>
  <c r="J30" i="120"/>
  <c r="I30" i="120"/>
  <c r="J30" i="118"/>
  <c r="I30" i="118"/>
  <c r="J30" i="116"/>
  <c r="I30" i="116"/>
  <c r="J30" i="114"/>
  <c r="I30" i="114"/>
  <c r="J58" i="119"/>
  <c r="I58" i="119"/>
  <c r="J58" i="117"/>
  <c r="I58" i="117"/>
  <c r="J58" i="115"/>
  <c r="I58" i="115"/>
  <c r="I17" i="33"/>
  <c r="K17" i="33" s="1"/>
  <c r="AH17" i="33" s="1"/>
  <c r="J17" i="120"/>
  <c r="I17" i="120"/>
  <c r="J17" i="118"/>
  <c r="I17" i="118"/>
  <c r="J17" i="116"/>
  <c r="I17" i="116"/>
  <c r="K17" i="116" s="1"/>
  <c r="L17" i="116" s="1"/>
  <c r="J17" i="114"/>
  <c r="I17" i="114"/>
  <c r="K17" i="114" s="1"/>
  <c r="L17" i="114" s="1"/>
  <c r="J57" i="119"/>
  <c r="I57" i="119"/>
  <c r="K57" i="119" s="1"/>
  <c r="L57" i="119" s="1"/>
  <c r="J57" i="117"/>
  <c r="I57" i="117"/>
  <c r="K57" i="117" s="1"/>
  <c r="L57" i="117" s="1"/>
  <c r="J57" i="115"/>
  <c r="I57" i="115"/>
  <c r="K57" i="115" s="1"/>
  <c r="L57" i="115" s="1"/>
  <c r="M57" i="115" s="1"/>
  <c r="I59" i="33"/>
  <c r="K59" i="33" s="1"/>
  <c r="AH59" i="33" s="1"/>
  <c r="J59" i="120"/>
  <c r="I59" i="120"/>
  <c r="J59" i="118"/>
  <c r="I59" i="118"/>
  <c r="J59" i="116"/>
  <c r="I59" i="116"/>
  <c r="J59" i="114"/>
  <c r="I59" i="114"/>
  <c r="J52" i="119"/>
  <c r="I52" i="119"/>
  <c r="J52" i="117"/>
  <c r="I52" i="117"/>
  <c r="J52" i="115"/>
  <c r="I52" i="115"/>
  <c r="I61" i="33"/>
  <c r="K61" i="33" s="1"/>
  <c r="AH61" i="33" s="1"/>
  <c r="J61" i="120"/>
  <c r="I61" i="120"/>
  <c r="K61" i="120" s="1"/>
  <c r="L61" i="120" s="1"/>
  <c r="M61" i="120" s="1"/>
  <c r="J61" i="118"/>
  <c r="I61" i="118"/>
  <c r="K61" i="118" s="1"/>
  <c r="L61" i="118" s="1"/>
  <c r="M61" i="118" s="1"/>
  <c r="J61" i="116"/>
  <c r="I61" i="116"/>
  <c r="K61" i="116" s="1"/>
  <c r="L61" i="116" s="1"/>
  <c r="J61" i="114"/>
  <c r="I61" i="114"/>
  <c r="K61" i="114" s="1"/>
  <c r="L61" i="114" s="1"/>
  <c r="J31" i="119"/>
  <c r="I31" i="119"/>
  <c r="K31" i="119" s="1"/>
  <c r="L31" i="119" s="1"/>
  <c r="J31" i="117"/>
  <c r="I31" i="117"/>
  <c r="K31" i="117" s="1"/>
  <c r="L31" i="117" s="1"/>
  <c r="J31" i="115"/>
  <c r="I31" i="115"/>
  <c r="K31" i="115" s="1"/>
  <c r="L31" i="115" s="1"/>
  <c r="M31" i="115" s="1"/>
  <c r="I28" i="33"/>
  <c r="K28" i="33" s="1"/>
  <c r="AH28" i="33" s="1"/>
  <c r="J28" i="120"/>
  <c r="I28" i="120"/>
  <c r="J28" i="118"/>
  <c r="I28" i="118"/>
  <c r="J28" i="116"/>
  <c r="I28" i="116"/>
  <c r="J28" i="114"/>
  <c r="I28" i="114"/>
  <c r="J44" i="119"/>
  <c r="I44" i="119"/>
  <c r="J44" i="117"/>
  <c r="I44" i="117"/>
  <c r="J44" i="115"/>
  <c r="I44" i="115"/>
  <c r="I62" i="33"/>
  <c r="K62" i="33" s="1"/>
  <c r="AH62" i="33" s="1"/>
  <c r="J62" i="120"/>
  <c r="I62" i="120"/>
  <c r="J62" i="118"/>
  <c r="I62" i="118"/>
  <c r="J62" i="116"/>
  <c r="I62" i="116"/>
  <c r="K62" i="116" s="1"/>
  <c r="L62" i="116" s="1"/>
  <c r="J62" i="114"/>
  <c r="I62" i="114"/>
  <c r="K62" i="114" s="1"/>
  <c r="L62" i="114" s="1"/>
  <c r="J49" i="119"/>
  <c r="I49" i="119"/>
  <c r="K49" i="119" s="1"/>
  <c r="L49" i="119" s="1"/>
  <c r="J49" i="117"/>
  <c r="I49" i="117"/>
  <c r="K49" i="117" s="1"/>
  <c r="L49" i="117" s="1"/>
  <c r="J49" i="115"/>
  <c r="I49" i="115"/>
  <c r="K49" i="115" s="1"/>
  <c r="L49" i="115" s="1"/>
  <c r="M49" i="115" s="1"/>
  <c r="I68" i="33"/>
  <c r="K68" i="33" s="1"/>
  <c r="AH68" i="33" s="1"/>
  <c r="J68" i="120"/>
  <c r="I68" i="120"/>
  <c r="J68" i="118"/>
  <c r="I68" i="118"/>
  <c r="J68" i="116"/>
  <c r="I68" i="116"/>
  <c r="J68" i="114"/>
  <c r="I68" i="114"/>
  <c r="K44" i="80"/>
  <c r="J44" i="80"/>
  <c r="K35" i="76"/>
  <c r="J35" i="76"/>
  <c r="K67" i="76"/>
  <c r="J67" i="76"/>
  <c r="K62" i="80"/>
  <c r="J62" i="80"/>
  <c r="K71" i="76"/>
  <c r="J71" i="76"/>
  <c r="K24" i="80"/>
  <c r="J24" i="80"/>
  <c r="K24" i="76"/>
  <c r="J24" i="76"/>
  <c r="K46" i="80"/>
  <c r="J46" i="80"/>
  <c r="K40" i="80"/>
  <c r="J40" i="80"/>
  <c r="K39" i="76"/>
  <c r="J39" i="76"/>
  <c r="K36" i="80"/>
  <c r="J36" i="80"/>
  <c r="K45" i="80"/>
  <c r="J45" i="80"/>
  <c r="K58" i="80"/>
  <c r="J58" i="80"/>
  <c r="K65" i="80"/>
  <c r="J65" i="80"/>
  <c r="K10" i="80"/>
  <c r="J10" i="80"/>
  <c r="K10" i="76"/>
  <c r="J10" i="76"/>
  <c r="K74" i="80"/>
  <c r="J74" i="80"/>
  <c r="K34" i="80"/>
  <c r="J34" i="80"/>
  <c r="K13" i="80"/>
  <c r="J13" i="80"/>
  <c r="K13" i="76"/>
  <c r="J13" i="76"/>
  <c r="K48" i="80"/>
  <c r="J48" i="80"/>
  <c r="K53" i="80"/>
  <c r="J53" i="80"/>
  <c r="K38" i="80"/>
  <c r="J38" i="80"/>
  <c r="K16" i="80"/>
  <c r="J16" i="80"/>
  <c r="K16" i="76"/>
  <c r="J16" i="76"/>
  <c r="K61" i="80"/>
  <c r="J61" i="80"/>
  <c r="K12" i="80"/>
  <c r="J12" i="80"/>
  <c r="K12" i="76"/>
  <c r="J12" i="76"/>
  <c r="K54" i="80"/>
  <c r="J54" i="80"/>
  <c r="K17" i="80"/>
  <c r="J17" i="80"/>
  <c r="K17" i="76"/>
  <c r="J17" i="76"/>
  <c r="K72" i="80"/>
  <c r="J72" i="80"/>
  <c r="K64" i="80"/>
  <c r="J64" i="80"/>
  <c r="K20" i="80"/>
  <c r="J20" i="80"/>
  <c r="K20" i="76"/>
  <c r="J20" i="76"/>
  <c r="K23" i="76"/>
  <c r="J23" i="76"/>
  <c r="K37" i="80"/>
  <c r="J37" i="80"/>
  <c r="K51" i="76"/>
  <c r="J51" i="76"/>
  <c r="K49" i="80"/>
  <c r="J49" i="80"/>
  <c r="K32" i="80"/>
  <c r="J32" i="80"/>
  <c r="K73" i="80"/>
  <c r="J73" i="80"/>
  <c r="I35" i="33"/>
  <c r="K35" i="33" s="1"/>
  <c r="AH35" i="33" s="1"/>
  <c r="J35" i="120"/>
  <c r="I35" i="120"/>
  <c r="J35" i="118"/>
  <c r="I35" i="118"/>
  <c r="J35" i="116"/>
  <c r="I35" i="116"/>
  <c r="J35" i="114"/>
  <c r="I35" i="114"/>
  <c r="J43" i="119"/>
  <c r="I43" i="119"/>
  <c r="J43" i="117"/>
  <c r="I43" i="117"/>
  <c r="J43" i="115"/>
  <c r="I43" i="115"/>
  <c r="I24" i="33"/>
  <c r="K24" i="33" s="1"/>
  <c r="AH24" i="33" s="1"/>
  <c r="J24" i="120"/>
  <c r="I24" i="120"/>
  <c r="J24" i="118"/>
  <c r="I24" i="118"/>
  <c r="J24" i="116"/>
  <c r="I24" i="116"/>
  <c r="J24" i="114"/>
  <c r="I24" i="114"/>
  <c r="J65" i="119"/>
  <c r="I65" i="119"/>
  <c r="J65" i="117"/>
  <c r="I65" i="117"/>
  <c r="J65" i="115"/>
  <c r="I65" i="115"/>
  <c r="I21" i="33"/>
  <c r="K21" i="33" s="1"/>
  <c r="AH21" i="33" s="1"/>
  <c r="J21" i="120"/>
  <c r="I21" i="120"/>
  <c r="J21" i="118"/>
  <c r="I21" i="118"/>
  <c r="J21" i="116"/>
  <c r="I21" i="116"/>
  <c r="J21" i="114"/>
  <c r="I21" i="114"/>
  <c r="J13" i="119"/>
  <c r="I13" i="119"/>
  <c r="J13" i="117"/>
  <c r="I13" i="117"/>
  <c r="J13" i="115"/>
  <c r="I13" i="115"/>
  <c r="I45" i="33"/>
  <c r="K45" i="33" s="1"/>
  <c r="AH45" i="33" s="1"/>
  <c r="J45" i="120"/>
  <c r="I45" i="120"/>
  <c r="J45" i="118"/>
  <c r="I45" i="118"/>
  <c r="J45" i="116"/>
  <c r="I45" i="116"/>
  <c r="J45" i="114"/>
  <c r="I45" i="114"/>
  <c r="J70" i="119"/>
  <c r="I70" i="119"/>
  <c r="J70" i="117"/>
  <c r="I70" i="117"/>
  <c r="J70" i="115"/>
  <c r="I70" i="115"/>
  <c r="I72" i="33"/>
  <c r="K72" i="33" s="1"/>
  <c r="AH72" i="33" s="1"/>
  <c r="J72" i="120"/>
  <c r="I72" i="120"/>
  <c r="J72" i="118"/>
  <c r="I72" i="118"/>
  <c r="J72" i="116"/>
  <c r="I72" i="116"/>
  <c r="J72" i="114"/>
  <c r="I72" i="114"/>
  <c r="J20" i="119"/>
  <c r="I20" i="119"/>
  <c r="J20" i="117"/>
  <c r="I20" i="117"/>
  <c r="J20" i="115"/>
  <c r="I20" i="115"/>
  <c r="I11" i="33"/>
  <c r="K11" i="33" s="1"/>
  <c r="AH11" i="33" s="1"/>
  <c r="J11" i="120"/>
  <c r="I11" i="120"/>
  <c r="J11" i="118"/>
  <c r="I11" i="118"/>
  <c r="J11" i="116"/>
  <c r="I11" i="116"/>
  <c r="J11" i="114"/>
  <c r="I11" i="114"/>
  <c r="V37" i="33" l="1"/>
  <c r="U40" i="33"/>
  <c r="R39" i="33"/>
  <c r="N26" i="120"/>
  <c r="P26" i="120" s="1"/>
  <c r="AI26" i="120" s="1"/>
  <c r="U76" i="33"/>
  <c r="N12" i="115"/>
  <c r="P12" i="115" s="1"/>
  <c r="N74" i="118"/>
  <c r="P74" i="118" s="1"/>
  <c r="N73" i="120"/>
  <c r="P73" i="120" s="1"/>
  <c r="Q73" i="33"/>
  <c r="W69" i="33"/>
  <c r="S12" i="33"/>
  <c r="N46" i="120"/>
  <c r="P46" i="120" s="1"/>
  <c r="AI46" i="120" s="1"/>
  <c r="M40" i="116"/>
  <c r="N40" i="116" s="1"/>
  <c r="P40" i="116" s="1"/>
  <c r="M42" i="116"/>
  <c r="N42" i="116" s="1"/>
  <c r="P42" i="116" s="1"/>
  <c r="N39" i="115"/>
  <c r="P39" i="115" s="1"/>
  <c r="Q26" i="33"/>
  <c r="W34" i="33"/>
  <c r="T51" i="33"/>
  <c r="M73" i="117"/>
  <c r="N73" i="117" s="1"/>
  <c r="P73" i="117" s="1"/>
  <c r="S76" i="33"/>
  <c r="S63" i="33"/>
  <c r="V40" i="33"/>
  <c r="U74" i="33"/>
  <c r="U12" i="33"/>
  <c r="N34" i="120"/>
  <c r="P34" i="120" s="1"/>
  <c r="N69" i="120"/>
  <c r="P69" i="120" s="1"/>
  <c r="T37" i="33"/>
  <c r="V74" i="33"/>
  <c r="N34" i="118"/>
  <c r="P34" i="118" s="1"/>
  <c r="N15" i="118"/>
  <c r="P15" i="118" s="1"/>
  <c r="S74" i="33"/>
  <c r="M18" i="116"/>
  <c r="N18" i="116" s="1"/>
  <c r="P18" i="116" s="1"/>
  <c r="AI18" i="116" s="1"/>
  <c r="K18" i="113"/>
  <c r="L18" i="113" s="1"/>
  <c r="K22" i="113"/>
  <c r="L22" i="113" s="1"/>
  <c r="K75" i="113"/>
  <c r="L75" i="113" s="1"/>
  <c r="K36" i="113"/>
  <c r="L36" i="113" s="1"/>
  <c r="M36" i="113" s="1"/>
  <c r="N36" i="113" s="1"/>
  <c r="P36" i="113" s="1"/>
  <c r="K41" i="113"/>
  <c r="L41" i="113" s="1"/>
  <c r="K34" i="113"/>
  <c r="L34" i="113" s="1"/>
  <c r="K76" i="113"/>
  <c r="L76" i="113" s="1"/>
  <c r="W73" i="33"/>
  <c r="R64" i="33"/>
  <c r="U69" i="33"/>
  <c r="N12" i="120"/>
  <c r="P12" i="120" s="1"/>
  <c r="AI12" i="120" s="1"/>
  <c r="N67" i="115"/>
  <c r="P67" i="115" s="1"/>
  <c r="W46" i="33"/>
  <c r="W40" i="33"/>
  <c r="N47" i="115"/>
  <c r="P47" i="115" s="1"/>
  <c r="AI47" i="115" s="1"/>
  <c r="U42" i="33"/>
  <c r="N66" i="120"/>
  <c r="P66" i="120" s="1"/>
  <c r="N74" i="115"/>
  <c r="P74" i="115" s="1"/>
  <c r="R56" i="33"/>
  <c r="U34" i="33"/>
  <c r="N15" i="120"/>
  <c r="P15" i="120" s="1"/>
  <c r="N76" i="120"/>
  <c r="P76" i="120" s="1"/>
  <c r="R69" i="33"/>
  <c r="U63" i="33"/>
  <c r="N18" i="120"/>
  <c r="P18" i="120" s="1"/>
  <c r="N74" i="120"/>
  <c r="P74" i="120" s="1"/>
  <c r="K11" i="114"/>
  <c r="L11" i="114" s="1"/>
  <c r="K11" i="116"/>
  <c r="L11" i="116" s="1"/>
  <c r="S11" i="33" s="1"/>
  <c r="K11" i="118"/>
  <c r="L11" i="118" s="1"/>
  <c r="M11" i="118" s="1"/>
  <c r="K70" i="115"/>
  <c r="L70" i="115" s="1"/>
  <c r="M70" i="115" s="1"/>
  <c r="K70" i="117"/>
  <c r="L70" i="117" s="1"/>
  <c r="K70" i="119"/>
  <c r="L70" i="119" s="1"/>
  <c r="V70" i="33" s="1"/>
  <c r="K45" i="114"/>
  <c r="L45" i="114" s="1"/>
  <c r="K45" i="116"/>
  <c r="L45" i="116" s="1"/>
  <c r="M45" i="116" s="1"/>
  <c r="N45" i="116" s="1"/>
  <c r="P45" i="116" s="1"/>
  <c r="K45" i="118"/>
  <c r="L45" i="118" s="1"/>
  <c r="M45" i="118" s="1"/>
  <c r="K45" i="120"/>
  <c r="L45" i="120" s="1"/>
  <c r="M45" i="120" s="1"/>
  <c r="K65" i="115"/>
  <c r="L65" i="115" s="1"/>
  <c r="M65" i="115" s="1"/>
  <c r="K65" i="117"/>
  <c r="L65" i="117" s="1"/>
  <c r="M65" i="117" s="1"/>
  <c r="N65" i="117" s="1"/>
  <c r="P65" i="117" s="1"/>
  <c r="K65" i="119"/>
  <c r="L65" i="119" s="1"/>
  <c r="V65" i="33" s="1"/>
  <c r="K24" i="114"/>
  <c r="L24" i="114" s="1"/>
  <c r="Q24" i="33" s="1"/>
  <c r="K24" i="116"/>
  <c r="L24" i="116" s="1"/>
  <c r="K24" i="118"/>
  <c r="L24" i="118" s="1"/>
  <c r="M24" i="118" s="1"/>
  <c r="K35" i="115"/>
  <c r="L35" i="115" s="1"/>
  <c r="M35" i="115" s="1"/>
  <c r="P8" i="129"/>
  <c r="N77" i="129"/>
  <c r="K24" i="120"/>
  <c r="L24" i="120" s="1"/>
  <c r="M24" i="120" s="1"/>
  <c r="L73" i="80"/>
  <c r="M73" i="80" s="1"/>
  <c r="N73" i="80" s="1"/>
  <c r="L32" i="80"/>
  <c r="M32" i="80" s="1"/>
  <c r="N32" i="80" s="1"/>
  <c r="L49" i="80"/>
  <c r="M49" i="80" s="1"/>
  <c r="N49" i="80" s="1"/>
  <c r="L51" i="76"/>
  <c r="M51" i="76" s="1"/>
  <c r="X53" i="33" s="1"/>
  <c r="L37" i="80"/>
  <c r="M37" i="80" s="1"/>
  <c r="N37" i="80" s="1"/>
  <c r="L23" i="76"/>
  <c r="M23" i="76" s="1"/>
  <c r="X25" i="33" s="1"/>
  <c r="L20" i="76"/>
  <c r="M20" i="76" s="1"/>
  <c r="L20" i="80"/>
  <c r="M20" i="80" s="1"/>
  <c r="N20" i="80" s="1"/>
  <c r="L64" i="80"/>
  <c r="M64" i="80" s="1"/>
  <c r="N64" i="80" s="1"/>
  <c r="L72" i="80"/>
  <c r="M72" i="80" s="1"/>
  <c r="N72" i="80" s="1"/>
  <c r="L17" i="76"/>
  <c r="M17" i="76" s="1"/>
  <c r="L17" i="80"/>
  <c r="M17" i="80" s="1"/>
  <c r="N17" i="80" s="1"/>
  <c r="L54" i="80"/>
  <c r="M54" i="80" s="1"/>
  <c r="N54" i="80" s="1"/>
  <c r="L12" i="76"/>
  <c r="M12" i="76" s="1"/>
  <c r="N12" i="76" s="1"/>
  <c r="O12" i="76" s="1"/>
  <c r="Q12" i="76" s="1"/>
  <c r="L12" i="80"/>
  <c r="M12" i="80" s="1"/>
  <c r="N12" i="80" s="1"/>
  <c r="L61" i="80"/>
  <c r="M61" i="80" s="1"/>
  <c r="N61" i="80" s="1"/>
  <c r="L16" i="76"/>
  <c r="M16" i="76" s="1"/>
  <c r="N16" i="76" s="1"/>
  <c r="O16" i="76" s="1"/>
  <c r="Q16" i="76" s="1"/>
  <c r="L16" i="80"/>
  <c r="M16" i="80" s="1"/>
  <c r="N16" i="80" s="1"/>
  <c r="L38" i="80"/>
  <c r="M38" i="80" s="1"/>
  <c r="N38" i="80" s="1"/>
  <c r="L53" i="80"/>
  <c r="M53" i="80" s="1"/>
  <c r="N53" i="80" s="1"/>
  <c r="L48" i="80"/>
  <c r="M48" i="80" s="1"/>
  <c r="N48" i="80" s="1"/>
  <c r="L13" i="76"/>
  <c r="M13" i="76" s="1"/>
  <c r="N13" i="76" s="1"/>
  <c r="O13" i="76" s="1"/>
  <c r="Q13" i="76" s="1"/>
  <c r="L13" i="80"/>
  <c r="M13" i="80" s="1"/>
  <c r="N13" i="80" s="1"/>
  <c r="L34" i="80"/>
  <c r="M34" i="80" s="1"/>
  <c r="N34" i="80" s="1"/>
  <c r="L74" i="80"/>
  <c r="M74" i="80" s="1"/>
  <c r="N74" i="80" s="1"/>
  <c r="L10" i="76"/>
  <c r="M10" i="76" s="1"/>
  <c r="N10" i="76" s="1"/>
  <c r="O10" i="76" s="1"/>
  <c r="Q10" i="76" s="1"/>
  <c r="L10" i="80"/>
  <c r="M10" i="80" s="1"/>
  <c r="N10" i="80" s="1"/>
  <c r="L65" i="80"/>
  <c r="M65" i="80" s="1"/>
  <c r="N65" i="80" s="1"/>
  <c r="L58" i="80"/>
  <c r="M58" i="80" s="1"/>
  <c r="N58" i="80" s="1"/>
  <c r="L45" i="80"/>
  <c r="M45" i="80" s="1"/>
  <c r="N45" i="80" s="1"/>
  <c r="L36" i="80"/>
  <c r="M36" i="80" s="1"/>
  <c r="N36" i="80" s="1"/>
  <c r="L39" i="76"/>
  <c r="M39" i="76" s="1"/>
  <c r="N39" i="76" s="1"/>
  <c r="O39" i="76" s="1"/>
  <c r="Q39" i="76" s="1"/>
  <c r="L40" i="80"/>
  <c r="M40" i="80" s="1"/>
  <c r="N40" i="80" s="1"/>
  <c r="L46" i="80"/>
  <c r="M46" i="80" s="1"/>
  <c r="N46" i="80" s="1"/>
  <c r="L24" i="76"/>
  <c r="M24" i="76" s="1"/>
  <c r="L24" i="80"/>
  <c r="M24" i="80" s="1"/>
  <c r="N24" i="80" s="1"/>
  <c r="L71" i="76"/>
  <c r="M71" i="76" s="1"/>
  <c r="X73" i="33" s="1"/>
  <c r="L62" i="80"/>
  <c r="M62" i="80" s="1"/>
  <c r="N62" i="80" s="1"/>
  <c r="L67" i="76"/>
  <c r="M67" i="76" s="1"/>
  <c r="L35" i="76"/>
  <c r="M35" i="76" s="1"/>
  <c r="N35" i="76" s="1"/>
  <c r="O35" i="76" s="1"/>
  <c r="Q35" i="76" s="1"/>
  <c r="L44" i="80"/>
  <c r="M44" i="80" s="1"/>
  <c r="N44" i="80" s="1"/>
  <c r="K68" i="114"/>
  <c r="L68" i="114" s="1"/>
  <c r="Q68" i="33" s="1"/>
  <c r="K68" i="116"/>
  <c r="L68" i="116" s="1"/>
  <c r="K44" i="115"/>
  <c r="L44" i="115" s="1"/>
  <c r="M44" i="115" s="1"/>
  <c r="K44" i="117"/>
  <c r="L44" i="117" s="1"/>
  <c r="T44" i="33" s="1"/>
  <c r="K44" i="119"/>
  <c r="L44" i="119" s="1"/>
  <c r="M44" i="119" s="1"/>
  <c r="N44" i="119" s="1"/>
  <c r="P44" i="119" s="1"/>
  <c r="K52" i="115"/>
  <c r="L52" i="115" s="1"/>
  <c r="M52" i="115" s="1"/>
  <c r="K71" i="115"/>
  <c r="L71" i="115" s="1"/>
  <c r="M71" i="115" s="1"/>
  <c r="K71" i="117"/>
  <c r="L71" i="117" s="1"/>
  <c r="K44" i="118"/>
  <c r="L44" i="118" s="1"/>
  <c r="M44" i="118" s="1"/>
  <c r="K44" i="120"/>
  <c r="L44" i="120" s="1"/>
  <c r="M44" i="120" s="1"/>
  <c r="K61" i="115"/>
  <c r="L61" i="115" s="1"/>
  <c r="M61" i="115" s="1"/>
  <c r="K61" i="117"/>
  <c r="L61" i="117" s="1"/>
  <c r="M61" i="117" s="1"/>
  <c r="N61" i="117" s="1"/>
  <c r="P61" i="117" s="1"/>
  <c r="K61" i="119"/>
  <c r="L61" i="119" s="1"/>
  <c r="M61" i="119" s="1"/>
  <c r="N61" i="119" s="1"/>
  <c r="P61" i="119" s="1"/>
  <c r="K52" i="114"/>
  <c r="L52" i="114" s="1"/>
  <c r="K52" i="116"/>
  <c r="L52" i="116" s="1"/>
  <c r="M52" i="116" s="1"/>
  <c r="N52" i="116" s="1"/>
  <c r="P52" i="116" s="1"/>
  <c r="K52" i="118"/>
  <c r="L52" i="118" s="1"/>
  <c r="M52" i="118" s="1"/>
  <c r="K52" i="120"/>
  <c r="L52" i="120" s="1"/>
  <c r="M52" i="120" s="1"/>
  <c r="K62" i="118"/>
  <c r="L62" i="118" s="1"/>
  <c r="M62" i="118" s="1"/>
  <c r="K62" i="120"/>
  <c r="L62" i="120" s="1"/>
  <c r="M62" i="120" s="1"/>
  <c r="K17" i="115"/>
  <c r="L17" i="115" s="1"/>
  <c r="M17" i="115" s="1"/>
  <c r="K17" i="117"/>
  <c r="L17" i="117" s="1"/>
  <c r="M17" i="117" s="1"/>
  <c r="N17" i="117" s="1"/>
  <c r="P17" i="117" s="1"/>
  <c r="K17" i="119"/>
  <c r="L17" i="119" s="1"/>
  <c r="K58" i="114"/>
  <c r="L58" i="114" s="1"/>
  <c r="M58" i="114" s="1"/>
  <c r="N58" i="114" s="1"/>
  <c r="P58" i="114" s="1"/>
  <c r="K58" i="116"/>
  <c r="L58" i="116" s="1"/>
  <c r="S58" i="33" s="1"/>
  <c r="K58" i="118"/>
  <c r="L58" i="118" s="1"/>
  <c r="M58" i="118" s="1"/>
  <c r="K58" i="120"/>
  <c r="L58" i="120" s="1"/>
  <c r="M58" i="120" s="1"/>
  <c r="K32" i="115"/>
  <c r="L32" i="115" s="1"/>
  <c r="M32" i="115" s="1"/>
  <c r="K32" i="117"/>
  <c r="L32" i="117" s="1"/>
  <c r="T32" i="33" s="1"/>
  <c r="K32" i="119"/>
  <c r="L32" i="119" s="1"/>
  <c r="M32" i="119" s="1"/>
  <c r="N32" i="119" s="1"/>
  <c r="P32" i="119" s="1"/>
  <c r="K54" i="114"/>
  <c r="L54" i="114" s="1"/>
  <c r="K68" i="118"/>
  <c r="L68" i="118" s="1"/>
  <c r="M68" i="118" s="1"/>
  <c r="K68" i="120"/>
  <c r="L68" i="120" s="1"/>
  <c r="M68" i="120" s="1"/>
  <c r="K28" i="114"/>
  <c r="L28" i="114" s="1"/>
  <c r="M28" i="114" s="1"/>
  <c r="N28" i="114" s="1"/>
  <c r="P28" i="114" s="1"/>
  <c r="K28" i="116"/>
  <c r="L28" i="116" s="1"/>
  <c r="K28" i="118"/>
  <c r="L28" i="118" s="1"/>
  <c r="M28" i="118" s="1"/>
  <c r="K28" i="120"/>
  <c r="L28" i="120" s="1"/>
  <c r="M28" i="120" s="1"/>
  <c r="K52" i="117"/>
  <c r="L52" i="117" s="1"/>
  <c r="T52" i="33" s="1"/>
  <c r="K52" i="119"/>
  <c r="L52" i="119" s="1"/>
  <c r="K59" i="114"/>
  <c r="L59" i="114" s="1"/>
  <c r="Q59" i="33" s="1"/>
  <c r="K59" i="116"/>
  <c r="L59" i="116" s="1"/>
  <c r="S59" i="33" s="1"/>
  <c r="K59" i="118"/>
  <c r="L59" i="118" s="1"/>
  <c r="M59" i="118" s="1"/>
  <c r="K58" i="117"/>
  <c r="L58" i="117" s="1"/>
  <c r="K58" i="119"/>
  <c r="L58" i="119" s="1"/>
  <c r="M58" i="119" s="1"/>
  <c r="N58" i="119" s="1"/>
  <c r="P58" i="119" s="1"/>
  <c r="K30" i="114"/>
  <c r="L30" i="114" s="1"/>
  <c r="M30" i="114" s="1"/>
  <c r="N30" i="114" s="1"/>
  <c r="P30" i="114" s="1"/>
  <c r="K30" i="116"/>
  <c r="L30" i="116" s="1"/>
  <c r="M30" i="116" s="1"/>
  <c r="N30" i="116" s="1"/>
  <c r="P30" i="116" s="1"/>
  <c r="K71" i="119"/>
  <c r="L71" i="119" s="1"/>
  <c r="K9" i="114"/>
  <c r="L9" i="114" s="1"/>
  <c r="M9" i="114" s="1"/>
  <c r="N9" i="114" s="1"/>
  <c r="P9" i="114" s="1"/>
  <c r="K9" i="116"/>
  <c r="L9" i="116" s="1"/>
  <c r="M9" i="116" s="1"/>
  <c r="N9" i="116" s="1"/>
  <c r="P9" i="116" s="1"/>
  <c r="K9" i="118"/>
  <c r="L9" i="118" s="1"/>
  <c r="M9" i="118" s="1"/>
  <c r="K9" i="120"/>
  <c r="L9" i="120" s="1"/>
  <c r="M9" i="120" s="1"/>
  <c r="K72" i="115"/>
  <c r="L72" i="115" s="1"/>
  <c r="M72" i="115" s="1"/>
  <c r="K72" i="117"/>
  <c r="L72" i="117" s="1"/>
  <c r="T72" i="33" s="1"/>
  <c r="K72" i="119"/>
  <c r="L72" i="119" s="1"/>
  <c r="V72" i="33" s="1"/>
  <c r="K70" i="114"/>
  <c r="L70" i="114" s="1"/>
  <c r="K70" i="116"/>
  <c r="L70" i="116" s="1"/>
  <c r="S70" i="33" s="1"/>
  <c r="K70" i="118"/>
  <c r="L70" i="118" s="1"/>
  <c r="M70" i="118" s="1"/>
  <c r="K70" i="120"/>
  <c r="L70" i="120" s="1"/>
  <c r="M70" i="120" s="1"/>
  <c r="K21" i="115"/>
  <c r="L21" i="115" s="1"/>
  <c r="M21" i="115" s="1"/>
  <c r="K21" i="117"/>
  <c r="L21" i="117" s="1"/>
  <c r="M21" i="117" s="1"/>
  <c r="N21" i="117" s="1"/>
  <c r="P21" i="117" s="1"/>
  <c r="K21" i="119"/>
  <c r="L21" i="119" s="1"/>
  <c r="K65" i="114"/>
  <c r="L65" i="114" s="1"/>
  <c r="Q65" i="33" s="1"/>
  <c r="K65" i="116"/>
  <c r="L65" i="116" s="1"/>
  <c r="K68" i="115"/>
  <c r="L68" i="115" s="1"/>
  <c r="M68" i="115" s="1"/>
  <c r="K68" i="117"/>
  <c r="L68" i="117" s="1"/>
  <c r="T68" i="33" s="1"/>
  <c r="K68" i="119"/>
  <c r="L68" i="119" s="1"/>
  <c r="M68" i="119" s="1"/>
  <c r="N68" i="119" s="1"/>
  <c r="P68" i="119" s="1"/>
  <c r="K49" i="114"/>
  <c r="L49" i="114" s="1"/>
  <c r="K49" i="116"/>
  <c r="L49" i="116" s="1"/>
  <c r="S49" i="33" s="1"/>
  <c r="K49" i="118"/>
  <c r="L49" i="118" s="1"/>
  <c r="M49" i="118" s="1"/>
  <c r="K28" i="115"/>
  <c r="L28" i="115" s="1"/>
  <c r="M28" i="115" s="1"/>
  <c r="K28" i="117"/>
  <c r="L28" i="117" s="1"/>
  <c r="K28" i="119"/>
  <c r="L28" i="119" s="1"/>
  <c r="V28" i="33" s="1"/>
  <c r="D75" i="100"/>
  <c r="K35" i="117"/>
  <c r="L35" i="117" s="1"/>
  <c r="M35" i="117" s="1"/>
  <c r="N35" i="117" s="1"/>
  <c r="P35" i="117" s="1"/>
  <c r="K35" i="119"/>
  <c r="L35" i="119" s="1"/>
  <c r="M35" i="119" s="1"/>
  <c r="N35" i="119" s="1"/>
  <c r="P35" i="119" s="1"/>
  <c r="K54" i="116"/>
  <c r="L54" i="116" s="1"/>
  <c r="S54" i="33" s="1"/>
  <c r="K54" i="118"/>
  <c r="L54" i="118" s="1"/>
  <c r="M54" i="118" s="1"/>
  <c r="K54" i="120"/>
  <c r="L54" i="120" s="1"/>
  <c r="M54" i="120" s="1"/>
  <c r="K10" i="115"/>
  <c r="L10" i="115" s="1"/>
  <c r="M10" i="115" s="1"/>
  <c r="K10" i="117"/>
  <c r="L10" i="117" s="1"/>
  <c r="T10" i="33" s="1"/>
  <c r="K10" i="119"/>
  <c r="L10" i="119" s="1"/>
  <c r="K71" i="114"/>
  <c r="L71" i="114" s="1"/>
  <c r="M71" i="114" s="1"/>
  <c r="N71" i="114" s="1"/>
  <c r="P71" i="114" s="1"/>
  <c r="K71" i="116"/>
  <c r="L71" i="116" s="1"/>
  <c r="K71" i="118"/>
  <c r="L71" i="118" s="1"/>
  <c r="M71" i="118" s="1"/>
  <c r="K71" i="120"/>
  <c r="L71" i="120" s="1"/>
  <c r="M71" i="120" s="1"/>
  <c r="K30" i="118"/>
  <c r="L30" i="118" s="1"/>
  <c r="M30" i="118" s="1"/>
  <c r="K30" i="120"/>
  <c r="L30" i="120" s="1"/>
  <c r="M30" i="120" s="1"/>
  <c r="K54" i="115"/>
  <c r="L54" i="115" s="1"/>
  <c r="M54" i="115" s="1"/>
  <c r="K31" i="114"/>
  <c r="L31" i="114" s="1"/>
  <c r="M31" i="114" s="1"/>
  <c r="N31" i="114" s="1"/>
  <c r="P31" i="114" s="1"/>
  <c r="K31" i="116"/>
  <c r="L31" i="116" s="1"/>
  <c r="S31" i="33" s="1"/>
  <c r="K31" i="118"/>
  <c r="L31" i="118" s="1"/>
  <c r="M31" i="118" s="1"/>
  <c r="K20" i="115"/>
  <c r="L20" i="115" s="1"/>
  <c r="M20" i="115" s="1"/>
  <c r="K20" i="117"/>
  <c r="L20" i="117" s="1"/>
  <c r="T20" i="33" s="1"/>
  <c r="K20" i="119"/>
  <c r="L20" i="119" s="1"/>
  <c r="V20" i="33" s="1"/>
  <c r="K72" i="114"/>
  <c r="L72" i="114" s="1"/>
  <c r="Q72" i="33" s="1"/>
  <c r="K72" i="116"/>
  <c r="L72" i="116" s="1"/>
  <c r="S72" i="33" s="1"/>
  <c r="K72" i="118"/>
  <c r="L72" i="118" s="1"/>
  <c r="M72" i="118" s="1"/>
  <c r="K72" i="120"/>
  <c r="L72" i="120" s="1"/>
  <c r="M72" i="120" s="1"/>
  <c r="K13" i="115"/>
  <c r="L13" i="115" s="1"/>
  <c r="M13" i="115" s="1"/>
  <c r="K27" i="115"/>
  <c r="L27" i="115" s="1"/>
  <c r="M27" i="115" s="1"/>
  <c r="K27" i="117"/>
  <c r="L27" i="117" s="1"/>
  <c r="T27" i="33" s="1"/>
  <c r="L73" i="76"/>
  <c r="M73" i="76" s="1"/>
  <c r="N73" i="76" s="1"/>
  <c r="O73" i="76" s="1"/>
  <c r="Q73" i="76" s="1"/>
  <c r="L32" i="76"/>
  <c r="M32" i="76" s="1"/>
  <c r="L49" i="76"/>
  <c r="M49" i="76" s="1"/>
  <c r="N49" i="76" s="1"/>
  <c r="O49" i="76" s="1"/>
  <c r="Q49" i="76" s="1"/>
  <c r="L51" i="80"/>
  <c r="M51" i="80" s="1"/>
  <c r="N51" i="80" s="1"/>
  <c r="L37" i="76"/>
  <c r="M37" i="76" s="1"/>
  <c r="N37" i="76" s="1"/>
  <c r="O37" i="76" s="1"/>
  <c r="Q37" i="76" s="1"/>
  <c r="L23" i="80"/>
  <c r="M23" i="80" s="1"/>
  <c r="N23" i="80" s="1"/>
  <c r="L64" i="76"/>
  <c r="M64" i="76" s="1"/>
  <c r="N64" i="76" s="1"/>
  <c r="O64" i="76" s="1"/>
  <c r="Q64" i="76" s="1"/>
  <c r="L72" i="76"/>
  <c r="M72" i="76" s="1"/>
  <c r="L54" i="76"/>
  <c r="M54" i="76" s="1"/>
  <c r="N54" i="76" s="1"/>
  <c r="O54" i="76" s="1"/>
  <c r="Q54" i="76" s="1"/>
  <c r="L61" i="76"/>
  <c r="M61" i="76" s="1"/>
  <c r="L38" i="76"/>
  <c r="M38" i="76" s="1"/>
  <c r="N38" i="76" s="1"/>
  <c r="O38" i="76" s="1"/>
  <c r="Q38" i="76" s="1"/>
  <c r="L53" i="76"/>
  <c r="M53" i="76" s="1"/>
  <c r="X55" i="33" s="1"/>
  <c r="L48" i="76"/>
  <c r="M48" i="76" s="1"/>
  <c r="N48" i="76" s="1"/>
  <c r="O48" i="76" s="1"/>
  <c r="Q48" i="76" s="1"/>
  <c r="L34" i="76"/>
  <c r="M34" i="76" s="1"/>
  <c r="L74" i="76"/>
  <c r="M74" i="76" s="1"/>
  <c r="N74" i="76" s="1"/>
  <c r="O74" i="76" s="1"/>
  <c r="Q74" i="76" s="1"/>
  <c r="L65" i="76"/>
  <c r="M65" i="76" s="1"/>
  <c r="L58" i="76"/>
  <c r="M58" i="76" s="1"/>
  <c r="N58" i="76" s="1"/>
  <c r="O58" i="76" s="1"/>
  <c r="Q58" i="76" s="1"/>
  <c r="L45" i="76"/>
  <c r="M45" i="76" s="1"/>
  <c r="L36" i="76"/>
  <c r="M36" i="76" s="1"/>
  <c r="N36" i="76" s="1"/>
  <c r="O36" i="76" s="1"/>
  <c r="Q36" i="76" s="1"/>
  <c r="L39" i="80"/>
  <c r="M39" i="80" s="1"/>
  <c r="N39" i="80" s="1"/>
  <c r="L40" i="76"/>
  <c r="M40" i="76" s="1"/>
  <c r="N40" i="76" s="1"/>
  <c r="O40" i="76" s="1"/>
  <c r="Q40" i="76" s="1"/>
  <c r="L46" i="76"/>
  <c r="M46" i="76" s="1"/>
  <c r="L71" i="80"/>
  <c r="M71" i="80" s="1"/>
  <c r="N71" i="80" s="1"/>
  <c r="L62" i="76"/>
  <c r="M62" i="76" s="1"/>
  <c r="L67" i="80"/>
  <c r="M67" i="80" s="1"/>
  <c r="N67" i="80" s="1"/>
  <c r="L35" i="80"/>
  <c r="M35" i="80" s="1"/>
  <c r="N35" i="80" s="1"/>
  <c r="L44" i="76"/>
  <c r="M44" i="76" s="1"/>
  <c r="N44" i="76" s="1"/>
  <c r="O44" i="76" s="1"/>
  <c r="Q44" i="76" s="1"/>
  <c r="K58" i="115"/>
  <c r="L58" i="115" s="1"/>
  <c r="M58" i="115" s="1"/>
  <c r="K54" i="117"/>
  <c r="L54" i="117" s="1"/>
  <c r="T54" i="33" s="1"/>
  <c r="K54" i="119"/>
  <c r="L54" i="119" s="1"/>
  <c r="K29" i="114"/>
  <c r="L29" i="114" s="1"/>
  <c r="Q29" i="33" s="1"/>
  <c r="K59" i="115"/>
  <c r="L59" i="115" s="1"/>
  <c r="M59" i="115" s="1"/>
  <c r="K59" i="117"/>
  <c r="L59" i="117" s="1"/>
  <c r="M59" i="117" s="1"/>
  <c r="N59" i="117" s="1"/>
  <c r="P59" i="117" s="1"/>
  <c r="K59" i="119"/>
  <c r="L59" i="119" s="1"/>
  <c r="K57" i="114"/>
  <c r="L57" i="114" s="1"/>
  <c r="Q57" i="33" s="1"/>
  <c r="K57" i="116"/>
  <c r="L57" i="116" s="1"/>
  <c r="S57" i="33" s="1"/>
  <c r="K57" i="118"/>
  <c r="L57" i="118" s="1"/>
  <c r="M57" i="118" s="1"/>
  <c r="K57" i="120"/>
  <c r="L57" i="120" s="1"/>
  <c r="M57" i="120" s="1"/>
  <c r="K30" i="115"/>
  <c r="L30" i="115" s="1"/>
  <c r="M30" i="115" s="1"/>
  <c r="M20" i="117"/>
  <c r="N20" i="117" s="1"/>
  <c r="P20" i="117" s="1"/>
  <c r="I20" i="113"/>
  <c r="M72" i="114"/>
  <c r="N72" i="114" s="1"/>
  <c r="P72" i="114" s="1"/>
  <c r="M72" i="116"/>
  <c r="N72" i="116" s="1"/>
  <c r="P72" i="116" s="1"/>
  <c r="U72" i="33"/>
  <c r="J70" i="113"/>
  <c r="R13" i="33"/>
  <c r="K13" i="117"/>
  <c r="L13" i="117" s="1"/>
  <c r="K13" i="119"/>
  <c r="L13" i="119" s="1"/>
  <c r="I13" i="113"/>
  <c r="K21" i="114"/>
  <c r="L21" i="114" s="1"/>
  <c r="K21" i="116"/>
  <c r="L21" i="116" s="1"/>
  <c r="K21" i="118"/>
  <c r="L21" i="118" s="1"/>
  <c r="M21" i="118" s="1"/>
  <c r="K21" i="120"/>
  <c r="L21" i="120" s="1"/>
  <c r="M21" i="120" s="1"/>
  <c r="J65" i="113"/>
  <c r="K43" i="115"/>
  <c r="L43" i="115" s="1"/>
  <c r="M43" i="115" s="1"/>
  <c r="K43" i="117"/>
  <c r="L43" i="117" s="1"/>
  <c r="K43" i="119"/>
  <c r="L43" i="119" s="1"/>
  <c r="I43" i="113"/>
  <c r="K35" i="114"/>
  <c r="L35" i="114" s="1"/>
  <c r="K35" i="116"/>
  <c r="L35" i="116" s="1"/>
  <c r="K35" i="118"/>
  <c r="L35" i="118" s="1"/>
  <c r="M35" i="118" s="1"/>
  <c r="K35" i="120"/>
  <c r="L35" i="120" s="1"/>
  <c r="M35" i="120" s="1"/>
  <c r="R49" i="33"/>
  <c r="N49" i="115"/>
  <c r="P49" i="115" s="1"/>
  <c r="M49" i="117"/>
  <c r="N49" i="117" s="1"/>
  <c r="P49" i="117" s="1"/>
  <c r="T49" i="33"/>
  <c r="V49" i="33"/>
  <c r="M49" i="119"/>
  <c r="N49" i="119" s="1"/>
  <c r="P49" i="119" s="1"/>
  <c r="I49" i="113"/>
  <c r="Q62" i="33"/>
  <c r="M62" i="114"/>
  <c r="N62" i="114" s="1"/>
  <c r="P62" i="114" s="1"/>
  <c r="M62" i="116"/>
  <c r="N62" i="116" s="1"/>
  <c r="P62" i="116" s="1"/>
  <c r="S62" i="33"/>
  <c r="U62" i="33"/>
  <c r="N62" i="120"/>
  <c r="P62" i="120" s="1"/>
  <c r="J44" i="113"/>
  <c r="R31" i="33"/>
  <c r="N31" i="115"/>
  <c r="P31" i="115" s="1"/>
  <c r="T31" i="33"/>
  <c r="M31" i="117"/>
  <c r="N31" i="117" s="1"/>
  <c r="P31" i="117" s="1"/>
  <c r="M31" i="119"/>
  <c r="N31" i="119" s="1"/>
  <c r="P31" i="119" s="1"/>
  <c r="V31" i="33"/>
  <c r="I31" i="113"/>
  <c r="M61" i="114"/>
  <c r="N61" i="114" s="1"/>
  <c r="P61" i="114" s="1"/>
  <c r="Q61" i="33"/>
  <c r="S61" i="33"/>
  <c r="M61" i="116"/>
  <c r="N61" i="116" s="1"/>
  <c r="P61" i="116" s="1"/>
  <c r="N61" i="118"/>
  <c r="P61" i="118" s="1"/>
  <c r="U61" i="33"/>
  <c r="W61" i="33"/>
  <c r="N61" i="120"/>
  <c r="P61" i="120" s="1"/>
  <c r="J52" i="113"/>
  <c r="N57" i="115"/>
  <c r="P57" i="115" s="1"/>
  <c r="R57" i="33"/>
  <c r="T57" i="33"/>
  <c r="M57" i="117"/>
  <c r="N57" i="117" s="1"/>
  <c r="P57" i="117" s="1"/>
  <c r="M57" i="119"/>
  <c r="N57" i="119" s="1"/>
  <c r="P57" i="119" s="1"/>
  <c r="V57" i="33"/>
  <c r="I57" i="113"/>
  <c r="Q17" i="33"/>
  <c r="M17" i="114"/>
  <c r="N17" i="114" s="1"/>
  <c r="P17" i="114" s="1"/>
  <c r="S17" i="33"/>
  <c r="M17" i="116"/>
  <c r="N17" i="116" s="1"/>
  <c r="P17" i="116" s="1"/>
  <c r="K17" i="118"/>
  <c r="L17" i="118" s="1"/>
  <c r="M17" i="118" s="1"/>
  <c r="K17" i="120"/>
  <c r="L17" i="120" s="1"/>
  <c r="M17" i="120" s="1"/>
  <c r="J58" i="113"/>
  <c r="N33" i="115"/>
  <c r="P33" i="115" s="1"/>
  <c r="R33" i="33"/>
  <c r="T33" i="33"/>
  <c r="M33" i="117"/>
  <c r="N33" i="117" s="1"/>
  <c r="P33" i="117" s="1"/>
  <c r="M33" i="119"/>
  <c r="N33" i="119" s="1"/>
  <c r="P33" i="119" s="1"/>
  <c r="V33" i="33"/>
  <c r="I33" i="113"/>
  <c r="Q32" i="33"/>
  <c r="M32" i="114"/>
  <c r="N32" i="114" s="1"/>
  <c r="P32" i="114" s="1"/>
  <c r="S32" i="33"/>
  <c r="M32" i="116"/>
  <c r="N32" i="116" s="1"/>
  <c r="P32" i="116" s="1"/>
  <c r="N32" i="118"/>
  <c r="P32" i="118" s="1"/>
  <c r="U32" i="33"/>
  <c r="N32" i="120"/>
  <c r="P32" i="120" s="1"/>
  <c r="W32" i="33"/>
  <c r="J54" i="113"/>
  <c r="R23" i="33"/>
  <c r="N23" i="115"/>
  <c r="P23" i="115" s="1"/>
  <c r="T23" i="33"/>
  <c r="M23" i="117"/>
  <c r="N23" i="117" s="1"/>
  <c r="P23" i="117" s="1"/>
  <c r="M23" i="119"/>
  <c r="N23" i="119" s="1"/>
  <c r="P23" i="119" s="1"/>
  <c r="V23" i="33"/>
  <c r="I23" i="113"/>
  <c r="M10" i="114"/>
  <c r="N10" i="114" s="1"/>
  <c r="P10" i="114" s="1"/>
  <c r="Q10" i="33"/>
  <c r="M10" i="116"/>
  <c r="N10" i="116" s="1"/>
  <c r="P10" i="116" s="1"/>
  <c r="S10" i="33"/>
  <c r="N10" i="118"/>
  <c r="P10" i="118" s="1"/>
  <c r="U10" i="33"/>
  <c r="W10" i="33"/>
  <c r="N10" i="120"/>
  <c r="P10" i="120" s="1"/>
  <c r="J71" i="113"/>
  <c r="N27" i="115"/>
  <c r="P27" i="115" s="1"/>
  <c r="M27" i="117"/>
  <c r="N27" i="117" s="1"/>
  <c r="P27" i="117" s="1"/>
  <c r="K27" i="119"/>
  <c r="L27" i="119" s="1"/>
  <c r="I27" i="113"/>
  <c r="R11" i="33"/>
  <c r="N11" i="115"/>
  <c r="P11" i="115" s="1"/>
  <c r="M11" i="117"/>
  <c r="N11" i="117" s="1"/>
  <c r="P11" i="117" s="1"/>
  <c r="T11" i="33"/>
  <c r="V11" i="33"/>
  <c r="M11" i="119"/>
  <c r="N11" i="119" s="1"/>
  <c r="P11" i="119" s="1"/>
  <c r="I11" i="113"/>
  <c r="M20" i="114"/>
  <c r="N20" i="114" s="1"/>
  <c r="P20" i="114" s="1"/>
  <c r="Q20" i="33"/>
  <c r="M20" i="116"/>
  <c r="N20" i="116" s="1"/>
  <c r="P20" i="116" s="1"/>
  <c r="S20" i="33"/>
  <c r="N20" i="118"/>
  <c r="P20" i="118" s="1"/>
  <c r="U20" i="33"/>
  <c r="N20" i="120"/>
  <c r="P20" i="120" s="1"/>
  <c r="W20" i="33"/>
  <c r="J72" i="113"/>
  <c r="R45" i="33"/>
  <c r="N45" i="115"/>
  <c r="P45" i="115" s="1"/>
  <c r="T45" i="33"/>
  <c r="M45" i="117"/>
  <c r="N45" i="117" s="1"/>
  <c r="P45" i="117" s="1"/>
  <c r="V45" i="33"/>
  <c r="M45" i="119"/>
  <c r="N45" i="119" s="1"/>
  <c r="P45" i="119" s="1"/>
  <c r="I45" i="113"/>
  <c r="Q13" i="33"/>
  <c r="M13" i="114"/>
  <c r="N13" i="114" s="1"/>
  <c r="P13" i="114" s="1"/>
  <c r="S13" i="33"/>
  <c r="M13" i="116"/>
  <c r="N13" i="116" s="1"/>
  <c r="P13" i="116" s="1"/>
  <c r="U13" i="33"/>
  <c r="N13" i="118"/>
  <c r="P13" i="118" s="1"/>
  <c r="W13" i="33"/>
  <c r="N13" i="120"/>
  <c r="P13" i="120" s="1"/>
  <c r="J21" i="113"/>
  <c r="R24" i="33"/>
  <c r="N24" i="115"/>
  <c r="P24" i="115" s="1"/>
  <c r="T24" i="33"/>
  <c r="M24" i="117"/>
  <c r="N24" i="117" s="1"/>
  <c r="P24" i="117" s="1"/>
  <c r="V24" i="33"/>
  <c r="M24" i="119"/>
  <c r="N24" i="119" s="1"/>
  <c r="P24" i="119" s="1"/>
  <c r="I24" i="113"/>
  <c r="Q43" i="33"/>
  <c r="M43" i="114"/>
  <c r="N43" i="114" s="1"/>
  <c r="P43" i="114" s="1"/>
  <c r="M43" i="116"/>
  <c r="N43" i="116" s="1"/>
  <c r="P43" i="116" s="1"/>
  <c r="S43" i="33"/>
  <c r="N43" i="118"/>
  <c r="P43" i="118" s="1"/>
  <c r="U43" i="33"/>
  <c r="W43" i="33"/>
  <c r="N43" i="120"/>
  <c r="P43" i="120" s="1"/>
  <c r="V35" i="33"/>
  <c r="I35" i="113"/>
  <c r="K77" i="114"/>
  <c r="L77" i="114" s="1"/>
  <c r="J68" i="113"/>
  <c r="R62" i="33"/>
  <c r="N62" i="115"/>
  <c r="P62" i="115" s="1"/>
  <c r="T62" i="33"/>
  <c r="M62" i="117"/>
  <c r="N62" i="117" s="1"/>
  <c r="P62" i="117" s="1"/>
  <c r="M62" i="119"/>
  <c r="N62" i="119" s="1"/>
  <c r="P62" i="119" s="1"/>
  <c r="V62" i="33"/>
  <c r="I62" i="113"/>
  <c r="M44" i="114"/>
  <c r="N44" i="114" s="1"/>
  <c r="P44" i="114" s="1"/>
  <c r="Q44" i="33"/>
  <c r="S44" i="33"/>
  <c r="M44" i="116"/>
  <c r="N44" i="116" s="1"/>
  <c r="P44" i="116" s="1"/>
  <c r="W44" i="33"/>
  <c r="N44" i="120"/>
  <c r="P44" i="120" s="1"/>
  <c r="J28" i="113"/>
  <c r="N61" i="115"/>
  <c r="P61" i="115" s="1"/>
  <c r="T61" i="33"/>
  <c r="I61" i="113"/>
  <c r="Q52" i="33"/>
  <c r="M52" i="114"/>
  <c r="N52" i="114" s="1"/>
  <c r="P52" i="114" s="1"/>
  <c r="S52" i="33"/>
  <c r="U52" i="33"/>
  <c r="N52" i="118"/>
  <c r="P52" i="118" s="1"/>
  <c r="J59" i="113"/>
  <c r="N17" i="115"/>
  <c r="P17" i="115" s="1"/>
  <c r="R17" i="33"/>
  <c r="M17" i="119"/>
  <c r="N17" i="119" s="1"/>
  <c r="P17" i="119" s="1"/>
  <c r="V17" i="33"/>
  <c r="I17" i="113"/>
  <c r="Q58" i="33"/>
  <c r="M58" i="116"/>
  <c r="N58" i="116" s="1"/>
  <c r="P58" i="116" s="1"/>
  <c r="N58" i="118"/>
  <c r="P58" i="118" s="1"/>
  <c r="W58" i="33"/>
  <c r="N58" i="120"/>
  <c r="P58" i="120" s="1"/>
  <c r="J30" i="113"/>
  <c r="N32" i="115"/>
  <c r="P32" i="115" s="1"/>
  <c r="I32" i="113"/>
  <c r="M54" i="114"/>
  <c r="N54" i="114" s="1"/>
  <c r="P54" i="114" s="1"/>
  <c r="Q54" i="33"/>
  <c r="M54" i="116"/>
  <c r="N54" i="116" s="1"/>
  <c r="P54" i="116" s="1"/>
  <c r="U54" i="33"/>
  <c r="J29" i="113"/>
  <c r="R10" i="33"/>
  <c r="N10" i="115"/>
  <c r="P10" i="115" s="1"/>
  <c r="M10" i="117"/>
  <c r="N10" i="117" s="1"/>
  <c r="P10" i="117" s="1"/>
  <c r="V10" i="33"/>
  <c r="M10" i="119"/>
  <c r="N10" i="119" s="1"/>
  <c r="P10" i="119" s="1"/>
  <c r="I10" i="113"/>
  <c r="S71" i="33"/>
  <c r="M71" i="116"/>
  <c r="N71" i="116" s="1"/>
  <c r="P71" i="116" s="1"/>
  <c r="N71" i="118"/>
  <c r="P71" i="118" s="1"/>
  <c r="N71" i="120"/>
  <c r="P71" i="120" s="1"/>
  <c r="J9" i="113"/>
  <c r="N32" i="76"/>
  <c r="O32" i="76" s="1"/>
  <c r="Q32" i="76" s="1"/>
  <c r="X34" i="33"/>
  <c r="X51" i="33"/>
  <c r="O23" i="80"/>
  <c r="Q23" i="80" s="1"/>
  <c r="Y25" i="33"/>
  <c r="X66" i="33"/>
  <c r="X74" i="33"/>
  <c r="N72" i="76"/>
  <c r="O72" i="76" s="1"/>
  <c r="Q72" i="76" s="1"/>
  <c r="N61" i="76"/>
  <c r="O61" i="76" s="1"/>
  <c r="Q61" i="76" s="1"/>
  <c r="X63" i="33"/>
  <c r="X40" i="33"/>
  <c r="X36" i="33"/>
  <c r="N34" i="76"/>
  <c r="O34" i="76" s="1"/>
  <c r="Q34" i="76" s="1"/>
  <c r="X76" i="33"/>
  <c r="N65" i="76"/>
  <c r="O65" i="76" s="1"/>
  <c r="Q65" i="76" s="1"/>
  <c r="X67" i="33"/>
  <c r="X47" i="33"/>
  <c r="N45" i="76"/>
  <c r="O45" i="76" s="1"/>
  <c r="Q45" i="76" s="1"/>
  <c r="X38" i="33"/>
  <c r="X48" i="33"/>
  <c r="N46" i="76"/>
  <c r="O46" i="76" s="1"/>
  <c r="Q46" i="76" s="1"/>
  <c r="Y73" i="33"/>
  <c r="N62" i="76"/>
  <c r="O62" i="76" s="1"/>
  <c r="Q62" i="76" s="1"/>
  <c r="X64" i="33"/>
  <c r="Y37" i="33"/>
  <c r="O35" i="80"/>
  <c r="Q35" i="80" s="1"/>
  <c r="X46" i="33"/>
  <c r="I36" i="46"/>
  <c r="K35" i="46"/>
  <c r="AE77" i="119"/>
  <c r="AK30" i="46"/>
  <c r="AI8" i="131"/>
  <c r="AI77" i="131" s="1"/>
  <c r="P77" i="131"/>
  <c r="AG8" i="117"/>
  <c r="AE77" i="117"/>
  <c r="N41" i="120"/>
  <c r="P41" i="120" s="1"/>
  <c r="W41" i="33"/>
  <c r="M41" i="116"/>
  <c r="N41" i="116" s="1"/>
  <c r="P41" i="116" s="1"/>
  <c r="S41" i="33"/>
  <c r="L18" i="33"/>
  <c r="M18" i="119"/>
  <c r="N18" i="119" s="1"/>
  <c r="P18" i="119" s="1"/>
  <c r="V18" i="33"/>
  <c r="R18" i="33"/>
  <c r="N18" i="115"/>
  <c r="P18" i="115" s="1"/>
  <c r="M47" i="33"/>
  <c r="W55" i="33"/>
  <c r="N55" i="120"/>
  <c r="P55" i="120" s="1"/>
  <c r="M55" i="116"/>
  <c r="N55" i="116" s="1"/>
  <c r="P55" i="116" s="1"/>
  <c r="S55" i="33"/>
  <c r="L53" i="33"/>
  <c r="V53" i="33"/>
  <c r="M53" i="119"/>
  <c r="N53" i="119" s="1"/>
  <c r="P53" i="119" s="1"/>
  <c r="N53" i="115"/>
  <c r="P53" i="115" s="1"/>
  <c r="R53" i="33"/>
  <c r="M39" i="33"/>
  <c r="U25" i="33"/>
  <c r="N25" i="118"/>
  <c r="P25" i="118" s="1"/>
  <c r="M25" i="114"/>
  <c r="N25" i="114" s="1"/>
  <c r="P25" i="114" s="1"/>
  <c r="Q25" i="33"/>
  <c r="M22" i="113"/>
  <c r="N22" i="113" s="1"/>
  <c r="P22" i="113" s="1"/>
  <c r="P22" i="33"/>
  <c r="M22" i="117"/>
  <c r="N22" i="117" s="1"/>
  <c r="P22" i="117" s="1"/>
  <c r="T22" i="33"/>
  <c r="N19" i="120"/>
  <c r="P19" i="120" s="1"/>
  <c r="W19" i="33"/>
  <c r="M19" i="116"/>
  <c r="N19" i="116" s="1"/>
  <c r="P19" i="116" s="1"/>
  <c r="S19" i="33"/>
  <c r="L48" i="33"/>
  <c r="V48" i="33"/>
  <c r="M48" i="119"/>
  <c r="N48" i="119" s="1"/>
  <c r="P48" i="119" s="1"/>
  <c r="N48" i="115"/>
  <c r="P48" i="115" s="1"/>
  <c r="R48" i="33"/>
  <c r="M56" i="33"/>
  <c r="U60" i="33"/>
  <c r="N60" i="118"/>
  <c r="P60" i="118" s="1"/>
  <c r="M60" i="114"/>
  <c r="N60" i="114" s="1"/>
  <c r="P60" i="114" s="1"/>
  <c r="Q60" i="33"/>
  <c r="P75" i="33"/>
  <c r="M75" i="113"/>
  <c r="N75" i="113" s="1"/>
  <c r="P75" i="113" s="1"/>
  <c r="M75" i="117"/>
  <c r="N75" i="117" s="1"/>
  <c r="P75" i="117" s="1"/>
  <c r="T75" i="33"/>
  <c r="W50" i="33"/>
  <c r="N50" i="120"/>
  <c r="P50" i="120" s="1"/>
  <c r="M50" i="116"/>
  <c r="N50" i="116" s="1"/>
  <c r="P50" i="116" s="1"/>
  <c r="S50" i="33"/>
  <c r="L38" i="33"/>
  <c r="V38" i="33"/>
  <c r="M38" i="119"/>
  <c r="N38" i="119" s="1"/>
  <c r="P38" i="119" s="1"/>
  <c r="N38" i="115"/>
  <c r="P38" i="115" s="1"/>
  <c r="R38" i="33"/>
  <c r="M73" i="33"/>
  <c r="U64" i="33"/>
  <c r="N64" i="118"/>
  <c r="P64" i="118" s="1"/>
  <c r="Q64" i="33"/>
  <c r="M64" i="114"/>
  <c r="N64" i="114" s="1"/>
  <c r="P64" i="114" s="1"/>
  <c r="M36" i="117"/>
  <c r="N36" i="117" s="1"/>
  <c r="P36" i="117" s="1"/>
  <c r="T36" i="33"/>
  <c r="W37" i="33"/>
  <c r="N37" i="120"/>
  <c r="P37" i="120" s="1"/>
  <c r="M37" i="116"/>
  <c r="N37" i="116" s="1"/>
  <c r="P37" i="116" s="1"/>
  <c r="S37" i="33"/>
  <c r="L14" i="33"/>
  <c r="V14" i="33"/>
  <c r="M14" i="119"/>
  <c r="N14" i="119" s="1"/>
  <c r="P14" i="119" s="1"/>
  <c r="N14" i="115"/>
  <c r="P14" i="115" s="1"/>
  <c r="R14" i="33"/>
  <c r="M12" i="33"/>
  <c r="N67" i="118"/>
  <c r="P67" i="118" s="1"/>
  <c r="U67" i="33"/>
  <c r="Q67" i="33"/>
  <c r="M67" i="114"/>
  <c r="N67" i="114" s="1"/>
  <c r="P67" i="114" s="1"/>
  <c r="P46" i="33"/>
  <c r="M46" i="113"/>
  <c r="N46" i="113" s="1"/>
  <c r="P46" i="113" s="1"/>
  <c r="T46" i="33"/>
  <c r="M46" i="117"/>
  <c r="N46" i="117" s="1"/>
  <c r="P46" i="117" s="1"/>
  <c r="L41" i="33"/>
  <c r="V41" i="33"/>
  <c r="M41" i="119"/>
  <c r="N41" i="119" s="1"/>
  <c r="P41" i="119" s="1"/>
  <c r="N41" i="115"/>
  <c r="P41" i="115" s="1"/>
  <c r="R41" i="33"/>
  <c r="M40" i="33"/>
  <c r="U47" i="33"/>
  <c r="N47" i="118"/>
  <c r="P47" i="118" s="1"/>
  <c r="Q47" i="33"/>
  <c r="M47" i="114"/>
  <c r="N47" i="114" s="1"/>
  <c r="P47" i="114" s="1"/>
  <c r="P55" i="33"/>
  <c r="M55" i="113"/>
  <c r="N55" i="113" s="1"/>
  <c r="P55" i="113" s="1"/>
  <c r="M55" i="117"/>
  <c r="N55" i="117" s="1"/>
  <c r="P55" i="117" s="1"/>
  <c r="T55" i="33"/>
  <c r="W53" i="33"/>
  <c r="N53" i="120"/>
  <c r="P53" i="120" s="1"/>
  <c r="M53" i="116"/>
  <c r="N53" i="116" s="1"/>
  <c r="P53" i="116" s="1"/>
  <c r="S53" i="33"/>
  <c r="L42" i="33"/>
  <c r="V42" i="33"/>
  <c r="M42" i="119"/>
  <c r="N42" i="119" s="1"/>
  <c r="P42" i="119" s="1"/>
  <c r="R42" i="33"/>
  <c r="N42" i="115"/>
  <c r="P42" i="115" s="1"/>
  <c r="M25" i="33"/>
  <c r="U22" i="33"/>
  <c r="N22" i="118"/>
  <c r="P22" i="118" s="1"/>
  <c r="M22" i="114"/>
  <c r="N22" i="114" s="1"/>
  <c r="P22" i="114" s="1"/>
  <c r="Q22" i="33"/>
  <c r="M66" i="113"/>
  <c r="N66" i="113" s="1"/>
  <c r="P66" i="113" s="1"/>
  <c r="P66" i="33"/>
  <c r="T66" i="33"/>
  <c r="M66" i="117"/>
  <c r="N66" i="117" s="1"/>
  <c r="P66" i="117" s="1"/>
  <c r="W48" i="33"/>
  <c r="N48" i="120"/>
  <c r="P48" i="120" s="1"/>
  <c r="M48" i="116"/>
  <c r="N48" i="116" s="1"/>
  <c r="P48" i="116" s="1"/>
  <c r="S48" i="33"/>
  <c r="L26" i="33"/>
  <c r="M26" i="119"/>
  <c r="N26" i="119" s="1"/>
  <c r="P26" i="119" s="1"/>
  <c r="V26" i="33"/>
  <c r="R26" i="33"/>
  <c r="N26" i="115"/>
  <c r="P26" i="115" s="1"/>
  <c r="M60" i="33"/>
  <c r="N75" i="120"/>
  <c r="P75" i="120" s="1"/>
  <c r="W75" i="33"/>
  <c r="S75" i="33"/>
  <c r="M75" i="116"/>
  <c r="N75" i="116" s="1"/>
  <c r="P75" i="116" s="1"/>
  <c r="L34" i="33"/>
  <c r="M34" i="119"/>
  <c r="N34" i="119" s="1"/>
  <c r="P34" i="119" s="1"/>
  <c r="V34" i="33"/>
  <c r="N34" i="115"/>
  <c r="P34" i="115" s="1"/>
  <c r="R34" i="33"/>
  <c r="M50" i="33"/>
  <c r="N38" i="118"/>
  <c r="P38" i="118" s="1"/>
  <c r="U38" i="33"/>
  <c r="M38" i="114"/>
  <c r="N38" i="114" s="1"/>
  <c r="P38" i="114" s="1"/>
  <c r="Q38" i="33"/>
  <c r="M15" i="113"/>
  <c r="N15" i="113" s="1"/>
  <c r="P15" i="113" s="1"/>
  <c r="P15" i="33"/>
  <c r="M15" i="117"/>
  <c r="N15" i="117" s="1"/>
  <c r="P15" i="117" s="1"/>
  <c r="T15" i="33"/>
  <c r="U36" i="33"/>
  <c r="N36" i="118"/>
  <c r="P36" i="118" s="1"/>
  <c r="Q36" i="33"/>
  <c r="M36" i="114"/>
  <c r="N36" i="114" s="1"/>
  <c r="P36" i="114" s="1"/>
  <c r="P76" i="33"/>
  <c r="M76" i="113"/>
  <c r="N76" i="113" s="1"/>
  <c r="P76" i="113" s="1"/>
  <c r="M76" i="117"/>
  <c r="N76" i="117" s="1"/>
  <c r="P76" i="117" s="1"/>
  <c r="T76" i="33"/>
  <c r="N14" i="118"/>
  <c r="P14" i="118" s="1"/>
  <c r="U14" i="33"/>
  <c r="Q14" i="33"/>
  <c r="M14" i="114"/>
  <c r="N14" i="114" s="1"/>
  <c r="P14" i="114" s="1"/>
  <c r="M63" i="113"/>
  <c r="N63" i="113" s="1"/>
  <c r="P63" i="113" s="1"/>
  <c r="P63" i="33"/>
  <c r="T63" i="33"/>
  <c r="M63" i="117"/>
  <c r="N63" i="117" s="1"/>
  <c r="P63" i="117" s="1"/>
  <c r="AI56" i="118"/>
  <c r="AI56" i="116"/>
  <c r="L60" i="33"/>
  <c r="AI60" i="119"/>
  <c r="AI51" i="120"/>
  <c r="AI51" i="118"/>
  <c r="K50" i="113"/>
  <c r="L50" i="113" s="1"/>
  <c r="U50" i="117"/>
  <c r="AK50" i="117" s="1"/>
  <c r="M15" i="33"/>
  <c r="AI73" i="120"/>
  <c r="AI73" i="116"/>
  <c r="AI73" i="114"/>
  <c r="K64" i="113"/>
  <c r="L64" i="113" s="1"/>
  <c r="AI64" i="119"/>
  <c r="U64" i="117"/>
  <c r="AK64" i="117" s="1"/>
  <c r="M76" i="33"/>
  <c r="AI69" i="120"/>
  <c r="AI69" i="118"/>
  <c r="AI69" i="114"/>
  <c r="K37" i="113"/>
  <c r="L37" i="113" s="1"/>
  <c r="AI37" i="119"/>
  <c r="U37" i="117"/>
  <c r="AK37" i="117" s="1"/>
  <c r="M63" i="33"/>
  <c r="K67" i="113"/>
  <c r="L67" i="113" s="1"/>
  <c r="AI67" i="119"/>
  <c r="AI67" i="115"/>
  <c r="AI46" i="114"/>
  <c r="AI8" i="127"/>
  <c r="AI77" i="127" s="1"/>
  <c r="P77" i="127"/>
  <c r="P77" i="125"/>
  <c r="AI8" i="125"/>
  <c r="AI77" i="125" s="1"/>
  <c r="AM78" i="114"/>
  <c r="AB9" i="31"/>
  <c r="AD9" i="31" s="1"/>
  <c r="AE9" i="31" s="1"/>
  <c r="AH9" i="31" s="1"/>
  <c r="AO77" i="117"/>
  <c r="AC79" i="76"/>
  <c r="AD77" i="76"/>
  <c r="AF77" i="76"/>
  <c r="O66" i="31"/>
  <c r="P66" i="31" s="1"/>
  <c r="S66" i="31" s="1"/>
  <c r="AI40" i="118"/>
  <c r="L47" i="33"/>
  <c r="AI47" i="119"/>
  <c r="U47" i="117"/>
  <c r="AK47" i="117" s="1"/>
  <c r="AI42" i="120"/>
  <c r="AI42" i="116"/>
  <c r="L39" i="33"/>
  <c r="N39" i="33" s="1"/>
  <c r="AI39" i="119"/>
  <c r="AI66" i="120"/>
  <c r="AI66" i="116"/>
  <c r="AI66" i="114"/>
  <c r="L74" i="33"/>
  <c r="U74" i="117"/>
  <c r="AK74" i="117" s="1"/>
  <c r="AI26" i="114"/>
  <c r="L56" i="33"/>
  <c r="N56" i="33" s="1"/>
  <c r="AI56" i="119"/>
  <c r="AI56" i="115"/>
  <c r="AI34" i="118"/>
  <c r="AI34" i="116"/>
  <c r="K51" i="113"/>
  <c r="L51" i="113" s="1"/>
  <c r="AI51" i="119"/>
  <c r="U51" i="117"/>
  <c r="AK51" i="117" s="1"/>
  <c r="AI51" i="115"/>
  <c r="M38" i="33"/>
  <c r="AI15" i="116"/>
  <c r="K73" i="113"/>
  <c r="L73" i="113" s="1"/>
  <c r="AI73" i="119"/>
  <c r="AI73" i="115"/>
  <c r="M36" i="33"/>
  <c r="AI76" i="120"/>
  <c r="AI76" i="118"/>
  <c r="AI76" i="116"/>
  <c r="L69" i="33"/>
  <c r="AI69" i="119"/>
  <c r="AI69" i="115"/>
  <c r="AI63" i="120"/>
  <c r="AI63" i="114"/>
  <c r="L12" i="33"/>
  <c r="AI12" i="119"/>
  <c r="AI18" i="114"/>
  <c r="K40" i="113"/>
  <c r="L40" i="113" s="1"/>
  <c r="AI40" i="119"/>
  <c r="M55" i="33"/>
  <c r="M42" i="33"/>
  <c r="AI39" i="120"/>
  <c r="AI39" i="118"/>
  <c r="L25" i="33"/>
  <c r="U25" i="117"/>
  <c r="AK25" i="117" s="1"/>
  <c r="AI25" i="115"/>
  <c r="AI74" i="118"/>
  <c r="L19" i="33"/>
  <c r="U19" i="117"/>
  <c r="AK19" i="117" s="1"/>
  <c r="M11" i="114"/>
  <c r="N11" i="114" s="1"/>
  <c r="P11" i="114" s="1"/>
  <c r="Q11" i="33"/>
  <c r="U11" i="33"/>
  <c r="N11" i="118"/>
  <c r="P11" i="118" s="1"/>
  <c r="K11" i="120"/>
  <c r="L11" i="120" s="1"/>
  <c r="M11" i="120" s="1"/>
  <c r="J20" i="113"/>
  <c r="N70" i="115"/>
  <c r="P70" i="115" s="1"/>
  <c r="M70" i="117"/>
  <c r="N70" i="117" s="1"/>
  <c r="P70" i="117" s="1"/>
  <c r="T70" i="33"/>
  <c r="I70" i="113"/>
  <c r="Q45" i="33"/>
  <c r="M45" i="114"/>
  <c r="N45" i="114" s="1"/>
  <c r="P45" i="114" s="1"/>
  <c r="S45" i="33"/>
  <c r="N45" i="118"/>
  <c r="P45" i="118" s="1"/>
  <c r="W45" i="33"/>
  <c r="J13" i="113"/>
  <c r="N65" i="115"/>
  <c r="P65" i="115" s="1"/>
  <c r="R65" i="33"/>
  <c r="T65" i="33"/>
  <c r="I65" i="113"/>
  <c r="M24" i="114"/>
  <c r="N24" i="114" s="1"/>
  <c r="P24" i="114" s="1"/>
  <c r="M24" i="116"/>
  <c r="N24" i="116" s="1"/>
  <c r="P24" i="116" s="1"/>
  <c r="S24" i="33"/>
  <c r="N24" i="118"/>
  <c r="P24" i="118" s="1"/>
  <c r="W24" i="33"/>
  <c r="J43" i="113"/>
  <c r="Y75" i="33"/>
  <c r="O32" i="80"/>
  <c r="Q32" i="80" s="1"/>
  <c r="Y51" i="33"/>
  <c r="O49" i="80"/>
  <c r="Q49" i="80" s="1"/>
  <c r="N51" i="76"/>
  <c r="O51" i="76" s="1"/>
  <c r="Q51" i="76" s="1"/>
  <c r="O37" i="80"/>
  <c r="Q37" i="80" s="1"/>
  <c r="N20" i="76"/>
  <c r="O20" i="76" s="1"/>
  <c r="Q20" i="76" s="1"/>
  <c r="X22" i="33"/>
  <c r="O20" i="80"/>
  <c r="Q20" i="80" s="1"/>
  <c r="O64" i="80"/>
  <c r="Q64" i="80" s="1"/>
  <c r="O72" i="80"/>
  <c r="Q72" i="80" s="1"/>
  <c r="N17" i="76"/>
  <c r="O17" i="76" s="1"/>
  <c r="Q17" i="76" s="1"/>
  <c r="X19" i="33"/>
  <c r="Y19" i="33"/>
  <c r="O54" i="80"/>
  <c r="Q54" i="80" s="1"/>
  <c r="Y14" i="33"/>
  <c r="O12" i="80"/>
  <c r="Q12" i="80" s="1"/>
  <c r="Y63" i="33"/>
  <c r="X18" i="33"/>
  <c r="Y18" i="33"/>
  <c r="Y40" i="33"/>
  <c r="O38" i="80"/>
  <c r="Q38" i="80" s="1"/>
  <c r="Y55" i="33"/>
  <c r="O48" i="80"/>
  <c r="Q48" i="80" s="1"/>
  <c r="Y15" i="33"/>
  <c r="O13" i="80"/>
  <c r="Q13" i="80" s="1"/>
  <c r="Y36" i="33"/>
  <c r="Y76" i="33"/>
  <c r="X12" i="33"/>
  <c r="Y12" i="33"/>
  <c r="O10" i="80"/>
  <c r="Q10" i="80" s="1"/>
  <c r="Y67" i="33"/>
  <c r="O58" i="80"/>
  <c r="Q58" i="80" s="1"/>
  <c r="O36" i="80"/>
  <c r="Q36" i="80" s="1"/>
  <c r="Y38" i="33"/>
  <c r="X41" i="33"/>
  <c r="Y42" i="33"/>
  <c r="Y48" i="33"/>
  <c r="N24" i="76"/>
  <c r="O24" i="76" s="1"/>
  <c r="Q24" i="76" s="1"/>
  <c r="X26" i="33"/>
  <c r="Y26" i="33"/>
  <c r="N71" i="76"/>
  <c r="O71" i="76" s="1"/>
  <c r="Q71" i="76" s="1"/>
  <c r="N67" i="76"/>
  <c r="O67" i="76" s="1"/>
  <c r="Q67" i="76" s="1"/>
  <c r="X69" i="33"/>
  <c r="X37" i="33"/>
  <c r="Y46" i="33"/>
  <c r="M68" i="114"/>
  <c r="N68" i="114" s="1"/>
  <c r="P68" i="114" s="1"/>
  <c r="M68" i="116"/>
  <c r="N68" i="116" s="1"/>
  <c r="P68" i="116" s="1"/>
  <c r="S68" i="33"/>
  <c r="N68" i="118"/>
  <c r="P68" i="118" s="1"/>
  <c r="W68" i="33"/>
  <c r="J49" i="113"/>
  <c r="N44" i="115"/>
  <c r="P44" i="115" s="1"/>
  <c r="M44" i="117"/>
  <c r="N44" i="117" s="1"/>
  <c r="P44" i="117" s="1"/>
  <c r="I44" i="113"/>
  <c r="K44" i="113" s="1"/>
  <c r="L44" i="113" s="1"/>
  <c r="Q28" i="33"/>
  <c r="S28" i="33"/>
  <c r="M28" i="116"/>
  <c r="N28" i="116" s="1"/>
  <c r="P28" i="116" s="1"/>
  <c r="N28" i="118"/>
  <c r="P28" i="118" s="1"/>
  <c r="W28" i="33"/>
  <c r="J31" i="113"/>
  <c r="N52" i="115"/>
  <c r="P52" i="115" s="1"/>
  <c r="R52" i="33"/>
  <c r="V52" i="33"/>
  <c r="M52" i="119"/>
  <c r="N52" i="119" s="1"/>
  <c r="P52" i="119" s="1"/>
  <c r="I52" i="113"/>
  <c r="K52" i="113" s="1"/>
  <c r="L52" i="113" s="1"/>
  <c r="M59" i="114"/>
  <c r="N59" i="114" s="1"/>
  <c r="P59" i="114" s="1"/>
  <c r="M59" i="116"/>
  <c r="N59" i="116" s="1"/>
  <c r="P59" i="116" s="1"/>
  <c r="N59" i="118"/>
  <c r="P59" i="118" s="1"/>
  <c r="K59" i="120"/>
  <c r="L59" i="120" s="1"/>
  <c r="M59" i="120" s="1"/>
  <c r="J57" i="113"/>
  <c r="R58" i="33"/>
  <c r="N58" i="115"/>
  <c r="P58" i="115" s="1"/>
  <c r="M58" i="117"/>
  <c r="N58" i="117" s="1"/>
  <c r="P58" i="117" s="1"/>
  <c r="T58" i="33"/>
  <c r="V58" i="33"/>
  <c r="I58" i="113"/>
  <c r="U30" i="33"/>
  <c r="W30" i="33"/>
  <c r="N30" i="120"/>
  <c r="P30" i="120" s="1"/>
  <c r="J33" i="113"/>
  <c r="N54" i="115"/>
  <c r="P54" i="115" s="1"/>
  <c r="M54" i="119"/>
  <c r="N54" i="119" s="1"/>
  <c r="P54" i="119" s="1"/>
  <c r="V54" i="33"/>
  <c r="I54" i="113"/>
  <c r="M29" i="114"/>
  <c r="N29" i="114" s="1"/>
  <c r="P29" i="114" s="1"/>
  <c r="K29" i="116"/>
  <c r="L29" i="116" s="1"/>
  <c r="K29" i="118"/>
  <c r="L29" i="118" s="1"/>
  <c r="M29" i="118" s="1"/>
  <c r="K29" i="120"/>
  <c r="L29" i="120" s="1"/>
  <c r="M29" i="120" s="1"/>
  <c r="J23" i="113"/>
  <c r="N71" i="115"/>
  <c r="P71" i="115" s="1"/>
  <c r="T71" i="33"/>
  <c r="M71" i="117"/>
  <c r="N71" i="117" s="1"/>
  <c r="P71" i="117" s="1"/>
  <c r="V71" i="33"/>
  <c r="M71" i="119"/>
  <c r="N71" i="119" s="1"/>
  <c r="P71" i="119" s="1"/>
  <c r="I71" i="113"/>
  <c r="K71" i="113" s="1"/>
  <c r="L71" i="113" s="1"/>
  <c r="Q9" i="33"/>
  <c r="N9" i="120"/>
  <c r="P9" i="120" s="1"/>
  <c r="W9" i="33"/>
  <c r="J27" i="113"/>
  <c r="J11" i="113"/>
  <c r="R72" i="33"/>
  <c r="I72" i="113"/>
  <c r="Q70" i="33"/>
  <c r="M70" i="114"/>
  <c r="N70" i="114" s="1"/>
  <c r="P70" i="114" s="1"/>
  <c r="M70" i="116"/>
  <c r="N70" i="116" s="1"/>
  <c r="P70" i="116" s="1"/>
  <c r="U70" i="33"/>
  <c r="J45" i="113"/>
  <c r="R21" i="33"/>
  <c r="N21" i="115"/>
  <c r="P21" i="115" s="1"/>
  <c r="T21" i="33"/>
  <c r="V21" i="33"/>
  <c r="M21" i="119"/>
  <c r="N21" i="119" s="1"/>
  <c r="P21" i="119" s="1"/>
  <c r="I21" i="113"/>
  <c r="S65" i="33"/>
  <c r="M65" i="116"/>
  <c r="N65" i="116" s="1"/>
  <c r="P65" i="116" s="1"/>
  <c r="K65" i="118"/>
  <c r="L65" i="118" s="1"/>
  <c r="M65" i="118" s="1"/>
  <c r="K65" i="120"/>
  <c r="L65" i="120" s="1"/>
  <c r="M65" i="120" s="1"/>
  <c r="J24" i="113"/>
  <c r="J35" i="113"/>
  <c r="R68" i="33"/>
  <c r="M68" i="117"/>
  <c r="N68" i="117" s="1"/>
  <c r="P68" i="117" s="1"/>
  <c r="V68" i="33"/>
  <c r="I68" i="113"/>
  <c r="K68" i="113" s="1"/>
  <c r="L68" i="113" s="1"/>
  <c r="Q49" i="33"/>
  <c r="M49" i="114"/>
  <c r="N49" i="114" s="1"/>
  <c r="P49" i="114" s="1"/>
  <c r="M49" i="116"/>
  <c r="N49" i="116" s="1"/>
  <c r="P49" i="116" s="1"/>
  <c r="K49" i="120"/>
  <c r="L49" i="120" s="1"/>
  <c r="M49" i="120" s="1"/>
  <c r="J62" i="113"/>
  <c r="T28" i="33"/>
  <c r="M28" i="117"/>
  <c r="N28" i="117" s="1"/>
  <c r="P28" i="117" s="1"/>
  <c r="M28" i="119"/>
  <c r="N28" i="119" s="1"/>
  <c r="P28" i="119" s="1"/>
  <c r="I28" i="113"/>
  <c r="Q31" i="33"/>
  <c r="M31" i="116"/>
  <c r="N31" i="116" s="1"/>
  <c r="P31" i="116" s="1"/>
  <c r="N31" i="118"/>
  <c r="P31" i="118" s="1"/>
  <c r="U31" i="33"/>
  <c r="K31" i="120"/>
  <c r="L31" i="120" s="1"/>
  <c r="M31" i="120" s="1"/>
  <c r="J61" i="113"/>
  <c r="M59" i="119"/>
  <c r="N59" i="119" s="1"/>
  <c r="P59" i="119" s="1"/>
  <c r="V59" i="33"/>
  <c r="I59" i="113"/>
  <c r="K59" i="113" s="1"/>
  <c r="L59" i="113" s="1"/>
  <c r="M57" i="114"/>
  <c r="N57" i="114" s="1"/>
  <c r="P57" i="114" s="1"/>
  <c r="M57" i="116"/>
  <c r="N57" i="116" s="1"/>
  <c r="P57" i="116" s="1"/>
  <c r="N57" i="120"/>
  <c r="P57" i="120" s="1"/>
  <c r="W57" i="33"/>
  <c r="J17" i="113"/>
  <c r="N30" i="115"/>
  <c r="P30" i="115" s="1"/>
  <c r="K30" i="117"/>
  <c r="L30" i="117" s="1"/>
  <c r="K30" i="119"/>
  <c r="L30" i="119" s="1"/>
  <c r="I30" i="113"/>
  <c r="K30" i="113" s="1"/>
  <c r="L30" i="113" s="1"/>
  <c r="K33" i="114"/>
  <c r="L33" i="114" s="1"/>
  <c r="K33" i="116"/>
  <c r="L33" i="116" s="1"/>
  <c r="K33" i="118"/>
  <c r="L33" i="118" s="1"/>
  <c r="M33" i="118" s="1"/>
  <c r="K33" i="120"/>
  <c r="L33" i="120" s="1"/>
  <c r="M33" i="120" s="1"/>
  <c r="J32" i="113"/>
  <c r="K29" i="115"/>
  <c r="L29" i="115" s="1"/>
  <c r="M29" i="115" s="1"/>
  <c r="K29" i="117"/>
  <c r="L29" i="117" s="1"/>
  <c r="K29" i="119"/>
  <c r="L29" i="119" s="1"/>
  <c r="I29" i="113"/>
  <c r="K23" i="114"/>
  <c r="L23" i="114" s="1"/>
  <c r="K23" i="116"/>
  <c r="L23" i="116" s="1"/>
  <c r="K23" i="118"/>
  <c r="L23" i="118" s="1"/>
  <c r="M23" i="118" s="1"/>
  <c r="K23" i="120"/>
  <c r="L23" i="120" s="1"/>
  <c r="M23" i="120" s="1"/>
  <c r="J10" i="113"/>
  <c r="K9" i="115"/>
  <c r="L9" i="115" s="1"/>
  <c r="M9" i="115" s="1"/>
  <c r="K9" i="117"/>
  <c r="L9" i="117" s="1"/>
  <c r="K9" i="119"/>
  <c r="L9" i="119" s="1"/>
  <c r="I9" i="113"/>
  <c r="K9" i="113" s="1"/>
  <c r="L9" i="113" s="1"/>
  <c r="K27" i="114"/>
  <c r="L27" i="114" s="1"/>
  <c r="K27" i="116"/>
  <c r="L27" i="116" s="1"/>
  <c r="K27" i="118"/>
  <c r="L27" i="118" s="1"/>
  <c r="M27" i="118" s="1"/>
  <c r="K27" i="120"/>
  <c r="L27" i="120" s="1"/>
  <c r="M27" i="120" s="1"/>
  <c r="P23" i="46"/>
  <c r="S23" i="46" s="1"/>
  <c r="O46" i="33"/>
  <c r="AK18" i="46"/>
  <c r="AF6" i="76"/>
  <c r="AD75" i="76"/>
  <c r="N41" i="118"/>
  <c r="P41" i="118" s="1"/>
  <c r="U41" i="33"/>
  <c r="Q41" i="33"/>
  <c r="M41" i="114"/>
  <c r="N41" i="114" s="1"/>
  <c r="P41" i="114" s="1"/>
  <c r="M18" i="113"/>
  <c r="N18" i="113" s="1"/>
  <c r="P18" i="113" s="1"/>
  <c r="P18" i="33"/>
  <c r="M18" i="117"/>
  <c r="N18" i="117" s="1"/>
  <c r="P18" i="117" s="1"/>
  <c r="T18" i="33"/>
  <c r="U55" i="33"/>
  <c r="N55" i="118"/>
  <c r="P55" i="118" s="1"/>
  <c r="M55" i="114"/>
  <c r="N55" i="114" s="1"/>
  <c r="P55" i="114" s="1"/>
  <c r="Q55" i="33"/>
  <c r="P53" i="33"/>
  <c r="M53" i="113"/>
  <c r="N53" i="113" s="1"/>
  <c r="P53" i="113" s="1"/>
  <c r="M53" i="117"/>
  <c r="N53" i="117" s="1"/>
  <c r="P53" i="117" s="1"/>
  <c r="T53" i="33"/>
  <c r="W25" i="33"/>
  <c r="N25" i="120"/>
  <c r="P25" i="120" s="1"/>
  <c r="S25" i="33"/>
  <c r="M25" i="116"/>
  <c r="N25" i="116" s="1"/>
  <c r="P25" i="116" s="1"/>
  <c r="L22" i="33"/>
  <c r="M22" i="119"/>
  <c r="N22" i="119" s="1"/>
  <c r="P22" i="119" s="1"/>
  <c r="V22" i="33"/>
  <c r="N22" i="115"/>
  <c r="P22" i="115" s="1"/>
  <c r="R22" i="33"/>
  <c r="M74" i="33"/>
  <c r="U19" i="33"/>
  <c r="N19" i="118"/>
  <c r="P19" i="118" s="1"/>
  <c r="M19" i="114"/>
  <c r="N19" i="114" s="1"/>
  <c r="P19" i="114" s="1"/>
  <c r="Q19" i="33"/>
  <c r="P48" i="33"/>
  <c r="M48" i="113"/>
  <c r="N48" i="113" s="1"/>
  <c r="P48" i="113" s="1"/>
  <c r="T48" i="33"/>
  <c r="M48" i="117"/>
  <c r="N48" i="117" s="1"/>
  <c r="P48" i="117" s="1"/>
  <c r="W60" i="33"/>
  <c r="N60" i="120"/>
  <c r="P60" i="120" s="1"/>
  <c r="S60" i="33"/>
  <c r="M60" i="116"/>
  <c r="N60" i="116" s="1"/>
  <c r="P60" i="116" s="1"/>
  <c r="L75" i="33"/>
  <c r="V75" i="33"/>
  <c r="M75" i="119"/>
  <c r="N75" i="119" s="1"/>
  <c r="P75" i="119" s="1"/>
  <c r="N75" i="115"/>
  <c r="P75" i="115" s="1"/>
  <c r="R75" i="33"/>
  <c r="M51" i="33"/>
  <c r="U50" i="33"/>
  <c r="N50" i="118"/>
  <c r="P50" i="118" s="1"/>
  <c r="M50" i="114"/>
  <c r="N50" i="114" s="1"/>
  <c r="P50" i="114" s="1"/>
  <c r="Q50" i="33"/>
  <c r="M38" i="113"/>
  <c r="N38" i="113" s="1"/>
  <c r="P38" i="113" s="1"/>
  <c r="P38" i="33"/>
  <c r="M38" i="117"/>
  <c r="N38" i="117" s="1"/>
  <c r="P38" i="117" s="1"/>
  <c r="T38" i="33"/>
  <c r="N64" i="120"/>
  <c r="P64" i="120" s="1"/>
  <c r="W64" i="33"/>
  <c r="S64" i="33"/>
  <c r="M64" i="116"/>
  <c r="N64" i="116" s="1"/>
  <c r="P64" i="116" s="1"/>
  <c r="L36" i="33"/>
  <c r="M36" i="119"/>
  <c r="N36" i="119" s="1"/>
  <c r="P36" i="119" s="1"/>
  <c r="V36" i="33"/>
  <c r="N36" i="115"/>
  <c r="P36" i="115" s="1"/>
  <c r="R36" i="33"/>
  <c r="M69" i="33"/>
  <c r="N37" i="118"/>
  <c r="P37" i="118" s="1"/>
  <c r="U37" i="33"/>
  <c r="M37" i="114"/>
  <c r="N37" i="114" s="1"/>
  <c r="P37" i="114" s="1"/>
  <c r="Q37" i="33"/>
  <c r="P14" i="33"/>
  <c r="M14" i="113"/>
  <c r="N14" i="113" s="1"/>
  <c r="P14" i="113" s="1"/>
  <c r="T14" i="33"/>
  <c r="M14" i="117"/>
  <c r="N14" i="117" s="1"/>
  <c r="P14" i="117" s="1"/>
  <c r="N67" i="120"/>
  <c r="P67" i="120" s="1"/>
  <c r="W67" i="33"/>
  <c r="S67" i="33"/>
  <c r="M67" i="116"/>
  <c r="N67" i="116" s="1"/>
  <c r="P67" i="116" s="1"/>
  <c r="L46" i="33"/>
  <c r="V46" i="33"/>
  <c r="M46" i="119"/>
  <c r="N46" i="119" s="1"/>
  <c r="P46" i="119" s="1"/>
  <c r="R46" i="33"/>
  <c r="N46" i="115"/>
  <c r="P46" i="115" s="1"/>
  <c r="M41" i="113"/>
  <c r="N41" i="113" s="1"/>
  <c r="P41" i="113" s="1"/>
  <c r="P41" i="33"/>
  <c r="M41" i="117"/>
  <c r="N41" i="117" s="1"/>
  <c r="P41" i="117" s="1"/>
  <c r="T41" i="33"/>
  <c r="W47" i="33"/>
  <c r="N47" i="120"/>
  <c r="P47" i="120" s="1"/>
  <c r="M47" i="116"/>
  <c r="N47" i="116" s="1"/>
  <c r="P47" i="116" s="1"/>
  <c r="S47" i="33"/>
  <c r="L55" i="33"/>
  <c r="N55" i="33" s="1"/>
  <c r="M55" i="119"/>
  <c r="N55" i="119" s="1"/>
  <c r="P55" i="119" s="1"/>
  <c r="V55" i="33"/>
  <c r="R55" i="33"/>
  <c r="N55" i="115"/>
  <c r="P55" i="115" s="1"/>
  <c r="U53" i="33"/>
  <c r="N53" i="118"/>
  <c r="P53" i="118" s="1"/>
  <c r="M53" i="114"/>
  <c r="N53" i="114" s="1"/>
  <c r="P53" i="114" s="1"/>
  <c r="Q53" i="33"/>
  <c r="M42" i="113"/>
  <c r="N42" i="113" s="1"/>
  <c r="P42" i="113" s="1"/>
  <c r="P42" i="33"/>
  <c r="T42" i="33"/>
  <c r="M42" i="117"/>
  <c r="N42" i="117" s="1"/>
  <c r="P42" i="117" s="1"/>
  <c r="W22" i="33"/>
  <c r="N22" i="120"/>
  <c r="P22" i="120" s="1"/>
  <c r="M22" i="116"/>
  <c r="N22" i="116" s="1"/>
  <c r="P22" i="116" s="1"/>
  <c r="S22" i="33"/>
  <c r="L66" i="33"/>
  <c r="M66" i="119"/>
  <c r="N66" i="119" s="1"/>
  <c r="P66" i="119" s="1"/>
  <c r="V66" i="33"/>
  <c r="N66" i="115"/>
  <c r="P66" i="115" s="1"/>
  <c r="R66" i="33"/>
  <c r="M19" i="33"/>
  <c r="N48" i="118"/>
  <c r="P48" i="118" s="1"/>
  <c r="U48" i="33"/>
  <c r="Q48" i="33"/>
  <c r="M48" i="114"/>
  <c r="N48" i="114" s="1"/>
  <c r="P48" i="114" s="1"/>
  <c r="P26" i="33"/>
  <c r="M26" i="113"/>
  <c r="N26" i="113" s="1"/>
  <c r="P26" i="113" s="1"/>
  <c r="M26" i="117"/>
  <c r="N26" i="117" s="1"/>
  <c r="P26" i="117" s="1"/>
  <c r="T26" i="33"/>
  <c r="U75" i="33"/>
  <c r="N75" i="118"/>
  <c r="P75" i="118" s="1"/>
  <c r="M75" i="114"/>
  <c r="N75" i="114" s="1"/>
  <c r="P75" i="114" s="1"/>
  <c r="Q75" i="33"/>
  <c r="M34" i="113"/>
  <c r="N34" i="113" s="1"/>
  <c r="P34" i="113" s="1"/>
  <c r="P34" i="33"/>
  <c r="M34" i="117"/>
  <c r="N34" i="117" s="1"/>
  <c r="P34" i="117" s="1"/>
  <c r="T34" i="33"/>
  <c r="W38" i="33"/>
  <c r="N38" i="120"/>
  <c r="P38" i="120" s="1"/>
  <c r="M38" i="116"/>
  <c r="N38" i="116" s="1"/>
  <c r="P38" i="116" s="1"/>
  <c r="S38" i="33"/>
  <c r="L15" i="33"/>
  <c r="N15" i="33" s="1"/>
  <c r="M15" i="119"/>
  <c r="N15" i="119" s="1"/>
  <c r="P15" i="119" s="1"/>
  <c r="V15" i="33"/>
  <c r="N15" i="115"/>
  <c r="P15" i="115" s="1"/>
  <c r="R15" i="33"/>
  <c r="M64" i="33"/>
  <c r="N36" i="120"/>
  <c r="P36" i="120" s="1"/>
  <c r="W36" i="33"/>
  <c r="S36" i="33"/>
  <c r="M36" i="116"/>
  <c r="N36" i="116" s="1"/>
  <c r="P36" i="116" s="1"/>
  <c r="L76" i="33"/>
  <c r="V76" i="33"/>
  <c r="M76" i="119"/>
  <c r="N76" i="119" s="1"/>
  <c r="P76" i="119" s="1"/>
  <c r="R76" i="33"/>
  <c r="N76" i="115"/>
  <c r="P76" i="115" s="1"/>
  <c r="M37" i="33"/>
  <c r="N14" i="120"/>
  <c r="P14" i="120" s="1"/>
  <c r="W14" i="33"/>
  <c r="S14" i="33"/>
  <c r="M14" i="116"/>
  <c r="N14" i="116" s="1"/>
  <c r="P14" i="116" s="1"/>
  <c r="L63" i="33"/>
  <c r="N63" i="33" s="1"/>
  <c r="M63" i="119"/>
  <c r="N63" i="119" s="1"/>
  <c r="P63" i="119" s="1"/>
  <c r="V63" i="33"/>
  <c r="R63" i="33"/>
  <c r="N63" i="115"/>
  <c r="P63" i="115" s="1"/>
  <c r="M67" i="33"/>
  <c r="AI56" i="114"/>
  <c r="K60" i="113"/>
  <c r="L60" i="113" s="1"/>
  <c r="U60" i="117"/>
  <c r="AK60" i="117" s="1"/>
  <c r="AI60" i="115"/>
  <c r="M34" i="33"/>
  <c r="AI51" i="116"/>
  <c r="AI51" i="114"/>
  <c r="L50" i="33"/>
  <c r="AI50" i="119"/>
  <c r="AI50" i="115"/>
  <c r="AI73" i="118"/>
  <c r="L64" i="33"/>
  <c r="N64" i="33" s="1"/>
  <c r="AI64" i="115"/>
  <c r="AI69" i="116"/>
  <c r="L37" i="33"/>
  <c r="AI37" i="115"/>
  <c r="AI12" i="118"/>
  <c r="AI12" i="116"/>
  <c r="AI12" i="114"/>
  <c r="L67" i="33"/>
  <c r="U67" i="117"/>
  <c r="AK67" i="117" s="1"/>
  <c r="AI46" i="118"/>
  <c r="AI46" i="116"/>
  <c r="AI8" i="126"/>
  <c r="AI77" i="126" s="1"/>
  <c r="P77" i="126"/>
  <c r="AC78" i="114"/>
  <c r="AE8" i="114"/>
  <c r="AD69" i="31"/>
  <c r="AE12" i="31"/>
  <c r="P77" i="128"/>
  <c r="AI8" i="128"/>
  <c r="AI77" i="128" s="1"/>
  <c r="AO6" i="76"/>
  <c r="AN75" i="76"/>
  <c r="AE77" i="116"/>
  <c r="M18" i="33"/>
  <c r="AI40" i="120"/>
  <c r="AI40" i="116"/>
  <c r="AI40" i="114"/>
  <c r="K47" i="113"/>
  <c r="L47" i="113" s="1"/>
  <c r="M53" i="33"/>
  <c r="AI42" i="118"/>
  <c r="AI42" i="114"/>
  <c r="K39" i="113"/>
  <c r="L39" i="113" s="1"/>
  <c r="U39" i="117"/>
  <c r="AK39" i="117" s="1"/>
  <c r="AI39" i="115"/>
  <c r="M22" i="33"/>
  <c r="AI66" i="118"/>
  <c r="K74" i="113"/>
  <c r="L74" i="113" s="1"/>
  <c r="AI74" i="119"/>
  <c r="AI74" i="115"/>
  <c r="M48" i="33"/>
  <c r="AI26" i="118"/>
  <c r="AI26" i="116"/>
  <c r="K56" i="113"/>
  <c r="L56" i="113" s="1"/>
  <c r="U56" i="117"/>
  <c r="AK56" i="117" s="1"/>
  <c r="M75" i="33"/>
  <c r="AI34" i="120"/>
  <c r="AI34" i="114"/>
  <c r="L51" i="33"/>
  <c r="N51" i="33" s="1"/>
  <c r="AI15" i="120"/>
  <c r="AI15" i="118"/>
  <c r="AI15" i="114"/>
  <c r="L73" i="33"/>
  <c r="U73" i="117"/>
  <c r="AK73" i="117" s="1"/>
  <c r="AI76" i="114"/>
  <c r="K69" i="113"/>
  <c r="L69" i="113" s="1"/>
  <c r="U69" i="117"/>
  <c r="AK69" i="117" s="1"/>
  <c r="M14" i="33"/>
  <c r="AI63" i="118"/>
  <c r="AI63" i="116"/>
  <c r="K12" i="113"/>
  <c r="L12" i="113" s="1"/>
  <c r="U12" i="117"/>
  <c r="AK12" i="117" s="1"/>
  <c r="AI12" i="115"/>
  <c r="M46" i="33"/>
  <c r="M41" i="33"/>
  <c r="AI18" i="120"/>
  <c r="AI18" i="118"/>
  <c r="L40" i="33"/>
  <c r="U40" i="117"/>
  <c r="AK40" i="117" s="1"/>
  <c r="AI40" i="115"/>
  <c r="AI39" i="116"/>
  <c r="AI39" i="114"/>
  <c r="K25" i="113"/>
  <c r="L25" i="113" s="1"/>
  <c r="AI25" i="119"/>
  <c r="M66" i="33"/>
  <c r="AI74" i="120"/>
  <c r="AI74" i="116"/>
  <c r="AI74" i="114"/>
  <c r="K19" i="113"/>
  <c r="L19" i="113" s="1"/>
  <c r="AI19" i="119"/>
  <c r="AI19" i="115"/>
  <c r="M26" i="33"/>
  <c r="AI56" i="120"/>
  <c r="I11" i="46"/>
  <c r="K11" i="46" s="1"/>
  <c r="L11" i="46" s="1"/>
  <c r="P11" i="46" s="1"/>
  <c r="S11" i="46" s="1"/>
  <c r="I17" i="46"/>
  <c r="K17" i="46" s="1"/>
  <c r="L17" i="46" s="1"/>
  <c r="I15" i="46"/>
  <c r="K15" i="46" s="1"/>
  <c r="L15" i="46" s="1"/>
  <c r="P15" i="46" s="1"/>
  <c r="S15" i="46" s="1"/>
  <c r="I10" i="46"/>
  <c r="J16" i="119"/>
  <c r="I16" i="119"/>
  <c r="J16" i="117"/>
  <c r="I16" i="117"/>
  <c r="J16" i="115"/>
  <c r="I16" i="115"/>
  <c r="I58" i="31"/>
  <c r="K58" i="31" s="1"/>
  <c r="L58" i="31" s="1"/>
  <c r="I42" i="31"/>
  <c r="K42" i="31" s="1"/>
  <c r="L42" i="31" s="1"/>
  <c r="I26" i="31"/>
  <c r="K26" i="31" s="1"/>
  <c r="L26" i="31" s="1"/>
  <c r="I59" i="31"/>
  <c r="K59" i="31" s="1"/>
  <c r="L59" i="31" s="1"/>
  <c r="I19" i="31"/>
  <c r="K19" i="31" s="1"/>
  <c r="L19" i="31" s="1"/>
  <c r="I57" i="31"/>
  <c r="K57" i="31" s="1"/>
  <c r="L57" i="31" s="1"/>
  <c r="I41" i="31"/>
  <c r="K41" i="31" s="1"/>
  <c r="L41" i="31" s="1"/>
  <c r="I25" i="31"/>
  <c r="K25" i="31" s="1"/>
  <c r="L25" i="31" s="1"/>
  <c r="I9" i="31"/>
  <c r="K9" i="31" s="1"/>
  <c r="L9" i="31" s="1"/>
  <c r="I60" i="31"/>
  <c r="K60" i="31" s="1"/>
  <c r="L60" i="31" s="1"/>
  <c r="I44" i="31"/>
  <c r="K44" i="31" s="1"/>
  <c r="L44" i="31" s="1"/>
  <c r="I28" i="31"/>
  <c r="K28" i="31" s="1"/>
  <c r="L28" i="31" s="1"/>
  <c r="I12" i="31"/>
  <c r="I27" i="31"/>
  <c r="K27" i="31" s="1"/>
  <c r="L27" i="31" s="1"/>
  <c r="I54" i="31"/>
  <c r="K54" i="31" s="1"/>
  <c r="L54" i="31" s="1"/>
  <c r="I38" i="31"/>
  <c r="K38" i="31" s="1"/>
  <c r="L38" i="31" s="1"/>
  <c r="I22" i="31"/>
  <c r="K22" i="31" s="1"/>
  <c r="L22" i="31" s="1"/>
  <c r="I68" i="31"/>
  <c r="K68" i="31" s="1"/>
  <c r="L68" i="31" s="1"/>
  <c r="I31" i="31"/>
  <c r="K31" i="31" s="1"/>
  <c r="L31" i="31" s="1"/>
  <c r="I61" i="31"/>
  <c r="K61" i="31" s="1"/>
  <c r="L61" i="31" s="1"/>
  <c r="I45" i="31"/>
  <c r="K45" i="31" s="1"/>
  <c r="L45" i="31" s="1"/>
  <c r="I29" i="31"/>
  <c r="K29" i="31" s="1"/>
  <c r="L29" i="31" s="1"/>
  <c r="I13" i="31"/>
  <c r="K13" i="31" s="1"/>
  <c r="L13" i="31" s="1"/>
  <c r="I23" i="31"/>
  <c r="K23" i="31" s="1"/>
  <c r="L23" i="31" s="1"/>
  <c r="I56" i="31"/>
  <c r="K56" i="31" s="1"/>
  <c r="L56" i="31" s="1"/>
  <c r="I40" i="31"/>
  <c r="K40" i="31" s="1"/>
  <c r="L40" i="31" s="1"/>
  <c r="I24" i="31"/>
  <c r="K24" i="31" s="1"/>
  <c r="L24" i="31" s="1"/>
  <c r="I55" i="31"/>
  <c r="K55" i="31" s="1"/>
  <c r="L55" i="31" s="1"/>
  <c r="K60" i="76"/>
  <c r="J60" i="76"/>
  <c r="K15" i="80"/>
  <c r="J15" i="80"/>
  <c r="K56" i="76"/>
  <c r="J56" i="76"/>
  <c r="K31" i="80"/>
  <c r="J31" i="80"/>
  <c r="K52" i="76"/>
  <c r="J52" i="76"/>
  <c r="K27" i="80"/>
  <c r="J27" i="80"/>
  <c r="K63" i="80"/>
  <c r="J63" i="80"/>
  <c r="K7" i="76"/>
  <c r="J7" i="76"/>
  <c r="K57" i="80"/>
  <c r="J57" i="80"/>
  <c r="K18" i="80"/>
  <c r="J18" i="80"/>
  <c r="K18" i="76"/>
  <c r="J18" i="76"/>
  <c r="K8" i="80"/>
  <c r="J8" i="80"/>
  <c r="K8" i="76"/>
  <c r="J8" i="76"/>
  <c r="K29" i="80"/>
  <c r="J29" i="80"/>
  <c r="K55" i="76"/>
  <c r="J55" i="76"/>
  <c r="K30" i="80"/>
  <c r="J30" i="80"/>
  <c r="K21" i="80"/>
  <c r="J21" i="80"/>
  <c r="K21" i="76"/>
  <c r="J21" i="76"/>
  <c r="K41" i="80"/>
  <c r="J41" i="80"/>
  <c r="K33" i="76"/>
  <c r="J33" i="76"/>
  <c r="K19" i="80"/>
  <c r="J19" i="80"/>
  <c r="K69" i="76"/>
  <c r="J69" i="76"/>
  <c r="K66" i="76"/>
  <c r="J66" i="76"/>
  <c r="K70" i="76"/>
  <c r="J70" i="76"/>
  <c r="K47" i="80"/>
  <c r="J47" i="80"/>
  <c r="K68" i="76"/>
  <c r="J68" i="76"/>
  <c r="K43" i="80"/>
  <c r="J43" i="80"/>
  <c r="K11" i="80"/>
  <c r="J11" i="80"/>
  <c r="K42" i="76"/>
  <c r="J42" i="76"/>
  <c r="K26" i="76"/>
  <c r="J26" i="76"/>
  <c r="K59" i="80"/>
  <c r="J59" i="80"/>
  <c r="K50" i="76"/>
  <c r="J50" i="76"/>
  <c r="I12" i="46"/>
  <c r="K12" i="46" s="1"/>
  <c r="L12" i="46" s="1"/>
  <c r="P12" i="46" s="1"/>
  <c r="S12" i="46" s="1"/>
  <c r="I16" i="46"/>
  <c r="K16" i="46" s="1"/>
  <c r="L16" i="46" s="1"/>
  <c r="P16" i="46" s="1"/>
  <c r="S16" i="46" s="1"/>
  <c r="I14" i="46"/>
  <c r="K14" i="46" s="1"/>
  <c r="L14" i="46" s="1"/>
  <c r="P14" i="46" s="1"/>
  <c r="S14" i="46" s="1"/>
  <c r="I13" i="46"/>
  <c r="K13" i="46" s="1"/>
  <c r="L13" i="46" s="1"/>
  <c r="P13" i="46" s="1"/>
  <c r="S13" i="46" s="1"/>
  <c r="K9" i="80"/>
  <c r="J9" i="80"/>
  <c r="K9" i="76"/>
  <c r="J9" i="76"/>
  <c r="K60" i="80"/>
  <c r="J60" i="80"/>
  <c r="K15" i="76"/>
  <c r="J15" i="76"/>
  <c r="K56" i="80"/>
  <c r="J56" i="80"/>
  <c r="K28" i="80"/>
  <c r="J28" i="80"/>
  <c r="K28" i="76"/>
  <c r="J28" i="76"/>
  <c r="K31" i="76"/>
  <c r="J31" i="76"/>
  <c r="K52" i="80"/>
  <c r="J52" i="80"/>
  <c r="K27" i="76"/>
  <c r="J27" i="76"/>
  <c r="K63" i="76"/>
  <c r="J63" i="76"/>
  <c r="K22" i="80"/>
  <c r="J22" i="80"/>
  <c r="K22" i="76"/>
  <c r="J22" i="76"/>
  <c r="K7" i="80"/>
  <c r="J7" i="80"/>
  <c r="K57" i="76"/>
  <c r="J57" i="76"/>
  <c r="K29" i="76"/>
  <c r="J29" i="76"/>
  <c r="K55" i="80"/>
  <c r="J55" i="80"/>
  <c r="K30" i="76"/>
  <c r="J30" i="76"/>
  <c r="K41" i="76"/>
  <c r="J41" i="76"/>
  <c r="K33" i="80"/>
  <c r="J33" i="80"/>
  <c r="K25" i="80"/>
  <c r="J25" i="80"/>
  <c r="K25" i="76"/>
  <c r="J25" i="76"/>
  <c r="K19" i="76"/>
  <c r="J19" i="76"/>
  <c r="K69" i="80"/>
  <c r="J69" i="80"/>
  <c r="K66" i="80"/>
  <c r="J66" i="80"/>
  <c r="K70" i="80"/>
  <c r="J70" i="80"/>
  <c r="K47" i="76"/>
  <c r="J47" i="76"/>
  <c r="K68" i="80"/>
  <c r="J68" i="80"/>
  <c r="K43" i="76"/>
  <c r="J43" i="76"/>
  <c r="K11" i="76"/>
  <c r="J11" i="76"/>
  <c r="K42" i="80"/>
  <c r="J42" i="80"/>
  <c r="K26" i="80"/>
  <c r="J26" i="80"/>
  <c r="K59" i="76"/>
  <c r="J59" i="76"/>
  <c r="K50" i="80"/>
  <c r="J50" i="80"/>
  <c r="I16" i="33"/>
  <c r="K16" i="33" s="1"/>
  <c r="AH16" i="33" s="1"/>
  <c r="J16" i="120"/>
  <c r="I16" i="120"/>
  <c r="J16" i="118"/>
  <c r="I16" i="118"/>
  <c r="J16" i="116"/>
  <c r="I16" i="116"/>
  <c r="J16" i="114"/>
  <c r="I16" i="114"/>
  <c r="I67" i="31"/>
  <c r="K67" i="31" s="1"/>
  <c r="L67" i="31" s="1"/>
  <c r="I50" i="31"/>
  <c r="K50" i="31" s="1"/>
  <c r="L50" i="31" s="1"/>
  <c r="I34" i="31"/>
  <c r="K34" i="31" s="1"/>
  <c r="L34" i="31" s="1"/>
  <c r="I18" i="31"/>
  <c r="K18" i="31" s="1"/>
  <c r="L18" i="31" s="1"/>
  <c r="I43" i="31"/>
  <c r="K43" i="31" s="1"/>
  <c r="L43" i="31" s="1"/>
  <c r="I65" i="31"/>
  <c r="K65" i="31" s="1"/>
  <c r="L65" i="31" s="1"/>
  <c r="I49" i="31"/>
  <c r="K49" i="31" s="1"/>
  <c r="L49" i="31" s="1"/>
  <c r="I33" i="31"/>
  <c r="K33" i="31" s="1"/>
  <c r="L33" i="31" s="1"/>
  <c r="I17" i="31"/>
  <c r="K17" i="31" s="1"/>
  <c r="L17" i="31" s="1"/>
  <c r="I39" i="31"/>
  <c r="K39" i="31" s="1"/>
  <c r="L39" i="31" s="1"/>
  <c r="I52" i="31"/>
  <c r="K52" i="31" s="1"/>
  <c r="L52" i="31" s="1"/>
  <c r="I36" i="31"/>
  <c r="K36" i="31" s="1"/>
  <c r="L36" i="31" s="1"/>
  <c r="I20" i="31"/>
  <c r="K20" i="31" s="1"/>
  <c r="L20" i="31" s="1"/>
  <c r="I47" i="31"/>
  <c r="K47" i="31" s="1"/>
  <c r="L47" i="31" s="1"/>
  <c r="I62" i="31"/>
  <c r="K62" i="31" s="1"/>
  <c r="L62" i="31" s="1"/>
  <c r="I46" i="31"/>
  <c r="K46" i="31" s="1"/>
  <c r="L46" i="31" s="1"/>
  <c r="I30" i="31"/>
  <c r="K30" i="31" s="1"/>
  <c r="L30" i="31" s="1"/>
  <c r="I14" i="31"/>
  <c r="K14" i="31" s="1"/>
  <c r="L14" i="31" s="1"/>
  <c r="I51" i="31"/>
  <c r="K51" i="31" s="1"/>
  <c r="L51" i="31" s="1"/>
  <c r="I15" i="31"/>
  <c r="K15" i="31" s="1"/>
  <c r="L15" i="31" s="1"/>
  <c r="I53" i="31"/>
  <c r="K53" i="31" s="1"/>
  <c r="L53" i="31" s="1"/>
  <c r="I37" i="31"/>
  <c r="K37" i="31" s="1"/>
  <c r="L37" i="31" s="1"/>
  <c r="I21" i="31"/>
  <c r="K21" i="31" s="1"/>
  <c r="L21" i="31" s="1"/>
  <c r="I63" i="31"/>
  <c r="K63" i="31" s="1"/>
  <c r="L63" i="31" s="1"/>
  <c r="I64" i="31"/>
  <c r="K64" i="31" s="1"/>
  <c r="L64" i="31" s="1"/>
  <c r="I48" i="31"/>
  <c r="K48" i="31" s="1"/>
  <c r="L48" i="31" s="1"/>
  <c r="I32" i="31"/>
  <c r="K32" i="31" s="1"/>
  <c r="L32" i="31" s="1"/>
  <c r="I16" i="31"/>
  <c r="K16" i="31" s="1"/>
  <c r="L16" i="31" s="1"/>
  <c r="I35" i="31"/>
  <c r="K35" i="31" s="1"/>
  <c r="L35" i="31" s="1"/>
  <c r="N9" i="118" l="1"/>
  <c r="P9" i="118" s="1"/>
  <c r="S30" i="33"/>
  <c r="X42" i="33"/>
  <c r="Z42" i="33" s="1"/>
  <c r="X50" i="33"/>
  <c r="V32" i="33"/>
  <c r="T35" i="33"/>
  <c r="N57" i="118"/>
  <c r="P57" i="118" s="1"/>
  <c r="AI57" i="118" s="1"/>
  <c r="R59" i="33"/>
  <c r="U49" i="33"/>
  <c r="M65" i="114"/>
  <c r="N65" i="114" s="1"/>
  <c r="P65" i="114" s="1"/>
  <c r="W70" i="33"/>
  <c r="M72" i="117"/>
  <c r="N72" i="117" s="1"/>
  <c r="P72" i="117" s="1"/>
  <c r="U72" i="117" s="1"/>
  <c r="AK72" i="117" s="1"/>
  <c r="S9" i="33"/>
  <c r="Q30" i="33"/>
  <c r="V44" i="33"/>
  <c r="O44" i="80"/>
  <c r="Q44" i="80" s="1"/>
  <c r="AJ44" i="80" s="1"/>
  <c r="O62" i="80"/>
  <c r="Q62" i="80" s="1"/>
  <c r="O40" i="80"/>
  <c r="Q40" i="80" s="1"/>
  <c r="O45" i="80"/>
  <c r="Q45" i="80" s="1"/>
  <c r="AJ45" i="80" s="1"/>
  <c r="O74" i="80"/>
  <c r="Q74" i="80" s="1"/>
  <c r="X15" i="33"/>
  <c r="X14" i="33"/>
  <c r="Y66" i="33"/>
  <c r="N23" i="76"/>
  <c r="O23" i="76" s="1"/>
  <c r="Q23" i="76" s="1"/>
  <c r="AJ23" i="76" s="1"/>
  <c r="O73" i="80"/>
  <c r="Q73" i="80" s="1"/>
  <c r="M65" i="119"/>
  <c r="N65" i="119" s="1"/>
  <c r="P65" i="119" s="1"/>
  <c r="U45" i="33"/>
  <c r="P36" i="33"/>
  <c r="Y41" i="33"/>
  <c r="N53" i="76"/>
  <c r="O53" i="76" s="1"/>
  <c r="Q53" i="76" s="1"/>
  <c r="Y53" i="33"/>
  <c r="W71" i="33"/>
  <c r="Q71" i="33"/>
  <c r="N54" i="120"/>
  <c r="P54" i="120" s="1"/>
  <c r="M32" i="117"/>
  <c r="N32" i="117" s="1"/>
  <c r="P32" i="117" s="1"/>
  <c r="U32" i="117" s="1"/>
  <c r="AK32" i="117" s="1"/>
  <c r="V61" i="33"/>
  <c r="R35" i="33"/>
  <c r="T59" i="33"/>
  <c r="M72" i="119"/>
  <c r="N72" i="119" s="1"/>
  <c r="P72" i="119" s="1"/>
  <c r="AI72" i="119" s="1"/>
  <c r="X39" i="33"/>
  <c r="U44" i="33"/>
  <c r="AD70" i="31"/>
  <c r="AD72" i="31" s="1"/>
  <c r="N59" i="115"/>
  <c r="P59" i="115" s="1"/>
  <c r="R28" i="33"/>
  <c r="N49" i="118"/>
  <c r="P49" i="118" s="1"/>
  <c r="N70" i="118"/>
  <c r="P70" i="118" s="1"/>
  <c r="M54" i="117"/>
  <c r="N54" i="117" s="1"/>
  <c r="P54" i="117" s="1"/>
  <c r="U54" i="117" s="1"/>
  <c r="AK54" i="117" s="1"/>
  <c r="M52" i="117"/>
  <c r="N52" i="117" s="1"/>
  <c r="P52" i="117" s="1"/>
  <c r="U52" i="117" s="1"/>
  <c r="AK52" i="117" s="1"/>
  <c r="N28" i="120"/>
  <c r="P28" i="120" s="1"/>
  <c r="N68" i="120"/>
  <c r="P68" i="120" s="1"/>
  <c r="Y60" i="33"/>
  <c r="Y50" i="33"/>
  <c r="Y56" i="33"/>
  <c r="Y39" i="33"/>
  <c r="M70" i="119"/>
  <c r="N70" i="119" s="1"/>
  <c r="P70" i="119" s="1"/>
  <c r="AI70" i="119" s="1"/>
  <c r="M11" i="116"/>
  <c r="N11" i="116" s="1"/>
  <c r="P11" i="116" s="1"/>
  <c r="AI11" i="116" s="1"/>
  <c r="O67" i="80"/>
  <c r="Q67" i="80" s="1"/>
  <c r="O39" i="80"/>
  <c r="Q39" i="80" s="1"/>
  <c r="X60" i="33"/>
  <c r="X56" i="33"/>
  <c r="O51" i="80"/>
  <c r="Q51" i="80" s="1"/>
  <c r="X75" i="33"/>
  <c r="N54" i="118"/>
  <c r="P54" i="118" s="1"/>
  <c r="T17" i="33"/>
  <c r="W52" i="33"/>
  <c r="N35" i="115"/>
  <c r="P35" i="115" s="1"/>
  <c r="N40" i="33"/>
  <c r="N76" i="33"/>
  <c r="N36" i="33"/>
  <c r="N67" i="33"/>
  <c r="N62" i="118"/>
  <c r="P62" i="118" s="1"/>
  <c r="N13" i="115"/>
  <c r="P13" i="115" s="1"/>
  <c r="AI13" i="115" s="1"/>
  <c r="N72" i="118"/>
  <c r="P72" i="118" s="1"/>
  <c r="M20" i="119"/>
  <c r="N20" i="119" s="1"/>
  <c r="P20" i="119" s="1"/>
  <c r="AI20" i="119" s="1"/>
  <c r="N72" i="120"/>
  <c r="P72" i="120" s="1"/>
  <c r="AI72" i="120" s="1"/>
  <c r="R20" i="33"/>
  <c r="P77" i="129"/>
  <c r="AI8" i="129"/>
  <c r="AI77" i="129" s="1"/>
  <c r="R8" i="129"/>
  <c r="N73" i="33"/>
  <c r="N50" i="33"/>
  <c r="AK38" i="46"/>
  <c r="K29" i="113"/>
  <c r="L29" i="113" s="1"/>
  <c r="R30" i="33"/>
  <c r="U57" i="33"/>
  <c r="K28" i="113"/>
  <c r="L28" i="113" s="1"/>
  <c r="P28" i="33" s="1"/>
  <c r="N28" i="115"/>
  <c r="P28" i="115" s="1"/>
  <c r="N68" i="115"/>
  <c r="P68" i="115" s="1"/>
  <c r="AI68" i="115" s="1"/>
  <c r="K21" i="113"/>
  <c r="L21" i="113" s="1"/>
  <c r="N70" i="120"/>
  <c r="P70" i="120" s="1"/>
  <c r="AI70" i="120" s="1"/>
  <c r="K72" i="113"/>
  <c r="L72" i="113" s="1"/>
  <c r="N72" i="115"/>
  <c r="P72" i="115" s="1"/>
  <c r="AI72" i="115" s="1"/>
  <c r="U9" i="33"/>
  <c r="R71" i="33"/>
  <c r="K54" i="113"/>
  <c r="L54" i="113" s="1"/>
  <c r="P54" i="33" s="1"/>
  <c r="R54" i="33"/>
  <c r="N30" i="118"/>
  <c r="P30" i="118" s="1"/>
  <c r="K58" i="113"/>
  <c r="L58" i="113" s="1"/>
  <c r="P58" i="33" s="1"/>
  <c r="U59" i="33"/>
  <c r="U28" i="33"/>
  <c r="R44" i="33"/>
  <c r="U68" i="33"/>
  <c r="Y64" i="33"/>
  <c r="O24" i="80"/>
  <c r="Q24" i="80" s="1"/>
  <c r="AJ24" i="80" s="1"/>
  <c r="O46" i="80"/>
  <c r="Q46" i="80" s="1"/>
  <c r="Y47" i="33"/>
  <c r="O65" i="80"/>
  <c r="Q65" i="80" s="1"/>
  <c r="AJ65" i="80" s="1"/>
  <c r="O34" i="80"/>
  <c r="Q34" i="80" s="1"/>
  <c r="AJ34" i="80" s="1"/>
  <c r="O53" i="80"/>
  <c r="Q53" i="80" s="1"/>
  <c r="O16" i="80"/>
  <c r="Q16" i="80" s="1"/>
  <c r="O61" i="80"/>
  <c r="Q61" i="80" s="1"/>
  <c r="O17" i="80"/>
  <c r="Q17" i="80" s="1"/>
  <c r="AJ17" i="80" s="1"/>
  <c r="Y74" i="33"/>
  <c r="Y22" i="33"/>
  <c r="Z22" i="33" s="1"/>
  <c r="Y34" i="33"/>
  <c r="Z34" i="33" s="1"/>
  <c r="N24" i="120"/>
  <c r="P24" i="120" s="1"/>
  <c r="AI24" i="120" s="1"/>
  <c r="U24" i="33"/>
  <c r="K65" i="113"/>
  <c r="L65" i="113" s="1"/>
  <c r="P65" i="33" s="1"/>
  <c r="N45" i="120"/>
  <c r="P45" i="120" s="1"/>
  <c r="K70" i="113"/>
  <c r="L70" i="113" s="1"/>
  <c r="M70" i="113" s="1"/>
  <c r="N70" i="113" s="1"/>
  <c r="P70" i="113" s="1"/>
  <c r="R70" i="33"/>
  <c r="N25" i="33"/>
  <c r="N12" i="33"/>
  <c r="N47" i="33"/>
  <c r="N60" i="33"/>
  <c r="Y69" i="33"/>
  <c r="O71" i="80"/>
  <c r="Q71" i="80" s="1"/>
  <c r="AJ71" i="80" s="1"/>
  <c r="U71" i="33"/>
  <c r="W54" i="33"/>
  <c r="R32" i="33"/>
  <c r="U58" i="33"/>
  <c r="N52" i="120"/>
  <c r="P52" i="120" s="1"/>
  <c r="R61" i="33"/>
  <c r="N44" i="118"/>
  <c r="P44" i="118" s="1"/>
  <c r="R27" i="33"/>
  <c r="W62" i="33"/>
  <c r="W72" i="33"/>
  <c r="N20" i="115"/>
  <c r="P20" i="115" s="1"/>
  <c r="AI20" i="115" s="1"/>
  <c r="L50" i="80"/>
  <c r="M50" i="80" s="1"/>
  <c r="N50" i="80" s="1"/>
  <c r="L59" i="76"/>
  <c r="M59" i="76" s="1"/>
  <c r="N59" i="76" s="1"/>
  <c r="O59" i="76" s="1"/>
  <c r="Q59" i="76" s="1"/>
  <c r="L26" i="80"/>
  <c r="M26" i="80" s="1"/>
  <c r="N26" i="80" s="1"/>
  <c r="L42" i="80"/>
  <c r="M42" i="80" s="1"/>
  <c r="N42" i="80" s="1"/>
  <c r="L11" i="76"/>
  <c r="M11" i="76" s="1"/>
  <c r="X13" i="33" s="1"/>
  <c r="L43" i="76"/>
  <c r="M43" i="76" s="1"/>
  <c r="N43" i="76" s="1"/>
  <c r="O43" i="76" s="1"/>
  <c r="Q43" i="76" s="1"/>
  <c r="L68" i="80"/>
  <c r="M68" i="80" s="1"/>
  <c r="N68" i="80" s="1"/>
  <c r="L47" i="76"/>
  <c r="M47" i="76" s="1"/>
  <c r="N47" i="76" s="1"/>
  <c r="O47" i="76" s="1"/>
  <c r="Q47" i="76" s="1"/>
  <c r="L70" i="80"/>
  <c r="M70" i="80" s="1"/>
  <c r="N70" i="80" s="1"/>
  <c r="L66" i="80"/>
  <c r="M66" i="80" s="1"/>
  <c r="N66" i="80" s="1"/>
  <c r="L69" i="80"/>
  <c r="M69" i="80" s="1"/>
  <c r="N69" i="80" s="1"/>
  <c r="L19" i="76"/>
  <c r="M19" i="76" s="1"/>
  <c r="X21" i="33" s="1"/>
  <c r="L25" i="76"/>
  <c r="M25" i="76" s="1"/>
  <c r="X27" i="33" s="1"/>
  <c r="L25" i="80"/>
  <c r="M25" i="80" s="1"/>
  <c r="N25" i="80" s="1"/>
  <c r="N37" i="33"/>
  <c r="L33" i="80"/>
  <c r="M33" i="80" s="1"/>
  <c r="N33" i="80" s="1"/>
  <c r="L41" i="76"/>
  <c r="M41" i="76" s="1"/>
  <c r="N41" i="76" s="1"/>
  <c r="O41" i="76" s="1"/>
  <c r="Q41" i="76" s="1"/>
  <c r="L30" i="76"/>
  <c r="M30" i="76" s="1"/>
  <c r="N30" i="76" s="1"/>
  <c r="O30" i="76" s="1"/>
  <c r="Q30" i="76" s="1"/>
  <c r="Z26" i="33"/>
  <c r="M16" i="31"/>
  <c r="N16" i="31"/>
  <c r="N48" i="31"/>
  <c r="M48" i="31"/>
  <c r="N63" i="31"/>
  <c r="M63" i="31"/>
  <c r="M37" i="31"/>
  <c r="N37" i="31"/>
  <c r="N15" i="31"/>
  <c r="M15" i="31"/>
  <c r="N14" i="31"/>
  <c r="M14" i="31"/>
  <c r="M46" i="31"/>
  <c r="N46" i="31"/>
  <c r="N47" i="31"/>
  <c r="M47" i="31"/>
  <c r="N36" i="31"/>
  <c r="M36" i="31"/>
  <c r="N39" i="31"/>
  <c r="M39" i="31"/>
  <c r="M33" i="31"/>
  <c r="N33" i="31"/>
  <c r="N65" i="31"/>
  <c r="M65" i="31"/>
  <c r="M18" i="31"/>
  <c r="N18" i="31"/>
  <c r="M50" i="31"/>
  <c r="N50" i="31"/>
  <c r="K16" i="114"/>
  <c r="L16" i="114" s="1"/>
  <c r="K16" i="116"/>
  <c r="L16" i="116" s="1"/>
  <c r="K16" i="118"/>
  <c r="L16" i="118" s="1"/>
  <c r="M16" i="118" s="1"/>
  <c r="K16" i="120"/>
  <c r="L16" i="120" s="1"/>
  <c r="M16" i="120" s="1"/>
  <c r="AO13" i="46"/>
  <c r="AO16" i="46"/>
  <c r="N24" i="31"/>
  <c r="M24" i="31"/>
  <c r="M56" i="31"/>
  <c r="N56" i="31"/>
  <c r="M13" i="31"/>
  <c r="N13" i="31"/>
  <c r="N45" i="31"/>
  <c r="M45" i="31"/>
  <c r="N31" i="31"/>
  <c r="M31" i="31"/>
  <c r="M22" i="31"/>
  <c r="N22" i="31"/>
  <c r="M54" i="31"/>
  <c r="N54" i="31"/>
  <c r="K12" i="31"/>
  <c r="I69" i="31"/>
  <c r="I70" i="31" s="1"/>
  <c r="I72" i="31" s="1"/>
  <c r="M44" i="31"/>
  <c r="N44" i="31"/>
  <c r="M41" i="31"/>
  <c r="N41" i="31"/>
  <c r="M19" i="31"/>
  <c r="N19" i="31"/>
  <c r="N26" i="31"/>
  <c r="M26" i="31"/>
  <c r="N58" i="31"/>
  <c r="M58" i="31"/>
  <c r="K16" i="115"/>
  <c r="L16" i="115" s="1"/>
  <c r="M16" i="115" s="1"/>
  <c r="K16" i="117"/>
  <c r="L16" i="117" s="1"/>
  <c r="K16" i="119"/>
  <c r="L16" i="119" s="1"/>
  <c r="I16" i="113"/>
  <c r="AO15" i="46"/>
  <c r="AO11" i="46"/>
  <c r="M19" i="113"/>
  <c r="N19" i="113" s="1"/>
  <c r="P19" i="113" s="1"/>
  <c r="P19" i="33"/>
  <c r="Z19" i="33" s="1"/>
  <c r="M25" i="113"/>
  <c r="N25" i="113" s="1"/>
  <c r="P25" i="113" s="1"/>
  <c r="P25" i="33"/>
  <c r="Z25" i="33" s="1"/>
  <c r="AA25" i="33" s="1"/>
  <c r="P12" i="33"/>
  <c r="Z12" i="33" s="1"/>
  <c r="M12" i="113"/>
  <c r="N12" i="113" s="1"/>
  <c r="P12" i="113" s="1"/>
  <c r="P69" i="33"/>
  <c r="Z69" i="33" s="1"/>
  <c r="M69" i="113"/>
  <c r="N69" i="113" s="1"/>
  <c r="P69" i="113" s="1"/>
  <c r="P56" i="33"/>
  <c r="Z56" i="33" s="1"/>
  <c r="AA56" i="33" s="1"/>
  <c r="M56" i="113"/>
  <c r="N56" i="113" s="1"/>
  <c r="P56" i="113" s="1"/>
  <c r="M74" i="113"/>
  <c r="N74" i="113" s="1"/>
  <c r="P74" i="113" s="1"/>
  <c r="P74" i="33"/>
  <c r="Z74" i="33" s="1"/>
  <c r="P39" i="33"/>
  <c r="Z39" i="33" s="1"/>
  <c r="AA39" i="33" s="1"/>
  <c r="M39" i="113"/>
  <c r="N39" i="113" s="1"/>
  <c r="P39" i="113" s="1"/>
  <c r="M47" i="113"/>
  <c r="N47" i="113" s="1"/>
  <c r="P47" i="113" s="1"/>
  <c r="P47" i="33"/>
  <c r="AI63" i="119"/>
  <c r="AI14" i="116"/>
  <c r="AI36" i="116"/>
  <c r="AI15" i="115"/>
  <c r="AI15" i="119"/>
  <c r="AI38" i="120"/>
  <c r="AI75" i="118"/>
  <c r="AI26" i="113"/>
  <c r="AI48" i="114"/>
  <c r="AI66" i="115"/>
  <c r="AI66" i="119"/>
  <c r="AI22" i="120"/>
  <c r="U42" i="117"/>
  <c r="AK42" i="117" s="1"/>
  <c r="AI53" i="118"/>
  <c r="AI55" i="115"/>
  <c r="AI47" i="116"/>
  <c r="U41" i="117"/>
  <c r="AK41" i="117" s="1"/>
  <c r="AI41" i="113"/>
  <c r="AI67" i="116"/>
  <c r="U14" i="117"/>
  <c r="AK14" i="117" s="1"/>
  <c r="AI14" i="113"/>
  <c r="AI36" i="115"/>
  <c r="AI36" i="119"/>
  <c r="AI64" i="116"/>
  <c r="Z38" i="33"/>
  <c r="AI50" i="118"/>
  <c r="AI75" i="115"/>
  <c r="AI60" i="116"/>
  <c r="AI60" i="120"/>
  <c r="U48" i="117"/>
  <c r="AK48" i="117" s="1"/>
  <c r="AI48" i="113"/>
  <c r="AI19" i="118"/>
  <c r="AI22" i="115"/>
  <c r="AI22" i="119"/>
  <c r="AI25" i="116"/>
  <c r="AI25" i="120"/>
  <c r="AI53" i="113"/>
  <c r="AI55" i="118"/>
  <c r="Z18" i="33"/>
  <c r="AI41" i="114"/>
  <c r="N27" i="120"/>
  <c r="P27" i="120" s="1"/>
  <c r="W27" i="33"/>
  <c r="M27" i="116"/>
  <c r="N27" i="116" s="1"/>
  <c r="P27" i="116" s="1"/>
  <c r="S27" i="33"/>
  <c r="L9" i="33"/>
  <c r="V9" i="33"/>
  <c r="M9" i="119"/>
  <c r="N9" i="119" s="1"/>
  <c r="P9" i="119" s="1"/>
  <c r="N9" i="115"/>
  <c r="P9" i="115" s="1"/>
  <c r="R9" i="33"/>
  <c r="M10" i="33"/>
  <c r="N23" i="118"/>
  <c r="P23" i="118" s="1"/>
  <c r="U23" i="33"/>
  <c r="M23" i="114"/>
  <c r="N23" i="114" s="1"/>
  <c r="P23" i="114" s="1"/>
  <c r="Q23" i="33"/>
  <c r="P29" i="33"/>
  <c r="M29" i="113"/>
  <c r="N29" i="113" s="1"/>
  <c r="P29" i="113" s="1"/>
  <c r="T29" i="33"/>
  <c r="M29" i="117"/>
  <c r="N29" i="117" s="1"/>
  <c r="P29" i="117" s="1"/>
  <c r="N33" i="120"/>
  <c r="P33" i="120" s="1"/>
  <c r="W33" i="33"/>
  <c r="S33" i="33"/>
  <c r="M33" i="116"/>
  <c r="N33" i="116" s="1"/>
  <c r="P33" i="116" s="1"/>
  <c r="L30" i="33"/>
  <c r="V30" i="33"/>
  <c r="M30" i="119"/>
  <c r="N30" i="119" s="1"/>
  <c r="P30" i="119" s="1"/>
  <c r="AI57" i="114"/>
  <c r="L59" i="33"/>
  <c r="U59" i="117"/>
  <c r="AK59" i="117" s="1"/>
  <c r="N31" i="120"/>
  <c r="P31" i="120" s="1"/>
  <c r="W31" i="33"/>
  <c r="AI31" i="118"/>
  <c r="AI31" i="116"/>
  <c r="AI31" i="114"/>
  <c r="M28" i="113"/>
  <c r="N28" i="113" s="1"/>
  <c r="P28" i="113" s="1"/>
  <c r="AI28" i="115"/>
  <c r="M62" i="33"/>
  <c r="AI49" i="116"/>
  <c r="AI49" i="114"/>
  <c r="L68" i="33"/>
  <c r="AI68" i="119"/>
  <c r="U68" i="117"/>
  <c r="AK68" i="117" s="1"/>
  <c r="N65" i="118"/>
  <c r="P65" i="118" s="1"/>
  <c r="U65" i="33"/>
  <c r="AI65" i="114"/>
  <c r="M21" i="113"/>
  <c r="N21" i="113" s="1"/>
  <c r="P21" i="113" s="1"/>
  <c r="P21" i="33"/>
  <c r="U21" i="117"/>
  <c r="AK21" i="117" s="1"/>
  <c r="M45" i="33"/>
  <c r="AI70" i="118"/>
  <c r="AI70" i="114"/>
  <c r="L72" i="33"/>
  <c r="AI9" i="120"/>
  <c r="AI9" i="116"/>
  <c r="AI9" i="114"/>
  <c r="P71" i="33"/>
  <c r="M71" i="113"/>
  <c r="N71" i="113" s="1"/>
  <c r="P71" i="113" s="1"/>
  <c r="AI71" i="115"/>
  <c r="M23" i="33"/>
  <c r="N29" i="118"/>
  <c r="P29" i="118" s="1"/>
  <c r="U29" i="33"/>
  <c r="L54" i="33"/>
  <c r="AI54" i="115"/>
  <c r="AI30" i="114"/>
  <c r="M58" i="113"/>
  <c r="N58" i="113" s="1"/>
  <c r="P58" i="113" s="1"/>
  <c r="AI58" i="119"/>
  <c r="U58" i="117"/>
  <c r="AK58" i="117" s="1"/>
  <c r="M57" i="33"/>
  <c r="AI59" i="118"/>
  <c r="AI59" i="116"/>
  <c r="AI59" i="114"/>
  <c r="L52" i="33"/>
  <c r="AI52" i="119"/>
  <c r="AI28" i="114"/>
  <c r="P44" i="33"/>
  <c r="M44" i="113"/>
  <c r="N44" i="113" s="1"/>
  <c r="P44" i="113" s="1"/>
  <c r="U44" i="117"/>
  <c r="AK44" i="117" s="1"/>
  <c r="AI44" i="115"/>
  <c r="M49" i="33"/>
  <c r="AI68" i="120"/>
  <c r="AI68" i="118"/>
  <c r="AI68" i="114"/>
  <c r="Z46" i="33"/>
  <c r="AJ62" i="80"/>
  <c r="Z41" i="33"/>
  <c r="AJ10" i="80"/>
  <c r="Z76" i="33"/>
  <c r="AA76" i="33" s="1"/>
  <c r="Z36" i="33"/>
  <c r="AA36" i="33" s="1"/>
  <c r="AJ13" i="80"/>
  <c r="Z55" i="33"/>
  <c r="AA55" i="33" s="1"/>
  <c r="AJ38" i="80"/>
  <c r="AJ12" i="80"/>
  <c r="Z14" i="33"/>
  <c r="AJ72" i="80"/>
  <c r="AJ64" i="80"/>
  <c r="AJ20" i="80"/>
  <c r="AJ51" i="76"/>
  <c r="AJ49" i="80"/>
  <c r="AJ32" i="80"/>
  <c r="L65" i="33"/>
  <c r="AI65" i="119"/>
  <c r="AI45" i="120"/>
  <c r="AI45" i="118"/>
  <c r="AI45" i="116"/>
  <c r="AI45" i="114"/>
  <c r="L70" i="33"/>
  <c r="AI70" i="115"/>
  <c r="W11" i="33"/>
  <c r="N11" i="120"/>
  <c r="P11" i="120" s="1"/>
  <c r="AI11" i="114"/>
  <c r="AD79" i="76"/>
  <c r="AB70" i="31"/>
  <c r="AB72" i="31" s="1"/>
  <c r="AI63" i="113"/>
  <c r="AI14" i="118"/>
  <c r="U76" i="117"/>
  <c r="AK76" i="117" s="1"/>
  <c r="U15" i="117"/>
  <c r="AK15" i="117" s="1"/>
  <c r="AI15" i="113"/>
  <c r="AI38" i="114"/>
  <c r="AI38" i="118"/>
  <c r="N34" i="33"/>
  <c r="AI75" i="120"/>
  <c r="AI26" i="115"/>
  <c r="N26" i="33"/>
  <c r="AA26" i="33" s="1"/>
  <c r="AI48" i="116"/>
  <c r="AI66" i="113"/>
  <c r="AI22" i="114"/>
  <c r="AI42" i="115"/>
  <c r="AI42" i="119"/>
  <c r="N42" i="33"/>
  <c r="AI53" i="116"/>
  <c r="U55" i="117"/>
  <c r="AK55" i="117" s="1"/>
  <c r="AI41" i="119"/>
  <c r="N41" i="33"/>
  <c r="AI67" i="118"/>
  <c r="AI14" i="119"/>
  <c r="N14" i="33"/>
  <c r="AI37" i="116"/>
  <c r="U36" i="117"/>
  <c r="AK36" i="117" s="1"/>
  <c r="AI36" i="113"/>
  <c r="AI38" i="119"/>
  <c r="N38" i="33"/>
  <c r="AI50" i="116"/>
  <c r="U75" i="117"/>
  <c r="AK75" i="117" s="1"/>
  <c r="Z75" i="33"/>
  <c r="AI60" i="114"/>
  <c r="AI48" i="119"/>
  <c r="N48" i="33"/>
  <c r="AI19" i="116"/>
  <c r="AI19" i="120"/>
  <c r="U22" i="117"/>
  <c r="AK22" i="117" s="1"/>
  <c r="AI22" i="113"/>
  <c r="AI25" i="114"/>
  <c r="AI53" i="119"/>
  <c r="N53" i="33"/>
  <c r="AI55" i="116"/>
  <c r="AI18" i="115"/>
  <c r="N18" i="33"/>
  <c r="AA18" i="33" s="1"/>
  <c r="AI41" i="116"/>
  <c r="AI41" i="120"/>
  <c r="AG77" i="117"/>
  <c r="L35" i="46"/>
  <c r="K36" i="46"/>
  <c r="AJ35" i="80"/>
  <c r="AJ67" i="80"/>
  <c r="AJ46" i="76"/>
  <c r="AJ45" i="76"/>
  <c r="AJ34" i="76"/>
  <c r="AJ53" i="76"/>
  <c r="AJ72" i="76"/>
  <c r="AI71" i="120"/>
  <c r="AI71" i="116"/>
  <c r="AI71" i="114"/>
  <c r="L10" i="33"/>
  <c r="N10" i="33" s="1"/>
  <c r="AI10" i="119"/>
  <c r="U10" i="117"/>
  <c r="AK10" i="117" s="1"/>
  <c r="AI10" i="115"/>
  <c r="AI54" i="120"/>
  <c r="AI54" i="116"/>
  <c r="AI54" i="114"/>
  <c r="K32" i="113"/>
  <c r="L32" i="113" s="1"/>
  <c r="AI32" i="119"/>
  <c r="M30" i="33"/>
  <c r="AI58" i="118"/>
  <c r="K17" i="113"/>
  <c r="L17" i="113" s="1"/>
  <c r="AI17" i="119"/>
  <c r="U17" i="117"/>
  <c r="AK17" i="117" s="1"/>
  <c r="AI17" i="115"/>
  <c r="M59" i="33"/>
  <c r="AI52" i="120"/>
  <c r="AI52" i="118"/>
  <c r="AI52" i="116"/>
  <c r="AI52" i="114"/>
  <c r="L61" i="33"/>
  <c r="U61" i="117"/>
  <c r="AK61" i="117" s="1"/>
  <c r="AI61" i="115"/>
  <c r="AI44" i="114"/>
  <c r="K62" i="113"/>
  <c r="L62" i="113" s="1"/>
  <c r="AI62" i="119"/>
  <c r="M68" i="33"/>
  <c r="L35" i="33"/>
  <c r="U35" i="117"/>
  <c r="AK35" i="117" s="1"/>
  <c r="AI43" i="120"/>
  <c r="AI43" i="114"/>
  <c r="AI24" i="119"/>
  <c r="U24" i="117"/>
  <c r="AK24" i="117" s="1"/>
  <c r="AI24" i="115"/>
  <c r="AI13" i="120"/>
  <c r="AI13" i="118"/>
  <c r="AI13" i="116"/>
  <c r="AI13" i="114"/>
  <c r="L45" i="33"/>
  <c r="N45" i="33" s="1"/>
  <c r="AI45" i="119"/>
  <c r="U45" i="117"/>
  <c r="AK45" i="117" s="1"/>
  <c r="AI45" i="115"/>
  <c r="L11" i="33"/>
  <c r="AI11" i="119"/>
  <c r="AI11" i="115"/>
  <c r="L27" i="33"/>
  <c r="V27" i="33"/>
  <c r="M27" i="119"/>
  <c r="N27" i="119" s="1"/>
  <c r="P27" i="119" s="1"/>
  <c r="M71" i="33"/>
  <c r="AI10" i="118"/>
  <c r="AI10" i="116"/>
  <c r="AI10" i="114"/>
  <c r="K23" i="113"/>
  <c r="L23" i="113" s="1"/>
  <c r="AI23" i="119"/>
  <c r="M54" i="33"/>
  <c r="AI32" i="120"/>
  <c r="AI32" i="118"/>
  <c r="K33" i="113"/>
  <c r="L33" i="113" s="1"/>
  <c r="AI33" i="119"/>
  <c r="AI33" i="115"/>
  <c r="M58" i="33"/>
  <c r="U17" i="33"/>
  <c r="N17" i="118"/>
  <c r="P17" i="118" s="1"/>
  <c r="K57" i="113"/>
  <c r="L57" i="113" s="1"/>
  <c r="AI57" i="119"/>
  <c r="AI57" i="115"/>
  <c r="M52" i="33"/>
  <c r="AI61" i="118"/>
  <c r="AI61" i="114"/>
  <c r="K31" i="113"/>
  <c r="L31" i="113" s="1"/>
  <c r="AI31" i="119"/>
  <c r="M44" i="33"/>
  <c r="AI62" i="120"/>
  <c r="AI62" i="116"/>
  <c r="K49" i="113"/>
  <c r="L49" i="113" s="1"/>
  <c r="U49" i="117"/>
  <c r="AK49" i="117" s="1"/>
  <c r="N35" i="118"/>
  <c r="P35" i="118" s="1"/>
  <c r="U35" i="33"/>
  <c r="M35" i="114"/>
  <c r="N35" i="114" s="1"/>
  <c r="P35" i="114" s="1"/>
  <c r="Q35" i="33"/>
  <c r="K43" i="113"/>
  <c r="L43" i="113" s="1"/>
  <c r="M43" i="117"/>
  <c r="N43" i="117" s="1"/>
  <c r="P43" i="117" s="1"/>
  <c r="T43" i="33"/>
  <c r="N21" i="120"/>
  <c r="P21" i="120" s="1"/>
  <c r="W21" i="33"/>
  <c r="S21" i="33"/>
  <c r="M21" i="116"/>
  <c r="N21" i="116" s="1"/>
  <c r="P21" i="116" s="1"/>
  <c r="L13" i="33"/>
  <c r="V13" i="33"/>
  <c r="M13" i="119"/>
  <c r="N13" i="119" s="1"/>
  <c r="P13" i="119" s="1"/>
  <c r="AI72" i="118"/>
  <c r="AI72" i="114"/>
  <c r="L20" i="33"/>
  <c r="N35" i="31"/>
  <c r="M35" i="31"/>
  <c r="N32" i="31"/>
  <c r="M32" i="31"/>
  <c r="M64" i="31"/>
  <c r="N64" i="31"/>
  <c r="N21" i="31"/>
  <c r="M21" i="31"/>
  <c r="N53" i="31"/>
  <c r="M53" i="31"/>
  <c r="N51" i="31"/>
  <c r="M51" i="31"/>
  <c r="M30" i="31"/>
  <c r="N30" i="31"/>
  <c r="N62" i="31"/>
  <c r="M62" i="31"/>
  <c r="N20" i="31"/>
  <c r="M20" i="31"/>
  <c r="N52" i="31"/>
  <c r="M52" i="31"/>
  <c r="M17" i="31"/>
  <c r="N17" i="31"/>
  <c r="N49" i="31"/>
  <c r="M49" i="31"/>
  <c r="N43" i="31"/>
  <c r="M43" i="31"/>
  <c r="N34" i="31"/>
  <c r="M34" i="31"/>
  <c r="M67" i="31"/>
  <c r="N67" i="31"/>
  <c r="O50" i="80"/>
  <c r="Q50" i="80" s="1"/>
  <c r="Y52" i="33"/>
  <c r="Y28" i="33"/>
  <c r="O26" i="80"/>
  <c r="Q26" i="80" s="1"/>
  <c r="Y44" i="33"/>
  <c r="Y70" i="33"/>
  <c r="O68" i="80"/>
  <c r="Q68" i="80" s="1"/>
  <c r="X49" i="33"/>
  <c r="O70" i="80"/>
  <c r="Q70" i="80" s="1"/>
  <c r="Y72" i="33"/>
  <c r="Y71" i="33"/>
  <c r="O69" i="80"/>
  <c r="Q69" i="80" s="1"/>
  <c r="N19" i="76"/>
  <c r="O19" i="76" s="1"/>
  <c r="Q19" i="76" s="1"/>
  <c r="Y35" i="33"/>
  <c r="L55" i="80"/>
  <c r="M55" i="80" s="1"/>
  <c r="N55" i="80" s="1"/>
  <c r="L29" i="76"/>
  <c r="M29" i="76" s="1"/>
  <c r="L57" i="76"/>
  <c r="M57" i="76" s="1"/>
  <c r="L7" i="80"/>
  <c r="M7" i="80" s="1"/>
  <c r="N7" i="80" s="1"/>
  <c r="L22" i="76"/>
  <c r="M22" i="76" s="1"/>
  <c r="L22" i="80"/>
  <c r="M22" i="80" s="1"/>
  <c r="N22" i="80" s="1"/>
  <c r="L63" i="76"/>
  <c r="M63" i="76" s="1"/>
  <c r="L27" i="76"/>
  <c r="M27" i="76" s="1"/>
  <c r="L52" i="80"/>
  <c r="M52" i="80" s="1"/>
  <c r="N52" i="80" s="1"/>
  <c r="L31" i="76"/>
  <c r="M31" i="76" s="1"/>
  <c r="L28" i="76"/>
  <c r="M28" i="76" s="1"/>
  <c r="L28" i="80"/>
  <c r="M28" i="80" s="1"/>
  <c r="N28" i="80" s="1"/>
  <c r="L56" i="80"/>
  <c r="M56" i="80" s="1"/>
  <c r="N56" i="80" s="1"/>
  <c r="L15" i="76"/>
  <c r="M15" i="76" s="1"/>
  <c r="L60" i="80"/>
  <c r="M60" i="80" s="1"/>
  <c r="N60" i="80" s="1"/>
  <c r="L9" i="76"/>
  <c r="M9" i="76" s="1"/>
  <c r="L9" i="80"/>
  <c r="M9" i="80" s="1"/>
  <c r="N9" i="80" s="1"/>
  <c r="AO14" i="46"/>
  <c r="AO12" i="46"/>
  <c r="L50" i="76"/>
  <c r="M50" i="76" s="1"/>
  <c r="L59" i="80"/>
  <c r="M59" i="80" s="1"/>
  <c r="N59" i="80" s="1"/>
  <c r="L26" i="76"/>
  <c r="M26" i="76" s="1"/>
  <c r="L42" i="76"/>
  <c r="M42" i="76" s="1"/>
  <c r="L11" i="80"/>
  <c r="M11" i="80" s="1"/>
  <c r="N11" i="80" s="1"/>
  <c r="L43" i="80"/>
  <c r="M43" i="80" s="1"/>
  <c r="N43" i="80" s="1"/>
  <c r="L68" i="76"/>
  <c r="M68" i="76" s="1"/>
  <c r="L47" i="80"/>
  <c r="M47" i="80" s="1"/>
  <c r="N47" i="80" s="1"/>
  <c r="L70" i="76"/>
  <c r="M70" i="76" s="1"/>
  <c r="L66" i="76"/>
  <c r="M66" i="76" s="1"/>
  <c r="L69" i="76"/>
  <c r="M69" i="76" s="1"/>
  <c r="L19" i="80"/>
  <c r="M19" i="80" s="1"/>
  <c r="N19" i="80" s="1"/>
  <c r="L33" i="76"/>
  <c r="M33" i="76" s="1"/>
  <c r="L41" i="80"/>
  <c r="M41" i="80" s="1"/>
  <c r="N41" i="80" s="1"/>
  <c r="L21" i="76"/>
  <c r="M21" i="76" s="1"/>
  <c r="L21" i="80"/>
  <c r="M21" i="80" s="1"/>
  <c r="N21" i="80" s="1"/>
  <c r="L30" i="80"/>
  <c r="M30" i="80" s="1"/>
  <c r="N30" i="80" s="1"/>
  <c r="L55" i="76"/>
  <c r="M55" i="76" s="1"/>
  <c r="L29" i="80"/>
  <c r="M29" i="80" s="1"/>
  <c r="N29" i="80" s="1"/>
  <c r="L8" i="76"/>
  <c r="M8" i="76" s="1"/>
  <c r="L8" i="80"/>
  <c r="M8" i="80" s="1"/>
  <c r="N8" i="80" s="1"/>
  <c r="L18" i="76"/>
  <c r="M18" i="76" s="1"/>
  <c r="L18" i="80"/>
  <c r="M18" i="80" s="1"/>
  <c r="N18" i="80" s="1"/>
  <c r="L57" i="80"/>
  <c r="M57" i="80" s="1"/>
  <c r="N57" i="80" s="1"/>
  <c r="L7" i="76"/>
  <c r="M7" i="76" s="1"/>
  <c r="L63" i="80"/>
  <c r="M63" i="80" s="1"/>
  <c r="N63" i="80" s="1"/>
  <c r="L27" i="80"/>
  <c r="M27" i="80" s="1"/>
  <c r="N27" i="80" s="1"/>
  <c r="L52" i="76"/>
  <c r="M52" i="76" s="1"/>
  <c r="L31" i="80"/>
  <c r="M31" i="80" s="1"/>
  <c r="N31" i="80" s="1"/>
  <c r="L56" i="76"/>
  <c r="M56" i="76" s="1"/>
  <c r="L15" i="80"/>
  <c r="M15" i="80" s="1"/>
  <c r="N15" i="80" s="1"/>
  <c r="L60" i="76"/>
  <c r="M60" i="76" s="1"/>
  <c r="N55" i="31"/>
  <c r="M55" i="31"/>
  <c r="N40" i="31"/>
  <c r="M40" i="31"/>
  <c r="N23" i="31"/>
  <c r="M23" i="31"/>
  <c r="M29" i="31"/>
  <c r="N29" i="31"/>
  <c r="N61" i="31"/>
  <c r="M61" i="31"/>
  <c r="N68" i="31"/>
  <c r="M68" i="31"/>
  <c r="N38" i="31"/>
  <c r="M38" i="31"/>
  <c r="M27" i="31"/>
  <c r="N27" i="31"/>
  <c r="N28" i="31"/>
  <c r="M28" i="31"/>
  <c r="N60" i="31"/>
  <c r="M60" i="31"/>
  <c r="N25" i="31"/>
  <c r="M25" i="31"/>
  <c r="M57" i="31"/>
  <c r="N57" i="31"/>
  <c r="N59" i="31"/>
  <c r="M59" i="31"/>
  <c r="N42" i="31"/>
  <c r="M42" i="31"/>
  <c r="J16" i="113"/>
  <c r="I18" i="46"/>
  <c r="K10" i="46"/>
  <c r="N17" i="46"/>
  <c r="N18" i="46" s="1"/>
  <c r="M17" i="46"/>
  <c r="AO75" i="76"/>
  <c r="AP7" i="72"/>
  <c r="AP76" i="72" s="1"/>
  <c r="AH12" i="31"/>
  <c r="AE69" i="31"/>
  <c r="AE70" i="31" s="1"/>
  <c r="AE78" i="114"/>
  <c r="P60" i="33"/>
  <c r="M60" i="113"/>
  <c r="N60" i="113" s="1"/>
  <c r="P60" i="113" s="1"/>
  <c r="AI63" i="115"/>
  <c r="AI14" i="120"/>
  <c r="AI76" i="115"/>
  <c r="AI76" i="119"/>
  <c r="AI36" i="120"/>
  <c r="AI38" i="116"/>
  <c r="U34" i="117"/>
  <c r="AK34" i="117" s="1"/>
  <c r="AI34" i="113"/>
  <c r="AI75" i="114"/>
  <c r="U26" i="117"/>
  <c r="AK26" i="117" s="1"/>
  <c r="AI48" i="118"/>
  <c r="N66" i="33"/>
  <c r="AI22" i="116"/>
  <c r="AI42" i="113"/>
  <c r="AI53" i="114"/>
  <c r="AI55" i="119"/>
  <c r="AI47" i="120"/>
  <c r="AI46" i="115"/>
  <c r="AI46" i="119"/>
  <c r="N46" i="33"/>
  <c r="AI67" i="120"/>
  <c r="AI37" i="114"/>
  <c r="AI37" i="118"/>
  <c r="AI64" i="120"/>
  <c r="U38" i="117"/>
  <c r="AK38" i="117" s="1"/>
  <c r="AI38" i="113"/>
  <c r="AI50" i="114"/>
  <c r="AI75" i="119"/>
  <c r="N75" i="33"/>
  <c r="AA75" i="33" s="1"/>
  <c r="Z48" i="33"/>
  <c r="AI19" i="114"/>
  <c r="N22" i="33"/>
  <c r="U53" i="117"/>
  <c r="AK53" i="117" s="1"/>
  <c r="AI55" i="114"/>
  <c r="U18" i="117"/>
  <c r="AK18" i="117" s="1"/>
  <c r="AI18" i="113"/>
  <c r="AI41" i="118"/>
  <c r="AF75" i="76"/>
  <c r="AF79" i="76" s="1"/>
  <c r="AO23" i="46"/>
  <c r="U27" i="33"/>
  <c r="N27" i="118"/>
  <c r="P27" i="118" s="1"/>
  <c r="Q27" i="33"/>
  <c r="M27" i="114"/>
  <c r="N27" i="114" s="1"/>
  <c r="P27" i="114" s="1"/>
  <c r="P9" i="33"/>
  <c r="M9" i="113"/>
  <c r="N9" i="113" s="1"/>
  <c r="P9" i="113" s="1"/>
  <c r="T9" i="33"/>
  <c r="M9" i="117"/>
  <c r="N9" i="117" s="1"/>
  <c r="P9" i="117" s="1"/>
  <c r="W23" i="33"/>
  <c r="N23" i="120"/>
  <c r="P23" i="120" s="1"/>
  <c r="M23" i="116"/>
  <c r="N23" i="116" s="1"/>
  <c r="P23" i="116" s="1"/>
  <c r="S23" i="33"/>
  <c r="L29" i="33"/>
  <c r="M29" i="119"/>
  <c r="N29" i="119" s="1"/>
  <c r="P29" i="119" s="1"/>
  <c r="V29" i="33"/>
  <c r="R29" i="33"/>
  <c r="N29" i="115"/>
  <c r="P29" i="115" s="1"/>
  <c r="M32" i="33"/>
  <c r="U33" i="33"/>
  <c r="N33" i="118"/>
  <c r="P33" i="118" s="1"/>
  <c r="Q33" i="33"/>
  <c r="M33" i="114"/>
  <c r="N33" i="114" s="1"/>
  <c r="P33" i="114" s="1"/>
  <c r="P30" i="33"/>
  <c r="M30" i="113"/>
  <c r="N30" i="113" s="1"/>
  <c r="P30" i="113" s="1"/>
  <c r="M30" i="117"/>
  <c r="N30" i="117" s="1"/>
  <c r="P30" i="117" s="1"/>
  <c r="T30" i="33"/>
  <c r="AI30" i="115"/>
  <c r="M17" i="33"/>
  <c r="AI57" i="120"/>
  <c r="AI57" i="116"/>
  <c r="P59" i="33"/>
  <c r="M59" i="113"/>
  <c r="N59" i="113" s="1"/>
  <c r="P59" i="113" s="1"/>
  <c r="AI59" i="119"/>
  <c r="AI59" i="115"/>
  <c r="M61" i="33"/>
  <c r="L28" i="33"/>
  <c r="AI28" i="119"/>
  <c r="U28" i="117"/>
  <c r="AK28" i="117" s="1"/>
  <c r="W49" i="33"/>
  <c r="N49" i="120"/>
  <c r="P49" i="120" s="1"/>
  <c r="AI49" i="118"/>
  <c r="P68" i="33"/>
  <c r="M68" i="113"/>
  <c r="N68" i="113" s="1"/>
  <c r="P68" i="113" s="1"/>
  <c r="M35" i="33"/>
  <c r="M24" i="33"/>
  <c r="N65" i="120"/>
  <c r="P65" i="120" s="1"/>
  <c r="W65" i="33"/>
  <c r="AI65" i="116"/>
  <c r="L21" i="33"/>
  <c r="AI21" i="119"/>
  <c r="AI21" i="115"/>
  <c r="AI70" i="116"/>
  <c r="P72" i="33"/>
  <c r="M72" i="113"/>
  <c r="N72" i="113" s="1"/>
  <c r="P72" i="113" s="1"/>
  <c r="M11" i="33"/>
  <c r="M27" i="33"/>
  <c r="AI9" i="118"/>
  <c r="L71" i="33"/>
  <c r="AI71" i="119"/>
  <c r="U71" i="117"/>
  <c r="AK71" i="117" s="1"/>
  <c r="N29" i="120"/>
  <c r="P29" i="120" s="1"/>
  <c r="W29" i="33"/>
  <c r="S29" i="33"/>
  <c r="M29" i="116"/>
  <c r="N29" i="116" s="1"/>
  <c r="P29" i="116" s="1"/>
  <c r="AI29" i="114"/>
  <c r="AI54" i="119"/>
  <c r="M33" i="33"/>
  <c r="AI30" i="120"/>
  <c r="AI30" i="118"/>
  <c r="AI30" i="116"/>
  <c r="L58" i="33"/>
  <c r="N58" i="33" s="1"/>
  <c r="AI58" i="115"/>
  <c r="W59" i="33"/>
  <c r="N59" i="120"/>
  <c r="P59" i="120" s="1"/>
  <c r="P52" i="33"/>
  <c r="M52" i="113"/>
  <c r="N52" i="113" s="1"/>
  <c r="P52" i="113" s="1"/>
  <c r="AI52" i="115"/>
  <c r="M31" i="33"/>
  <c r="AI28" i="120"/>
  <c r="AI28" i="118"/>
  <c r="AI28" i="116"/>
  <c r="L44" i="33"/>
  <c r="N44" i="33" s="1"/>
  <c r="AI44" i="119"/>
  <c r="AI68" i="116"/>
  <c r="AJ35" i="76"/>
  <c r="AJ67" i="76"/>
  <c r="AJ71" i="76"/>
  <c r="AJ24" i="76"/>
  <c r="AJ46" i="80"/>
  <c r="AJ40" i="80"/>
  <c r="AJ39" i="76"/>
  <c r="AJ36" i="80"/>
  <c r="AJ58" i="80"/>
  <c r="AJ10" i="76"/>
  <c r="AJ74" i="80"/>
  <c r="AJ13" i="76"/>
  <c r="AJ48" i="80"/>
  <c r="AJ53" i="80"/>
  <c r="AJ16" i="80"/>
  <c r="AJ16" i="76"/>
  <c r="AJ61" i="80"/>
  <c r="AJ12" i="76"/>
  <c r="AJ54" i="80"/>
  <c r="AJ17" i="76"/>
  <c r="AJ20" i="76"/>
  <c r="AJ37" i="80"/>
  <c r="AJ73" i="80"/>
  <c r="M43" i="33"/>
  <c r="AI24" i="118"/>
  <c r="AI24" i="116"/>
  <c r="AI24" i="114"/>
  <c r="M65" i="113"/>
  <c r="N65" i="113" s="1"/>
  <c r="P65" i="113" s="1"/>
  <c r="U65" i="117"/>
  <c r="AK65" i="117" s="1"/>
  <c r="AI65" i="115"/>
  <c r="M13" i="33"/>
  <c r="U70" i="117"/>
  <c r="AK70" i="117" s="1"/>
  <c r="M20" i="33"/>
  <c r="AI11" i="118"/>
  <c r="N19" i="33"/>
  <c r="M40" i="113"/>
  <c r="N40" i="113" s="1"/>
  <c r="P40" i="113" s="1"/>
  <c r="P40" i="33"/>
  <c r="Z40" i="33" s="1"/>
  <c r="N69" i="33"/>
  <c r="P73" i="33"/>
  <c r="Z73" i="33" s="1"/>
  <c r="AA73" i="33" s="1"/>
  <c r="M73" i="113"/>
  <c r="N73" i="113" s="1"/>
  <c r="P73" i="113" s="1"/>
  <c r="P51" i="33"/>
  <c r="Z51" i="33" s="1"/>
  <c r="AA51" i="33" s="1"/>
  <c r="M51" i="113"/>
  <c r="N51" i="113" s="1"/>
  <c r="P51" i="113" s="1"/>
  <c r="N74" i="33"/>
  <c r="P67" i="33"/>
  <c r="Z67" i="33" s="1"/>
  <c r="AA67" i="33" s="1"/>
  <c r="M67" i="113"/>
  <c r="N67" i="113" s="1"/>
  <c r="P67" i="113" s="1"/>
  <c r="M37" i="113"/>
  <c r="N37" i="113" s="1"/>
  <c r="P37" i="113" s="1"/>
  <c r="P37" i="33"/>
  <c r="Z37" i="33" s="1"/>
  <c r="P64" i="33"/>
  <c r="Z64" i="33" s="1"/>
  <c r="AA64" i="33" s="1"/>
  <c r="M64" i="113"/>
  <c r="N64" i="113" s="1"/>
  <c r="P64" i="113" s="1"/>
  <c r="M50" i="113"/>
  <c r="N50" i="113" s="1"/>
  <c r="P50" i="113" s="1"/>
  <c r="P50" i="33"/>
  <c r="U63" i="117"/>
  <c r="AK63" i="117" s="1"/>
  <c r="AI14" i="114"/>
  <c r="AI76" i="113"/>
  <c r="AI36" i="114"/>
  <c r="AI36" i="118"/>
  <c r="Z15" i="33"/>
  <c r="AA15" i="33" s="1"/>
  <c r="AI34" i="115"/>
  <c r="AI34" i="119"/>
  <c r="AI75" i="116"/>
  <c r="AI26" i="119"/>
  <c r="AI48" i="120"/>
  <c r="U66" i="117"/>
  <c r="AK66" i="117" s="1"/>
  <c r="Z66" i="33"/>
  <c r="AI22" i="118"/>
  <c r="AI53" i="120"/>
  <c r="AI55" i="113"/>
  <c r="AI47" i="114"/>
  <c r="AI47" i="118"/>
  <c r="AI41" i="115"/>
  <c r="U46" i="117"/>
  <c r="AK46" i="117" s="1"/>
  <c r="AI46" i="113"/>
  <c r="AI67" i="114"/>
  <c r="AI14" i="115"/>
  <c r="AI37" i="120"/>
  <c r="AI64" i="114"/>
  <c r="AI64" i="118"/>
  <c r="AI38" i="115"/>
  <c r="AI50" i="120"/>
  <c r="AI75" i="113"/>
  <c r="AI60" i="118"/>
  <c r="AI48" i="115"/>
  <c r="AI25" i="118"/>
  <c r="AI53" i="115"/>
  <c r="AI55" i="120"/>
  <c r="AI18" i="119"/>
  <c r="AJ44" i="76"/>
  <c r="AJ62" i="76"/>
  <c r="AJ40" i="76"/>
  <c r="AJ39" i="80"/>
  <c r="AJ36" i="76"/>
  <c r="AJ58" i="76"/>
  <c r="AJ65" i="76"/>
  <c r="AJ74" i="76"/>
  <c r="AJ48" i="76"/>
  <c r="AJ38" i="76"/>
  <c r="AJ61" i="76"/>
  <c r="AJ54" i="76"/>
  <c r="AJ64" i="76"/>
  <c r="AJ23" i="80"/>
  <c r="AJ37" i="76"/>
  <c r="AJ51" i="80"/>
  <c r="AJ49" i="76"/>
  <c r="AJ32" i="76"/>
  <c r="AJ73" i="76"/>
  <c r="M9" i="33"/>
  <c r="AI71" i="118"/>
  <c r="K10" i="113"/>
  <c r="L10" i="113" s="1"/>
  <c r="M29" i="33"/>
  <c r="AI54" i="118"/>
  <c r="L32" i="33"/>
  <c r="N32" i="33" s="1"/>
  <c r="AI32" i="115"/>
  <c r="AI58" i="120"/>
  <c r="AI58" i="116"/>
  <c r="AI58" i="114"/>
  <c r="L17" i="33"/>
  <c r="N17" i="33" s="1"/>
  <c r="K61" i="113"/>
  <c r="L61" i="113" s="1"/>
  <c r="AI61" i="119"/>
  <c r="M28" i="33"/>
  <c r="AI44" i="120"/>
  <c r="AI44" i="118"/>
  <c r="AI44" i="116"/>
  <c r="L62" i="33"/>
  <c r="N62" i="33" s="1"/>
  <c r="U62" i="117"/>
  <c r="AK62" i="117" s="1"/>
  <c r="AI62" i="115"/>
  <c r="M77" i="114"/>
  <c r="N77" i="114" s="1"/>
  <c r="P77" i="114" s="1"/>
  <c r="Q63" i="33"/>
  <c r="Z63" i="33" s="1"/>
  <c r="AA63" i="33" s="1"/>
  <c r="K35" i="113"/>
  <c r="L35" i="113" s="1"/>
  <c r="AI35" i="119"/>
  <c r="AI35" i="115"/>
  <c r="AI43" i="118"/>
  <c r="AI43" i="116"/>
  <c r="K24" i="113"/>
  <c r="L24" i="113" s="1"/>
  <c r="M21" i="33"/>
  <c r="K45" i="113"/>
  <c r="L45" i="113" s="1"/>
  <c r="M72" i="33"/>
  <c r="AI20" i="120"/>
  <c r="AI20" i="118"/>
  <c r="AI20" i="116"/>
  <c r="AI20" i="114"/>
  <c r="K11" i="113"/>
  <c r="L11" i="113" s="1"/>
  <c r="U11" i="117"/>
  <c r="AK11" i="117" s="1"/>
  <c r="K27" i="113"/>
  <c r="L27" i="113" s="1"/>
  <c r="U27" i="117"/>
  <c r="AK27" i="117" s="1"/>
  <c r="AI27" i="115"/>
  <c r="AI10" i="120"/>
  <c r="L23" i="33"/>
  <c r="N23" i="33" s="1"/>
  <c r="U23" i="117"/>
  <c r="AK23" i="117" s="1"/>
  <c r="AI23" i="115"/>
  <c r="AI32" i="116"/>
  <c r="AI32" i="114"/>
  <c r="L33" i="33"/>
  <c r="U33" i="117"/>
  <c r="AK33" i="117" s="1"/>
  <c r="N17" i="120"/>
  <c r="P17" i="120" s="1"/>
  <c r="W17" i="33"/>
  <c r="AI17" i="116"/>
  <c r="AI17" i="114"/>
  <c r="L57" i="33"/>
  <c r="N57" i="33" s="1"/>
  <c r="U57" i="117"/>
  <c r="AK57" i="117" s="1"/>
  <c r="AI61" i="120"/>
  <c r="AI61" i="116"/>
  <c r="L31" i="33"/>
  <c r="U31" i="117"/>
  <c r="AK31" i="117" s="1"/>
  <c r="AI31" i="115"/>
  <c r="AI62" i="118"/>
  <c r="AI62" i="114"/>
  <c r="L49" i="33"/>
  <c r="AI49" i="119"/>
  <c r="AI49" i="115"/>
  <c r="N35" i="120"/>
  <c r="P35" i="120" s="1"/>
  <c r="W35" i="33"/>
  <c r="M35" i="116"/>
  <c r="N35" i="116" s="1"/>
  <c r="P35" i="116" s="1"/>
  <c r="S35" i="33"/>
  <c r="V43" i="33"/>
  <c r="M43" i="119"/>
  <c r="N43" i="119" s="1"/>
  <c r="P43" i="119" s="1"/>
  <c r="N43" i="115"/>
  <c r="P43" i="115" s="1"/>
  <c r="R43" i="33"/>
  <c r="M65" i="33"/>
  <c r="U21" i="33"/>
  <c r="N21" i="118"/>
  <c r="P21" i="118" s="1"/>
  <c r="M21" i="114"/>
  <c r="N21" i="114" s="1"/>
  <c r="P21" i="114" s="1"/>
  <c r="Q21" i="33"/>
  <c r="K13" i="113"/>
  <c r="L13" i="113" s="1"/>
  <c r="T13" i="33"/>
  <c r="M13" i="117"/>
  <c r="N13" i="117" s="1"/>
  <c r="P13" i="117" s="1"/>
  <c r="M70" i="33"/>
  <c r="AI72" i="116"/>
  <c r="K20" i="113"/>
  <c r="L20" i="113" s="1"/>
  <c r="U20" i="117"/>
  <c r="AK20" i="117" s="1"/>
  <c r="I29" i="46"/>
  <c r="K29" i="46" s="1"/>
  <c r="L29" i="46" s="1"/>
  <c r="J8" i="119"/>
  <c r="J77" i="119" s="1"/>
  <c r="I8" i="119"/>
  <c r="J8" i="115"/>
  <c r="J77" i="115" s="1"/>
  <c r="I8" i="115"/>
  <c r="J8" i="120"/>
  <c r="J77" i="120" s="1"/>
  <c r="I8" i="120"/>
  <c r="J8" i="116"/>
  <c r="J77" i="116" s="1"/>
  <c r="I8" i="116"/>
  <c r="I28" i="46"/>
  <c r="K14" i="80"/>
  <c r="J14" i="80"/>
  <c r="K14" i="76"/>
  <c r="J14" i="76"/>
  <c r="L43" i="33"/>
  <c r="L24" i="33"/>
  <c r="J8" i="117"/>
  <c r="J77" i="117" s="1"/>
  <c r="I8" i="117"/>
  <c r="I8" i="33"/>
  <c r="J8" i="118"/>
  <c r="J77" i="118" s="1"/>
  <c r="I8" i="118"/>
  <c r="J8" i="114"/>
  <c r="J78" i="114" s="1"/>
  <c r="I8" i="114"/>
  <c r="AA42" i="33" l="1"/>
  <c r="O25" i="80"/>
  <c r="Q25" i="80" s="1"/>
  <c r="P70" i="33"/>
  <c r="M54" i="113"/>
  <c r="N54" i="113" s="1"/>
  <c r="P54" i="113" s="1"/>
  <c r="AI54" i="113" s="1"/>
  <c r="X43" i="33"/>
  <c r="N25" i="76"/>
  <c r="O25" i="76" s="1"/>
  <c r="Q25" i="76" s="1"/>
  <c r="N11" i="76"/>
  <c r="O11" i="76" s="1"/>
  <c r="Q11" i="76" s="1"/>
  <c r="Z50" i="33"/>
  <c r="X32" i="33"/>
  <c r="X45" i="33"/>
  <c r="Z60" i="33"/>
  <c r="AA60" i="33" s="1"/>
  <c r="AF60" i="33" s="1"/>
  <c r="O66" i="80"/>
  <c r="Q66" i="80" s="1"/>
  <c r="AJ66" i="80" s="1"/>
  <c r="X61" i="33"/>
  <c r="N49" i="33"/>
  <c r="AA40" i="33"/>
  <c r="AF40" i="33" s="1"/>
  <c r="N71" i="33"/>
  <c r="AA48" i="33"/>
  <c r="AF48" i="33" s="1"/>
  <c r="N43" i="33"/>
  <c r="AA50" i="33"/>
  <c r="AF50" i="33" s="1"/>
  <c r="AA37" i="33"/>
  <c r="AF37" i="33" s="1"/>
  <c r="AA12" i="33"/>
  <c r="AF12" i="33" s="1"/>
  <c r="AE72" i="31"/>
  <c r="AA22" i="33"/>
  <c r="AF22" i="33" s="1"/>
  <c r="O33" i="80"/>
  <c r="Q33" i="80" s="1"/>
  <c r="AJ33" i="80" s="1"/>
  <c r="Y27" i="33"/>
  <c r="Y68" i="33"/>
  <c r="O42" i="80"/>
  <c r="Q42" i="80" s="1"/>
  <c r="AA14" i="33"/>
  <c r="AF14" i="33" s="1"/>
  <c r="AA34" i="33"/>
  <c r="AF34" i="33" s="1"/>
  <c r="Z47" i="33"/>
  <c r="AA47" i="33" s="1"/>
  <c r="AF47" i="33" s="1"/>
  <c r="S8" i="129"/>
  <c r="S77" i="129" s="1"/>
  <c r="R77" i="129"/>
  <c r="N31" i="33"/>
  <c r="N33" i="33"/>
  <c r="N24" i="33"/>
  <c r="AA46" i="33"/>
  <c r="O19" i="31"/>
  <c r="P19" i="31" s="1"/>
  <c r="S19" i="31" s="1"/>
  <c r="O41" i="31"/>
  <c r="P41" i="31" s="1"/>
  <c r="S41" i="31" s="1"/>
  <c r="O44" i="31"/>
  <c r="P44" i="31" s="1"/>
  <c r="S44" i="31" s="1"/>
  <c r="O54" i="31"/>
  <c r="P54" i="31" s="1"/>
  <c r="S54" i="31" s="1"/>
  <c r="O22" i="31"/>
  <c r="P22" i="31" s="1"/>
  <c r="S22" i="31" s="1"/>
  <c r="O13" i="31"/>
  <c r="P13" i="31" s="1"/>
  <c r="S13" i="31" s="1"/>
  <c r="O56" i="31"/>
  <c r="P56" i="31" s="1"/>
  <c r="S56" i="31" s="1"/>
  <c r="O50" i="31"/>
  <c r="P50" i="31" s="1"/>
  <c r="S50" i="31" s="1"/>
  <c r="O18" i="31"/>
  <c r="P18" i="31" s="1"/>
  <c r="S18" i="31" s="1"/>
  <c r="O33" i="31"/>
  <c r="P33" i="31" s="1"/>
  <c r="S33" i="31" s="1"/>
  <c r="O57" i="31"/>
  <c r="P57" i="31" s="1"/>
  <c r="S57" i="31" s="1"/>
  <c r="O27" i="31"/>
  <c r="P27" i="31" s="1"/>
  <c r="S27" i="31" s="1"/>
  <c r="O29" i="31"/>
  <c r="P29" i="31" s="1"/>
  <c r="S29" i="31" s="1"/>
  <c r="O34" i="31"/>
  <c r="P34" i="31" s="1"/>
  <c r="S34" i="31" s="1"/>
  <c r="O43" i="31"/>
  <c r="P43" i="31" s="1"/>
  <c r="S43" i="31" s="1"/>
  <c r="O49" i="31"/>
  <c r="P49" i="31" s="1"/>
  <c r="S49" i="31" s="1"/>
  <c r="O52" i="31"/>
  <c r="P52" i="31" s="1"/>
  <c r="S52" i="31" s="1"/>
  <c r="O20" i="31"/>
  <c r="P20" i="31" s="1"/>
  <c r="S20" i="31" s="1"/>
  <c r="O62" i="31"/>
  <c r="P62" i="31" s="1"/>
  <c r="S62" i="31" s="1"/>
  <c r="O51" i="31"/>
  <c r="P51" i="31" s="1"/>
  <c r="S51" i="31" s="1"/>
  <c r="O53" i="31"/>
  <c r="P53" i="31" s="1"/>
  <c r="S53" i="31" s="1"/>
  <c r="O21" i="31"/>
  <c r="P21" i="31" s="1"/>
  <c r="S21" i="31" s="1"/>
  <c r="O32" i="31"/>
  <c r="P32" i="31" s="1"/>
  <c r="S32" i="31" s="1"/>
  <c r="O35" i="31"/>
  <c r="P35" i="31" s="1"/>
  <c r="S35" i="31" s="1"/>
  <c r="O46" i="31"/>
  <c r="P46" i="31" s="1"/>
  <c r="S46" i="31" s="1"/>
  <c r="O37" i="31"/>
  <c r="P37" i="31" s="1"/>
  <c r="S37" i="31" s="1"/>
  <c r="O16" i="31"/>
  <c r="P16" i="31" s="1"/>
  <c r="S16" i="31" s="1"/>
  <c r="AF51" i="33"/>
  <c r="AF55" i="33"/>
  <c r="AF63" i="33"/>
  <c r="AF67" i="33"/>
  <c r="P20" i="33"/>
  <c r="M20" i="113"/>
  <c r="N20" i="113" s="1"/>
  <c r="P20" i="113" s="1"/>
  <c r="U13" i="117"/>
  <c r="AK13" i="117" s="1"/>
  <c r="P13" i="33"/>
  <c r="M13" i="113"/>
  <c r="N13" i="113" s="1"/>
  <c r="P13" i="113" s="1"/>
  <c r="AI21" i="114"/>
  <c r="AI43" i="119"/>
  <c r="AI35" i="116"/>
  <c r="AI35" i="120"/>
  <c r="P27" i="33"/>
  <c r="M27" i="113"/>
  <c r="N27" i="113" s="1"/>
  <c r="P27" i="113" s="1"/>
  <c r="P35" i="33"/>
  <c r="M35" i="113"/>
  <c r="N35" i="113" s="1"/>
  <c r="P35" i="113" s="1"/>
  <c r="AI77" i="114"/>
  <c r="AI64" i="113"/>
  <c r="AI67" i="113"/>
  <c r="AF73" i="33"/>
  <c r="AI65" i="113"/>
  <c r="AI52" i="113"/>
  <c r="AI59" i="120"/>
  <c r="AI29" i="116"/>
  <c r="AI68" i="113"/>
  <c r="AI49" i="120"/>
  <c r="N28" i="33"/>
  <c r="AI59" i="113"/>
  <c r="U30" i="117"/>
  <c r="AK30" i="117" s="1"/>
  <c r="AI29" i="115"/>
  <c r="N29" i="33"/>
  <c r="AI23" i="116"/>
  <c r="AF75" i="33"/>
  <c r="AF26" i="33"/>
  <c r="AI60" i="113"/>
  <c r="K50" i="46"/>
  <c r="M16" i="33"/>
  <c r="O15" i="80"/>
  <c r="Q15" i="80" s="1"/>
  <c r="Y17" i="33"/>
  <c r="Y33" i="33"/>
  <c r="O31" i="80"/>
  <c r="Q31" i="80" s="1"/>
  <c r="O27" i="80"/>
  <c r="Q27" i="80" s="1"/>
  <c r="Y29" i="33"/>
  <c r="X9" i="33"/>
  <c r="N7" i="76"/>
  <c r="O7" i="76" s="1"/>
  <c r="Q7" i="76" s="1"/>
  <c r="Y20" i="33"/>
  <c r="O18" i="80"/>
  <c r="Q18" i="80" s="1"/>
  <c r="Y10" i="33"/>
  <c r="O8" i="80"/>
  <c r="Q8" i="80" s="1"/>
  <c r="Y31" i="33"/>
  <c r="O29" i="80"/>
  <c r="Q29" i="80" s="1"/>
  <c r="Y32" i="33"/>
  <c r="O30" i="80"/>
  <c r="Q30" i="80" s="1"/>
  <c r="X23" i="33"/>
  <c r="N21" i="76"/>
  <c r="O21" i="76" s="1"/>
  <c r="Q21" i="76" s="1"/>
  <c r="X35" i="33"/>
  <c r="N33" i="76"/>
  <c r="O33" i="76" s="1"/>
  <c r="Q33" i="76" s="1"/>
  <c r="X71" i="33"/>
  <c r="Z71" i="33" s="1"/>
  <c r="N69" i="76"/>
  <c r="O69" i="76" s="1"/>
  <c r="Q69" i="76" s="1"/>
  <c r="X72" i="33"/>
  <c r="Z72" i="33" s="1"/>
  <c r="N70" i="76"/>
  <c r="O70" i="76" s="1"/>
  <c r="Q70" i="76" s="1"/>
  <c r="X70" i="33"/>
  <c r="N68" i="76"/>
  <c r="O68" i="76" s="1"/>
  <c r="Q68" i="76" s="1"/>
  <c r="Y13" i="33"/>
  <c r="O11" i="80"/>
  <c r="Q11" i="80" s="1"/>
  <c r="X28" i="33"/>
  <c r="Z28" i="33" s="1"/>
  <c r="N26" i="76"/>
  <c r="O26" i="76" s="1"/>
  <c r="Q26" i="76" s="1"/>
  <c r="X52" i="33"/>
  <c r="Z52" i="33" s="1"/>
  <c r="N50" i="76"/>
  <c r="O50" i="76" s="1"/>
  <c r="Q50" i="76" s="1"/>
  <c r="X11" i="33"/>
  <c r="N9" i="76"/>
  <c r="O9" i="76" s="1"/>
  <c r="Q9" i="76" s="1"/>
  <c r="X17" i="33"/>
  <c r="N15" i="76"/>
  <c r="O15" i="76" s="1"/>
  <c r="Q15" i="76" s="1"/>
  <c r="Y30" i="33"/>
  <c r="O28" i="80"/>
  <c r="Q28" i="80" s="1"/>
  <c r="X33" i="33"/>
  <c r="N31" i="76"/>
  <c r="O31" i="76" s="1"/>
  <c r="Q31" i="76" s="1"/>
  <c r="X29" i="33"/>
  <c r="N27" i="76"/>
  <c r="O27" i="76" s="1"/>
  <c r="Q27" i="76" s="1"/>
  <c r="O22" i="80"/>
  <c r="Q22" i="80" s="1"/>
  <c r="Y24" i="33"/>
  <c r="Y9" i="33"/>
  <c r="O7" i="80"/>
  <c r="Q7" i="80" s="1"/>
  <c r="X31" i="33"/>
  <c r="N29" i="76"/>
  <c r="O29" i="76" s="1"/>
  <c r="Q29" i="76" s="1"/>
  <c r="AJ30" i="76"/>
  <c r="AJ25" i="76"/>
  <c r="AJ69" i="80"/>
  <c r="AJ47" i="76"/>
  <c r="AJ68" i="80"/>
  <c r="AJ43" i="76"/>
  <c r="AJ11" i="76"/>
  <c r="AJ42" i="80"/>
  <c r="AJ26" i="80"/>
  <c r="AJ59" i="76"/>
  <c r="N20" i="33"/>
  <c r="AI21" i="116"/>
  <c r="P43" i="33"/>
  <c r="M43" i="113"/>
  <c r="N43" i="113" s="1"/>
  <c r="P43" i="113" s="1"/>
  <c r="AI35" i="114"/>
  <c r="AI35" i="118"/>
  <c r="AI17" i="118"/>
  <c r="N11" i="33"/>
  <c r="N61" i="33"/>
  <c r="M17" i="113"/>
  <c r="N17" i="113" s="1"/>
  <c r="P17" i="113" s="1"/>
  <c r="P17" i="33"/>
  <c r="P32" i="33"/>
  <c r="M32" i="113"/>
  <c r="N32" i="113" s="1"/>
  <c r="P32" i="113" s="1"/>
  <c r="AF18" i="33"/>
  <c r="AF39" i="33"/>
  <c r="N65" i="33"/>
  <c r="AA41" i="33"/>
  <c r="AI58" i="113"/>
  <c r="AI21" i="113"/>
  <c r="AI65" i="118"/>
  <c r="AI28" i="113"/>
  <c r="AI31" i="120"/>
  <c r="AI30" i="119"/>
  <c r="N30" i="33"/>
  <c r="AI33" i="120"/>
  <c r="AI23" i="114"/>
  <c r="AI23" i="118"/>
  <c r="AI9" i="119"/>
  <c r="N9" i="33"/>
  <c r="AI27" i="116"/>
  <c r="AI27" i="120"/>
  <c r="AA38" i="33"/>
  <c r="AI39" i="113"/>
  <c r="AA74" i="33"/>
  <c r="AI56" i="113"/>
  <c r="AA69" i="33"/>
  <c r="AI25" i="113"/>
  <c r="AI19" i="113"/>
  <c r="K16" i="113"/>
  <c r="L16" i="113" s="1"/>
  <c r="T16" i="33"/>
  <c r="M16" i="117"/>
  <c r="N16" i="117" s="1"/>
  <c r="P16" i="117" s="1"/>
  <c r="O58" i="31"/>
  <c r="P58" i="31" s="1"/>
  <c r="S58" i="31" s="1"/>
  <c r="O26" i="31"/>
  <c r="P26" i="31" s="1"/>
  <c r="S26" i="31" s="1"/>
  <c r="O31" i="31"/>
  <c r="P31" i="31" s="1"/>
  <c r="S31" i="31" s="1"/>
  <c r="O45" i="31"/>
  <c r="P45" i="31" s="1"/>
  <c r="S45" i="31" s="1"/>
  <c r="O24" i="31"/>
  <c r="P24" i="31" s="1"/>
  <c r="S24" i="31" s="1"/>
  <c r="W16" i="33"/>
  <c r="N16" i="120"/>
  <c r="P16" i="120" s="1"/>
  <c r="S16" i="33"/>
  <c r="M16" i="116"/>
  <c r="N16" i="116" s="1"/>
  <c r="P16" i="116" s="1"/>
  <c r="O65" i="31"/>
  <c r="P65" i="31" s="1"/>
  <c r="S65" i="31" s="1"/>
  <c r="O39" i="31"/>
  <c r="P39" i="31" s="1"/>
  <c r="S39" i="31" s="1"/>
  <c r="O36" i="31"/>
  <c r="P36" i="31" s="1"/>
  <c r="S36" i="31" s="1"/>
  <c r="O47" i="31"/>
  <c r="P47" i="31" s="1"/>
  <c r="S47" i="31" s="1"/>
  <c r="O14" i="31"/>
  <c r="P14" i="31" s="1"/>
  <c r="S14" i="31" s="1"/>
  <c r="O15" i="31"/>
  <c r="P15" i="31" s="1"/>
  <c r="S15" i="31" s="1"/>
  <c r="O63" i="31"/>
  <c r="P63" i="31" s="1"/>
  <c r="S63" i="31" s="1"/>
  <c r="O48" i="31"/>
  <c r="P48" i="31" s="1"/>
  <c r="S48" i="31" s="1"/>
  <c r="K8" i="114"/>
  <c r="I78" i="114"/>
  <c r="I77" i="118"/>
  <c r="K8" i="118"/>
  <c r="K8" i="33"/>
  <c r="AH8" i="33" s="1"/>
  <c r="I77" i="33"/>
  <c r="E68" i="81" s="1"/>
  <c r="J8" i="113"/>
  <c r="J77" i="113" s="1"/>
  <c r="K8" i="117"/>
  <c r="I77" i="117"/>
  <c r="I8" i="113"/>
  <c r="L14" i="76"/>
  <c r="M14" i="76" s="1"/>
  <c r="L14" i="80"/>
  <c r="M14" i="80" s="1"/>
  <c r="N14" i="80" s="1"/>
  <c r="K28" i="46"/>
  <c r="I30" i="46"/>
  <c r="I38" i="46" s="1"/>
  <c r="E69" i="81" s="1"/>
  <c r="I77" i="116"/>
  <c r="K8" i="116"/>
  <c r="I77" i="120"/>
  <c r="K8" i="120"/>
  <c r="I77" i="115"/>
  <c r="K8" i="115"/>
  <c r="K8" i="119"/>
  <c r="I77" i="119"/>
  <c r="N29" i="46"/>
  <c r="N30" i="46" s="1"/>
  <c r="O50" i="46" s="1"/>
  <c r="M29" i="46"/>
  <c r="AI21" i="118"/>
  <c r="AI43" i="115"/>
  <c r="AI17" i="120"/>
  <c r="P11" i="33"/>
  <c r="M11" i="113"/>
  <c r="N11" i="113" s="1"/>
  <c r="P11" i="113" s="1"/>
  <c r="M45" i="113"/>
  <c r="N45" i="113" s="1"/>
  <c r="P45" i="113" s="1"/>
  <c r="P45" i="33"/>
  <c r="P24" i="33"/>
  <c r="M24" i="113"/>
  <c r="N24" i="113" s="1"/>
  <c r="P24" i="113" s="1"/>
  <c r="M61" i="113"/>
  <c r="N61" i="113" s="1"/>
  <c r="P61" i="113" s="1"/>
  <c r="P61" i="33"/>
  <c r="P10" i="33"/>
  <c r="M10" i="113"/>
  <c r="N10" i="113" s="1"/>
  <c r="P10" i="113" s="1"/>
  <c r="AF15" i="33"/>
  <c r="AI50" i="113"/>
  <c r="AF64" i="33"/>
  <c r="AI37" i="113"/>
  <c r="AI51" i="113"/>
  <c r="AI73" i="113"/>
  <c r="AI40" i="113"/>
  <c r="AI70" i="113"/>
  <c r="AI29" i="120"/>
  <c r="AI72" i="113"/>
  <c r="N21" i="33"/>
  <c r="AI65" i="120"/>
  <c r="AI30" i="113"/>
  <c r="AI33" i="114"/>
  <c r="AI33" i="118"/>
  <c r="AI29" i="119"/>
  <c r="AI23" i="120"/>
  <c r="U9" i="117"/>
  <c r="AK9" i="117" s="1"/>
  <c r="AI9" i="113"/>
  <c r="AI27" i="114"/>
  <c r="AI27" i="118"/>
  <c r="AF36" i="33"/>
  <c r="AA66" i="33"/>
  <c r="AF76" i="33"/>
  <c r="AH69" i="31"/>
  <c r="AH70" i="31" s="1"/>
  <c r="AH72" i="31" s="1"/>
  <c r="M18" i="46"/>
  <c r="O17" i="46"/>
  <c r="K18" i="46"/>
  <c r="L10" i="46"/>
  <c r="O42" i="31"/>
  <c r="P42" i="31" s="1"/>
  <c r="S42" i="31" s="1"/>
  <c r="O59" i="31"/>
  <c r="P59" i="31" s="1"/>
  <c r="S59" i="31" s="1"/>
  <c r="O25" i="31"/>
  <c r="P25" i="31" s="1"/>
  <c r="S25" i="31" s="1"/>
  <c r="O60" i="31"/>
  <c r="P60" i="31" s="1"/>
  <c r="S60" i="31" s="1"/>
  <c r="O28" i="31"/>
  <c r="P28" i="31" s="1"/>
  <c r="S28" i="31" s="1"/>
  <c r="O38" i="31"/>
  <c r="P38" i="31" s="1"/>
  <c r="S38" i="31" s="1"/>
  <c r="O68" i="31"/>
  <c r="P68" i="31" s="1"/>
  <c r="S68" i="31" s="1"/>
  <c r="O61" i="31"/>
  <c r="P61" i="31" s="1"/>
  <c r="S61" i="31" s="1"/>
  <c r="O23" i="31"/>
  <c r="P23" i="31" s="1"/>
  <c r="S23" i="31" s="1"/>
  <c r="O40" i="31"/>
  <c r="P40" i="31" s="1"/>
  <c r="S40" i="31" s="1"/>
  <c r="O55" i="31"/>
  <c r="P55" i="31" s="1"/>
  <c r="S55" i="31" s="1"/>
  <c r="X62" i="33"/>
  <c r="N60" i="76"/>
  <c r="O60" i="76" s="1"/>
  <c r="Q60" i="76" s="1"/>
  <c r="X58" i="33"/>
  <c r="N56" i="76"/>
  <c r="O56" i="76" s="1"/>
  <c r="Q56" i="76" s="1"/>
  <c r="X54" i="33"/>
  <c r="N52" i="76"/>
  <c r="O52" i="76" s="1"/>
  <c r="Q52" i="76" s="1"/>
  <c r="Y65" i="33"/>
  <c r="O63" i="80"/>
  <c r="Q63" i="80" s="1"/>
  <c r="Y59" i="33"/>
  <c r="O57" i="80"/>
  <c r="Q57" i="80" s="1"/>
  <c r="X20" i="33"/>
  <c r="N18" i="76"/>
  <c r="O18" i="76" s="1"/>
  <c r="Q18" i="76" s="1"/>
  <c r="X10" i="33"/>
  <c r="N8" i="76"/>
  <c r="O8" i="76" s="1"/>
  <c r="Q8" i="76" s="1"/>
  <c r="X57" i="33"/>
  <c r="N55" i="76"/>
  <c r="O55" i="76" s="1"/>
  <c r="Q55" i="76" s="1"/>
  <c r="Y23" i="33"/>
  <c r="O21" i="80"/>
  <c r="Q21" i="80" s="1"/>
  <c r="Y43" i="33"/>
  <c r="O41" i="80"/>
  <c r="Q41" i="80" s="1"/>
  <c r="Y21" i="33"/>
  <c r="Z21" i="33" s="1"/>
  <c r="O19" i="80"/>
  <c r="Q19" i="80" s="1"/>
  <c r="X68" i="33"/>
  <c r="Z68" i="33" s="1"/>
  <c r="N66" i="76"/>
  <c r="O66" i="76" s="1"/>
  <c r="Q66" i="76" s="1"/>
  <c r="Y49" i="33"/>
  <c r="O47" i="80"/>
  <c r="Q47" i="80" s="1"/>
  <c r="Y45" i="33"/>
  <c r="O43" i="80"/>
  <c r="Q43" i="80" s="1"/>
  <c r="X44" i="33"/>
  <c r="Z44" i="33" s="1"/>
  <c r="AA44" i="33" s="1"/>
  <c r="N42" i="76"/>
  <c r="O42" i="76" s="1"/>
  <c r="Q42" i="76" s="1"/>
  <c r="Y61" i="33"/>
  <c r="O59" i="80"/>
  <c r="Q59" i="80" s="1"/>
  <c r="O9" i="80"/>
  <c r="Q9" i="80" s="1"/>
  <c r="Y11" i="33"/>
  <c r="Y62" i="33"/>
  <c r="O60" i="80"/>
  <c r="Q60" i="80" s="1"/>
  <c r="Y58" i="33"/>
  <c r="O56" i="80"/>
  <c r="Q56" i="80" s="1"/>
  <c r="N28" i="76"/>
  <c r="O28" i="76" s="1"/>
  <c r="Q28" i="76" s="1"/>
  <c r="X30" i="33"/>
  <c r="O52" i="80"/>
  <c r="Q52" i="80" s="1"/>
  <c r="Y54" i="33"/>
  <c r="N63" i="76"/>
  <c r="O63" i="76" s="1"/>
  <c r="Q63" i="76" s="1"/>
  <c r="X65" i="33"/>
  <c r="N22" i="76"/>
  <c r="O22" i="76" s="1"/>
  <c r="Q22" i="76" s="1"/>
  <c r="X24" i="33"/>
  <c r="N57" i="76"/>
  <c r="O57" i="76" s="1"/>
  <c r="Q57" i="76" s="1"/>
  <c r="X59" i="33"/>
  <c r="Y57" i="33"/>
  <c r="O55" i="80"/>
  <c r="Q55" i="80" s="1"/>
  <c r="AJ41" i="76"/>
  <c r="AJ25" i="80"/>
  <c r="AJ19" i="76"/>
  <c r="AJ70" i="80"/>
  <c r="AJ50" i="80"/>
  <c r="O67" i="31"/>
  <c r="P67" i="31" s="1"/>
  <c r="S67" i="31" s="1"/>
  <c r="O17" i="31"/>
  <c r="P17" i="31" s="1"/>
  <c r="S17" i="31" s="1"/>
  <c r="O30" i="31"/>
  <c r="P30" i="31" s="1"/>
  <c r="S30" i="31" s="1"/>
  <c r="O64" i="31"/>
  <c r="P64" i="31" s="1"/>
  <c r="S64" i="31" s="1"/>
  <c r="AI13" i="119"/>
  <c r="N13" i="33"/>
  <c r="AI21" i="120"/>
  <c r="U43" i="117"/>
  <c r="AK43" i="117" s="1"/>
  <c r="P49" i="33"/>
  <c r="M49" i="113"/>
  <c r="N49" i="113" s="1"/>
  <c r="P49" i="113" s="1"/>
  <c r="M31" i="113"/>
  <c r="N31" i="113" s="1"/>
  <c r="P31" i="113" s="1"/>
  <c r="P31" i="33"/>
  <c r="M57" i="113"/>
  <c r="N57" i="113" s="1"/>
  <c r="P57" i="113" s="1"/>
  <c r="P57" i="33"/>
  <c r="P33" i="33"/>
  <c r="Z33" i="33" s="1"/>
  <c r="AA33" i="33" s="1"/>
  <c r="M33" i="113"/>
  <c r="N33" i="113" s="1"/>
  <c r="P33" i="113" s="1"/>
  <c r="M23" i="113"/>
  <c r="N23" i="113" s="1"/>
  <c r="P23" i="113" s="1"/>
  <c r="P23" i="33"/>
  <c r="AI27" i="119"/>
  <c r="N27" i="33"/>
  <c r="N35" i="33"/>
  <c r="P62" i="33"/>
  <c r="M62" i="113"/>
  <c r="N62" i="113" s="1"/>
  <c r="P62" i="113" s="1"/>
  <c r="L36" i="46"/>
  <c r="P35" i="46"/>
  <c r="S35" i="46" s="1"/>
  <c r="O53" i="33"/>
  <c r="Z53" i="33" s="1"/>
  <c r="AA53" i="33" s="1"/>
  <c r="AF42" i="33"/>
  <c r="AI11" i="120"/>
  <c r="N70" i="33"/>
  <c r="AI44" i="113"/>
  <c r="N52" i="33"/>
  <c r="N54" i="33"/>
  <c r="AI29" i="118"/>
  <c r="AI71" i="113"/>
  <c r="N72" i="33"/>
  <c r="N68" i="33"/>
  <c r="N59" i="33"/>
  <c r="AI33" i="116"/>
  <c r="U29" i="117"/>
  <c r="AK29" i="117" s="1"/>
  <c r="AI29" i="113"/>
  <c r="AI9" i="115"/>
  <c r="AI47" i="113"/>
  <c r="AI74" i="113"/>
  <c r="AF56" i="33"/>
  <c r="AI69" i="113"/>
  <c r="AI12" i="113"/>
  <c r="AF25" i="33"/>
  <c r="AA19" i="33"/>
  <c r="V16" i="33"/>
  <c r="M16" i="119"/>
  <c r="N16" i="119" s="1"/>
  <c r="P16" i="119" s="1"/>
  <c r="R16" i="33"/>
  <c r="N16" i="115"/>
  <c r="P16" i="115" s="1"/>
  <c r="K69" i="31"/>
  <c r="K70" i="31" s="1"/>
  <c r="K72" i="31" s="1"/>
  <c r="L12" i="31"/>
  <c r="U16" i="33"/>
  <c r="N16" i="118"/>
  <c r="P16" i="118" s="1"/>
  <c r="M16" i="114"/>
  <c r="N16" i="114" s="1"/>
  <c r="P16" i="114" s="1"/>
  <c r="Q16" i="33"/>
  <c r="K6" i="76"/>
  <c r="K75" i="76" s="1"/>
  <c r="K79" i="76" s="1"/>
  <c r="J6" i="76"/>
  <c r="H8" i="5"/>
  <c r="L16" i="33"/>
  <c r="N16" i="33" s="1"/>
  <c r="K6" i="80"/>
  <c r="K75" i="80" s="1"/>
  <c r="K79" i="80" s="1"/>
  <c r="J6" i="80"/>
  <c r="H9" i="5"/>
  <c r="J9" i="5" s="1"/>
  <c r="K9" i="5" s="1"/>
  <c r="M9" i="5" s="1"/>
  <c r="Z70" i="33" l="1"/>
  <c r="AA71" i="33"/>
  <c r="AF71" i="33" s="1"/>
  <c r="Z27" i="33"/>
  <c r="W41" i="100"/>
  <c r="W75" i="100" s="1"/>
  <c r="E75" i="100"/>
  <c r="AA52" i="33"/>
  <c r="AF52" i="33" s="1"/>
  <c r="Z23" i="33"/>
  <c r="AA23" i="33" s="1"/>
  <c r="AF23" i="33" s="1"/>
  <c r="Z57" i="33"/>
  <c r="AA57" i="33" s="1"/>
  <c r="AF57" i="33" s="1"/>
  <c r="Z30" i="33"/>
  <c r="AA30" i="33" s="1"/>
  <c r="Z62" i="33"/>
  <c r="AA62" i="33" s="1"/>
  <c r="AF62" i="33" s="1"/>
  <c r="Z49" i="33"/>
  <c r="AA49" i="33" s="1"/>
  <c r="Z59" i="33"/>
  <c r="AA59" i="33" s="1"/>
  <c r="AF59" i="33" s="1"/>
  <c r="Z65" i="33"/>
  <c r="AA65" i="33" s="1"/>
  <c r="AA21" i="33"/>
  <c r="AF21" i="33" s="1"/>
  <c r="Z17" i="33"/>
  <c r="AA17" i="33" s="1"/>
  <c r="Z29" i="33"/>
  <c r="AA29" i="33" s="1"/>
  <c r="AF29" i="33" s="1"/>
  <c r="AF46" i="33"/>
  <c r="C44" i="100" s="1"/>
  <c r="X44" i="100" s="1"/>
  <c r="Z31" i="33"/>
  <c r="AA31" i="33" s="1"/>
  <c r="AF31" i="33" s="1"/>
  <c r="Z32" i="33"/>
  <c r="AA32" i="33" s="1"/>
  <c r="Z9" i="33"/>
  <c r="AA9" i="33" s="1"/>
  <c r="AF44" i="33"/>
  <c r="H10" i="5"/>
  <c r="E71" i="81" s="1"/>
  <c r="J8" i="5"/>
  <c r="AI16" i="118"/>
  <c r="N12" i="31"/>
  <c r="N69" i="31" s="1"/>
  <c r="N70" i="31" s="1"/>
  <c r="N72" i="31" s="1"/>
  <c r="M12" i="31"/>
  <c r="L69" i="31"/>
  <c r="L70" i="31" s="1"/>
  <c r="AI16" i="115"/>
  <c r="AI16" i="119"/>
  <c r="AA68" i="33"/>
  <c r="AA70" i="33"/>
  <c r="AI42" i="33"/>
  <c r="C40" i="100"/>
  <c r="X40" i="100" s="1"/>
  <c r="AI14" i="33"/>
  <c r="C12" i="100"/>
  <c r="X12" i="100" s="1"/>
  <c r="AF53" i="33"/>
  <c r="AI23" i="113"/>
  <c r="AF33" i="33"/>
  <c r="AI57" i="113"/>
  <c r="AI31" i="113"/>
  <c r="AJ55" i="80"/>
  <c r="AJ56" i="80"/>
  <c r="AJ60" i="80"/>
  <c r="AJ59" i="80"/>
  <c r="AJ42" i="76"/>
  <c r="AJ43" i="80"/>
  <c r="AJ47" i="80"/>
  <c r="AJ66" i="76"/>
  <c r="AJ19" i="80"/>
  <c r="AJ41" i="80"/>
  <c r="AJ21" i="80"/>
  <c r="AJ55" i="76"/>
  <c r="AJ8" i="76"/>
  <c r="AJ18" i="76"/>
  <c r="AJ57" i="80"/>
  <c r="AJ63" i="80"/>
  <c r="AJ52" i="76"/>
  <c r="AJ56" i="76"/>
  <c r="AJ60" i="76"/>
  <c r="J50" i="46"/>
  <c r="AI48" i="33"/>
  <c r="C46" i="100"/>
  <c r="X46" i="100" s="1"/>
  <c r="C13" i="100"/>
  <c r="X13" i="100" s="1"/>
  <c r="AI15" i="33"/>
  <c r="AI10" i="113"/>
  <c r="Z61" i="33"/>
  <c r="AA61" i="33" s="1"/>
  <c r="AI24" i="113"/>
  <c r="Z45" i="33"/>
  <c r="AA45" i="33" s="1"/>
  <c r="AI11" i="113"/>
  <c r="K77" i="119"/>
  <c r="L8" i="119"/>
  <c r="K30" i="46"/>
  <c r="K38" i="46" s="1"/>
  <c r="L28" i="46"/>
  <c r="N14" i="76"/>
  <c r="O14" i="76" s="1"/>
  <c r="Q14" i="76" s="1"/>
  <c r="X16" i="33"/>
  <c r="L8" i="33"/>
  <c r="L8" i="117"/>
  <c r="K77" i="117"/>
  <c r="M8" i="33"/>
  <c r="M77" i="33" s="1"/>
  <c r="K77" i="33"/>
  <c r="L8" i="114"/>
  <c r="K78" i="114"/>
  <c r="U16" i="117"/>
  <c r="AK16" i="117" s="1"/>
  <c r="M16" i="113"/>
  <c r="N16" i="113" s="1"/>
  <c r="P16" i="113" s="1"/>
  <c r="P16" i="33"/>
  <c r="AF69" i="33"/>
  <c r="AF41" i="33"/>
  <c r="C16" i="100"/>
  <c r="X16" i="100" s="1"/>
  <c r="AI18" i="33"/>
  <c r="AI32" i="113"/>
  <c r="AI43" i="113"/>
  <c r="AJ22" i="80"/>
  <c r="AJ27" i="80"/>
  <c r="AJ15" i="80"/>
  <c r="N38" i="46"/>
  <c r="AI75" i="33"/>
  <c r="C73" i="100"/>
  <c r="X73" i="100" s="1"/>
  <c r="AA28" i="33"/>
  <c r="AI35" i="113"/>
  <c r="AI27" i="113"/>
  <c r="Z13" i="33"/>
  <c r="AA13" i="33" s="1"/>
  <c r="Z20" i="33"/>
  <c r="AA20" i="33" s="1"/>
  <c r="AI67" i="33"/>
  <c r="C65" i="100"/>
  <c r="X65" i="100" s="1"/>
  <c r="C61" i="100"/>
  <c r="X61" i="100" s="1"/>
  <c r="AI63" i="33"/>
  <c r="AI50" i="33"/>
  <c r="C48" i="100"/>
  <c r="X48" i="100" s="1"/>
  <c r="J75" i="80"/>
  <c r="J79" i="80" s="1"/>
  <c r="L6" i="80"/>
  <c r="J75" i="76"/>
  <c r="J79" i="76" s="1"/>
  <c r="L6" i="76"/>
  <c r="AI16" i="114"/>
  <c r="AF19" i="33"/>
  <c r="C23" i="100"/>
  <c r="X23" i="100" s="1"/>
  <c r="AI25" i="33"/>
  <c r="AI56" i="33"/>
  <c r="C54" i="100"/>
  <c r="X54" i="100" s="1"/>
  <c r="AA72" i="33"/>
  <c r="C32" i="100"/>
  <c r="X32" i="100" s="1"/>
  <c r="AI34" i="33"/>
  <c r="AO35" i="46"/>
  <c r="AI62" i="113"/>
  <c r="AI33" i="113"/>
  <c r="AI49" i="113"/>
  <c r="AJ57" i="76"/>
  <c r="AJ22" i="76"/>
  <c r="AJ63" i="76"/>
  <c r="AJ52" i="80"/>
  <c r="AJ28" i="76"/>
  <c r="AJ9" i="80"/>
  <c r="Z54" i="33"/>
  <c r="AA54" i="33" s="1"/>
  <c r="Z58" i="33"/>
  <c r="AA58" i="33" s="1"/>
  <c r="P10" i="46"/>
  <c r="L18" i="46"/>
  <c r="O18" i="46"/>
  <c r="P17" i="46"/>
  <c r="S17" i="46" s="1"/>
  <c r="C58" i="100"/>
  <c r="X58" i="100" s="1"/>
  <c r="AI60" i="33"/>
  <c r="C74" i="100"/>
  <c r="X74" i="100" s="1"/>
  <c r="AI76" i="33"/>
  <c r="AF66" i="33"/>
  <c r="C34" i="100"/>
  <c r="X34" i="100" s="1"/>
  <c r="AI36" i="33"/>
  <c r="AI64" i="33"/>
  <c r="C62" i="100"/>
  <c r="X62" i="100" s="1"/>
  <c r="C20" i="100"/>
  <c r="X20" i="100" s="1"/>
  <c r="AI22" i="33"/>
  <c r="Z10" i="33"/>
  <c r="AA10" i="33" s="1"/>
  <c r="AI61" i="113"/>
  <c r="AI45" i="113"/>
  <c r="Z11" i="33"/>
  <c r="AA11" i="33" s="1"/>
  <c r="O29" i="46"/>
  <c r="M30" i="46"/>
  <c r="N50" i="46" s="1"/>
  <c r="K77" i="115"/>
  <c r="L8" i="115"/>
  <c r="M8" i="115" s="1"/>
  <c r="M77" i="115" s="1"/>
  <c r="N81" i="115" s="1"/>
  <c r="L8" i="120"/>
  <c r="M8" i="120" s="1"/>
  <c r="M77" i="120" s="1"/>
  <c r="N81" i="120" s="1"/>
  <c r="K77" i="120"/>
  <c r="L8" i="116"/>
  <c r="K77" i="116"/>
  <c r="G69" i="81"/>
  <c r="H69" i="81"/>
  <c r="O14" i="80"/>
  <c r="Q14" i="80" s="1"/>
  <c r="Y16" i="33"/>
  <c r="I77" i="113"/>
  <c r="K8" i="113"/>
  <c r="H68" i="81"/>
  <c r="G68" i="81"/>
  <c r="L8" i="118"/>
  <c r="M8" i="118" s="1"/>
  <c r="M77" i="118" s="1"/>
  <c r="N81" i="118" s="1"/>
  <c r="K77" i="118"/>
  <c r="AI16" i="116"/>
  <c r="AI16" i="120"/>
  <c r="C10" i="100"/>
  <c r="X10" i="100" s="1"/>
  <c r="AI12" i="33"/>
  <c r="AF74" i="33"/>
  <c r="C45" i="100"/>
  <c r="X45" i="100" s="1"/>
  <c r="AI47" i="33"/>
  <c r="AF38" i="33"/>
  <c r="C37" i="100"/>
  <c r="X37" i="100" s="1"/>
  <c r="AI39" i="33"/>
  <c r="AI17" i="113"/>
  <c r="AJ29" i="76"/>
  <c r="AJ7" i="80"/>
  <c r="AJ27" i="76"/>
  <c r="AJ31" i="76"/>
  <c r="AJ28" i="80"/>
  <c r="AJ15" i="76"/>
  <c r="AJ9" i="76"/>
  <c r="AJ50" i="76"/>
  <c r="AJ26" i="76"/>
  <c r="AJ11" i="80"/>
  <c r="AJ68" i="76"/>
  <c r="AJ70" i="76"/>
  <c r="AJ69" i="76"/>
  <c r="AJ33" i="76"/>
  <c r="AJ21" i="76"/>
  <c r="AJ30" i="80"/>
  <c r="AJ29" i="80"/>
  <c r="AJ8" i="80"/>
  <c r="AJ18" i="80"/>
  <c r="AJ7" i="76"/>
  <c r="AJ31" i="80"/>
  <c r="AI26" i="33"/>
  <c r="C24" i="100"/>
  <c r="X24" i="100" s="1"/>
  <c r="AI40" i="33"/>
  <c r="C38" i="100"/>
  <c r="X38" i="100" s="1"/>
  <c r="C71" i="100"/>
  <c r="X71" i="100" s="1"/>
  <c r="AI73" i="33"/>
  <c r="C35" i="100"/>
  <c r="X35" i="100" s="1"/>
  <c r="AI37" i="33"/>
  <c r="Z35" i="33"/>
  <c r="AA35" i="33" s="1"/>
  <c r="AA27" i="33"/>
  <c r="AI13" i="113"/>
  <c r="AI20" i="113"/>
  <c r="AI55" i="33"/>
  <c r="C53" i="100"/>
  <c r="X53" i="100" s="1"/>
  <c r="C49" i="100"/>
  <c r="X49" i="100" s="1"/>
  <c r="AI51" i="33"/>
  <c r="AI46" i="33" l="1"/>
  <c r="AF17" i="33"/>
  <c r="AI17" i="33" s="1"/>
  <c r="AF49" i="33"/>
  <c r="AI49" i="33" s="1"/>
  <c r="AF32" i="33"/>
  <c r="AI32" i="33" s="1"/>
  <c r="AF54" i="33"/>
  <c r="AF35" i="33"/>
  <c r="C27" i="100"/>
  <c r="X27" i="100" s="1"/>
  <c r="AI29" i="33"/>
  <c r="C72" i="100"/>
  <c r="X72" i="100" s="1"/>
  <c r="AI74" i="33"/>
  <c r="U8" i="33"/>
  <c r="U77" i="33" s="1"/>
  <c r="N8" i="118"/>
  <c r="L77" i="118"/>
  <c r="L8" i="113"/>
  <c r="K77" i="113"/>
  <c r="N8" i="115"/>
  <c r="L77" i="115"/>
  <c r="R8" i="33"/>
  <c r="R77" i="33" s="1"/>
  <c r="AF11" i="33"/>
  <c r="C64" i="100"/>
  <c r="X64" i="100" s="1"/>
  <c r="AI66" i="33"/>
  <c r="S10" i="46"/>
  <c r="P18" i="46"/>
  <c r="C21" i="100"/>
  <c r="X21" i="100" s="1"/>
  <c r="AI23" i="33"/>
  <c r="AI52" i="33"/>
  <c r="C50" i="100"/>
  <c r="X50" i="100" s="1"/>
  <c r="C17" i="100"/>
  <c r="X17" i="100" s="1"/>
  <c r="AI19" i="33"/>
  <c r="AF13" i="33"/>
  <c r="AF28" i="33"/>
  <c r="AF30" i="33"/>
  <c r="C67" i="100"/>
  <c r="X67" i="100" s="1"/>
  <c r="AI69" i="33"/>
  <c r="AI16" i="113"/>
  <c r="Q8" i="33"/>
  <c r="Q77" i="33" s="1"/>
  <c r="M8" i="114"/>
  <c r="M78" i="114" s="1"/>
  <c r="N81" i="114" s="1"/>
  <c r="L78" i="114"/>
  <c r="N8" i="114"/>
  <c r="N8" i="33"/>
  <c r="L77" i="33"/>
  <c r="AJ14" i="76"/>
  <c r="AF61" i="33"/>
  <c r="C31" i="100"/>
  <c r="X31" i="100" s="1"/>
  <c r="AI33" i="33"/>
  <c r="AI62" i="33"/>
  <c r="C60" i="100"/>
  <c r="X60" i="100" s="1"/>
  <c r="O12" i="31"/>
  <c r="M69" i="31"/>
  <c r="K8" i="5"/>
  <c r="J10" i="5"/>
  <c r="AI71" i="33"/>
  <c r="C69" i="100"/>
  <c r="X69" i="100" s="1"/>
  <c r="AI44" i="33"/>
  <c r="C42" i="100"/>
  <c r="X42" i="100" s="1"/>
  <c r="AI31" i="33"/>
  <c r="C29" i="100"/>
  <c r="X29" i="100" s="1"/>
  <c r="C57" i="100"/>
  <c r="X57" i="100" s="1"/>
  <c r="AI59" i="33"/>
  <c r="AF27" i="33"/>
  <c r="AF65" i="33"/>
  <c r="C36" i="100"/>
  <c r="X36" i="100" s="1"/>
  <c r="AI38" i="33"/>
  <c r="AJ14" i="80"/>
  <c r="L77" i="116"/>
  <c r="S8" i="33"/>
  <c r="S77" i="33" s="1"/>
  <c r="M8" i="116"/>
  <c r="M77" i="116" s="1"/>
  <c r="N81" i="116" s="1"/>
  <c r="N8" i="120"/>
  <c r="L77" i="120"/>
  <c r="W8" i="33"/>
  <c r="W77" i="33" s="1"/>
  <c r="O30" i="46"/>
  <c r="O38" i="46" s="1"/>
  <c r="P29" i="46"/>
  <c r="S29" i="46" s="1"/>
  <c r="AF10" i="33"/>
  <c r="AO17" i="46"/>
  <c r="O24" i="33"/>
  <c r="Z24" i="33" s="1"/>
  <c r="AA24" i="33" s="1"/>
  <c r="AF58" i="33"/>
  <c r="AI21" i="33"/>
  <c r="C19" i="100"/>
  <c r="X19" i="100" s="1"/>
  <c r="C55" i="100"/>
  <c r="X55" i="100" s="1"/>
  <c r="AI57" i="33"/>
  <c r="AF72" i="33"/>
  <c r="L75" i="76"/>
  <c r="L79" i="76" s="1"/>
  <c r="M6" i="76"/>
  <c r="M6" i="80"/>
  <c r="N6" i="80" s="1"/>
  <c r="N75" i="80" s="1"/>
  <c r="L75" i="80"/>
  <c r="L79" i="80" s="1"/>
  <c r="AF20" i="33"/>
  <c r="N40" i="46"/>
  <c r="O40" i="46" s="1"/>
  <c r="U40" i="46" s="1"/>
  <c r="C15" i="100"/>
  <c r="X15" i="100" s="1"/>
  <c r="AI41" i="33"/>
  <c r="C39" i="100"/>
  <c r="X39" i="100" s="1"/>
  <c r="AF9" i="33"/>
  <c r="M8" i="117"/>
  <c r="M77" i="117" s="1"/>
  <c r="N81" i="117" s="1"/>
  <c r="L77" i="117"/>
  <c r="T8" i="33"/>
  <c r="T77" i="33" s="1"/>
  <c r="P28" i="46"/>
  <c r="L30" i="46"/>
  <c r="O16" i="33" s="1"/>
  <c r="L77" i="119"/>
  <c r="V8" i="33"/>
  <c r="V77" i="33" s="1"/>
  <c r="M8" i="119"/>
  <c r="M77" i="119" s="1"/>
  <c r="N81" i="119" s="1"/>
  <c r="AF45" i="33"/>
  <c r="M38" i="46"/>
  <c r="AI53" i="33"/>
  <c r="C51" i="100"/>
  <c r="X51" i="100" s="1"/>
  <c r="AF70" i="33"/>
  <c r="AF68" i="33"/>
  <c r="L72" i="31"/>
  <c r="O43" i="33"/>
  <c r="Z43" i="33" s="1"/>
  <c r="AA43" i="33" s="1"/>
  <c r="G71" i="81"/>
  <c r="H71" i="81"/>
  <c r="C47" i="100" l="1"/>
  <c r="X47" i="100" s="1"/>
  <c r="C30" i="100"/>
  <c r="X30" i="100" s="1"/>
  <c r="O83" i="80"/>
  <c r="N77" i="80"/>
  <c r="O77" i="80" s="1"/>
  <c r="Q77" i="80" s="1"/>
  <c r="N44" i="46"/>
  <c r="N8" i="116"/>
  <c r="AF43" i="33"/>
  <c r="C66" i="100"/>
  <c r="X66" i="100" s="1"/>
  <c r="AI68" i="33"/>
  <c r="M42" i="46"/>
  <c r="O42" i="46" s="1"/>
  <c r="N8" i="119"/>
  <c r="O77" i="33"/>
  <c r="Z16" i="33"/>
  <c r="AA16" i="33" s="1"/>
  <c r="N8" i="117"/>
  <c r="C7" i="100"/>
  <c r="X7" i="100" s="1"/>
  <c r="AI9" i="33"/>
  <c r="C18" i="100"/>
  <c r="X18" i="100" s="1"/>
  <c r="AI20" i="33"/>
  <c r="N6" i="76"/>
  <c r="N75" i="76" s="1"/>
  <c r="M75" i="76"/>
  <c r="M79" i="76" s="1"/>
  <c r="X8" i="33"/>
  <c r="X77" i="33" s="1"/>
  <c r="AI72" i="33"/>
  <c r="C70" i="100"/>
  <c r="X70" i="100" s="1"/>
  <c r="C56" i="100"/>
  <c r="X56" i="100" s="1"/>
  <c r="AI58" i="33"/>
  <c r="AF24" i="33"/>
  <c r="C8" i="100"/>
  <c r="X8" i="100" s="1"/>
  <c r="AI10" i="33"/>
  <c r="N77" i="116"/>
  <c r="P8" i="116"/>
  <c r="AI65" i="33"/>
  <c r="C63" i="100"/>
  <c r="X63" i="100" s="1"/>
  <c r="M9" i="31"/>
  <c r="O9" i="31" s="1"/>
  <c r="P9" i="31" s="1"/>
  <c r="S9" i="31" s="1"/>
  <c r="P8" i="114"/>
  <c r="N78" i="114"/>
  <c r="C28" i="100"/>
  <c r="X28" i="100" s="1"/>
  <c r="AI30" i="33"/>
  <c r="AI13" i="33"/>
  <c r="C11" i="100"/>
  <c r="X11" i="100" s="1"/>
  <c r="S18" i="46"/>
  <c r="AO10" i="46"/>
  <c r="AO18" i="46" s="1"/>
  <c r="P8" i="115"/>
  <c r="N77" i="115"/>
  <c r="L77" i="113"/>
  <c r="P8" i="33"/>
  <c r="M8" i="113"/>
  <c r="M77" i="113" s="1"/>
  <c r="M80" i="113" s="1"/>
  <c r="M81" i="113" s="1"/>
  <c r="N77" i="118"/>
  <c r="P8" i="118"/>
  <c r="C33" i="100"/>
  <c r="X33" i="100" s="1"/>
  <c r="AI35" i="33"/>
  <c r="AI70" i="33"/>
  <c r="C68" i="100"/>
  <c r="X68" i="100" s="1"/>
  <c r="C43" i="100"/>
  <c r="X43" i="100" s="1"/>
  <c r="AI45" i="33"/>
  <c r="S28" i="46"/>
  <c r="P30" i="46"/>
  <c r="P38" i="46" s="1"/>
  <c r="Y8" i="33"/>
  <c r="Y77" i="33" s="1"/>
  <c r="O6" i="80"/>
  <c r="M75" i="80"/>
  <c r="M79" i="80" s="1"/>
  <c r="L38" i="46"/>
  <c r="AO29" i="46"/>
  <c r="P8" i="120"/>
  <c r="N77" i="120"/>
  <c r="AI27" i="33"/>
  <c r="C25" i="100"/>
  <c r="X25" i="100" s="1"/>
  <c r="K10" i="5"/>
  <c r="M8" i="5"/>
  <c r="O69" i="31"/>
  <c r="P12" i="31"/>
  <c r="AI61" i="33"/>
  <c r="C59" i="100"/>
  <c r="X59" i="100" s="1"/>
  <c r="N77" i="33"/>
  <c r="AI28" i="33"/>
  <c r="C26" i="100"/>
  <c r="X26" i="100" s="1"/>
  <c r="AI11" i="33"/>
  <c r="C9" i="100"/>
  <c r="X9" i="100" s="1"/>
  <c r="AI54" i="33"/>
  <c r="C52" i="100"/>
  <c r="X52" i="100" s="1"/>
  <c r="N79" i="80" l="1"/>
  <c r="O44" i="46"/>
  <c r="U42" i="46"/>
  <c r="O70" i="31"/>
  <c r="O72" i="31" s="1"/>
  <c r="M70" i="31"/>
  <c r="M72" i="31" s="1"/>
  <c r="O6" i="76"/>
  <c r="M44" i="46"/>
  <c r="P77" i="120"/>
  <c r="AI8" i="120"/>
  <c r="AI77" i="120" s="1"/>
  <c r="S30" i="46"/>
  <c r="S38" i="46" s="1"/>
  <c r="AO28" i="46"/>
  <c r="AO30" i="46" s="1"/>
  <c r="AO38" i="46" s="1"/>
  <c r="AI8" i="115"/>
  <c r="AI77" i="115" s="1"/>
  <c r="P77" i="115"/>
  <c r="AI8" i="116"/>
  <c r="AI77" i="116" s="1"/>
  <c r="P77" i="116"/>
  <c r="C22" i="100"/>
  <c r="X22" i="100" s="1"/>
  <c r="AI24" i="33"/>
  <c r="O83" i="76"/>
  <c r="N77" i="76"/>
  <c r="O77" i="76" s="1"/>
  <c r="Q77" i="76" s="1"/>
  <c r="AJ77" i="76" s="1"/>
  <c r="AF16" i="33"/>
  <c r="P8" i="119"/>
  <c r="N77" i="119"/>
  <c r="S12" i="31"/>
  <c r="S69" i="31" s="1"/>
  <c r="S70" i="31" s="1"/>
  <c r="P69" i="31"/>
  <c r="P70" i="31" s="1"/>
  <c r="P72" i="31" s="1"/>
  <c r="M10" i="5"/>
  <c r="Q6" i="80"/>
  <c r="O75" i="80"/>
  <c r="O79" i="80" s="1"/>
  <c r="AI8" i="118"/>
  <c r="AI77" i="118" s="1"/>
  <c r="P77" i="118"/>
  <c r="N8" i="113"/>
  <c r="Z8" i="33"/>
  <c r="P77" i="33"/>
  <c r="AI8" i="114"/>
  <c r="AI78" i="114" s="1"/>
  <c r="P78" i="114"/>
  <c r="O75" i="76"/>
  <c r="Q6" i="76"/>
  <c r="N77" i="117"/>
  <c r="P8" i="117"/>
  <c r="C41" i="100"/>
  <c r="X41" i="100" s="1"/>
  <c r="AI43" i="33"/>
  <c r="O79" i="76" l="1"/>
  <c r="P8" i="113"/>
  <c r="N77" i="113"/>
  <c r="U8" i="117"/>
  <c r="P77" i="117"/>
  <c r="Q75" i="76"/>
  <c r="Q79" i="76" s="1"/>
  <c r="AJ6" i="76"/>
  <c r="AJ75" i="76" s="1"/>
  <c r="AJ79" i="76" s="1"/>
  <c r="Z77" i="33"/>
  <c r="AA8" i="33"/>
  <c r="Q75" i="80"/>
  <c r="Q79" i="80" s="1"/>
  <c r="AI8" i="119"/>
  <c r="AI77" i="119" s="1"/>
  <c r="P77" i="119"/>
  <c r="AI16" i="33"/>
  <c r="C14" i="100"/>
  <c r="X14" i="100" s="1"/>
  <c r="N79" i="76"/>
  <c r="AF8" i="33" l="1"/>
  <c r="AA77" i="33"/>
  <c r="U77" i="117"/>
  <c r="AK8" i="117"/>
  <c r="AK77" i="117" s="1"/>
  <c r="AI8" i="113"/>
  <c r="AI77" i="113" s="1"/>
  <c r="P77" i="113"/>
  <c r="AF77" i="33" l="1"/>
  <c r="AI8" i="33"/>
  <c r="AI77" i="33" s="1"/>
  <c r="C6" i="100"/>
  <c r="X6" i="100" l="1"/>
  <c r="X75" i="100" s="1"/>
  <c r="C75" i="100"/>
  <c r="X77" i="100" s="1"/>
  <c r="I11" i="137" l="1"/>
  <c r="J11" i="137"/>
  <c r="I16" i="137"/>
  <c r="J16" i="137"/>
  <c r="I18" i="137"/>
  <c r="J18" i="137"/>
  <c r="I10" i="137"/>
  <c r="J10" i="137"/>
  <c r="J14" i="137"/>
  <c r="I15" i="137"/>
  <c r="J15" i="137"/>
  <c r="I17" i="137"/>
  <c r="J17" i="137"/>
  <c r="I19" i="137"/>
  <c r="J19" i="137"/>
  <c r="K13" i="137" l="1"/>
  <c r="L13" i="137" s="1"/>
  <c r="M13" i="137" s="1"/>
  <c r="N13" i="137" s="1"/>
  <c r="J20" i="137"/>
  <c r="J24" i="137" s="1"/>
  <c r="E74" i="81" s="1"/>
  <c r="K19" i="137"/>
  <c r="L19" i="137" s="1"/>
  <c r="M19" i="137" s="1"/>
  <c r="N19" i="137" s="1"/>
  <c r="P19" i="137" s="1"/>
  <c r="K17" i="137"/>
  <c r="L17" i="137" s="1"/>
  <c r="M17" i="137" s="1"/>
  <c r="N17" i="137" s="1"/>
  <c r="P17" i="137" s="1"/>
  <c r="K15" i="137"/>
  <c r="L15" i="137" s="1"/>
  <c r="M15" i="137" s="1"/>
  <c r="N15" i="137" s="1"/>
  <c r="P15" i="137" s="1"/>
  <c r="I14" i="137"/>
  <c r="K14" i="137" s="1"/>
  <c r="K12" i="137"/>
  <c r="L12" i="137" s="1"/>
  <c r="K10" i="137"/>
  <c r="K18" i="137"/>
  <c r="L18" i="137" s="1"/>
  <c r="M18" i="137" s="1"/>
  <c r="N18" i="137" s="1"/>
  <c r="P18" i="137" s="1"/>
  <c r="K16" i="137"/>
  <c r="L16" i="137" s="1"/>
  <c r="M16" i="137" s="1"/>
  <c r="N16" i="137" s="1"/>
  <c r="P16" i="137" s="1"/>
  <c r="K11" i="137"/>
  <c r="L11" i="137" s="1"/>
  <c r="M11" i="137" s="1"/>
  <c r="N11" i="137" s="1"/>
  <c r="P11" i="137" s="1"/>
  <c r="L14" i="137" l="1"/>
  <c r="U16" i="137"/>
  <c r="I20" i="137"/>
  <c r="I24" i="137" s="1"/>
  <c r="E70" i="81" s="1"/>
  <c r="M12" i="137"/>
  <c r="M14" i="137" s="1"/>
  <c r="U15" i="137"/>
  <c r="U19" i="137"/>
  <c r="P13" i="137"/>
  <c r="U11" i="137"/>
  <c r="U18" i="137"/>
  <c r="K20" i="137"/>
  <c r="K24" i="137" s="1"/>
  <c r="L10" i="137"/>
  <c r="U17" i="137"/>
  <c r="G74" i="81"/>
  <c r="H74" i="81"/>
  <c r="N12" i="137" l="1"/>
  <c r="M10" i="137"/>
  <c r="M20" i="137" s="1"/>
  <c r="L20" i="137"/>
  <c r="L24" i="137" s="1"/>
  <c r="N10" i="137"/>
  <c r="G70" i="81"/>
  <c r="H70" i="81"/>
  <c r="E61" i="81"/>
  <c r="P12" i="137" l="1"/>
  <c r="P14" i="137" s="1"/>
  <c r="N14" i="137"/>
  <c r="E77" i="81"/>
  <c r="H61" i="81"/>
  <c r="G61" i="81"/>
  <c r="N20" i="137"/>
  <c r="P10" i="137"/>
  <c r="N28" i="137"/>
  <c r="M22" i="137"/>
  <c r="N22" i="137" s="1"/>
  <c r="P22" i="137" s="1"/>
  <c r="U14" i="137" l="1"/>
  <c r="M24" i="137"/>
  <c r="N24" i="137"/>
  <c r="U10" i="137"/>
  <c r="P20" i="137"/>
  <c r="P24" i="137" s="1"/>
  <c r="H77" i="81"/>
  <c r="E79" i="81"/>
  <c r="G77" i="81"/>
  <c r="U20" i="137" l="1"/>
  <c r="U24" i="137" s="1"/>
  <c r="G79" i="81"/>
  <c r="AM43" i="80" l="1"/>
  <c r="AO43" i="80" s="1"/>
  <c r="AQ44" i="72" s="1"/>
  <c r="AM39" i="80"/>
  <c r="AO39" i="80" s="1"/>
  <c r="AQ40" i="72" s="1"/>
  <c r="AM11" i="80"/>
  <c r="AO11" i="80" s="1"/>
  <c r="AQ12" i="72" s="1"/>
  <c r="AL64" i="126"/>
  <c r="AN64" i="126" s="1"/>
  <c r="AK63" i="72" s="1"/>
  <c r="AL68" i="127"/>
  <c r="AN68" i="127" s="1"/>
  <c r="AL67" i="72" s="1"/>
  <c r="AL67" i="128"/>
  <c r="AN67" i="128" s="1"/>
  <c r="AM66" i="72" s="1"/>
  <c r="AL44" i="128"/>
  <c r="AN44" i="128" s="1"/>
  <c r="AM43" i="72" s="1"/>
  <c r="AL43" i="128"/>
  <c r="AN43" i="128" s="1"/>
  <c r="AM42" i="72" s="1"/>
  <c r="AL32" i="128"/>
  <c r="AN32" i="128" s="1"/>
  <c r="AM31" i="72" s="1"/>
  <c r="AL51" i="129"/>
  <c r="AN51" i="129" s="1"/>
  <c r="AN50" i="72" s="1"/>
  <c r="AL16" i="129"/>
  <c r="AN16" i="129" s="1"/>
  <c r="AN15" i="72" s="1"/>
  <c r="AL60" i="131"/>
  <c r="AN60" i="131" s="1"/>
  <c r="AO59" i="72" s="1"/>
  <c r="AL27" i="120"/>
  <c r="AN27" i="120" s="1"/>
  <c r="AI26" i="72" s="1"/>
  <c r="AL25" i="120"/>
  <c r="AN25" i="120" s="1"/>
  <c r="AI24" i="72" s="1"/>
  <c r="AL72" i="119"/>
  <c r="AN72" i="119" s="1"/>
  <c r="AH71" i="72" s="1"/>
  <c r="AL45" i="118"/>
  <c r="AN45" i="118" s="1"/>
  <c r="AG44" i="72" s="1"/>
  <c r="AL43" i="118"/>
  <c r="AN43" i="118" s="1"/>
  <c r="AG42" i="72" s="1"/>
  <c r="AL39" i="118"/>
  <c r="AN39" i="118" s="1"/>
  <c r="AG38" i="72" s="1"/>
  <c r="AL25" i="118"/>
  <c r="AN25" i="118" s="1"/>
  <c r="AG24" i="72" s="1"/>
  <c r="AL60" i="115"/>
  <c r="AN60" i="115" s="1"/>
  <c r="AD59" i="72" s="1"/>
  <c r="AL66" i="116"/>
  <c r="AN66" i="116" s="1"/>
  <c r="AE65" i="72" s="1"/>
  <c r="AL40" i="116"/>
  <c r="AN40" i="116" s="1"/>
  <c r="AE39" i="72" s="1"/>
  <c r="AL30" i="116"/>
  <c r="AN30" i="116" s="1"/>
  <c r="AE29" i="72" s="1"/>
  <c r="AL16" i="116"/>
  <c r="AN16" i="116" s="1"/>
  <c r="AE15" i="72" s="1"/>
  <c r="AL15" i="114"/>
  <c r="AN15" i="114" s="1"/>
  <c r="AC14" i="72" s="1"/>
  <c r="AL26" i="113"/>
  <c r="AN26" i="113" s="1"/>
  <c r="AB25" i="72" s="1"/>
  <c r="AL54" i="131"/>
  <c r="AN54" i="131" s="1"/>
  <c r="AO53" i="72" s="1"/>
  <c r="AL60" i="129"/>
  <c r="AN60" i="129" s="1"/>
  <c r="AN59" i="72" s="1"/>
  <c r="AL52" i="129"/>
  <c r="AN52" i="129" s="1"/>
  <c r="AN51" i="72" s="1"/>
  <c r="AL24" i="129"/>
  <c r="AN24" i="129" s="1"/>
  <c r="AN23" i="72" s="1"/>
  <c r="AL10" i="129"/>
  <c r="AN10" i="129" s="1"/>
  <c r="AN9" i="72" s="1"/>
  <c r="AL48" i="126"/>
  <c r="AN48" i="126" s="1"/>
  <c r="AK47" i="72" s="1"/>
  <c r="AL38" i="125"/>
  <c r="AN38" i="125" s="1"/>
  <c r="AJ37" i="72" s="1"/>
  <c r="AL11" i="128"/>
  <c r="AN11" i="128" s="1"/>
  <c r="AM10" i="72" s="1"/>
  <c r="AL20" i="129"/>
  <c r="AN20" i="129" s="1"/>
  <c r="AN19" i="72" s="1"/>
  <c r="AL62" i="131"/>
  <c r="AN62" i="131" s="1"/>
  <c r="AO61" i="72" s="1"/>
  <c r="AL72" i="131"/>
  <c r="AN72" i="131" s="1"/>
  <c r="AO71" i="72" s="1"/>
  <c r="AL33" i="115"/>
  <c r="AN33" i="115" s="1"/>
  <c r="AD32" i="72" s="1"/>
  <c r="AL31" i="115"/>
  <c r="AN31" i="115" s="1"/>
  <c r="AD30" i="72" s="1"/>
  <c r="AL53" i="115"/>
  <c r="AN53" i="115" s="1"/>
  <c r="AD52" i="72" s="1"/>
  <c r="AN10" i="117"/>
  <c r="AP10" i="117" s="1"/>
  <c r="AF9" i="72" s="1"/>
  <c r="AL10" i="118"/>
  <c r="AN10" i="118" s="1"/>
  <c r="AG9" i="72" s="1"/>
  <c r="AL70" i="118"/>
  <c r="AN70" i="118" s="1"/>
  <c r="AG69" i="72" s="1"/>
  <c r="AL70" i="114"/>
  <c r="AN70" i="114" s="1"/>
  <c r="AC69" i="72" s="1"/>
  <c r="AL24" i="114"/>
  <c r="AN24" i="114" s="1"/>
  <c r="AC23" i="72" s="1"/>
  <c r="AL65" i="116"/>
  <c r="AN65" i="116" s="1"/>
  <c r="AE64" i="72" s="1"/>
  <c r="AL65" i="113"/>
  <c r="AN65" i="113" s="1"/>
  <c r="AB64" i="72" s="1"/>
  <c r="AL28" i="120"/>
  <c r="AN28" i="120" s="1"/>
  <c r="AI27" i="72" s="1"/>
  <c r="AL19" i="119"/>
  <c r="AN19" i="119" s="1"/>
  <c r="AH18" i="72" s="1"/>
  <c r="AL19" i="113"/>
  <c r="AN19" i="113" s="1"/>
  <c r="AB18" i="72" s="1"/>
  <c r="AN40" i="117"/>
  <c r="AP40" i="117" s="1"/>
  <c r="AF39" i="72" s="1"/>
  <c r="AL17" i="113"/>
  <c r="AN17" i="113" s="1"/>
  <c r="AB16" i="72" s="1"/>
  <c r="AL42" i="116"/>
  <c r="AN42" i="116" s="1"/>
  <c r="AE41" i="72" s="1"/>
  <c r="AN62" i="117"/>
  <c r="AP62" i="117" s="1"/>
  <c r="AF61" i="72" s="1"/>
  <c r="AL75" i="114"/>
  <c r="AN75" i="114" s="1"/>
  <c r="AC74" i="72" s="1"/>
  <c r="AL27" i="119"/>
  <c r="AN27" i="119" s="1"/>
  <c r="AH26" i="72" s="1"/>
  <c r="AN14" i="117"/>
  <c r="AP14" i="117" s="1"/>
  <c r="AF13" i="72" s="1"/>
  <c r="AL53" i="116"/>
  <c r="AN53" i="116" s="1"/>
  <c r="AE52" i="72" s="1"/>
  <c r="AL11" i="113"/>
  <c r="AN11" i="113" s="1"/>
  <c r="AB10" i="72" s="1"/>
  <c r="AL32" i="120"/>
  <c r="AN32" i="120" s="1"/>
  <c r="AI31" i="72" s="1"/>
  <c r="AN64" i="117"/>
  <c r="AP64" i="117" s="1"/>
  <c r="AF63" i="72" s="1"/>
  <c r="AL64" i="120"/>
  <c r="AN64" i="120" s="1"/>
  <c r="AI63" i="72" s="1"/>
  <c r="AL64" i="114"/>
  <c r="AN64" i="114" s="1"/>
  <c r="AC63" i="72" s="1"/>
  <c r="AL9" i="113"/>
  <c r="AN9" i="113" s="1"/>
  <c r="AB8" i="72" s="1"/>
  <c r="AL15" i="116"/>
  <c r="AN15" i="116" s="1"/>
  <c r="AE14" i="72" s="1"/>
  <c r="AL63" i="116"/>
  <c r="AN63" i="116" s="1"/>
  <c r="AE62" i="72" s="1"/>
  <c r="AL48" i="118"/>
  <c r="AN48" i="118" s="1"/>
  <c r="AG47" i="72" s="1"/>
  <c r="AL8" i="114"/>
  <c r="AM18" i="80"/>
  <c r="AO18" i="80" s="1"/>
  <c r="AQ19" i="72" s="1"/>
  <c r="AM26" i="80"/>
  <c r="AO26" i="80" s="1"/>
  <c r="AQ27" i="72" s="1"/>
  <c r="AM66" i="80"/>
  <c r="AO66" i="80" s="1"/>
  <c r="AQ67" i="72" s="1"/>
  <c r="AM42" i="80" l="1"/>
  <c r="AO42" i="80" s="1"/>
  <c r="AQ43" i="72" s="1"/>
  <c r="AM56" i="80"/>
  <c r="AO56" i="80" s="1"/>
  <c r="AQ57" i="72" s="1"/>
  <c r="AM74" i="80"/>
  <c r="AO74" i="80" s="1"/>
  <c r="AQ75" i="72" s="1"/>
  <c r="AM40" i="80"/>
  <c r="AO40" i="80" s="1"/>
  <c r="AQ41" i="72" s="1"/>
  <c r="AN8" i="114"/>
  <c r="AN8" i="117"/>
  <c r="AN16" i="117"/>
  <c r="AP16" i="117" s="1"/>
  <c r="AF15" i="72" s="1"/>
  <c r="AL63" i="113"/>
  <c r="AN63" i="113" s="1"/>
  <c r="AB62" i="72" s="1"/>
  <c r="AL20" i="118"/>
  <c r="AN20" i="118" s="1"/>
  <c r="AG19" i="72" s="1"/>
  <c r="AL32" i="114"/>
  <c r="AN32" i="114" s="1"/>
  <c r="AC31" i="72" s="1"/>
  <c r="AL12" i="118"/>
  <c r="AN12" i="118" s="1"/>
  <c r="AG11" i="72" s="1"/>
  <c r="AL34" i="118"/>
  <c r="AN34" i="118" s="1"/>
  <c r="AG33" i="72" s="1"/>
  <c r="AL33" i="116"/>
  <c r="AN33" i="116" s="1"/>
  <c r="AE32" i="72" s="1"/>
  <c r="AL50" i="118"/>
  <c r="AN50" i="118" s="1"/>
  <c r="AG49" i="72" s="1"/>
  <c r="AL25" i="116"/>
  <c r="AN25" i="116" s="1"/>
  <c r="AE24" i="72" s="1"/>
  <c r="AL73" i="119"/>
  <c r="AN73" i="119" s="1"/>
  <c r="AH72" i="72" s="1"/>
  <c r="AL47" i="114"/>
  <c r="AN47" i="114" s="1"/>
  <c r="AC46" i="72" s="1"/>
  <c r="AL68" i="113"/>
  <c r="AN68" i="113" s="1"/>
  <c r="AB67" i="72" s="1"/>
  <c r="AL55" i="118"/>
  <c r="AN55" i="118" s="1"/>
  <c r="AG54" i="72" s="1"/>
  <c r="AL62" i="114"/>
  <c r="AN62" i="114" s="1"/>
  <c r="AC61" i="72" s="1"/>
  <c r="AL57" i="120"/>
  <c r="AN57" i="120" s="1"/>
  <c r="AI56" i="72" s="1"/>
  <c r="AL42" i="119"/>
  <c r="AN42" i="119" s="1"/>
  <c r="AH41" i="72" s="1"/>
  <c r="AL17" i="116"/>
  <c r="AN17" i="116" s="1"/>
  <c r="AE16" i="72" s="1"/>
  <c r="AL66" i="120"/>
  <c r="AN66" i="120" s="1"/>
  <c r="AI65" i="72" s="1"/>
  <c r="AL40" i="114"/>
  <c r="AN40" i="114" s="1"/>
  <c r="AC39" i="72" s="1"/>
  <c r="AL40" i="120"/>
  <c r="AN40" i="120" s="1"/>
  <c r="AI39" i="72" s="1"/>
  <c r="AL60" i="118"/>
  <c r="AN60" i="118" s="1"/>
  <c r="AG59" i="72" s="1"/>
  <c r="AL58" i="114"/>
  <c r="AN58" i="114" s="1"/>
  <c r="AC57" i="72" s="1"/>
  <c r="AL36" i="114"/>
  <c r="AN36" i="114" s="1"/>
  <c r="AC35" i="72" s="1"/>
  <c r="AL71" i="116"/>
  <c r="AN71" i="116" s="1"/>
  <c r="AE70" i="72" s="1"/>
  <c r="AL69" i="119"/>
  <c r="AN69" i="119" s="1"/>
  <c r="AH68" i="72" s="1"/>
  <c r="AL45" i="113"/>
  <c r="AN45" i="113" s="1"/>
  <c r="AB44" i="72" s="1"/>
  <c r="AL43" i="115"/>
  <c r="AN43" i="115" s="1"/>
  <c r="AD42" i="72" s="1"/>
  <c r="AL11" i="115"/>
  <c r="AN11" i="115" s="1"/>
  <c r="AD10" i="72" s="1"/>
  <c r="AF62" i="126"/>
  <c r="AG62" i="126" s="1"/>
  <c r="AH62" i="126" s="1"/>
  <c r="O61" i="72" s="1"/>
  <c r="AL76" i="131"/>
  <c r="AN76" i="131" s="1"/>
  <c r="AO75" i="72" s="1"/>
  <c r="AL64" i="131"/>
  <c r="AN64" i="131" s="1"/>
  <c r="AO63" i="72" s="1"/>
  <c r="AL40" i="131"/>
  <c r="AN40" i="131" s="1"/>
  <c r="AO39" i="72" s="1"/>
  <c r="AL24" i="131"/>
  <c r="AN24" i="131" s="1"/>
  <c r="AO23" i="72" s="1"/>
  <c r="AG34" i="129"/>
  <c r="AH34" i="129" s="1"/>
  <c r="AL76" i="128"/>
  <c r="AN76" i="128" s="1"/>
  <c r="AM75" i="72" s="1"/>
  <c r="AL27" i="127"/>
  <c r="AN27" i="127" s="1"/>
  <c r="AL26" i="72" s="1"/>
  <c r="AL51" i="131"/>
  <c r="AN51" i="131" s="1"/>
  <c r="AO50" i="72" s="1"/>
  <c r="AL50" i="129"/>
  <c r="AN50" i="129" s="1"/>
  <c r="AN49" i="72" s="1"/>
  <c r="AL56" i="127"/>
  <c r="AN56" i="127" s="1"/>
  <c r="AL55" i="72" s="1"/>
  <c r="AL26" i="127"/>
  <c r="AN26" i="127" s="1"/>
  <c r="AL25" i="72" s="1"/>
  <c r="AL70" i="125"/>
  <c r="AN70" i="125" s="1"/>
  <c r="AJ69" i="72" s="1"/>
  <c r="AL46" i="126"/>
  <c r="AN46" i="126" s="1"/>
  <c r="AK45" i="72" s="1"/>
  <c r="AL62" i="126"/>
  <c r="AN62" i="126" s="1"/>
  <c r="AK61" i="72" s="1"/>
  <c r="AL50" i="128"/>
  <c r="AN50" i="128" s="1"/>
  <c r="AM49" i="72" s="1"/>
  <c r="AL52" i="128"/>
  <c r="AN52" i="128" s="1"/>
  <c r="AM51" i="72" s="1"/>
  <c r="AL22" i="131"/>
  <c r="AN22" i="131" s="1"/>
  <c r="AO21" i="72" s="1"/>
  <c r="AL56" i="131"/>
  <c r="AN56" i="131" s="1"/>
  <c r="AO55" i="72" s="1"/>
  <c r="AL12" i="113"/>
  <c r="AN12" i="113" s="1"/>
  <c r="AB11" i="72" s="1"/>
  <c r="AL20" i="113"/>
  <c r="AN20" i="113" s="1"/>
  <c r="AB19" i="72" s="1"/>
  <c r="AL38" i="113"/>
  <c r="AN38" i="113" s="1"/>
  <c r="AB37" i="72" s="1"/>
  <c r="AL76" i="113"/>
  <c r="AN76" i="113" s="1"/>
  <c r="AB75" i="72" s="1"/>
  <c r="AL50" i="116"/>
  <c r="AN50" i="116" s="1"/>
  <c r="AE49" i="72" s="1"/>
  <c r="AN29" i="117"/>
  <c r="AP29" i="117" s="1"/>
  <c r="AF28" i="72" s="1"/>
  <c r="AN41" i="117"/>
  <c r="AP41" i="117" s="1"/>
  <c r="AF40" i="72" s="1"/>
  <c r="AN73" i="117"/>
  <c r="AP73" i="117" s="1"/>
  <c r="AF72" i="72" s="1"/>
  <c r="AL56" i="115"/>
  <c r="AN56" i="115" s="1"/>
  <c r="AD55" i="72" s="1"/>
  <c r="AL59" i="118"/>
  <c r="AN59" i="118" s="1"/>
  <c r="AG58" i="72" s="1"/>
  <c r="AL63" i="118"/>
  <c r="AN63" i="118" s="1"/>
  <c r="AG62" i="72" s="1"/>
  <c r="AL24" i="119"/>
  <c r="AN24" i="119" s="1"/>
  <c r="AH23" i="72" s="1"/>
  <c r="AL32" i="119"/>
  <c r="AN32" i="119" s="1"/>
  <c r="AH31" i="72" s="1"/>
  <c r="AL9" i="120"/>
  <c r="AN9" i="120" s="1"/>
  <c r="AI8" i="72" s="1"/>
  <c r="AL33" i="120"/>
  <c r="AN33" i="120" s="1"/>
  <c r="AI32" i="72" s="1"/>
  <c r="AL51" i="120"/>
  <c r="AN51" i="120" s="1"/>
  <c r="AI50" i="72" s="1"/>
  <c r="AL55" i="120"/>
  <c r="AN55" i="120" s="1"/>
  <c r="AI54" i="72" s="1"/>
  <c r="AL32" i="129"/>
  <c r="AN32" i="129" s="1"/>
  <c r="AN31" i="72" s="1"/>
  <c r="AL35" i="129"/>
  <c r="AN35" i="129" s="1"/>
  <c r="AN34" i="72" s="1"/>
  <c r="AL44" i="129"/>
  <c r="AN44" i="129" s="1"/>
  <c r="AN43" i="72" s="1"/>
  <c r="AL47" i="129"/>
  <c r="AN47" i="129" s="1"/>
  <c r="AN46" i="72" s="1"/>
  <c r="AL65" i="129"/>
  <c r="AN65" i="129" s="1"/>
  <c r="AN64" i="72" s="1"/>
  <c r="AL28" i="128"/>
  <c r="AN28" i="128" s="1"/>
  <c r="AM27" i="72" s="1"/>
  <c r="AL48" i="128"/>
  <c r="AN48" i="128" s="1"/>
  <c r="AM47" i="72" s="1"/>
  <c r="AL51" i="128"/>
  <c r="AN51" i="128" s="1"/>
  <c r="AM50" i="72" s="1"/>
  <c r="AL56" i="128"/>
  <c r="AN56" i="128" s="1"/>
  <c r="AM55" i="72" s="1"/>
  <c r="AL59" i="128"/>
  <c r="AN59" i="128" s="1"/>
  <c r="AM58" i="72" s="1"/>
  <c r="AL64" i="128"/>
  <c r="AN64" i="128" s="1"/>
  <c r="AM63" i="72" s="1"/>
  <c r="AL43" i="127"/>
  <c r="AN43" i="127" s="1"/>
  <c r="AL42" i="72" s="1"/>
  <c r="AL60" i="127"/>
  <c r="AN60" i="127" s="1"/>
  <c r="AL59" i="72" s="1"/>
  <c r="AM53" i="80"/>
  <c r="AO53" i="80" s="1"/>
  <c r="AQ54" i="72" s="1"/>
  <c r="AM57" i="80"/>
  <c r="AO57" i="80" s="1"/>
  <c r="AQ58" i="72" s="1"/>
  <c r="AM16" i="80"/>
  <c r="AO16" i="80" s="1"/>
  <c r="AQ17" i="72" s="1"/>
  <c r="AL8" i="118"/>
  <c r="AL8" i="113"/>
  <c r="AL12" i="120"/>
  <c r="AN12" i="120" s="1"/>
  <c r="AI11" i="72" s="1"/>
  <c r="AL46" i="118"/>
  <c r="AN46" i="118" s="1"/>
  <c r="AG45" i="72" s="1"/>
  <c r="AL22" i="114"/>
  <c r="AN22" i="114" s="1"/>
  <c r="AC21" i="72" s="1"/>
  <c r="AL22" i="120"/>
  <c r="AN22" i="120" s="1"/>
  <c r="AI21" i="72" s="1"/>
  <c r="AL25" i="119"/>
  <c r="AN25" i="119" s="1"/>
  <c r="AH24" i="72" s="1"/>
  <c r="AL59" i="113"/>
  <c r="AN59" i="113" s="1"/>
  <c r="AB58" i="72" s="1"/>
  <c r="AL14" i="118"/>
  <c r="AN14" i="118" s="1"/>
  <c r="AG13" i="72" s="1"/>
  <c r="AL51" i="119"/>
  <c r="AN51" i="119" s="1"/>
  <c r="AH50" i="72" s="1"/>
  <c r="AN68" i="117"/>
  <c r="AP68" i="117" s="1"/>
  <c r="AF67" i="72" s="1"/>
  <c r="AL72" i="114"/>
  <c r="AN72" i="114" s="1"/>
  <c r="AC71" i="72" s="1"/>
  <c r="AL27" i="116"/>
  <c r="AN27" i="116" s="1"/>
  <c r="AE26" i="72" s="1"/>
  <c r="AN61" i="117"/>
  <c r="AP61" i="117" s="1"/>
  <c r="AF60" i="72" s="1"/>
  <c r="AL76" i="114"/>
  <c r="AN76" i="114" s="1"/>
  <c r="AC75" i="72" s="1"/>
  <c r="AL76" i="120"/>
  <c r="AN76" i="120" s="1"/>
  <c r="AI75" i="72" s="1"/>
  <c r="AL57" i="116"/>
  <c r="AN57" i="116" s="1"/>
  <c r="AE56" i="72" s="1"/>
  <c r="AL42" i="114"/>
  <c r="AN42" i="114" s="1"/>
  <c r="AC41" i="72" s="1"/>
  <c r="AL31" i="113"/>
  <c r="AN31" i="113" s="1"/>
  <c r="AB30" i="72" s="1"/>
  <c r="AL17" i="119"/>
  <c r="AN17" i="119" s="1"/>
  <c r="AH16" i="72" s="1"/>
  <c r="AL49" i="113"/>
  <c r="AN49" i="113" s="1"/>
  <c r="AB48" i="72" s="1"/>
  <c r="AL49" i="116"/>
  <c r="AN49" i="116" s="1"/>
  <c r="AE48" i="72" s="1"/>
  <c r="AN66" i="117"/>
  <c r="AP66" i="117" s="1"/>
  <c r="AF65" i="72" s="1"/>
  <c r="AL23" i="113"/>
  <c r="AN23" i="113" s="1"/>
  <c r="AB22" i="72" s="1"/>
  <c r="AL21" i="119"/>
  <c r="AN21" i="119" s="1"/>
  <c r="AH20" i="72" s="1"/>
  <c r="AL15" i="115"/>
  <c r="AN15" i="115" s="1"/>
  <c r="AD14" i="72" s="1"/>
  <c r="AL52" i="115"/>
  <c r="AN52" i="115" s="1"/>
  <c r="AD51" i="72" s="1"/>
  <c r="AL21" i="115"/>
  <c r="AN21" i="115" s="1"/>
  <c r="AD20" i="72" s="1"/>
  <c r="AL47" i="115"/>
  <c r="AN47" i="115" s="1"/>
  <c r="AD46" i="72" s="1"/>
  <c r="AL12" i="131"/>
  <c r="AN12" i="131" s="1"/>
  <c r="AO11" i="72" s="1"/>
  <c r="AF50" i="131"/>
  <c r="AG50" i="131" s="1"/>
  <c r="AH50" i="131" s="1"/>
  <c r="S49" i="72" s="1"/>
  <c r="AL32" i="131"/>
  <c r="AN32" i="131" s="1"/>
  <c r="AO31" i="72" s="1"/>
  <c r="AF52" i="127"/>
  <c r="AG52" i="127" s="1"/>
  <c r="AH52" i="127" s="1"/>
  <c r="P51" i="72" s="1"/>
  <c r="AL36" i="128"/>
  <c r="AN36" i="128" s="1"/>
  <c r="AM35" i="72" s="1"/>
  <c r="AL48" i="125"/>
  <c r="AN48" i="125" s="1"/>
  <c r="AJ47" i="72" s="1"/>
  <c r="AL16" i="128"/>
  <c r="AN16" i="128" s="1"/>
  <c r="AM15" i="72" s="1"/>
  <c r="AL48" i="131"/>
  <c r="AN48" i="131" s="1"/>
  <c r="AO47" i="72" s="1"/>
  <c r="AL48" i="129"/>
  <c r="AN48" i="129" s="1"/>
  <c r="AN47" i="72" s="1"/>
  <c r="AL40" i="129"/>
  <c r="AN40" i="129" s="1"/>
  <c r="AN39" i="72" s="1"/>
  <c r="AL52" i="127"/>
  <c r="AN52" i="127" s="1"/>
  <c r="AL51" i="72" s="1"/>
  <c r="AL38" i="129"/>
  <c r="AN38" i="129" s="1"/>
  <c r="AN37" i="72" s="1"/>
  <c r="AL16" i="125"/>
  <c r="AN16" i="125" s="1"/>
  <c r="AJ15" i="72" s="1"/>
  <c r="AL28" i="125"/>
  <c r="AN28" i="125" s="1"/>
  <c r="AJ27" i="72" s="1"/>
  <c r="AL46" i="125"/>
  <c r="AN46" i="125" s="1"/>
  <c r="AJ45" i="72" s="1"/>
  <c r="AL54" i="125"/>
  <c r="AN54" i="125" s="1"/>
  <c r="AJ53" i="72" s="1"/>
  <c r="AL20" i="126"/>
  <c r="AN20" i="126" s="1"/>
  <c r="AK19" i="72" s="1"/>
  <c r="AL24" i="126"/>
  <c r="AN24" i="126" s="1"/>
  <c r="AK23" i="72" s="1"/>
  <c r="AL42" i="126"/>
  <c r="AN42" i="126" s="1"/>
  <c r="AK41" i="72" s="1"/>
  <c r="AL56" i="126"/>
  <c r="AN56" i="126" s="1"/>
  <c r="AK55" i="72" s="1"/>
  <c r="AL60" i="126"/>
  <c r="AN60" i="126" s="1"/>
  <c r="AK59" i="72" s="1"/>
  <c r="AL22" i="127"/>
  <c r="AN22" i="127" s="1"/>
  <c r="AL21" i="72" s="1"/>
  <c r="AL50" i="127"/>
  <c r="AN50" i="127" s="1"/>
  <c r="AL49" i="72" s="1"/>
  <c r="AL55" i="127"/>
  <c r="AN55" i="127" s="1"/>
  <c r="AL54" i="72" s="1"/>
  <c r="AL58" i="128"/>
  <c r="AN58" i="128" s="1"/>
  <c r="AM57" i="72" s="1"/>
  <c r="AL12" i="129"/>
  <c r="AN12" i="129" s="1"/>
  <c r="AN11" i="72" s="1"/>
  <c r="AL34" i="129"/>
  <c r="AN34" i="129" s="1"/>
  <c r="AN33" i="72" s="1"/>
  <c r="AL42" i="129"/>
  <c r="AN42" i="129" s="1"/>
  <c r="AN41" i="72" s="1"/>
  <c r="AL54" i="129"/>
  <c r="AN54" i="129" s="1"/>
  <c r="AN53" i="72" s="1"/>
  <c r="AL50" i="131"/>
  <c r="AN50" i="131" s="1"/>
  <c r="AO49" i="72" s="1"/>
  <c r="AL58" i="131"/>
  <c r="AN58" i="131" s="1"/>
  <c r="AO57" i="72" s="1"/>
  <c r="AL14" i="113"/>
  <c r="AN14" i="113" s="1"/>
  <c r="AB13" i="72" s="1"/>
  <c r="AL54" i="113"/>
  <c r="AN54" i="113" s="1"/>
  <c r="AB53" i="72" s="1"/>
  <c r="AL66" i="113"/>
  <c r="AN66" i="113" s="1"/>
  <c r="AB65" i="72" s="1"/>
  <c r="AL74" i="113"/>
  <c r="AN74" i="113" s="1"/>
  <c r="AB73" i="72" s="1"/>
  <c r="AL22" i="116"/>
  <c r="AN22" i="116" s="1"/>
  <c r="AE21" i="72" s="1"/>
  <c r="AL52" i="116"/>
  <c r="AN52" i="116" s="1"/>
  <c r="AE51" i="72" s="1"/>
  <c r="AN75" i="117"/>
  <c r="AP75" i="117" s="1"/>
  <c r="AF74" i="72" s="1"/>
  <c r="AL48" i="115"/>
  <c r="AN48" i="115" s="1"/>
  <c r="AD47" i="72" s="1"/>
  <c r="AL15" i="118"/>
  <c r="AN15" i="118" s="1"/>
  <c r="AG14" i="72" s="1"/>
  <c r="AL41" i="118"/>
  <c r="AN41" i="118" s="1"/>
  <c r="AG40" i="72" s="1"/>
  <c r="AL64" i="119"/>
  <c r="AN64" i="119" s="1"/>
  <c r="AH63" i="72" s="1"/>
  <c r="AL15" i="120"/>
  <c r="AN15" i="120" s="1"/>
  <c r="AI14" i="72" s="1"/>
  <c r="AL75" i="120"/>
  <c r="AN75" i="120" s="1"/>
  <c r="AI74" i="72" s="1"/>
  <c r="AL19" i="125"/>
  <c r="AN19" i="125" s="1"/>
  <c r="AJ18" i="72" s="1"/>
  <c r="AL55" i="131"/>
  <c r="AN55" i="131" s="1"/>
  <c r="AO54" i="72" s="1"/>
  <c r="AL11" i="129"/>
  <c r="AN11" i="129" s="1"/>
  <c r="AN10" i="72" s="1"/>
  <c r="AL55" i="129"/>
  <c r="AN55" i="129" s="1"/>
  <c r="AN54" i="72" s="1"/>
  <c r="AL19" i="128"/>
  <c r="AN19" i="128" s="1"/>
  <c r="AM18" i="72" s="1"/>
  <c r="AL47" i="128"/>
  <c r="AN47" i="128" s="1"/>
  <c r="AM46" i="72" s="1"/>
  <c r="AL71" i="126"/>
  <c r="AN71" i="126" s="1"/>
  <c r="AK70" i="72" s="1"/>
  <c r="AM55" i="80"/>
  <c r="AO55" i="80" s="1"/>
  <c r="AQ56" i="72" s="1"/>
  <c r="AM67" i="80"/>
  <c r="AO67" i="80" s="1"/>
  <c r="AQ68" i="72" s="1"/>
  <c r="AL14" i="126"/>
  <c r="AN14" i="126" s="1"/>
  <c r="AK13" i="72" s="1"/>
  <c r="AL40" i="125"/>
  <c r="AN40" i="125" s="1"/>
  <c r="AJ39" i="72" s="1"/>
  <c r="AL26" i="129"/>
  <c r="AN26" i="129" s="1"/>
  <c r="AN25" i="72" s="1"/>
  <c r="AL27" i="129"/>
  <c r="AN27" i="129" s="1"/>
  <c r="AN26" i="72" s="1"/>
  <c r="AL62" i="128"/>
  <c r="AN62" i="128" s="1"/>
  <c r="AM61" i="72" s="1"/>
  <c r="AL44" i="127"/>
  <c r="AN44" i="127" s="1"/>
  <c r="AL43" i="72" s="1"/>
  <c r="AL72" i="126"/>
  <c r="AN72" i="126" s="1"/>
  <c r="AK71" i="72" s="1"/>
  <c r="AL67" i="127"/>
  <c r="AN67" i="127" s="1"/>
  <c r="AL66" i="72" s="1"/>
  <c r="AL67" i="129"/>
  <c r="AN67" i="129" s="1"/>
  <c r="AN66" i="72" s="1"/>
  <c r="AL76" i="127"/>
  <c r="AN76" i="127" s="1"/>
  <c r="AL75" i="72" s="1"/>
  <c r="AL75" i="125"/>
  <c r="AN75" i="125" s="1"/>
  <c r="AJ74" i="72" s="1"/>
  <c r="AL66" i="125"/>
  <c r="AN66" i="125" s="1"/>
  <c r="AJ65" i="72" s="1"/>
  <c r="AL47" i="131"/>
  <c r="AN47" i="131" s="1"/>
  <c r="AO46" i="72" s="1"/>
  <c r="AL74" i="128"/>
  <c r="AN74" i="128" s="1"/>
  <c r="AM73" i="72" s="1"/>
  <c r="AL10" i="128"/>
  <c r="AN10" i="128" s="1"/>
  <c r="AM9" i="72" s="1"/>
  <c r="AL20" i="128"/>
  <c r="AN20" i="128" s="1"/>
  <c r="AM19" i="72" s="1"/>
  <c r="AL28" i="114"/>
  <c r="AN28" i="114" s="1"/>
  <c r="AC27" i="72" s="1"/>
  <c r="AL30" i="114"/>
  <c r="AN30" i="114" s="1"/>
  <c r="AC29" i="72" s="1"/>
  <c r="AL21" i="116"/>
  <c r="AN21" i="116" s="1"/>
  <c r="AE20" i="72" s="1"/>
  <c r="AL67" i="116"/>
  <c r="AN67" i="116" s="1"/>
  <c r="AE66" i="72" s="1"/>
  <c r="AL28" i="118"/>
  <c r="AN28" i="118" s="1"/>
  <c r="AG27" i="72" s="1"/>
  <c r="AL26" i="120"/>
  <c r="AN26" i="120" s="1"/>
  <c r="AI25" i="72" s="1"/>
  <c r="AL67" i="118"/>
  <c r="AN67" i="118" s="1"/>
  <c r="AG66" i="72" s="1"/>
  <c r="AL14" i="131"/>
  <c r="AN14" i="131" s="1"/>
  <c r="AO13" i="72" s="1"/>
  <c r="AL64" i="129"/>
  <c r="AN64" i="129" s="1"/>
  <c r="AN63" i="72" s="1"/>
  <c r="AL10" i="125"/>
  <c r="AN10" i="125" s="1"/>
  <c r="AJ9" i="72" s="1"/>
  <c r="AL31" i="114"/>
  <c r="AN31" i="114" s="1"/>
  <c r="AC30" i="72" s="1"/>
  <c r="AL18" i="116"/>
  <c r="AN18" i="116" s="1"/>
  <c r="AE17" i="72" s="1"/>
  <c r="AL26" i="116"/>
  <c r="AN26" i="116" s="1"/>
  <c r="AE25" i="72" s="1"/>
  <c r="AL58" i="116"/>
  <c r="AN58" i="116" s="1"/>
  <c r="AE57" i="72" s="1"/>
  <c r="AL70" i="116"/>
  <c r="AN70" i="116" s="1"/>
  <c r="AE69" i="72" s="1"/>
  <c r="AL35" i="118"/>
  <c r="AN35" i="118" s="1"/>
  <c r="AG34" i="72" s="1"/>
  <c r="AL34" i="119"/>
  <c r="AN34" i="119" s="1"/>
  <c r="AH33" i="72" s="1"/>
  <c r="AL55" i="125"/>
  <c r="AN55" i="125" s="1"/>
  <c r="AJ54" i="72" s="1"/>
  <c r="AL63" i="131"/>
  <c r="AN63" i="131" s="1"/>
  <c r="AO62" i="72" s="1"/>
  <c r="AM54" i="80"/>
  <c r="AO54" i="80" s="1"/>
  <c r="AQ55" i="72" s="1"/>
  <c r="AM47" i="80"/>
  <c r="AO47" i="80" s="1"/>
  <c r="AQ48" i="72" s="1"/>
  <c r="AM37" i="80"/>
  <c r="AO37" i="80" s="1"/>
  <c r="AQ38" i="72" s="1"/>
  <c r="AM32" i="80"/>
  <c r="AO32" i="80" s="1"/>
  <c r="AQ33" i="72" s="1"/>
  <c r="AM62" i="80"/>
  <c r="AO62" i="80" s="1"/>
  <c r="AQ63" i="72" s="1"/>
  <c r="AL20" i="116"/>
  <c r="AN20" i="116" s="1"/>
  <c r="AE19" i="72" s="1"/>
  <c r="AN28" i="117"/>
  <c r="AP28" i="117" s="1"/>
  <c r="AF27" i="72" s="1"/>
  <c r="AN49" i="117"/>
  <c r="AP49" i="117" s="1"/>
  <c r="AF48" i="72" s="1"/>
  <c r="AL40" i="126"/>
  <c r="AN40" i="126" s="1"/>
  <c r="AK39" i="72" s="1"/>
  <c r="AL74" i="126"/>
  <c r="AN74" i="126" s="1"/>
  <c r="AK73" i="72" s="1"/>
  <c r="AL71" i="131"/>
  <c r="AN71" i="131" s="1"/>
  <c r="AO70" i="72" s="1"/>
  <c r="AL10" i="131"/>
  <c r="AN10" i="131" s="1"/>
  <c r="AO9" i="72" s="1"/>
  <c r="AL30" i="131"/>
  <c r="AN30" i="131" s="1"/>
  <c r="AO29" i="72" s="1"/>
  <c r="AL71" i="129"/>
  <c r="AN71" i="129" s="1"/>
  <c r="AN70" i="72" s="1"/>
  <c r="AL28" i="127"/>
  <c r="AN28" i="127" s="1"/>
  <c r="AL27" i="72" s="1"/>
  <c r="AL51" i="125"/>
  <c r="AN51" i="125" s="1"/>
  <c r="AJ50" i="72" s="1"/>
  <c r="AL34" i="125"/>
  <c r="AN34" i="125" s="1"/>
  <c r="AJ33" i="72" s="1"/>
  <c r="AL11" i="125"/>
  <c r="AN11" i="125" s="1"/>
  <c r="AJ10" i="72" s="1"/>
  <c r="AL26" i="128"/>
  <c r="AN26" i="128" s="1"/>
  <c r="AM25" i="72" s="1"/>
  <c r="AL31" i="127"/>
  <c r="AN31" i="127" s="1"/>
  <c r="AL30" i="72" s="1"/>
  <c r="AL10" i="126"/>
  <c r="AN10" i="126" s="1"/>
  <c r="AK9" i="72" s="1"/>
  <c r="AL56" i="129"/>
  <c r="AN56" i="129" s="1"/>
  <c r="AN55" i="72" s="1"/>
  <c r="AL53" i="114"/>
  <c r="AN53" i="114" s="1"/>
  <c r="AC52" i="72" s="1"/>
  <c r="AN67" i="117"/>
  <c r="AP67" i="117" s="1"/>
  <c r="AF66" i="72" s="1"/>
  <c r="AL74" i="115"/>
  <c r="AN74" i="115" s="1"/>
  <c r="AD73" i="72" s="1"/>
  <c r="AL29" i="119"/>
  <c r="AN29" i="119" s="1"/>
  <c r="AH28" i="72" s="1"/>
  <c r="AL75" i="116"/>
  <c r="AN75" i="116" s="1"/>
  <c r="AE74" i="72" s="1"/>
  <c r="AL50" i="113"/>
  <c r="AN50" i="113" s="1"/>
  <c r="AB49" i="72" s="1"/>
  <c r="AL37" i="114"/>
  <c r="AN37" i="114" s="1"/>
  <c r="AC36" i="72" s="1"/>
  <c r="AL44" i="116"/>
  <c r="AN44" i="116" s="1"/>
  <c r="AE43" i="72" s="1"/>
  <c r="AN39" i="117"/>
  <c r="AP39" i="117" s="1"/>
  <c r="AF38" i="72" s="1"/>
  <c r="AN55" i="117"/>
  <c r="AP55" i="117" s="1"/>
  <c r="AF54" i="72" s="1"/>
  <c r="AM69" i="80"/>
  <c r="AO69" i="80" s="1"/>
  <c r="AQ70" i="72" s="1"/>
  <c r="AN35" i="117"/>
  <c r="AP35" i="117" s="1"/>
  <c r="AF34" i="72" s="1"/>
  <c r="AM7" i="80"/>
  <c r="AO7" i="80" s="1"/>
  <c r="AQ8" i="72" s="1"/>
  <c r="AL12" i="114"/>
  <c r="AN12" i="114" s="1"/>
  <c r="AC11" i="72" s="1"/>
  <c r="AL46" i="119"/>
  <c r="AN46" i="119" s="1"/>
  <c r="AH45" i="72" s="1"/>
  <c r="AL21" i="125"/>
  <c r="AN21" i="125" s="1"/>
  <c r="AJ20" i="72" s="1"/>
  <c r="AL61" i="128"/>
  <c r="AN61" i="128" s="1"/>
  <c r="AM60" i="72" s="1"/>
  <c r="AL29" i="126"/>
  <c r="AN29" i="126" s="1"/>
  <c r="AK28" i="72" s="1"/>
  <c r="AL18" i="118"/>
  <c r="AN18" i="118" s="1"/>
  <c r="AG17" i="72" s="1"/>
  <c r="AL44" i="113"/>
  <c r="AN44" i="113" s="1"/>
  <c r="AB43" i="72" s="1"/>
  <c r="AL34" i="114"/>
  <c r="AN34" i="114" s="1"/>
  <c r="AC33" i="72" s="1"/>
  <c r="AL46" i="131"/>
  <c r="AN46" i="131" s="1"/>
  <c r="AO45" i="72" s="1"/>
  <c r="AL36" i="115"/>
  <c r="AN36" i="115" s="1"/>
  <c r="AD35" i="72" s="1"/>
  <c r="AL47" i="125"/>
  <c r="AN47" i="125" s="1"/>
  <c r="AJ46" i="72" s="1"/>
  <c r="AL60" i="128"/>
  <c r="AN60" i="128" s="1"/>
  <c r="AM59" i="72" s="1"/>
  <c r="AL34" i="128"/>
  <c r="AN34" i="128" s="1"/>
  <c r="AM33" i="72" s="1"/>
  <c r="AL15" i="129"/>
  <c r="AN15" i="129" s="1"/>
  <c r="AN14" i="72" s="1"/>
  <c r="AL42" i="131"/>
  <c r="AN42" i="131" s="1"/>
  <c r="AO41" i="72" s="1"/>
  <c r="AL18" i="127"/>
  <c r="AN18" i="127" s="1"/>
  <c r="AL17" i="72" s="1"/>
  <c r="AL30" i="129"/>
  <c r="AN30" i="129" s="1"/>
  <c r="AN29" i="72" s="1"/>
  <c r="AL36" i="129"/>
  <c r="AN36" i="129" s="1"/>
  <c r="AN35" i="72" s="1"/>
  <c r="AM45" i="80"/>
  <c r="AO45" i="80" s="1"/>
  <c r="AQ46" i="72" s="1"/>
  <c r="AM70" i="80"/>
  <c r="AO70" i="80" s="1"/>
  <c r="AQ71" i="72" s="1"/>
  <c r="AM38" i="80"/>
  <c r="AO38" i="80" s="1"/>
  <c r="AQ39" i="72" s="1"/>
  <c r="AL17" i="120"/>
  <c r="AN17" i="120" s="1"/>
  <c r="AI16" i="72" s="1"/>
  <c r="AL56" i="120"/>
  <c r="AN56" i="120" s="1"/>
  <c r="AI55" i="72" s="1"/>
  <c r="AL71" i="120"/>
  <c r="AN71" i="120" s="1"/>
  <c r="AI70" i="72" s="1"/>
  <c r="AL18" i="120"/>
  <c r="AN18" i="120" s="1"/>
  <c r="AI17" i="72" s="1"/>
  <c r="AL31" i="119"/>
  <c r="AN31" i="119" s="1"/>
  <c r="AH30" i="72" s="1"/>
  <c r="AL58" i="119"/>
  <c r="AN58" i="119" s="1"/>
  <c r="AH57" i="72" s="1"/>
  <c r="AL26" i="118"/>
  <c r="AN26" i="118" s="1"/>
  <c r="AG25" i="72" s="1"/>
  <c r="AL49" i="118"/>
  <c r="AN49" i="118" s="1"/>
  <c r="AG48" i="72" s="1"/>
  <c r="AN12" i="117"/>
  <c r="AP12" i="117" s="1"/>
  <c r="AF11" i="72" s="1"/>
  <c r="AN76" i="117"/>
  <c r="AP76" i="117" s="1"/>
  <c r="AF75" i="72" s="1"/>
  <c r="AN25" i="117"/>
  <c r="AP25" i="117" s="1"/>
  <c r="AF24" i="72" s="1"/>
  <c r="AL14" i="116"/>
  <c r="AN14" i="116" s="1"/>
  <c r="AE13" i="72" s="1"/>
  <c r="AL16" i="115"/>
  <c r="AN16" i="115" s="1"/>
  <c r="AD15" i="72" s="1"/>
  <c r="AL27" i="115"/>
  <c r="AN27" i="115" s="1"/>
  <c r="AD26" i="72" s="1"/>
  <c r="AL35" i="115"/>
  <c r="AN35" i="115" s="1"/>
  <c r="AD34" i="72" s="1"/>
  <c r="AL18" i="115"/>
  <c r="AN18" i="115" s="1"/>
  <c r="AD17" i="72" s="1"/>
  <c r="AL26" i="114"/>
  <c r="AN26" i="114" s="1"/>
  <c r="AC25" i="72" s="1"/>
  <c r="AL11" i="114"/>
  <c r="AN11" i="114" s="1"/>
  <c r="AC10" i="72" s="1"/>
  <c r="AJ26" i="31"/>
  <c r="AK26" i="31" s="1"/>
  <c r="AJ19" i="31"/>
  <c r="AK19" i="31" s="1"/>
  <c r="AJ29" i="31"/>
  <c r="AK29" i="31" s="1"/>
  <c r="AJ23" i="31"/>
  <c r="AK23" i="31" s="1"/>
  <c r="AJ68" i="31"/>
  <c r="AK68" i="31" s="1"/>
  <c r="AM60" i="80"/>
  <c r="AO60" i="80" s="1"/>
  <c r="AQ61" i="72" s="1"/>
  <c r="AM31" i="80"/>
  <c r="AO31" i="80" s="1"/>
  <c r="AQ32" i="72" s="1"/>
  <c r="AM49" i="80"/>
  <c r="AO49" i="80" s="1"/>
  <c r="AQ50" i="72" s="1"/>
  <c r="AM27" i="80"/>
  <c r="AO27" i="80" s="1"/>
  <c r="AQ28" i="72" s="1"/>
  <c r="AN52" i="117"/>
  <c r="AP52" i="117" s="1"/>
  <c r="AF51" i="72" s="1"/>
  <c r="AL74" i="116"/>
  <c r="AN74" i="116" s="1"/>
  <c r="AE73" i="72" s="1"/>
  <c r="AN74" i="117"/>
  <c r="AP74" i="117" s="1"/>
  <c r="AF73" i="72" s="1"/>
  <c r="AL16" i="118"/>
  <c r="AN16" i="118" s="1"/>
  <c r="AG15" i="72" s="1"/>
  <c r="AL13" i="114"/>
  <c r="AN13" i="114" s="1"/>
  <c r="AC12" i="72" s="1"/>
  <c r="AL48" i="113"/>
  <c r="AN48" i="113" s="1"/>
  <c r="AB47" i="72" s="1"/>
  <c r="AN32" i="117"/>
  <c r="AP32" i="117" s="1"/>
  <c r="AF31" i="72" s="1"/>
  <c r="AL33" i="118"/>
  <c r="AN33" i="118" s="1"/>
  <c r="AG32" i="72" s="1"/>
  <c r="AN11" i="117"/>
  <c r="AP11" i="117" s="1"/>
  <c r="AF10" i="72" s="1"/>
  <c r="AL25" i="114"/>
  <c r="AN25" i="114" s="1"/>
  <c r="AC24" i="72" s="1"/>
  <c r="AL73" i="113"/>
  <c r="AN73" i="113" s="1"/>
  <c r="AB72" i="72" s="1"/>
  <c r="AL73" i="116"/>
  <c r="AN73" i="116" s="1"/>
  <c r="AE72" i="72" s="1"/>
  <c r="AN47" i="117"/>
  <c r="AP47" i="117" s="1"/>
  <c r="AF46" i="72" s="1"/>
  <c r="AL53" i="119"/>
  <c r="AN53" i="119" s="1"/>
  <c r="AH52" i="72" s="1"/>
  <c r="AL59" i="114"/>
  <c r="AN59" i="114" s="1"/>
  <c r="AC58" i="72" s="1"/>
  <c r="AL14" i="114"/>
  <c r="AN14" i="114" s="1"/>
  <c r="AC13" i="72" s="1"/>
  <c r="AL51" i="118"/>
  <c r="AN51" i="118" s="1"/>
  <c r="AG50" i="72" s="1"/>
  <c r="AL54" i="118"/>
  <c r="AN54" i="118" s="1"/>
  <c r="AG53" i="72" s="1"/>
  <c r="AL29" i="116"/>
  <c r="AN29" i="116" s="1"/>
  <c r="AE28" i="72" s="1"/>
  <c r="AL63" i="119"/>
  <c r="AN63" i="119" s="1"/>
  <c r="AH62" i="72" s="1"/>
  <c r="AN46" i="117"/>
  <c r="AP46" i="117" s="1"/>
  <c r="AF45" i="72" s="1"/>
  <c r="AL50" i="120"/>
  <c r="AN50" i="120" s="1"/>
  <c r="AI49" i="72" s="1"/>
  <c r="AL22" i="113"/>
  <c r="AN22" i="113" s="1"/>
  <c r="AB21" i="72" s="1"/>
  <c r="AL47" i="119"/>
  <c r="AN47" i="119" s="1"/>
  <c r="AH46" i="72" s="1"/>
  <c r="AL18" i="119"/>
  <c r="AN18" i="119" s="1"/>
  <c r="AH17" i="72" s="1"/>
  <c r="AL72" i="113"/>
  <c r="AN72" i="113" s="1"/>
  <c r="AB71" i="72" s="1"/>
  <c r="AN37" i="117"/>
  <c r="AP37" i="117" s="1"/>
  <c r="AF36" i="72" s="1"/>
  <c r="AL38" i="119"/>
  <c r="AN38" i="119" s="1"/>
  <c r="AH37" i="72" s="1"/>
  <c r="AL27" i="114"/>
  <c r="AN27" i="114" s="1"/>
  <c r="AC26" i="72" s="1"/>
  <c r="AL67" i="113"/>
  <c r="AN67" i="113" s="1"/>
  <c r="AB66" i="72" s="1"/>
  <c r="AL57" i="119"/>
  <c r="AN57" i="119" s="1"/>
  <c r="AH56" i="72" s="1"/>
  <c r="AN19" i="117"/>
  <c r="AP19" i="117" s="1"/>
  <c r="AF18" i="72" s="1"/>
  <c r="AL28" i="119"/>
  <c r="AN28" i="119" s="1"/>
  <c r="AH27" i="72" s="1"/>
  <c r="AL65" i="119"/>
  <c r="AN65" i="119" s="1"/>
  <c r="AH64" i="72" s="1"/>
  <c r="AL65" i="120"/>
  <c r="AN65" i="120" s="1"/>
  <c r="AI64" i="72" s="1"/>
  <c r="AL56" i="119"/>
  <c r="AN56" i="119" s="1"/>
  <c r="AH55" i="72" s="1"/>
  <c r="AL35" i="113"/>
  <c r="AN35" i="113" s="1"/>
  <c r="AB34" i="72" s="1"/>
  <c r="AL8" i="129"/>
  <c r="AL46" i="116"/>
  <c r="AN46" i="116" s="1"/>
  <c r="AE45" i="72" s="1"/>
  <c r="AL13" i="115"/>
  <c r="AN13" i="115" s="1"/>
  <c r="AD12" i="72" s="1"/>
  <c r="AJ20" i="31"/>
  <c r="AK20" i="31" s="1"/>
  <c r="AL26" i="126"/>
  <c r="AN26" i="126" s="1"/>
  <c r="AK25" i="72" s="1"/>
  <c r="AL62" i="125"/>
  <c r="AN62" i="125" s="1"/>
  <c r="AJ61" i="72" s="1"/>
  <c r="AL60" i="125"/>
  <c r="AN60" i="125" s="1"/>
  <c r="AJ59" i="72" s="1"/>
  <c r="AL49" i="125"/>
  <c r="AN49" i="125" s="1"/>
  <c r="AJ48" i="72" s="1"/>
  <c r="AL66" i="126"/>
  <c r="AN66" i="126" s="1"/>
  <c r="AK65" i="72" s="1"/>
  <c r="AL12" i="127"/>
  <c r="AN12" i="127" s="1"/>
  <c r="AL11" i="72" s="1"/>
  <c r="AL36" i="127"/>
  <c r="AN36" i="127" s="1"/>
  <c r="AL35" i="72" s="1"/>
  <c r="AL58" i="127"/>
  <c r="AN58" i="127" s="1"/>
  <c r="AL57" i="72" s="1"/>
  <c r="AL29" i="131"/>
  <c r="AN29" i="131" s="1"/>
  <c r="AO28" i="72" s="1"/>
  <c r="AL12" i="125"/>
  <c r="AN12" i="125" s="1"/>
  <c r="AJ11" i="72" s="1"/>
  <c r="AL37" i="125"/>
  <c r="AN37" i="125" s="1"/>
  <c r="AJ36" i="72" s="1"/>
  <c r="AL36" i="126"/>
  <c r="AN36" i="126" s="1"/>
  <c r="AK35" i="72" s="1"/>
  <c r="AL44" i="126"/>
  <c r="AN44" i="126" s="1"/>
  <c r="AK43" i="72" s="1"/>
  <c r="AL50" i="126"/>
  <c r="AN50" i="126" s="1"/>
  <c r="AK49" i="72" s="1"/>
  <c r="AL54" i="126"/>
  <c r="AN54" i="126" s="1"/>
  <c r="AK53" i="72" s="1"/>
  <c r="AL30" i="127"/>
  <c r="AN30" i="127" s="1"/>
  <c r="AL29" i="72" s="1"/>
  <c r="AL13" i="128"/>
  <c r="AN13" i="128" s="1"/>
  <c r="AM12" i="72" s="1"/>
  <c r="AL33" i="128"/>
  <c r="AN33" i="128" s="1"/>
  <c r="AM32" i="72" s="1"/>
  <c r="AL59" i="129"/>
  <c r="AN59" i="129" s="1"/>
  <c r="AN58" i="72" s="1"/>
  <c r="AL8" i="127"/>
  <c r="AL68" i="131"/>
  <c r="AN68" i="131" s="1"/>
  <c r="AO67" i="72" s="1"/>
  <c r="AL25" i="127"/>
  <c r="AN25" i="127" s="1"/>
  <c r="AL24" i="72" s="1"/>
  <c r="AL31" i="125"/>
  <c r="AN31" i="125" s="1"/>
  <c r="AJ30" i="72" s="1"/>
  <c r="AL35" i="125"/>
  <c r="AN35" i="125" s="1"/>
  <c r="AJ34" i="72" s="1"/>
  <c r="AL39" i="128"/>
  <c r="AN39" i="128" s="1"/>
  <c r="AM38" i="72" s="1"/>
  <c r="AL75" i="128"/>
  <c r="AN75" i="128" s="1"/>
  <c r="AM74" i="72" s="1"/>
  <c r="AL21" i="129"/>
  <c r="AN21" i="129" s="1"/>
  <c r="AN20" i="72" s="1"/>
  <c r="AL27" i="125"/>
  <c r="AN27" i="125" s="1"/>
  <c r="AJ26" i="72" s="1"/>
  <c r="AL58" i="125"/>
  <c r="AN58" i="125" s="1"/>
  <c r="AJ57" i="72" s="1"/>
  <c r="AL8" i="126"/>
  <c r="AL38" i="127"/>
  <c r="AN38" i="127" s="1"/>
  <c r="AL37" i="72" s="1"/>
  <c r="AL55" i="128"/>
  <c r="AN55" i="128" s="1"/>
  <c r="AM54" i="72" s="1"/>
  <c r="AL50" i="125"/>
  <c r="AN50" i="125" s="1"/>
  <c r="AJ49" i="72" s="1"/>
  <c r="AN8" i="126" l="1"/>
  <c r="AL68" i="129"/>
  <c r="AN68" i="129" s="1"/>
  <c r="AN67" i="72" s="1"/>
  <c r="AL57" i="126"/>
  <c r="AN57" i="126" s="1"/>
  <c r="AK56" i="72" s="1"/>
  <c r="AF72" i="131"/>
  <c r="AG72" i="131" s="1"/>
  <c r="AH72" i="131" s="1"/>
  <c r="S71" i="72" s="1"/>
  <c r="AF71" i="126"/>
  <c r="AG71" i="126" s="1"/>
  <c r="AH71" i="126" s="1"/>
  <c r="O70" i="72" s="1"/>
  <c r="AF70" i="128"/>
  <c r="AG70" i="128" s="1"/>
  <c r="AH70" i="128" s="1"/>
  <c r="Q69" i="72" s="1"/>
  <c r="AF60" i="131"/>
  <c r="AG60" i="131" s="1"/>
  <c r="AH60" i="131" s="1"/>
  <c r="S59" i="72" s="1"/>
  <c r="AL15" i="131"/>
  <c r="AN15" i="131" s="1"/>
  <c r="AO14" i="72" s="1"/>
  <c r="AF62" i="131"/>
  <c r="AG62" i="131" s="1"/>
  <c r="AH62" i="131" s="1"/>
  <c r="S61" i="72" s="1"/>
  <c r="AF73" i="131"/>
  <c r="AG73" i="131" s="1"/>
  <c r="AH73" i="131" s="1"/>
  <c r="S72" i="72" s="1"/>
  <c r="AF19" i="125"/>
  <c r="AG19" i="125" s="1"/>
  <c r="AH19" i="125" s="1"/>
  <c r="N18" i="72" s="1"/>
  <c r="AL22" i="125"/>
  <c r="AN22" i="125" s="1"/>
  <c r="AJ21" i="72" s="1"/>
  <c r="AL69" i="125"/>
  <c r="AN69" i="125" s="1"/>
  <c r="AJ68" i="72" s="1"/>
  <c r="AL11" i="126"/>
  <c r="AN11" i="126" s="1"/>
  <c r="AK10" i="72" s="1"/>
  <c r="AL28" i="126"/>
  <c r="AN28" i="126" s="1"/>
  <c r="AK27" i="72" s="1"/>
  <c r="AF67" i="127"/>
  <c r="AG67" i="127" s="1"/>
  <c r="AH67" i="127" s="1"/>
  <c r="P66" i="72" s="1"/>
  <c r="AG67" i="129"/>
  <c r="AH67" i="129" s="1"/>
  <c r="AF14" i="126"/>
  <c r="AG14" i="126" s="1"/>
  <c r="AH14" i="126" s="1"/>
  <c r="O13" i="72" s="1"/>
  <c r="AF40" i="125"/>
  <c r="AG40" i="125" s="1"/>
  <c r="AH40" i="125" s="1"/>
  <c r="N39" i="72" s="1"/>
  <c r="AL55" i="115"/>
  <c r="AN55" i="115" s="1"/>
  <c r="AD54" i="72" s="1"/>
  <c r="AL20" i="115"/>
  <c r="AN20" i="115" s="1"/>
  <c r="AD19" i="72" s="1"/>
  <c r="AL56" i="118"/>
  <c r="AN56" i="118" s="1"/>
  <c r="AG55" i="72" s="1"/>
  <c r="AL40" i="113"/>
  <c r="AN40" i="113" s="1"/>
  <c r="AB39" i="72" s="1"/>
  <c r="AL17" i="118"/>
  <c r="AN17" i="118" s="1"/>
  <c r="AG16" i="72" s="1"/>
  <c r="AL76" i="116"/>
  <c r="AN76" i="116" s="1"/>
  <c r="AE75" i="72" s="1"/>
  <c r="AL62" i="120"/>
  <c r="AN62" i="120" s="1"/>
  <c r="AI61" i="72" s="1"/>
  <c r="AL68" i="116"/>
  <c r="AN68" i="116" s="1"/>
  <c r="AE67" i="72" s="1"/>
  <c r="AH14" i="117"/>
  <c r="AI14" i="117" s="1"/>
  <c r="AJ14" i="117" s="1"/>
  <c r="J13" i="72" s="1"/>
  <c r="AL46" i="114"/>
  <c r="AN46" i="114" s="1"/>
  <c r="AC45" i="72" s="1"/>
  <c r="AF27" i="120"/>
  <c r="AG27" i="120" s="1"/>
  <c r="AH27" i="120" s="1"/>
  <c r="M26" i="72" s="1"/>
  <c r="AN51" i="117"/>
  <c r="AP51" i="117" s="1"/>
  <c r="AF50" i="72" s="1"/>
  <c r="AF14" i="113"/>
  <c r="AG14" i="113" s="1"/>
  <c r="AH14" i="113" s="1"/>
  <c r="F13" i="72" s="1"/>
  <c r="AL11" i="118"/>
  <c r="AN11" i="118" s="1"/>
  <c r="AG10" i="72" s="1"/>
  <c r="AF22" i="120"/>
  <c r="AG22" i="120" s="1"/>
  <c r="AH22" i="120" s="1"/>
  <c r="M21" i="72" s="1"/>
  <c r="AL50" i="119"/>
  <c r="AN50" i="119" s="1"/>
  <c r="AH49" i="72" s="1"/>
  <c r="AN33" i="117"/>
  <c r="AP33" i="117" s="1"/>
  <c r="AF32" i="72" s="1"/>
  <c r="AL46" i="113"/>
  <c r="AN46" i="113" s="1"/>
  <c r="AB45" i="72" s="1"/>
  <c r="AL48" i="114"/>
  <c r="AN48" i="114" s="1"/>
  <c r="AC47" i="72" s="1"/>
  <c r="AL8" i="120"/>
  <c r="AL64" i="118"/>
  <c r="AN64" i="118" s="1"/>
  <c r="AG63" i="72" s="1"/>
  <c r="AF65" i="116"/>
  <c r="AG65" i="116" s="1"/>
  <c r="AH65" i="116" s="1"/>
  <c r="I64" i="72" s="1"/>
  <c r="AL63" i="114"/>
  <c r="AN63" i="114" s="1"/>
  <c r="AC62" i="72" s="1"/>
  <c r="AL37" i="115"/>
  <c r="AN37" i="115" s="1"/>
  <c r="AD36" i="72" s="1"/>
  <c r="AL24" i="115"/>
  <c r="AN24" i="115" s="1"/>
  <c r="AD23" i="72" s="1"/>
  <c r="AL39" i="115"/>
  <c r="AN39" i="115" s="1"/>
  <c r="AD38" i="72" s="1"/>
  <c r="AL68" i="115"/>
  <c r="AN68" i="115" s="1"/>
  <c r="AD67" i="72" s="1"/>
  <c r="AN48" i="117"/>
  <c r="AP48" i="117" s="1"/>
  <c r="AF47" i="72" s="1"/>
  <c r="AL48" i="116"/>
  <c r="AN48" i="116" s="1"/>
  <c r="AE47" i="72" s="1"/>
  <c r="AL13" i="116"/>
  <c r="AN13" i="116" s="1"/>
  <c r="AE12" i="72" s="1"/>
  <c r="AL74" i="119"/>
  <c r="AN74" i="119" s="1"/>
  <c r="AH73" i="72" s="1"/>
  <c r="AL74" i="118"/>
  <c r="AN74" i="118" s="1"/>
  <c r="AG73" i="72" s="1"/>
  <c r="AF64" i="114"/>
  <c r="AG64" i="114" s="1"/>
  <c r="AH64" i="114" s="1"/>
  <c r="G63" i="72" s="1"/>
  <c r="AF32" i="120"/>
  <c r="AG32" i="120" s="1"/>
  <c r="AH32" i="120" s="1"/>
  <c r="M31" i="72" s="1"/>
  <c r="AL54" i="116"/>
  <c r="AN54" i="116" s="1"/>
  <c r="AE53" i="72" s="1"/>
  <c r="AL51" i="116"/>
  <c r="AN51" i="116" s="1"/>
  <c r="AE50" i="72" s="1"/>
  <c r="AL51" i="113"/>
  <c r="AN51" i="113" s="1"/>
  <c r="AB50" i="72" s="1"/>
  <c r="AL14" i="120"/>
  <c r="AN14" i="120" s="1"/>
  <c r="AI13" i="72" s="1"/>
  <c r="AL53" i="118"/>
  <c r="AN53" i="118" s="1"/>
  <c r="AG52" i="72" s="1"/>
  <c r="AM22" i="80"/>
  <c r="AO22" i="80" s="1"/>
  <c r="AQ23" i="72" s="1"/>
  <c r="AM51" i="80"/>
  <c r="AO51" i="80" s="1"/>
  <c r="AQ52" i="72" s="1"/>
  <c r="AM24" i="80"/>
  <c r="AO24" i="80" s="1"/>
  <c r="AQ25" i="72" s="1"/>
  <c r="AM34" i="80"/>
  <c r="AO34" i="80" s="1"/>
  <c r="AQ35" i="72" s="1"/>
  <c r="AF59" i="113"/>
  <c r="AG59" i="113" s="1"/>
  <c r="AH59" i="113" s="1"/>
  <c r="F58" i="72" s="1"/>
  <c r="AL36" i="113"/>
  <c r="AN36" i="113" s="1"/>
  <c r="AB35" i="72" s="1"/>
  <c r="AL64" i="113"/>
  <c r="AN64" i="113" s="1"/>
  <c r="AB63" i="72" s="1"/>
  <c r="AL75" i="113"/>
  <c r="AN75" i="113" s="1"/>
  <c r="AB74" i="72" s="1"/>
  <c r="AF31" i="113"/>
  <c r="AG31" i="113" s="1"/>
  <c r="AH31" i="113" s="1"/>
  <c r="F30" i="72" s="1"/>
  <c r="AL70" i="113"/>
  <c r="AN70" i="113" s="1"/>
  <c r="AB69" i="72" s="1"/>
  <c r="AF38" i="113"/>
  <c r="AG38" i="113" s="1"/>
  <c r="AH38" i="113" s="1"/>
  <c r="F37" i="72" s="1"/>
  <c r="AF19" i="113"/>
  <c r="AG19" i="113" s="1"/>
  <c r="AH19" i="113" s="1"/>
  <c r="F18" i="72" s="1"/>
  <c r="AF47" i="114"/>
  <c r="AG47" i="114" s="1"/>
  <c r="AH47" i="114" s="1"/>
  <c r="G46" i="72" s="1"/>
  <c r="AF32" i="114"/>
  <c r="AG32" i="114" s="1"/>
  <c r="AH32" i="114" s="1"/>
  <c r="G31" i="72" s="1"/>
  <c r="AL54" i="114"/>
  <c r="AN54" i="114" s="1"/>
  <c r="AC53" i="72" s="1"/>
  <c r="AL60" i="114"/>
  <c r="AN60" i="114" s="1"/>
  <c r="AC59" i="72" s="1"/>
  <c r="AL65" i="114"/>
  <c r="AN65" i="114" s="1"/>
  <c r="AC64" i="72" s="1"/>
  <c r="AL55" i="114"/>
  <c r="AN55" i="114" s="1"/>
  <c r="AC54" i="72" s="1"/>
  <c r="AL71" i="115"/>
  <c r="AN71" i="115" s="1"/>
  <c r="AD70" i="72" s="1"/>
  <c r="AL19" i="115"/>
  <c r="AN19" i="115" s="1"/>
  <c r="AD18" i="72" s="1"/>
  <c r="AF21" i="115"/>
  <c r="AG21" i="115" s="1"/>
  <c r="AH21" i="115" s="1"/>
  <c r="H20" i="72" s="1"/>
  <c r="AL76" i="115"/>
  <c r="AN76" i="115" s="1"/>
  <c r="AD75" i="72" s="1"/>
  <c r="AF49" i="116"/>
  <c r="AG49" i="116" s="1"/>
  <c r="AH49" i="116" s="1"/>
  <c r="I48" i="72" s="1"/>
  <c r="AL55" i="116"/>
  <c r="AN55" i="116" s="1"/>
  <c r="AE54" i="72" s="1"/>
  <c r="AF57" i="116"/>
  <c r="AG57" i="116" s="1"/>
  <c r="AH57" i="116" s="1"/>
  <c r="I56" i="72" s="1"/>
  <c r="AF16" i="116"/>
  <c r="AG16" i="116" s="1"/>
  <c r="AH16" i="116" s="1"/>
  <c r="I15" i="72" s="1"/>
  <c r="AF66" i="116"/>
  <c r="AG66" i="116" s="1"/>
  <c r="AH66" i="116" s="1"/>
  <c r="I65" i="72" s="1"/>
  <c r="AF42" i="116"/>
  <c r="AG42" i="116" s="1"/>
  <c r="AH42" i="116" s="1"/>
  <c r="I41" i="72" s="1"/>
  <c r="AF53" i="116"/>
  <c r="AG53" i="116" s="1"/>
  <c r="AH53" i="116" s="1"/>
  <c r="I52" i="72" s="1"/>
  <c r="AF40" i="116"/>
  <c r="AG40" i="116" s="1"/>
  <c r="AH40" i="116" s="1"/>
  <c r="I39" i="72" s="1"/>
  <c r="AN17" i="117"/>
  <c r="AP17" i="117" s="1"/>
  <c r="AF16" i="72" s="1"/>
  <c r="AH61" i="117"/>
  <c r="AI61" i="117" s="1"/>
  <c r="AJ61" i="117" s="1"/>
  <c r="J60" i="72" s="1"/>
  <c r="AH16" i="117"/>
  <c r="AI16" i="117" s="1"/>
  <c r="AJ16" i="117" s="1"/>
  <c r="J15" i="72" s="1"/>
  <c r="AH73" i="117"/>
  <c r="AI73" i="117" s="1"/>
  <c r="AJ73" i="117" s="1"/>
  <c r="J72" i="72" s="1"/>
  <c r="AF41" i="118"/>
  <c r="AG41" i="118" s="1"/>
  <c r="AH41" i="118" s="1"/>
  <c r="K40" i="72" s="1"/>
  <c r="AL30" i="118"/>
  <c r="AN30" i="118" s="1"/>
  <c r="AG29" i="72" s="1"/>
  <c r="AL76" i="119"/>
  <c r="AN76" i="119" s="1"/>
  <c r="AH75" i="72" s="1"/>
  <c r="AL14" i="119"/>
  <c r="AN14" i="119" s="1"/>
  <c r="AH13" i="72" s="1"/>
  <c r="AL60" i="120"/>
  <c r="AN60" i="120" s="1"/>
  <c r="AI59" i="72" s="1"/>
  <c r="AL37" i="120"/>
  <c r="AN37" i="120" s="1"/>
  <c r="AI36" i="72" s="1"/>
  <c r="AF76" i="120"/>
  <c r="AG76" i="120" s="1"/>
  <c r="AH76" i="120" s="1"/>
  <c r="M75" i="72" s="1"/>
  <c r="AM28" i="80"/>
  <c r="AO28" i="80" s="1"/>
  <c r="AQ29" i="72" s="1"/>
  <c r="AM73" i="80"/>
  <c r="AO73" i="80" s="1"/>
  <c r="AQ74" i="72" s="1"/>
  <c r="AM52" i="80"/>
  <c r="AO52" i="80" s="1"/>
  <c r="AQ53" i="72" s="1"/>
  <c r="AM14" i="80"/>
  <c r="AO14" i="80" s="1"/>
  <c r="AQ15" i="72" s="1"/>
  <c r="AL63" i="126"/>
  <c r="AN63" i="126" s="1"/>
  <c r="AK62" i="72" s="1"/>
  <c r="AL42" i="128"/>
  <c r="AN42" i="128" s="1"/>
  <c r="AM41" i="72" s="1"/>
  <c r="AF56" i="115"/>
  <c r="AG56" i="115" s="1"/>
  <c r="AH56" i="115" s="1"/>
  <c r="H55" i="72" s="1"/>
  <c r="AL66" i="128"/>
  <c r="AN66" i="128" s="1"/>
  <c r="AM65" i="72" s="1"/>
  <c r="AL52" i="125"/>
  <c r="AN52" i="125" s="1"/>
  <c r="AJ51" i="72" s="1"/>
  <c r="AF44" i="128"/>
  <c r="AG44" i="128" s="1"/>
  <c r="AH44" i="128" s="1"/>
  <c r="Q43" i="72" s="1"/>
  <c r="AG20" i="129"/>
  <c r="AH20" i="129" s="1"/>
  <c r="AF11" i="115"/>
  <c r="AG11" i="115" s="1"/>
  <c r="AH11" i="115" s="1"/>
  <c r="H10" i="72" s="1"/>
  <c r="AG10" i="129"/>
  <c r="AH10" i="129" s="1"/>
  <c r="AL45" i="125"/>
  <c r="AN45" i="125" s="1"/>
  <c r="AJ44" i="72" s="1"/>
  <c r="AH66" i="117"/>
  <c r="AI66" i="117" s="1"/>
  <c r="AJ66" i="117" s="1"/>
  <c r="J65" i="72" s="1"/>
  <c r="AF63" i="118"/>
  <c r="AG63" i="118" s="1"/>
  <c r="AH63" i="118" s="1"/>
  <c r="K62" i="72" s="1"/>
  <c r="AM12" i="80"/>
  <c r="AO12" i="80" s="1"/>
  <c r="AQ13" i="72" s="1"/>
  <c r="AL24" i="128"/>
  <c r="AN24" i="128" s="1"/>
  <c r="AM23" i="72" s="1"/>
  <c r="AL67" i="120"/>
  <c r="AN67" i="120" s="1"/>
  <c r="AI66" i="72" s="1"/>
  <c r="AL49" i="126"/>
  <c r="AN49" i="126" s="1"/>
  <c r="AK48" i="72" s="1"/>
  <c r="AL73" i="127"/>
  <c r="AN73" i="127" s="1"/>
  <c r="AL72" i="72" s="1"/>
  <c r="AL49" i="127"/>
  <c r="AN49" i="127" s="1"/>
  <c r="AL48" i="72" s="1"/>
  <c r="AL29" i="128"/>
  <c r="AN29" i="128" s="1"/>
  <c r="AM28" i="72" s="1"/>
  <c r="AL73" i="129"/>
  <c r="AN73" i="129" s="1"/>
  <c r="AN72" i="72" s="1"/>
  <c r="AG65" i="129"/>
  <c r="AH65" i="129" s="1"/>
  <c r="AL41" i="129"/>
  <c r="AN41" i="129" s="1"/>
  <c r="AN40" i="72" s="1"/>
  <c r="AL13" i="129"/>
  <c r="AN13" i="129" s="1"/>
  <c r="AN12" i="72" s="1"/>
  <c r="AL73" i="131"/>
  <c r="AN73" i="131" s="1"/>
  <c r="AO72" i="72" s="1"/>
  <c r="AL61" i="131"/>
  <c r="AN61" i="131" s="1"/>
  <c r="AO60" i="72" s="1"/>
  <c r="AL57" i="131"/>
  <c r="AN57" i="131" s="1"/>
  <c r="AO56" i="72" s="1"/>
  <c r="AL41" i="131"/>
  <c r="AN41" i="131" s="1"/>
  <c r="AO40" i="72" s="1"/>
  <c r="AL33" i="131"/>
  <c r="AN33" i="131" s="1"/>
  <c r="AO32" i="72" s="1"/>
  <c r="AL25" i="131"/>
  <c r="AN25" i="131" s="1"/>
  <c r="AO24" i="72" s="1"/>
  <c r="AL17" i="131"/>
  <c r="AN17" i="131" s="1"/>
  <c r="AO16" i="72" s="1"/>
  <c r="AL73" i="125"/>
  <c r="AN73" i="125" s="1"/>
  <c r="AJ72" i="72" s="1"/>
  <c r="AL65" i="125"/>
  <c r="AN65" i="125" s="1"/>
  <c r="AJ64" i="72" s="1"/>
  <c r="AL36" i="119"/>
  <c r="AN36" i="119" s="1"/>
  <c r="AH35" i="72" s="1"/>
  <c r="AL41" i="115"/>
  <c r="AN41" i="115" s="1"/>
  <c r="AD40" i="72" s="1"/>
  <c r="AH41" i="117"/>
  <c r="AI41" i="117" s="1"/>
  <c r="AJ41" i="117" s="1"/>
  <c r="J40" i="72" s="1"/>
  <c r="AL28" i="113"/>
  <c r="AN28" i="113" s="1"/>
  <c r="AB27" i="72" s="1"/>
  <c r="AL34" i="120"/>
  <c r="AN34" i="120" s="1"/>
  <c r="AI33" i="72" s="1"/>
  <c r="AL68" i="119"/>
  <c r="AN68" i="119" s="1"/>
  <c r="AH67" i="72" s="1"/>
  <c r="AF15" i="118"/>
  <c r="AG15" i="118" s="1"/>
  <c r="AH15" i="118" s="1"/>
  <c r="K14" i="72" s="1"/>
  <c r="AN13" i="117"/>
  <c r="AP13" i="117" s="1"/>
  <c r="AF12" i="72" s="1"/>
  <c r="AF75" i="114"/>
  <c r="AG75" i="114" s="1"/>
  <c r="AH75" i="114" s="1"/>
  <c r="G74" i="72" s="1"/>
  <c r="AL35" i="120"/>
  <c r="AN35" i="120" s="1"/>
  <c r="AI34" i="72" s="1"/>
  <c r="AF15" i="120"/>
  <c r="AG15" i="120" s="1"/>
  <c r="AH15" i="120" s="1"/>
  <c r="M14" i="72" s="1"/>
  <c r="AF33" i="126"/>
  <c r="AG33" i="126" s="1"/>
  <c r="AH33" i="126" s="1"/>
  <c r="O32" i="72" s="1"/>
  <c r="AL9" i="119"/>
  <c r="AN9" i="119" s="1"/>
  <c r="AH8" i="72" s="1"/>
  <c r="AL47" i="120"/>
  <c r="AN47" i="120" s="1"/>
  <c r="AI46" i="72" s="1"/>
  <c r="AF64" i="120"/>
  <c r="AG64" i="120" s="1"/>
  <c r="AH64" i="120" s="1"/>
  <c r="M63" i="72" s="1"/>
  <c r="AL65" i="126"/>
  <c r="AN65" i="126" s="1"/>
  <c r="AK64" i="72" s="1"/>
  <c r="AL33" i="126"/>
  <c r="AN33" i="126" s="1"/>
  <c r="AK32" i="72" s="1"/>
  <c r="AL25" i="126"/>
  <c r="AN25" i="126" s="1"/>
  <c r="AK24" i="72" s="1"/>
  <c r="AL17" i="126"/>
  <c r="AN17" i="126" s="1"/>
  <c r="AK16" i="72" s="1"/>
  <c r="AL53" i="127"/>
  <c r="AN53" i="127" s="1"/>
  <c r="AL52" i="72" s="1"/>
  <c r="AL17" i="127"/>
  <c r="AN17" i="127" s="1"/>
  <c r="AL16" i="72" s="1"/>
  <c r="AL73" i="128"/>
  <c r="AN73" i="128" s="1"/>
  <c r="AM72" i="72" s="1"/>
  <c r="AL53" i="128"/>
  <c r="AN53" i="128" s="1"/>
  <c r="AM52" i="72" s="1"/>
  <c r="AL45" i="128"/>
  <c r="AN45" i="128" s="1"/>
  <c r="AM44" i="72" s="1"/>
  <c r="AL17" i="128"/>
  <c r="AN17" i="128" s="1"/>
  <c r="AM16" i="72" s="1"/>
  <c r="AL69" i="129"/>
  <c r="AN69" i="129" s="1"/>
  <c r="AN68" i="72" s="1"/>
  <c r="AL37" i="129"/>
  <c r="AN37" i="129" s="1"/>
  <c r="AN36" i="72" s="1"/>
  <c r="AL25" i="129"/>
  <c r="AN25" i="129" s="1"/>
  <c r="AN24" i="72" s="1"/>
  <c r="AL17" i="129"/>
  <c r="AN17" i="129" s="1"/>
  <c r="AN16" i="72" s="1"/>
  <c r="AL9" i="129"/>
  <c r="AN9" i="129" s="1"/>
  <c r="AN8" i="72" s="1"/>
  <c r="AL65" i="131"/>
  <c r="AN65" i="131" s="1"/>
  <c r="AO64" i="72" s="1"/>
  <c r="AL45" i="131"/>
  <c r="AN45" i="131" s="1"/>
  <c r="AO44" i="72" s="1"/>
  <c r="AL21" i="131"/>
  <c r="AN21" i="131" s="1"/>
  <c r="AO20" i="72" s="1"/>
  <c r="AL13" i="131"/>
  <c r="AN13" i="131" s="1"/>
  <c r="AO12" i="72" s="1"/>
  <c r="AL9" i="131"/>
  <c r="AN9" i="131" s="1"/>
  <c r="AO8" i="72" s="1"/>
  <c r="AL53" i="125"/>
  <c r="AN53" i="125" s="1"/>
  <c r="AJ52" i="72" s="1"/>
  <c r="AL41" i="125"/>
  <c r="AN41" i="125" s="1"/>
  <c r="AJ40" i="72" s="1"/>
  <c r="AL33" i="125"/>
  <c r="AN33" i="125" s="1"/>
  <c r="AJ32" i="72" s="1"/>
  <c r="AL25" i="125"/>
  <c r="AN25" i="125" s="1"/>
  <c r="AJ24" i="72" s="1"/>
  <c r="AL17" i="125"/>
  <c r="AN17" i="125" s="1"/>
  <c r="AJ16" i="72" s="1"/>
  <c r="AL9" i="125"/>
  <c r="AN9" i="125" s="1"/>
  <c r="AJ8" i="72" s="1"/>
  <c r="AF51" i="120"/>
  <c r="AG51" i="120" s="1"/>
  <c r="AH51" i="120" s="1"/>
  <c r="M50" i="72" s="1"/>
  <c r="AL40" i="119"/>
  <c r="AN40" i="119" s="1"/>
  <c r="AH39" i="72" s="1"/>
  <c r="AL69" i="114"/>
  <c r="AN69" i="114" s="1"/>
  <c r="AC68" i="72" s="1"/>
  <c r="AM19" i="80"/>
  <c r="AO19" i="80" s="1"/>
  <c r="AQ20" i="72" s="1"/>
  <c r="AM41" i="80"/>
  <c r="AO41" i="80" s="1"/>
  <c r="AQ42" i="72" s="1"/>
  <c r="AM61" i="80"/>
  <c r="AO61" i="80" s="1"/>
  <c r="AQ62" i="72" s="1"/>
  <c r="AM21" i="80"/>
  <c r="AO21" i="80" s="1"/>
  <c r="AQ22" i="72" s="1"/>
  <c r="AL73" i="126"/>
  <c r="AN73" i="126" s="1"/>
  <c r="AK72" i="72" s="1"/>
  <c r="AL31" i="120"/>
  <c r="AN31" i="120" s="1"/>
  <c r="AI30" i="72" s="1"/>
  <c r="AL8" i="119"/>
  <c r="AL37" i="118"/>
  <c r="AN37" i="118" s="1"/>
  <c r="AG36" i="72" s="1"/>
  <c r="AF25" i="118"/>
  <c r="AG25" i="118" s="1"/>
  <c r="AH25" i="118" s="1"/>
  <c r="K24" i="72" s="1"/>
  <c r="AL9" i="118"/>
  <c r="AN9" i="118" s="1"/>
  <c r="AG8" i="72" s="1"/>
  <c r="AL58" i="115"/>
  <c r="AN58" i="115" s="1"/>
  <c r="AD57" i="72" s="1"/>
  <c r="AL12" i="116"/>
  <c r="AN12" i="116" s="1"/>
  <c r="AE11" i="72" s="1"/>
  <c r="AL73" i="114"/>
  <c r="AN73" i="114" s="1"/>
  <c r="AC72" i="72" s="1"/>
  <c r="AL49" i="114"/>
  <c r="AN49" i="114" s="1"/>
  <c r="AC48" i="72" s="1"/>
  <c r="AL29" i="114"/>
  <c r="AN29" i="114" s="1"/>
  <c r="AC28" i="72" s="1"/>
  <c r="AL62" i="113"/>
  <c r="AN62" i="113" s="1"/>
  <c r="AB61" i="72" s="1"/>
  <c r="AF54" i="113"/>
  <c r="AG54" i="113" s="1"/>
  <c r="AH54" i="113" s="1"/>
  <c r="F53" i="72" s="1"/>
  <c r="AL42" i="113"/>
  <c r="AN42" i="113" s="1"/>
  <c r="AB41" i="72" s="1"/>
  <c r="AL30" i="113"/>
  <c r="AN30" i="113" s="1"/>
  <c r="AB29" i="72" s="1"/>
  <c r="AL23" i="120"/>
  <c r="AN23" i="120" s="1"/>
  <c r="AI22" i="72" s="1"/>
  <c r="AL39" i="116"/>
  <c r="AN39" i="116" s="1"/>
  <c r="AE38" i="72" s="1"/>
  <c r="AF11" i="113"/>
  <c r="AG11" i="113" s="1"/>
  <c r="AH11" i="113" s="1"/>
  <c r="F10" i="72" s="1"/>
  <c r="AM30" i="80"/>
  <c r="AO30" i="80" s="1"/>
  <c r="AQ31" i="72" s="1"/>
  <c r="AM71" i="80"/>
  <c r="AO71" i="80" s="1"/>
  <c r="AQ72" i="72" s="1"/>
  <c r="AL62" i="116"/>
  <c r="AN62" i="116" s="1"/>
  <c r="AE61" i="72" s="1"/>
  <c r="AN22" i="117"/>
  <c r="AP22" i="117" s="1"/>
  <c r="AF21" i="72" s="1"/>
  <c r="AM46" i="80"/>
  <c r="AO46" i="80" s="1"/>
  <c r="AQ47" i="72" s="1"/>
  <c r="AM63" i="80"/>
  <c r="AO63" i="80" s="1"/>
  <c r="AQ64" i="72" s="1"/>
  <c r="AM65" i="80"/>
  <c r="AO65" i="80" s="1"/>
  <c r="AQ66" i="72" s="1"/>
  <c r="AL12" i="119"/>
  <c r="AN12" i="119" s="1"/>
  <c r="AH11" i="72" s="1"/>
  <c r="AL73" i="118"/>
  <c r="AN73" i="118" s="1"/>
  <c r="AG72" i="72" s="1"/>
  <c r="AL13" i="118"/>
  <c r="AN13" i="118" s="1"/>
  <c r="AG12" i="72" s="1"/>
  <c r="AL62" i="115"/>
  <c r="AN62" i="115" s="1"/>
  <c r="AD61" i="72" s="1"/>
  <c r="AL30" i="115"/>
  <c r="AN30" i="115" s="1"/>
  <c r="AD29" i="72" s="1"/>
  <c r="AL14" i="115"/>
  <c r="AN14" i="115" s="1"/>
  <c r="AD13" i="72" s="1"/>
  <c r="AL10" i="115"/>
  <c r="AN10" i="115" s="1"/>
  <c r="AD9" i="72" s="1"/>
  <c r="AN71" i="117"/>
  <c r="AP71" i="117" s="1"/>
  <c r="AF70" i="72" s="1"/>
  <c r="AN59" i="117"/>
  <c r="AP59" i="117" s="1"/>
  <c r="AF58" i="72" s="1"/>
  <c r="AN43" i="117"/>
  <c r="AP43" i="117" s="1"/>
  <c r="AF42" i="72" s="1"/>
  <c r="AL64" i="116"/>
  <c r="AN64" i="116" s="1"/>
  <c r="AE63" i="72" s="1"/>
  <c r="AL60" i="116"/>
  <c r="AN60" i="116" s="1"/>
  <c r="AE59" i="72" s="1"/>
  <c r="AL32" i="116"/>
  <c r="AN32" i="116" s="1"/>
  <c r="AE31" i="72" s="1"/>
  <c r="AL33" i="114"/>
  <c r="AN33" i="114" s="1"/>
  <c r="AC32" i="72" s="1"/>
  <c r="AL17" i="114"/>
  <c r="AN17" i="114" s="1"/>
  <c r="AC16" i="72" s="1"/>
  <c r="AL18" i="113"/>
  <c r="AN18" i="113" s="1"/>
  <c r="AB17" i="72" s="1"/>
  <c r="AL23" i="119"/>
  <c r="AN23" i="119" s="1"/>
  <c r="AH22" i="72" s="1"/>
  <c r="AL74" i="120"/>
  <c r="AN74" i="120" s="1"/>
  <c r="AI73" i="72" s="1"/>
  <c r="AL63" i="128"/>
  <c r="AN63" i="128" s="1"/>
  <c r="AM62" i="72" s="1"/>
  <c r="AL34" i="126"/>
  <c r="AN34" i="126" s="1"/>
  <c r="AK33" i="72" s="1"/>
  <c r="AL19" i="126"/>
  <c r="AN19" i="126" s="1"/>
  <c r="AK18" i="72" s="1"/>
  <c r="AL16" i="127"/>
  <c r="AN16" i="127" s="1"/>
  <c r="AL15" i="72" s="1"/>
  <c r="AL40" i="127"/>
  <c r="AN40" i="127" s="1"/>
  <c r="AL39" i="72" s="1"/>
  <c r="AL14" i="128"/>
  <c r="AN14" i="128" s="1"/>
  <c r="AM13" i="72" s="1"/>
  <c r="AL38" i="128"/>
  <c r="AN38" i="128" s="1"/>
  <c r="AM37" i="72" s="1"/>
  <c r="AL30" i="125"/>
  <c r="AN30" i="125" s="1"/>
  <c r="AJ29" i="72" s="1"/>
  <c r="AL68" i="126"/>
  <c r="AN68" i="126" s="1"/>
  <c r="AK67" i="72" s="1"/>
  <c r="AL46" i="127"/>
  <c r="AN46" i="127" s="1"/>
  <c r="AL45" i="72" s="1"/>
  <c r="AL63" i="127"/>
  <c r="AN63" i="127" s="1"/>
  <c r="AL62" i="72" s="1"/>
  <c r="AL71" i="127"/>
  <c r="AN71" i="127" s="1"/>
  <c r="AL70" i="72" s="1"/>
  <c r="AL39" i="129"/>
  <c r="AN39" i="129" s="1"/>
  <c r="AN38" i="72" s="1"/>
  <c r="AL35" i="128"/>
  <c r="AN35" i="128" s="1"/>
  <c r="AM34" i="72" s="1"/>
  <c r="AF59" i="128"/>
  <c r="AG59" i="128" s="1"/>
  <c r="AH59" i="128" s="1"/>
  <c r="Q58" i="72" s="1"/>
  <c r="AL19" i="131"/>
  <c r="AN19" i="131" s="1"/>
  <c r="AO18" i="72" s="1"/>
  <c r="AL38" i="131"/>
  <c r="AN38" i="131" s="1"/>
  <c r="AO37" i="72" s="1"/>
  <c r="AL66" i="131"/>
  <c r="AN66" i="131" s="1"/>
  <c r="AO65" i="72" s="1"/>
  <c r="AL74" i="131"/>
  <c r="AN74" i="131" s="1"/>
  <c r="AO73" i="72" s="1"/>
  <c r="AG28" i="129"/>
  <c r="AH28" i="129" s="1"/>
  <c r="AF58" i="128"/>
  <c r="AG58" i="128" s="1"/>
  <c r="AH58" i="128" s="1"/>
  <c r="Q57" i="72" s="1"/>
  <c r="AG48" i="129"/>
  <c r="AH48" i="129" s="1"/>
  <c r="AG11" i="129"/>
  <c r="AH11" i="129" s="1"/>
  <c r="AF22" i="127"/>
  <c r="AG22" i="127" s="1"/>
  <c r="AH22" i="127" s="1"/>
  <c r="P21" i="72" s="1"/>
  <c r="AF46" i="126"/>
  <c r="AG46" i="126" s="1"/>
  <c r="AH46" i="126" s="1"/>
  <c r="O45" i="72" s="1"/>
  <c r="AF19" i="128"/>
  <c r="AG19" i="128" s="1"/>
  <c r="AH19" i="128" s="1"/>
  <c r="Q18" i="72" s="1"/>
  <c r="AF75" i="131"/>
  <c r="AG75" i="131" s="1"/>
  <c r="AH75" i="131" s="1"/>
  <c r="S74" i="72" s="1"/>
  <c r="AF43" i="127"/>
  <c r="AG43" i="127" s="1"/>
  <c r="AH43" i="127" s="1"/>
  <c r="P42" i="72" s="1"/>
  <c r="AF54" i="125"/>
  <c r="AG54" i="125" s="1"/>
  <c r="AH54" i="125" s="1"/>
  <c r="N53" i="72" s="1"/>
  <c r="AL23" i="131"/>
  <c r="AN23" i="131" s="1"/>
  <c r="AO22" i="72" s="1"/>
  <c r="AL20" i="125"/>
  <c r="AN20" i="125" s="1"/>
  <c r="AJ19" i="72" s="1"/>
  <c r="AL12" i="126"/>
  <c r="AN12" i="126" s="1"/>
  <c r="AK11" i="72" s="1"/>
  <c r="AL8" i="125"/>
  <c r="AL29" i="115"/>
  <c r="AN29" i="115" s="1"/>
  <c r="AD28" i="72" s="1"/>
  <c r="AL32" i="115"/>
  <c r="AN32" i="115" s="1"/>
  <c r="AD31" i="72" s="1"/>
  <c r="AL30" i="120"/>
  <c r="AN30" i="120" s="1"/>
  <c r="AI29" i="72" s="1"/>
  <c r="AN36" i="117"/>
  <c r="AP36" i="117" s="1"/>
  <c r="AF35" i="72" s="1"/>
  <c r="AL10" i="114"/>
  <c r="AN10" i="114" s="1"/>
  <c r="AC9" i="72" s="1"/>
  <c r="AF49" i="113"/>
  <c r="AG49" i="113" s="1"/>
  <c r="AH49" i="113" s="1"/>
  <c r="F48" i="72" s="1"/>
  <c r="AF33" i="120"/>
  <c r="AG33" i="120" s="1"/>
  <c r="AH33" i="120" s="1"/>
  <c r="M32" i="72" s="1"/>
  <c r="AF58" i="114"/>
  <c r="AG58" i="114" s="1"/>
  <c r="AH58" i="114" s="1"/>
  <c r="G57" i="72" s="1"/>
  <c r="AM72" i="80"/>
  <c r="AO72" i="80" s="1"/>
  <c r="AQ73" i="72" s="1"/>
  <c r="AM44" i="80"/>
  <c r="AO44" i="80" s="1"/>
  <c r="AQ45" i="72" s="1"/>
  <c r="AG24" i="129"/>
  <c r="AH24" i="129" s="1"/>
  <c r="AM15" i="80"/>
  <c r="AO15" i="80" s="1"/>
  <c r="AQ16" i="72" s="1"/>
  <c r="AL75" i="126"/>
  <c r="AN75" i="126" s="1"/>
  <c r="AK74" i="72" s="1"/>
  <c r="AL31" i="126"/>
  <c r="AN31" i="126" s="1"/>
  <c r="AK30" i="72" s="1"/>
  <c r="AL23" i="126"/>
  <c r="AN23" i="126" s="1"/>
  <c r="AK22" i="72" s="1"/>
  <c r="AF67" i="128"/>
  <c r="AG67" i="128" s="1"/>
  <c r="AH67" i="128" s="1"/>
  <c r="Q66" i="72" s="1"/>
  <c r="AF43" i="128"/>
  <c r="AG43" i="128" s="1"/>
  <c r="AH43" i="128" s="1"/>
  <c r="Q42" i="72" s="1"/>
  <c r="AL31" i="128"/>
  <c r="AN31" i="128" s="1"/>
  <c r="AM30" i="72" s="1"/>
  <c r="AL27" i="128"/>
  <c r="AN27" i="128" s="1"/>
  <c r="AM26" i="72" s="1"/>
  <c r="AL15" i="128"/>
  <c r="AN15" i="128" s="1"/>
  <c r="AM14" i="72" s="1"/>
  <c r="AL75" i="129"/>
  <c r="AN75" i="129" s="1"/>
  <c r="AN74" i="72" s="1"/>
  <c r="AL43" i="129"/>
  <c r="AN43" i="129" s="1"/>
  <c r="AN42" i="72" s="1"/>
  <c r="AL23" i="129"/>
  <c r="AN23" i="129" s="1"/>
  <c r="AN22" i="72" s="1"/>
  <c r="AL67" i="131"/>
  <c r="AN67" i="131" s="1"/>
  <c r="AO66" i="72" s="1"/>
  <c r="AL43" i="131"/>
  <c r="AN43" i="131" s="1"/>
  <c r="AO42" i="72" s="1"/>
  <c r="AL35" i="131"/>
  <c r="AN35" i="131" s="1"/>
  <c r="AO34" i="72" s="1"/>
  <c r="AL31" i="131"/>
  <c r="AN31" i="131" s="1"/>
  <c r="AO30" i="72" s="1"/>
  <c r="AL27" i="131"/>
  <c r="AN27" i="131" s="1"/>
  <c r="AO26" i="72" s="1"/>
  <c r="AL71" i="125"/>
  <c r="AN71" i="125" s="1"/>
  <c r="AJ70" i="72" s="1"/>
  <c r="AL63" i="125"/>
  <c r="AN63" i="125" s="1"/>
  <c r="AJ62" i="72" s="1"/>
  <c r="AL59" i="125"/>
  <c r="AN59" i="125" s="1"/>
  <c r="AJ58" i="72" s="1"/>
  <c r="AL39" i="125"/>
  <c r="AN39" i="125" s="1"/>
  <c r="AJ38" i="72" s="1"/>
  <c r="AL23" i="125"/>
  <c r="AN23" i="125" s="1"/>
  <c r="AJ22" i="72" s="1"/>
  <c r="AL15" i="125"/>
  <c r="AN15" i="125" s="1"/>
  <c r="AJ14" i="72" s="1"/>
  <c r="AL69" i="120"/>
  <c r="AN69" i="120" s="1"/>
  <c r="AI68" i="72" s="1"/>
  <c r="AL13" i="120"/>
  <c r="AN13" i="120" s="1"/>
  <c r="AI12" i="72" s="1"/>
  <c r="AL70" i="119"/>
  <c r="AN70" i="119" s="1"/>
  <c r="AH69" i="72" s="1"/>
  <c r="AL66" i="119"/>
  <c r="AN66" i="119" s="1"/>
  <c r="AH65" i="72" s="1"/>
  <c r="AL62" i="119"/>
  <c r="AN62" i="119" s="1"/>
  <c r="AH61" i="72" s="1"/>
  <c r="AL10" i="119"/>
  <c r="AN10" i="119" s="1"/>
  <c r="AH9" i="72" s="1"/>
  <c r="AL31" i="118"/>
  <c r="AN31" i="118" s="1"/>
  <c r="AG30" i="72" s="1"/>
  <c r="AL64" i="115"/>
  <c r="AN64" i="115" s="1"/>
  <c r="AD63" i="72" s="1"/>
  <c r="AL8" i="115"/>
  <c r="AN57" i="117"/>
  <c r="AP57" i="117" s="1"/>
  <c r="AF56" i="72" s="1"/>
  <c r="AN45" i="117"/>
  <c r="AP45" i="117" s="1"/>
  <c r="AF44" i="72" s="1"/>
  <c r="AN21" i="117"/>
  <c r="AP21" i="117" s="1"/>
  <c r="AF20" i="72" s="1"/>
  <c r="AN9" i="117"/>
  <c r="AP9" i="117" s="1"/>
  <c r="AF8" i="72" s="1"/>
  <c r="AF48" i="126"/>
  <c r="AG48" i="126" s="1"/>
  <c r="AH48" i="126" s="1"/>
  <c r="O47" i="72" s="1"/>
  <c r="AH40" i="117"/>
  <c r="AI40" i="117" s="1"/>
  <c r="AJ40" i="117" s="1"/>
  <c r="J39" i="72" s="1"/>
  <c r="AF42" i="126"/>
  <c r="AG42" i="126" s="1"/>
  <c r="AH42" i="126" s="1"/>
  <c r="O41" i="72" s="1"/>
  <c r="AL20" i="127"/>
  <c r="AN20" i="127" s="1"/>
  <c r="AL19" i="72" s="1"/>
  <c r="AL30" i="128"/>
  <c r="AN30" i="128" s="1"/>
  <c r="AM29" i="72" s="1"/>
  <c r="AL26" i="125"/>
  <c r="AN26" i="125" s="1"/>
  <c r="AJ25" i="72" s="1"/>
  <c r="AL76" i="125"/>
  <c r="AN76" i="125" s="1"/>
  <c r="AJ75" i="72" s="1"/>
  <c r="AL22" i="129"/>
  <c r="AN22" i="129" s="1"/>
  <c r="AN21" i="72" s="1"/>
  <c r="AL20" i="131"/>
  <c r="AN20" i="131" s="1"/>
  <c r="AO19" i="72" s="1"/>
  <c r="AG14" i="129"/>
  <c r="AH14" i="129" s="1"/>
  <c r="AG50" i="129"/>
  <c r="AH50" i="129" s="1"/>
  <c r="AL43" i="125"/>
  <c r="AN43" i="125" s="1"/>
  <c r="AJ42" i="72" s="1"/>
  <c r="AF54" i="131"/>
  <c r="AG54" i="131" s="1"/>
  <c r="AH54" i="131" s="1"/>
  <c r="S53" i="72" s="1"/>
  <c r="AF59" i="126"/>
  <c r="AG59" i="126" s="1"/>
  <c r="AH59" i="126" s="1"/>
  <c r="O58" i="72" s="1"/>
  <c r="AN34" i="117"/>
  <c r="AP34" i="117" s="1"/>
  <c r="AF33" i="72" s="1"/>
  <c r="AL33" i="113"/>
  <c r="AN33" i="113" s="1"/>
  <c r="AB32" i="72" s="1"/>
  <c r="AL75" i="119"/>
  <c r="AN75" i="119" s="1"/>
  <c r="AH74" i="72" s="1"/>
  <c r="AL57" i="113"/>
  <c r="AN57" i="113" s="1"/>
  <c r="AB56" i="72" s="1"/>
  <c r="AL58" i="118"/>
  <c r="AN58" i="118" s="1"/>
  <c r="AG57" i="72" s="1"/>
  <c r="AL48" i="120"/>
  <c r="AN48" i="120" s="1"/>
  <c r="AI47" i="72" s="1"/>
  <c r="AF12" i="120"/>
  <c r="AG12" i="120" s="1"/>
  <c r="AH12" i="120" s="1"/>
  <c r="M11" i="72" s="1"/>
  <c r="AM10" i="80"/>
  <c r="AO10" i="80" s="1"/>
  <c r="AQ11" i="72" s="1"/>
  <c r="AN42" i="117"/>
  <c r="AP42" i="117" s="1"/>
  <c r="AF41" i="72" s="1"/>
  <c r="AL27" i="113"/>
  <c r="AN27" i="113" s="1"/>
  <c r="AB26" i="72" s="1"/>
  <c r="AL69" i="113"/>
  <c r="AN69" i="113" s="1"/>
  <c r="AB68" i="72" s="1"/>
  <c r="AF25" i="116"/>
  <c r="AG25" i="116" s="1"/>
  <c r="AH25" i="116" s="1"/>
  <c r="I24" i="72" s="1"/>
  <c r="AL66" i="114"/>
  <c r="AN66" i="114" s="1"/>
  <c r="AC65" i="72" s="1"/>
  <c r="AL18" i="114"/>
  <c r="AN18" i="114" s="1"/>
  <c r="AC17" i="72" s="1"/>
  <c r="AL22" i="118"/>
  <c r="AN22" i="118" s="1"/>
  <c r="AG21" i="72" s="1"/>
  <c r="AL38" i="114"/>
  <c r="AN38" i="114" s="1"/>
  <c r="AC37" i="72" s="1"/>
  <c r="AL52" i="114"/>
  <c r="AN52" i="114" s="1"/>
  <c r="AC51" i="72" s="1"/>
  <c r="AL63" i="115"/>
  <c r="AN63" i="115" s="1"/>
  <c r="AD62" i="72" s="1"/>
  <c r="AL56" i="113"/>
  <c r="AN56" i="113" s="1"/>
  <c r="AB55" i="72" s="1"/>
  <c r="AL58" i="120"/>
  <c r="AN58" i="120" s="1"/>
  <c r="AI57" i="72" s="1"/>
  <c r="AL19" i="116"/>
  <c r="AN19" i="116" s="1"/>
  <c r="AE18" i="72" s="1"/>
  <c r="AL62" i="118"/>
  <c r="AN62" i="118" s="1"/>
  <c r="AG61" i="72" s="1"/>
  <c r="AL72" i="118"/>
  <c r="AN72" i="118" s="1"/>
  <c r="AG71" i="72" s="1"/>
  <c r="AN50" i="117"/>
  <c r="AP50" i="117" s="1"/>
  <c r="AF49" i="72" s="1"/>
  <c r="AL24" i="113"/>
  <c r="AN24" i="113" s="1"/>
  <c r="AB23" i="72" s="1"/>
  <c r="AN65" i="117"/>
  <c r="AP65" i="117" s="1"/>
  <c r="AF64" i="72" s="1"/>
  <c r="AL55" i="119"/>
  <c r="AN55" i="119" s="1"/>
  <c r="AH54" i="72" s="1"/>
  <c r="AL13" i="119"/>
  <c r="AN13" i="119" s="1"/>
  <c r="AH12" i="72" s="1"/>
  <c r="AL67" i="114"/>
  <c r="AN67" i="114" s="1"/>
  <c r="AC66" i="72" s="1"/>
  <c r="AL33" i="119"/>
  <c r="AN33" i="119" s="1"/>
  <c r="AH32" i="72" s="1"/>
  <c r="AL72" i="115"/>
  <c r="AN72" i="115" s="1"/>
  <c r="AD71" i="72" s="1"/>
  <c r="AL72" i="120"/>
  <c r="AN72" i="120" s="1"/>
  <c r="AI71" i="72" s="1"/>
  <c r="AL15" i="119"/>
  <c r="AN15" i="119" s="1"/>
  <c r="AH14" i="72" s="1"/>
  <c r="AL61" i="113"/>
  <c r="AN61" i="113" s="1"/>
  <c r="AB60" i="72" s="1"/>
  <c r="AL71" i="113"/>
  <c r="AN71" i="113" s="1"/>
  <c r="AB70" i="72" s="1"/>
  <c r="AL21" i="120"/>
  <c r="AN21" i="120" s="1"/>
  <c r="AI20" i="72" s="1"/>
  <c r="AL56" i="114"/>
  <c r="AN56" i="114" s="1"/>
  <c r="AC55" i="72" s="1"/>
  <c r="AN60" i="117"/>
  <c r="AP60" i="117" s="1"/>
  <c r="AF59" i="72" s="1"/>
  <c r="AL51" i="115"/>
  <c r="AN51" i="115" s="1"/>
  <c r="AD50" i="72" s="1"/>
  <c r="AL67" i="119"/>
  <c r="AN67" i="119" s="1"/>
  <c r="AH66" i="72" s="1"/>
  <c r="AL9" i="116"/>
  <c r="AN9" i="116" s="1"/>
  <c r="AE8" i="72" s="1"/>
  <c r="AM48" i="80"/>
  <c r="AO48" i="80" s="1"/>
  <c r="AQ49" i="72" s="1"/>
  <c r="AF40" i="120"/>
  <c r="AG40" i="120" s="1"/>
  <c r="AH40" i="120" s="1"/>
  <c r="M39" i="72" s="1"/>
  <c r="AN38" i="117"/>
  <c r="AP38" i="117" s="1"/>
  <c r="AF37" i="72" s="1"/>
  <c r="AL24" i="118"/>
  <c r="AN24" i="118" s="1"/>
  <c r="AG23" i="72" s="1"/>
  <c r="AF76" i="114"/>
  <c r="AG76" i="114" s="1"/>
  <c r="AH76" i="114" s="1"/>
  <c r="G75" i="72" s="1"/>
  <c r="AN20" i="117"/>
  <c r="AP20" i="117" s="1"/>
  <c r="AF19" i="72" s="1"/>
  <c r="AM68" i="80"/>
  <c r="AO68" i="80" s="1"/>
  <c r="AQ69" i="72" s="1"/>
  <c r="AL54" i="120"/>
  <c r="AN54" i="120" s="1"/>
  <c r="AI53" i="72" s="1"/>
  <c r="AL74" i="114"/>
  <c r="AN74" i="114" s="1"/>
  <c r="AC73" i="72" s="1"/>
  <c r="AM23" i="80"/>
  <c r="AO23" i="80" s="1"/>
  <c r="AQ24" i="72" s="1"/>
  <c r="AL68" i="120"/>
  <c r="AN68" i="120" s="1"/>
  <c r="AI67" i="72" s="1"/>
  <c r="AN30" i="117"/>
  <c r="AP30" i="117" s="1"/>
  <c r="AF29" i="72" s="1"/>
  <c r="AL37" i="116"/>
  <c r="AN37" i="116" s="1"/>
  <c r="AE36" i="72" s="1"/>
  <c r="AL41" i="120"/>
  <c r="AN41" i="120" s="1"/>
  <c r="AI40" i="72" s="1"/>
  <c r="AL23" i="118"/>
  <c r="AN23" i="118" s="1"/>
  <c r="AG22" i="72" s="1"/>
  <c r="AM36" i="80"/>
  <c r="AO36" i="80" s="1"/>
  <c r="AQ37" i="72" s="1"/>
  <c r="AL10" i="120"/>
  <c r="AN10" i="120" s="1"/>
  <c r="AI9" i="72" s="1"/>
  <c r="AL24" i="125"/>
  <c r="AN24" i="125" s="1"/>
  <c r="AJ23" i="72" s="1"/>
  <c r="AL68" i="125"/>
  <c r="AN68" i="125" s="1"/>
  <c r="AJ67" i="72" s="1"/>
  <c r="AF64" i="128"/>
  <c r="AG64" i="128" s="1"/>
  <c r="AH64" i="128" s="1"/>
  <c r="Q63" i="72" s="1"/>
  <c r="AL54" i="128"/>
  <c r="AN54" i="128" s="1"/>
  <c r="AM53" i="72" s="1"/>
  <c r="AL18" i="128"/>
  <c r="AN18" i="128" s="1"/>
  <c r="AM17" i="72" s="1"/>
  <c r="AF56" i="128"/>
  <c r="AG56" i="128" s="1"/>
  <c r="AH56" i="128" s="1"/>
  <c r="Q55" i="72" s="1"/>
  <c r="AL22" i="128"/>
  <c r="AN22" i="128" s="1"/>
  <c r="AM21" i="72" s="1"/>
  <c r="AL71" i="128"/>
  <c r="AN71" i="128" s="1"/>
  <c r="AM70" i="72" s="1"/>
  <c r="AL68" i="128"/>
  <c r="AN68" i="128" s="1"/>
  <c r="AM67" i="72" s="1"/>
  <c r="AF16" i="128"/>
  <c r="AG16" i="128" s="1"/>
  <c r="AH16" i="128" s="1"/>
  <c r="Q15" i="72" s="1"/>
  <c r="AF22" i="131"/>
  <c r="AG22" i="131" s="1"/>
  <c r="AH22" i="131" s="1"/>
  <c r="S21" i="72" s="1"/>
  <c r="AL32" i="127"/>
  <c r="AN32" i="127" s="1"/>
  <c r="AL31" i="72" s="1"/>
  <c r="AL47" i="127"/>
  <c r="AN47" i="127" s="1"/>
  <c r="AL46" i="72" s="1"/>
  <c r="AL62" i="129"/>
  <c r="AN62" i="129" s="1"/>
  <c r="AN61" i="72" s="1"/>
  <c r="AG12" i="129"/>
  <c r="AH12" i="129" s="1"/>
  <c r="AF56" i="126"/>
  <c r="AG56" i="126" s="1"/>
  <c r="AH56" i="126" s="1"/>
  <c r="O55" i="72" s="1"/>
  <c r="AL30" i="126"/>
  <c r="AN30" i="126" s="1"/>
  <c r="AK29" i="72" s="1"/>
  <c r="AL28" i="129"/>
  <c r="AN28" i="129" s="1"/>
  <c r="AN27" i="72" s="1"/>
  <c r="AL39" i="126"/>
  <c r="AN39" i="126" s="1"/>
  <c r="AK38" i="72" s="1"/>
  <c r="AL35" i="127"/>
  <c r="AN35" i="127" s="1"/>
  <c r="AL34" i="72" s="1"/>
  <c r="AL10" i="127"/>
  <c r="AN10" i="127" s="1"/>
  <c r="AL9" i="72" s="1"/>
  <c r="AL75" i="131"/>
  <c r="AN75" i="131" s="1"/>
  <c r="AO74" i="72" s="1"/>
  <c r="AL16" i="131"/>
  <c r="AN16" i="131" s="1"/>
  <c r="AO15" i="72" s="1"/>
  <c r="AL44" i="125"/>
  <c r="AN44" i="125" s="1"/>
  <c r="AJ43" i="72" s="1"/>
  <c r="AL58" i="126"/>
  <c r="AN58" i="126" s="1"/>
  <c r="AK57" i="72" s="1"/>
  <c r="AF72" i="125"/>
  <c r="AG72" i="125" s="1"/>
  <c r="AH72" i="125" s="1"/>
  <c r="N71" i="72" s="1"/>
  <c r="AL59" i="126"/>
  <c r="AN59" i="126" s="1"/>
  <c r="AK58" i="72" s="1"/>
  <c r="AF16" i="125"/>
  <c r="AG16" i="125" s="1"/>
  <c r="AH16" i="125" s="1"/>
  <c r="N15" i="72" s="1"/>
  <c r="AL59" i="127"/>
  <c r="AN59" i="127" s="1"/>
  <c r="AL58" i="72" s="1"/>
  <c r="AF27" i="127"/>
  <c r="AG27" i="127" s="1"/>
  <c r="AH27" i="127" s="1"/>
  <c r="P26" i="72" s="1"/>
  <c r="AG54" i="129"/>
  <c r="AH54" i="129" s="1"/>
  <c r="AL66" i="129"/>
  <c r="AN66" i="129" s="1"/>
  <c r="AN65" i="72" s="1"/>
  <c r="AG44" i="129"/>
  <c r="AH44" i="129" s="1"/>
  <c r="AL52" i="131"/>
  <c r="AN52" i="131" s="1"/>
  <c r="AO51" i="72" s="1"/>
  <c r="AL26" i="131"/>
  <c r="AN26" i="131" s="1"/>
  <c r="AO25" i="72" s="1"/>
  <c r="AL24" i="127"/>
  <c r="AN24" i="127" s="1"/>
  <c r="AL23" i="72" s="1"/>
  <c r="AL36" i="125"/>
  <c r="AN36" i="125" s="1"/>
  <c r="AJ35" i="72" s="1"/>
  <c r="AL40" i="128"/>
  <c r="AN40" i="128" s="1"/>
  <c r="AM39" i="72" s="1"/>
  <c r="AL70" i="129"/>
  <c r="AN70" i="129" s="1"/>
  <c r="AN69" i="72" s="1"/>
  <c r="AF26" i="127"/>
  <c r="AG26" i="127" s="1"/>
  <c r="AH26" i="127" s="1"/>
  <c r="P25" i="72" s="1"/>
  <c r="AF40" i="131"/>
  <c r="AG40" i="131" s="1"/>
  <c r="AH40" i="131" s="1"/>
  <c r="S39" i="72" s="1"/>
  <c r="AL18" i="125"/>
  <c r="AN18" i="125" s="1"/>
  <c r="AJ17" i="72" s="1"/>
  <c r="AL12" i="128"/>
  <c r="AN12" i="128" s="1"/>
  <c r="AM11" i="72" s="1"/>
  <c r="AL62" i="127"/>
  <c r="AN62" i="127" s="1"/>
  <c r="AL61" i="72" s="1"/>
  <c r="AF44" i="131"/>
  <c r="AG44" i="131" s="1"/>
  <c r="AH44" i="131" s="1"/>
  <c r="S43" i="72" s="1"/>
  <c r="AG16" i="129"/>
  <c r="AH16" i="129" s="1"/>
  <c r="AF68" i="127"/>
  <c r="AG68" i="127" s="1"/>
  <c r="AH68" i="127" s="1"/>
  <c r="P67" i="72" s="1"/>
  <c r="AL44" i="131"/>
  <c r="AN44" i="131" s="1"/>
  <c r="AO43" i="72" s="1"/>
  <c r="AL72" i="125"/>
  <c r="AN72" i="125" s="1"/>
  <c r="AJ71" i="72" s="1"/>
  <c r="AL14" i="129"/>
  <c r="AN14" i="129" s="1"/>
  <c r="AN13" i="72" s="1"/>
  <c r="AL70" i="127"/>
  <c r="AN70" i="127" s="1"/>
  <c r="AL69" i="72" s="1"/>
  <c r="AF76" i="131"/>
  <c r="AG76" i="131" s="1"/>
  <c r="AH76" i="131" s="1"/>
  <c r="S75" i="72" s="1"/>
  <c r="AN8" i="113"/>
  <c r="AN8" i="118"/>
  <c r="R33" i="72"/>
  <c r="AJ34" i="129"/>
  <c r="AP8" i="117"/>
  <c r="AC7" i="72"/>
  <c r="AL45" i="129"/>
  <c r="AN45" i="129" s="1"/>
  <c r="AN44" i="72" s="1"/>
  <c r="AF56" i="131"/>
  <c r="AG56" i="131" s="1"/>
  <c r="AH56" i="131" s="1"/>
  <c r="S55" i="72" s="1"/>
  <c r="AN8" i="127"/>
  <c r="AG52" i="129"/>
  <c r="AH52" i="129" s="1"/>
  <c r="AG60" i="129"/>
  <c r="AH60" i="129" s="1"/>
  <c r="AF18" i="125"/>
  <c r="AG18" i="125" s="1"/>
  <c r="AH18" i="125" s="1"/>
  <c r="N17" i="72" s="1"/>
  <c r="AL12" i="115"/>
  <c r="AN12" i="115" s="1"/>
  <c r="AD11" i="72" s="1"/>
  <c r="AL8" i="131"/>
  <c r="AF38" i="125"/>
  <c r="AG38" i="125" s="1"/>
  <c r="AH38" i="125" s="1"/>
  <c r="N37" i="72" s="1"/>
  <c r="AG26" i="129"/>
  <c r="AH26" i="129" s="1"/>
  <c r="AN8" i="129"/>
  <c r="AL65" i="115"/>
  <c r="AN65" i="115" s="1"/>
  <c r="AD64" i="72" s="1"/>
  <c r="AL41" i="119"/>
  <c r="AN41" i="119" s="1"/>
  <c r="AH40" i="72" s="1"/>
  <c r="AN70" i="117"/>
  <c r="AP70" i="117" s="1"/>
  <c r="AF69" i="72" s="1"/>
  <c r="AL69" i="116"/>
  <c r="AN69" i="116" s="1"/>
  <c r="AE68" i="72" s="1"/>
  <c r="AF71" i="116"/>
  <c r="AG71" i="116" s="1"/>
  <c r="AH71" i="116" s="1"/>
  <c r="I70" i="72" s="1"/>
  <c r="AL31" i="116"/>
  <c r="AN31" i="116" s="1"/>
  <c r="AE30" i="72" s="1"/>
  <c r="AL42" i="120"/>
  <c r="AN42" i="120" s="1"/>
  <c r="AI41" i="72" s="1"/>
  <c r="AL75" i="118"/>
  <c r="AN75" i="118" s="1"/>
  <c r="AG74" i="72" s="1"/>
  <c r="AH29" i="117"/>
  <c r="AI29" i="117" s="1"/>
  <c r="AJ29" i="117" s="1"/>
  <c r="J28" i="72" s="1"/>
  <c r="AF39" i="118"/>
  <c r="AG39" i="118" s="1"/>
  <c r="AH39" i="118" s="1"/>
  <c r="K38" i="72" s="1"/>
  <c r="AF70" i="114"/>
  <c r="AG70" i="114" s="1"/>
  <c r="AH70" i="114" s="1"/>
  <c r="G69" i="72" s="1"/>
  <c r="AL9" i="115"/>
  <c r="AN9" i="115" s="1"/>
  <c r="AD8" i="72" s="1"/>
  <c r="AF31" i="115"/>
  <c r="AG31" i="115" s="1"/>
  <c r="AH31" i="115" s="1"/>
  <c r="H30" i="72" s="1"/>
  <c r="AL53" i="120"/>
  <c r="AN53" i="120" s="1"/>
  <c r="AI52" i="72" s="1"/>
  <c r="AL44" i="119"/>
  <c r="AN44" i="119" s="1"/>
  <c r="AH43" i="72" s="1"/>
  <c r="AL44" i="118"/>
  <c r="AN44" i="118" s="1"/>
  <c r="AG43" i="72" s="1"/>
  <c r="AL29" i="113"/>
  <c r="AN29" i="113" s="1"/>
  <c r="AB28" i="72" s="1"/>
  <c r="AF50" i="118"/>
  <c r="AG50" i="118" s="1"/>
  <c r="AH50" i="118" s="1"/>
  <c r="K49" i="72" s="1"/>
  <c r="AF17" i="113"/>
  <c r="AG17" i="113" s="1"/>
  <c r="AH17" i="113" s="1"/>
  <c r="F16" i="72" s="1"/>
  <c r="AH10" i="117"/>
  <c r="AI10" i="117" s="1"/>
  <c r="AJ10" i="117" s="1"/>
  <c r="J9" i="72" s="1"/>
  <c r="AF30" i="116"/>
  <c r="AG30" i="116" s="1"/>
  <c r="AH30" i="116" s="1"/>
  <c r="I29" i="72" s="1"/>
  <c r="AL16" i="119"/>
  <c r="AN16" i="119" s="1"/>
  <c r="AH15" i="72" s="1"/>
  <c r="AF52" i="116"/>
  <c r="AG52" i="116" s="1"/>
  <c r="AH52" i="116" s="1"/>
  <c r="I51" i="72" s="1"/>
  <c r="AL73" i="115"/>
  <c r="AN73" i="115" s="1"/>
  <c r="AD72" i="72" s="1"/>
  <c r="AL28" i="115"/>
  <c r="AN28" i="115" s="1"/>
  <c r="AD27" i="72" s="1"/>
  <c r="AL54" i="115"/>
  <c r="AN54" i="115" s="1"/>
  <c r="AD53" i="72" s="1"/>
  <c r="AL66" i="115"/>
  <c r="AN66" i="115" s="1"/>
  <c r="AD65" i="72" s="1"/>
  <c r="AL17" i="115"/>
  <c r="AN17" i="115" s="1"/>
  <c r="AD16" i="72" s="1"/>
  <c r="AL57" i="115"/>
  <c r="AN57" i="115" s="1"/>
  <c r="AD56" i="72" s="1"/>
  <c r="AL67" i="115"/>
  <c r="AN67" i="115" s="1"/>
  <c r="AD66" i="72" s="1"/>
  <c r="AL61" i="115"/>
  <c r="AN61" i="115" s="1"/>
  <c r="AD60" i="72" s="1"/>
  <c r="AL59" i="115"/>
  <c r="AN59" i="115" s="1"/>
  <c r="AD58" i="72" s="1"/>
  <c r="AL70" i="115"/>
  <c r="AN70" i="115" s="1"/>
  <c r="AD69" i="72" s="1"/>
  <c r="AL13" i="113"/>
  <c r="AN13" i="113" s="1"/>
  <c r="AB12" i="72" s="1"/>
  <c r="AL16" i="120"/>
  <c r="AN16" i="120" s="1"/>
  <c r="AI15" i="72" s="1"/>
  <c r="AF15" i="114"/>
  <c r="AG15" i="114" s="1"/>
  <c r="AH15" i="114" s="1"/>
  <c r="G14" i="72" s="1"/>
  <c r="AM6" i="80"/>
  <c r="AN54" i="117"/>
  <c r="AP54" i="117" s="1"/>
  <c r="AF53" i="72" s="1"/>
  <c r="AL59" i="120"/>
  <c r="AN59" i="120" s="1"/>
  <c r="AI58" i="72" s="1"/>
  <c r="AL59" i="119"/>
  <c r="AN59" i="119" s="1"/>
  <c r="AH58" i="72" s="1"/>
  <c r="AN53" i="117"/>
  <c r="AP53" i="117" s="1"/>
  <c r="AF52" i="72" s="1"/>
  <c r="AF70" i="118"/>
  <c r="AG70" i="118" s="1"/>
  <c r="AH70" i="118" s="1"/>
  <c r="K69" i="72" s="1"/>
  <c r="AF48" i="118"/>
  <c r="AG48" i="118" s="1"/>
  <c r="AH48" i="118" s="1"/>
  <c r="K47" i="72" s="1"/>
  <c r="AF23" i="113"/>
  <c r="AG23" i="113" s="1"/>
  <c r="AH23" i="113" s="1"/>
  <c r="F22" i="72" s="1"/>
  <c r="AL37" i="113"/>
  <c r="AN37" i="113" s="1"/>
  <c r="AB36" i="72" s="1"/>
  <c r="AF68" i="113"/>
  <c r="AG68" i="113" s="1"/>
  <c r="AH68" i="113" s="1"/>
  <c r="F67" i="72" s="1"/>
  <c r="AF63" i="113"/>
  <c r="AG63" i="113" s="1"/>
  <c r="AH63" i="113" s="1"/>
  <c r="F62" i="72" s="1"/>
  <c r="AF76" i="113"/>
  <c r="AG76" i="113" s="1"/>
  <c r="AH76" i="113" s="1"/>
  <c r="F75" i="72" s="1"/>
  <c r="AF74" i="113"/>
  <c r="AG74" i="113" s="1"/>
  <c r="AH74" i="113" s="1"/>
  <c r="F73" i="72" s="1"/>
  <c r="AF9" i="113"/>
  <c r="AG9" i="113" s="1"/>
  <c r="AH9" i="113" s="1"/>
  <c r="F8" i="72" s="1"/>
  <c r="AF40" i="114"/>
  <c r="AG40" i="114" s="1"/>
  <c r="AH40" i="114" s="1"/>
  <c r="G39" i="72" s="1"/>
  <c r="AF72" i="114"/>
  <c r="AG72" i="114" s="1"/>
  <c r="AH72" i="114" s="1"/>
  <c r="G71" i="72" s="1"/>
  <c r="AL23" i="114"/>
  <c r="AN23" i="114" s="1"/>
  <c r="AC22" i="72" s="1"/>
  <c r="AL20" i="114"/>
  <c r="AN20" i="114" s="1"/>
  <c r="AC19" i="72" s="1"/>
  <c r="AF62" i="114"/>
  <c r="AG62" i="114" s="1"/>
  <c r="AH62" i="114" s="1"/>
  <c r="G61" i="72" s="1"/>
  <c r="AL45" i="115"/>
  <c r="AN45" i="115" s="1"/>
  <c r="AD44" i="72" s="1"/>
  <c r="AF52" i="115"/>
  <c r="AG52" i="115" s="1"/>
  <c r="AH52" i="115" s="1"/>
  <c r="H51" i="72" s="1"/>
  <c r="AL50" i="115"/>
  <c r="AN50" i="115" s="1"/>
  <c r="AD49" i="72" s="1"/>
  <c r="AF43" i="115"/>
  <c r="AG43" i="115" s="1"/>
  <c r="AH43" i="115" s="1"/>
  <c r="H42" i="72" s="1"/>
  <c r="AL40" i="115"/>
  <c r="AN40" i="115" s="1"/>
  <c r="AD39" i="72" s="1"/>
  <c r="AF60" i="115"/>
  <c r="AG60" i="115" s="1"/>
  <c r="AH60" i="115" s="1"/>
  <c r="H59" i="72" s="1"/>
  <c r="AF53" i="115"/>
  <c r="AG53" i="115" s="1"/>
  <c r="AH53" i="115" s="1"/>
  <c r="H52" i="72" s="1"/>
  <c r="AF50" i="116"/>
  <c r="AG50" i="116" s="1"/>
  <c r="AH50" i="116" s="1"/>
  <c r="I49" i="72" s="1"/>
  <c r="AL61" i="116"/>
  <c r="AN61" i="116" s="1"/>
  <c r="AE60" i="72" s="1"/>
  <c r="AL47" i="116"/>
  <c r="AN47" i="116" s="1"/>
  <c r="AE46" i="72" s="1"/>
  <c r="AL59" i="116"/>
  <c r="AN59" i="116" s="1"/>
  <c r="AE58" i="72" s="1"/>
  <c r="AF27" i="116"/>
  <c r="AG27" i="116" s="1"/>
  <c r="AH27" i="116" s="1"/>
  <c r="I26" i="72" s="1"/>
  <c r="AH75" i="117"/>
  <c r="AI75" i="117" s="1"/>
  <c r="AJ75" i="117" s="1"/>
  <c r="J74" i="72" s="1"/>
  <c r="AH68" i="117"/>
  <c r="AI68" i="117" s="1"/>
  <c r="AJ68" i="117" s="1"/>
  <c r="J67" i="72" s="1"/>
  <c r="AN18" i="117"/>
  <c r="AP18" i="117" s="1"/>
  <c r="AF17" i="72" s="1"/>
  <c r="AH64" i="117"/>
  <c r="AI64" i="117" s="1"/>
  <c r="AJ64" i="117" s="1"/>
  <c r="J63" i="72" s="1"/>
  <c r="AF59" i="118"/>
  <c r="AG59" i="118" s="1"/>
  <c r="AH59" i="118" s="1"/>
  <c r="K58" i="72" s="1"/>
  <c r="AL47" i="118"/>
  <c r="AN47" i="118" s="1"/>
  <c r="AG46" i="72" s="1"/>
  <c r="AL66" i="118"/>
  <c r="AN66" i="118" s="1"/>
  <c r="AG65" i="72" s="1"/>
  <c r="AL65" i="118"/>
  <c r="AN65" i="118" s="1"/>
  <c r="AG64" i="72" s="1"/>
  <c r="AF55" i="118"/>
  <c r="AG55" i="118" s="1"/>
  <c r="AH55" i="118" s="1"/>
  <c r="K54" i="72" s="1"/>
  <c r="AF20" i="118"/>
  <c r="AG20" i="118" s="1"/>
  <c r="AH20" i="118" s="1"/>
  <c r="K19" i="72" s="1"/>
  <c r="AL27" i="118"/>
  <c r="AN27" i="118" s="1"/>
  <c r="AG26" i="72" s="1"/>
  <c r="AL40" i="118"/>
  <c r="AN40" i="118" s="1"/>
  <c r="AG39" i="72" s="1"/>
  <c r="AF45" i="118"/>
  <c r="AG45" i="118" s="1"/>
  <c r="AH45" i="118" s="1"/>
  <c r="K44" i="72" s="1"/>
  <c r="AL22" i="119"/>
  <c r="AN22" i="119" s="1"/>
  <c r="AH21" i="72" s="1"/>
  <c r="AL26" i="119"/>
  <c r="AN26" i="119" s="1"/>
  <c r="AH25" i="72" s="1"/>
  <c r="AL37" i="119"/>
  <c r="AN37" i="119" s="1"/>
  <c r="AH36" i="72" s="1"/>
  <c r="AL71" i="119"/>
  <c r="AN71" i="119" s="1"/>
  <c r="AH70" i="72" s="1"/>
  <c r="AL35" i="119"/>
  <c r="AN35" i="119" s="1"/>
  <c r="AH34" i="72" s="1"/>
  <c r="AF66" i="120"/>
  <c r="AG66" i="120" s="1"/>
  <c r="AH66" i="120" s="1"/>
  <c r="M65" i="72" s="1"/>
  <c r="AF75" i="120"/>
  <c r="AG75" i="120" s="1"/>
  <c r="AH75" i="120" s="1"/>
  <c r="M74" i="72" s="1"/>
  <c r="AL38" i="120"/>
  <c r="AN38" i="120" s="1"/>
  <c r="AI37" i="72" s="1"/>
  <c r="AL49" i="120"/>
  <c r="AN49" i="120" s="1"/>
  <c r="AI48" i="72" s="1"/>
  <c r="AL24" i="120"/>
  <c r="AN24" i="120" s="1"/>
  <c r="AI23" i="72" s="1"/>
  <c r="AL70" i="120"/>
  <c r="AN70" i="120" s="1"/>
  <c r="AI69" i="72" s="1"/>
  <c r="AF9" i="120"/>
  <c r="AG9" i="120" s="1"/>
  <c r="AH9" i="120" s="1"/>
  <c r="M8" i="72" s="1"/>
  <c r="AF28" i="120"/>
  <c r="AG28" i="120" s="1"/>
  <c r="AH28" i="120" s="1"/>
  <c r="M27" i="72" s="1"/>
  <c r="AF25" i="120"/>
  <c r="AG25" i="120" s="1"/>
  <c r="AH25" i="120" s="1"/>
  <c r="M24" i="72" s="1"/>
  <c r="AM9" i="80"/>
  <c r="AO9" i="80" s="1"/>
  <c r="AQ10" i="72" s="1"/>
  <c r="AM20" i="80"/>
  <c r="AO20" i="80" s="1"/>
  <c r="AQ21" i="72" s="1"/>
  <c r="AM59" i="80"/>
  <c r="AO59" i="80" s="1"/>
  <c r="AQ60" i="72" s="1"/>
  <c r="AF44" i="127"/>
  <c r="AG44" i="127" s="1"/>
  <c r="AH44" i="127" s="1"/>
  <c r="P43" i="72" s="1"/>
  <c r="AF47" i="115"/>
  <c r="AG47" i="115" s="1"/>
  <c r="AH47" i="115" s="1"/>
  <c r="H46" i="72" s="1"/>
  <c r="AF42" i="114"/>
  <c r="AG42" i="114" s="1"/>
  <c r="AH42" i="114" s="1"/>
  <c r="G41" i="72" s="1"/>
  <c r="AG51" i="129"/>
  <c r="AH51" i="129" s="1"/>
  <c r="AL74" i="125"/>
  <c r="AN74" i="125" s="1"/>
  <c r="AJ73" i="72" s="1"/>
  <c r="AL67" i="125"/>
  <c r="AN67" i="125" s="1"/>
  <c r="AJ66" i="72" s="1"/>
  <c r="AL15" i="126"/>
  <c r="AN15" i="126" s="1"/>
  <c r="AK14" i="72" s="1"/>
  <c r="AL32" i="126"/>
  <c r="AN32" i="126" s="1"/>
  <c r="AK31" i="72" s="1"/>
  <c r="AL69" i="115"/>
  <c r="AN69" i="115" s="1"/>
  <c r="AD68" i="72" s="1"/>
  <c r="AF12" i="118"/>
  <c r="AG12" i="118" s="1"/>
  <c r="AH12" i="118" s="1"/>
  <c r="K11" i="72" s="1"/>
  <c r="AL54" i="119"/>
  <c r="AN54" i="119" s="1"/>
  <c r="AH53" i="72" s="1"/>
  <c r="AL73" i="120"/>
  <c r="AN73" i="120" s="1"/>
  <c r="AI72" i="72" s="1"/>
  <c r="AF46" i="118"/>
  <c r="AG46" i="118" s="1"/>
  <c r="AH46" i="118" s="1"/>
  <c r="K45" i="72" s="1"/>
  <c r="AL19" i="120"/>
  <c r="AN19" i="120" s="1"/>
  <c r="AI18" i="72" s="1"/>
  <c r="AF55" i="120"/>
  <c r="AG55" i="120" s="1"/>
  <c r="AH55" i="120" s="1"/>
  <c r="M54" i="72" s="1"/>
  <c r="AF22" i="116"/>
  <c r="AG22" i="116" s="1"/>
  <c r="AH22" i="116" s="1"/>
  <c r="I21" i="72" s="1"/>
  <c r="AL11" i="120"/>
  <c r="AN11" i="120" s="1"/>
  <c r="AI10" i="72" s="1"/>
  <c r="AF65" i="113"/>
  <c r="AG65" i="113" s="1"/>
  <c r="AH65" i="113" s="1"/>
  <c r="F64" i="72" s="1"/>
  <c r="AF15" i="116"/>
  <c r="AG15" i="116" s="1"/>
  <c r="AH15" i="116" s="1"/>
  <c r="I14" i="72" s="1"/>
  <c r="AL69" i="126"/>
  <c r="AN69" i="126" s="1"/>
  <c r="AK68" i="72" s="1"/>
  <c r="AL41" i="126"/>
  <c r="AN41" i="126" s="1"/>
  <c r="AK40" i="72" s="1"/>
  <c r="AL37" i="126"/>
  <c r="AN37" i="126" s="1"/>
  <c r="AK36" i="72" s="1"/>
  <c r="AL21" i="126"/>
  <c r="AN21" i="126" s="1"/>
  <c r="AK20" i="72" s="1"/>
  <c r="AL13" i="126"/>
  <c r="AN13" i="126" s="1"/>
  <c r="AK12" i="72" s="1"/>
  <c r="AL65" i="127"/>
  <c r="AN65" i="127" s="1"/>
  <c r="AL64" i="72" s="1"/>
  <c r="AL57" i="127"/>
  <c r="AN57" i="127" s="1"/>
  <c r="AL56" i="72" s="1"/>
  <c r="AL41" i="127"/>
  <c r="AN41" i="127" s="1"/>
  <c r="AL40" i="72" s="1"/>
  <c r="AL33" i="127"/>
  <c r="AN33" i="127" s="1"/>
  <c r="AL32" i="72" s="1"/>
  <c r="AL9" i="127"/>
  <c r="AN9" i="127" s="1"/>
  <c r="AL8" i="72" s="1"/>
  <c r="AL69" i="128"/>
  <c r="AN69" i="128" s="1"/>
  <c r="AM68" i="72" s="1"/>
  <c r="AL57" i="128"/>
  <c r="AN57" i="128" s="1"/>
  <c r="AM56" i="72" s="1"/>
  <c r="AL49" i="128"/>
  <c r="AN49" i="128" s="1"/>
  <c r="AM48" i="72" s="1"/>
  <c r="AL41" i="128"/>
  <c r="AN41" i="128" s="1"/>
  <c r="AM40" i="72" s="1"/>
  <c r="AL21" i="128"/>
  <c r="AN21" i="128" s="1"/>
  <c r="AM20" i="72" s="1"/>
  <c r="AL57" i="129"/>
  <c r="AN57" i="129" s="1"/>
  <c r="AN56" i="72" s="1"/>
  <c r="AL49" i="129"/>
  <c r="AN49" i="129" s="1"/>
  <c r="AN48" i="72" s="1"/>
  <c r="AL33" i="129"/>
  <c r="AN33" i="129" s="1"/>
  <c r="AN32" i="72" s="1"/>
  <c r="AL49" i="131"/>
  <c r="AN49" i="131" s="1"/>
  <c r="AO48" i="72" s="1"/>
  <c r="AL57" i="125"/>
  <c r="AN57" i="125" s="1"/>
  <c r="AJ56" i="72" s="1"/>
  <c r="AL29" i="125"/>
  <c r="AN29" i="125" s="1"/>
  <c r="AJ28" i="72" s="1"/>
  <c r="AL13" i="125"/>
  <c r="AN13" i="125" s="1"/>
  <c r="AJ12" i="72" s="1"/>
  <c r="AL63" i="120"/>
  <c r="AN63" i="120" s="1"/>
  <c r="AI62" i="72" s="1"/>
  <c r="AL39" i="120"/>
  <c r="AN39" i="120" s="1"/>
  <c r="AI38" i="72" s="1"/>
  <c r="AL60" i="119"/>
  <c r="AN60" i="119" s="1"/>
  <c r="AH59" i="72" s="1"/>
  <c r="AL32" i="113"/>
  <c r="AN32" i="113" s="1"/>
  <c r="AB31" i="72" s="1"/>
  <c r="AL50" i="114"/>
  <c r="AN50" i="114" s="1"/>
  <c r="AC49" i="72" s="1"/>
  <c r="AL39" i="113"/>
  <c r="AN39" i="113" s="1"/>
  <c r="AB38" i="72" s="1"/>
  <c r="AL61" i="126"/>
  <c r="AN61" i="126" s="1"/>
  <c r="AK60" i="72" s="1"/>
  <c r="AL53" i="126"/>
  <c r="AN53" i="126" s="1"/>
  <c r="AK52" i="72" s="1"/>
  <c r="AL45" i="126"/>
  <c r="AN45" i="126" s="1"/>
  <c r="AK44" i="72" s="1"/>
  <c r="AL9" i="126"/>
  <c r="AN9" i="126" s="1"/>
  <c r="AK8" i="72" s="1"/>
  <c r="AL69" i="127"/>
  <c r="AN69" i="127" s="1"/>
  <c r="AL68" i="72" s="1"/>
  <c r="AL61" i="127"/>
  <c r="AN61" i="127" s="1"/>
  <c r="AL60" i="72" s="1"/>
  <c r="AL45" i="127"/>
  <c r="AN45" i="127" s="1"/>
  <c r="AL44" i="72" s="1"/>
  <c r="AL37" i="127"/>
  <c r="AN37" i="127" s="1"/>
  <c r="AL36" i="72" s="1"/>
  <c r="AL29" i="127"/>
  <c r="AN29" i="127" s="1"/>
  <c r="AL28" i="72" s="1"/>
  <c r="AL21" i="127"/>
  <c r="AN21" i="127" s="1"/>
  <c r="AL20" i="72" s="1"/>
  <c r="AL13" i="127"/>
  <c r="AN13" i="127" s="1"/>
  <c r="AL12" i="72" s="1"/>
  <c r="AL65" i="128"/>
  <c r="AN65" i="128" s="1"/>
  <c r="AM64" i="72" s="1"/>
  <c r="AL37" i="128"/>
  <c r="AN37" i="128" s="1"/>
  <c r="AM36" i="72" s="1"/>
  <c r="AL25" i="128"/>
  <c r="AN25" i="128" s="1"/>
  <c r="AM24" i="72" s="1"/>
  <c r="AL9" i="128"/>
  <c r="AN9" i="128" s="1"/>
  <c r="AM8" i="72" s="1"/>
  <c r="AL61" i="129"/>
  <c r="AN61" i="129" s="1"/>
  <c r="AN60" i="72" s="1"/>
  <c r="AL53" i="129"/>
  <c r="AN53" i="129" s="1"/>
  <c r="AN52" i="72" s="1"/>
  <c r="AL29" i="129"/>
  <c r="AN29" i="129" s="1"/>
  <c r="AN28" i="72" s="1"/>
  <c r="AL69" i="131"/>
  <c r="AN69" i="131" s="1"/>
  <c r="AO68" i="72" s="1"/>
  <c r="AL53" i="131"/>
  <c r="AN53" i="131" s="1"/>
  <c r="AO52" i="72" s="1"/>
  <c r="AL37" i="131"/>
  <c r="AN37" i="131" s="1"/>
  <c r="AO36" i="72" s="1"/>
  <c r="AL61" i="125"/>
  <c r="AN61" i="125" s="1"/>
  <c r="AJ60" i="72" s="1"/>
  <c r="AF24" i="114"/>
  <c r="AG24" i="114" s="1"/>
  <c r="AH24" i="114" s="1"/>
  <c r="G23" i="72" s="1"/>
  <c r="AN56" i="117"/>
  <c r="AP56" i="117" s="1"/>
  <c r="AF55" i="72" s="1"/>
  <c r="AF63" i="116"/>
  <c r="AG63" i="116" s="1"/>
  <c r="AH63" i="116" s="1"/>
  <c r="I62" i="72" s="1"/>
  <c r="AN15" i="117"/>
  <c r="AP15" i="117" s="1"/>
  <c r="AF14" i="72" s="1"/>
  <c r="AL48" i="119"/>
  <c r="AN48" i="119" s="1"/>
  <c r="AH47" i="72" s="1"/>
  <c r="AL69" i="118"/>
  <c r="AN69" i="118" s="1"/>
  <c r="AG68" i="72" s="1"/>
  <c r="AL42" i="115"/>
  <c r="AN42" i="115" s="1"/>
  <c r="AD41" i="72" s="1"/>
  <c r="AL34" i="115"/>
  <c r="AN34" i="115" s="1"/>
  <c r="AD33" i="72" s="1"/>
  <c r="AL26" i="115"/>
  <c r="AN26" i="115" s="1"/>
  <c r="AD25" i="72" s="1"/>
  <c r="AN63" i="117"/>
  <c r="AP63" i="117" s="1"/>
  <c r="AF62" i="72" s="1"/>
  <c r="AN31" i="117"/>
  <c r="AP31" i="117" s="1"/>
  <c r="AF30" i="72" s="1"/>
  <c r="AN27" i="117"/>
  <c r="AP27" i="117" s="1"/>
  <c r="AF26" i="72" s="1"/>
  <c r="AL72" i="116"/>
  <c r="AN72" i="116" s="1"/>
  <c r="AE71" i="72" s="1"/>
  <c r="AL36" i="116"/>
  <c r="AN36" i="116" s="1"/>
  <c r="AE35" i="72" s="1"/>
  <c r="AL28" i="116"/>
  <c r="AN28" i="116" s="1"/>
  <c r="AE27" i="72" s="1"/>
  <c r="AL61" i="114"/>
  <c r="AN61" i="114" s="1"/>
  <c r="AC60" i="72" s="1"/>
  <c r="AL57" i="114"/>
  <c r="AN57" i="114" s="1"/>
  <c r="AC56" i="72" s="1"/>
  <c r="AL45" i="114"/>
  <c r="AN45" i="114" s="1"/>
  <c r="AC44" i="72" s="1"/>
  <c r="AL21" i="114"/>
  <c r="AN21" i="114" s="1"/>
  <c r="AC20" i="72" s="1"/>
  <c r="AL9" i="114"/>
  <c r="AL58" i="113"/>
  <c r="AN58" i="113" s="1"/>
  <c r="AB57" i="72" s="1"/>
  <c r="AL34" i="113"/>
  <c r="AN34" i="113" s="1"/>
  <c r="AB33" i="72" s="1"/>
  <c r="AM29" i="80"/>
  <c r="AO29" i="80" s="1"/>
  <c r="AQ30" i="72" s="1"/>
  <c r="AL56" i="116"/>
  <c r="AN56" i="116" s="1"/>
  <c r="AE55" i="72" s="1"/>
  <c r="AF43" i="118"/>
  <c r="AG43" i="118" s="1"/>
  <c r="AH43" i="118" s="1"/>
  <c r="K42" i="72" s="1"/>
  <c r="AL52" i="119"/>
  <c r="AN52" i="119" s="1"/>
  <c r="AH51" i="72" s="1"/>
  <c r="AL43" i="120"/>
  <c r="AN43" i="120" s="1"/>
  <c r="AI42" i="72" s="1"/>
  <c r="AL43" i="119"/>
  <c r="AN43" i="119" s="1"/>
  <c r="AH42" i="72" s="1"/>
  <c r="AL44" i="114"/>
  <c r="AN44" i="114" s="1"/>
  <c r="AC43" i="72" s="1"/>
  <c r="AM33" i="80"/>
  <c r="AO33" i="80" s="1"/>
  <c r="AQ34" i="72" s="1"/>
  <c r="AM25" i="80"/>
  <c r="AO25" i="80" s="1"/>
  <c r="AQ26" i="72" s="1"/>
  <c r="AM17" i="80"/>
  <c r="AO17" i="80" s="1"/>
  <c r="AQ18" i="72" s="1"/>
  <c r="AL20" i="119"/>
  <c r="AN20" i="119" s="1"/>
  <c r="AH19" i="72" s="1"/>
  <c r="AL61" i="118"/>
  <c r="AN61" i="118" s="1"/>
  <c r="AG60" i="72" s="1"/>
  <c r="AL57" i="118"/>
  <c r="AN57" i="118" s="1"/>
  <c r="AG56" i="72" s="1"/>
  <c r="AL29" i="118"/>
  <c r="AN29" i="118" s="1"/>
  <c r="AG28" i="72" s="1"/>
  <c r="AL21" i="118"/>
  <c r="AN21" i="118" s="1"/>
  <c r="AG20" i="72" s="1"/>
  <c r="AL46" i="115"/>
  <c r="AN46" i="115" s="1"/>
  <c r="AD45" i="72" s="1"/>
  <c r="AL38" i="115"/>
  <c r="AN38" i="115" s="1"/>
  <c r="AD37" i="72" s="1"/>
  <c r="AL22" i="115"/>
  <c r="AN22" i="115" s="1"/>
  <c r="AD21" i="72" s="1"/>
  <c r="AN23" i="117"/>
  <c r="AP23" i="117" s="1"/>
  <c r="AF22" i="72" s="1"/>
  <c r="AL24" i="116"/>
  <c r="AN24" i="116" s="1"/>
  <c r="AE23" i="72" s="1"/>
  <c r="AL8" i="116"/>
  <c r="AL41" i="114"/>
  <c r="AN41" i="114" s="1"/>
  <c r="AC40" i="72" s="1"/>
  <c r="AF26" i="113"/>
  <c r="AG26" i="113" s="1"/>
  <c r="AH26" i="113" s="1"/>
  <c r="F25" i="72" s="1"/>
  <c r="AL10" i="113"/>
  <c r="AN10" i="113" s="1"/>
  <c r="AB9" i="72" s="1"/>
  <c r="AL52" i="118"/>
  <c r="AN52" i="118" s="1"/>
  <c r="AG51" i="72" s="1"/>
  <c r="AL58" i="129"/>
  <c r="AN58" i="129" s="1"/>
  <c r="AN57" i="72" s="1"/>
  <c r="AL14" i="127"/>
  <c r="AN14" i="127" s="1"/>
  <c r="AL13" i="72" s="1"/>
  <c r="AL8" i="128"/>
  <c r="AL56" i="125"/>
  <c r="AN56" i="125" s="1"/>
  <c r="AJ55" i="72" s="1"/>
  <c r="AL48" i="127"/>
  <c r="AN48" i="127" s="1"/>
  <c r="AL47" i="72" s="1"/>
  <c r="AL66" i="127"/>
  <c r="AN66" i="127" s="1"/>
  <c r="AL65" i="72" s="1"/>
  <c r="AL74" i="127"/>
  <c r="AN74" i="127" s="1"/>
  <c r="AL73" i="72" s="1"/>
  <c r="AL63" i="129"/>
  <c r="AN63" i="129" s="1"/>
  <c r="AN62" i="72" s="1"/>
  <c r="AF60" i="127"/>
  <c r="AG60" i="127" s="1"/>
  <c r="AH60" i="127" s="1"/>
  <c r="P59" i="72" s="1"/>
  <c r="AF51" i="128"/>
  <c r="AG51" i="128" s="1"/>
  <c r="AH51" i="128" s="1"/>
  <c r="Q50" i="72" s="1"/>
  <c r="AG47" i="129"/>
  <c r="AH47" i="129" s="1"/>
  <c r="AG32" i="129"/>
  <c r="AH32" i="129" s="1"/>
  <c r="AF47" i="128"/>
  <c r="AG47" i="128" s="1"/>
  <c r="AH47" i="128" s="1"/>
  <c r="Q46" i="72" s="1"/>
  <c r="AF48" i="131"/>
  <c r="AG48" i="131" s="1"/>
  <c r="AH48" i="131" s="1"/>
  <c r="S47" i="72" s="1"/>
  <c r="AG35" i="129"/>
  <c r="AH35" i="129" s="1"/>
  <c r="AF55" i="127"/>
  <c r="AG55" i="127" s="1"/>
  <c r="AH55" i="127" s="1"/>
  <c r="P54" i="72" s="1"/>
  <c r="AF60" i="126"/>
  <c r="AG60" i="126" s="1"/>
  <c r="AH60" i="126" s="1"/>
  <c r="O59" i="72" s="1"/>
  <c r="AF70" i="125"/>
  <c r="AG70" i="125" s="1"/>
  <c r="AH70" i="125" s="1"/>
  <c r="N69" i="72" s="1"/>
  <c r="AF35" i="127"/>
  <c r="AG35" i="127" s="1"/>
  <c r="AH35" i="127" s="1"/>
  <c r="P34" i="72" s="1"/>
  <c r="AF48" i="125"/>
  <c r="AG48" i="125" s="1"/>
  <c r="AH48" i="125" s="1"/>
  <c r="N47" i="72" s="1"/>
  <c r="AL27" i="126"/>
  <c r="AN27" i="126" s="1"/>
  <c r="AK26" i="72" s="1"/>
  <c r="AL76" i="129"/>
  <c r="AN76" i="129" s="1"/>
  <c r="AN75" i="72" s="1"/>
  <c r="AL42" i="125"/>
  <c r="AN42" i="125" s="1"/>
  <c r="AJ41" i="72" s="1"/>
  <c r="AF26" i="131"/>
  <c r="AG26" i="131" s="1"/>
  <c r="AH26" i="131" s="1"/>
  <c r="S25" i="72" s="1"/>
  <c r="AL43" i="114"/>
  <c r="AN43" i="114" s="1"/>
  <c r="AC42" i="72" s="1"/>
  <c r="AN69" i="117"/>
  <c r="AP69" i="117" s="1"/>
  <c r="AF68" i="72" s="1"/>
  <c r="AL39" i="114"/>
  <c r="AN39" i="114" s="1"/>
  <c r="AC38" i="72" s="1"/>
  <c r="AF60" i="118"/>
  <c r="AG60" i="118" s="1"/>
  <c r="AH60" i="118" s="1"/>
  <c r="K59" i="72" s="1"/>
  <c r="AL16" i="114"/>
  <c r="AN16" i="114" s="1"/>
  <c r="AC15" i="72" s="1"/>
  <c r="AF45" i="113"/>
  <c r="AG45" i="113" s="1"/>
  <c r="AH45" i="113" s="1"/>
  <c r="F44" i="72" s="1"/>
  <c r="AF34" i="118"/>
  <c r="AG34" i="118" s="1"/>
  <c r="AH34" i="118" s="1"/>
  <c r="K33" i="72" s="1"/>
  <c r="AM13" i="80"/>
  <c r="AO13" i="80" s="1"/>
  <c r="AQ14" i="72" s="1"/>
  <c r="AM50" i="80"/>
  <c r="AO50" i="80" s="1"/>
  <c r="AQ51" i="72" s="1"/>
  <c r="AM58" i="80"/>
  <c r="AO58" i="80" s="1"/>
  <c r="AQ59" i="72" s="1"/>
  <c r="AF33" i="115"/>
  <c r="AG33" i="115" s="1"/>
  <c r="AH33" i="115" s="1"/>
  <c r="H32" i="72" s="1"/>
  <c r="AF10" i="118"/>
  <c r="AG10" i="118" s="1"/>
  <c r="AH10" i="118" s="1"/>
  <c r="K9" i="72" s="1"/>
  <c r="AH62" i="117"/>
  <c r="AI62" i="117" s="1"/>
  <c r="AJ62" i="117" s="1"/>
  <c r="J61" i="72" s="1"/>
  <c r="AL67" i="126"/>
  <c r="AN67" i="126" s="1"/>
  <c r="AK66" i="72" s="1"/>
  <c r="AL47" i="126"/>
  <c r="AN47" i="126" s="1"/>
  <c r="AK46" i="72" s="1"/>
  <c r="AL51" i="127"/>
  <c r="AN51" i="127" s="1"/>
  <c r="AL50" i="72" s="1"/>
  <c r="AL23" i="127"/>
  <c r="AN23" i="127" s="1"/>
  <c r="AL22" i="72" s="1"/>
  <c r="AL19" i="127"/>
  <c r="AN19" i="127" s="1"/>
  <c r="AL18" i="72" s="1"/>
  <c r="AL31" i="129"/>
  <c r="AN31" i="129" s="1"/>
  <c r="AN30" i="72" s="1"/>
  <c r="AL59" i="131"/>
  <c r="AN59" i="131" s="1"/>
  <c r="AO58" i="72" s="1"/>
  <c r="AL61" i="120"/>
  <c r="AN61" i="120" s="1"/>
  <c r="AI60" i="72" s="1"/>
  <c r="AL29" i="120"/>
  <c r="AN29" i="120" s="1"/>
  <c r="AI28" i="72" s="1"/>
  <c r="AL19" i="118"/>
  <c r="AN19" i="118" s="1"/>
  <c r="AG18" i="72" s="1"/>
  <c r="AL44" i="115"/>
  <c r="AN44" i="115" s="1"/>
  <c r="AD43" i="72" s="1"/>
  <c r="AL34" i="116"/>
  <c r="AN34" i="116" s="1"/>
  <c r="AE33" i="72" s="1"/>
  <c r="AL10" i="116"/>
  <c r="AN10" i="116" s="1"/>
  <c r="AE9" i="72" s="1"/>
  <c r="AL51" i="114"/>
  <c r="AN51" i="114" s="1"/>
  <c r="AC50" i="72" s="1"/>
  <c r="AL35" i="114"/>
  <c r="AN35" i="114" s="1"/>
  <c r="AC34" i="72" s="1"/>
  <c r="AL19" i="114"/>
  <c r="AN19" i="114" s="1"/>
  <c r="AC18" i="72" s="1"/>
  <c r="AL52" i="113"/>
  <c r="AN52" i="113" s="1"/>
  <c r="AB51" i="72" s="1"/>
  <c r="AL16" i="113"/>
  <c r="AN16" i="113" s="1"/>
  <c r="AB15" i="72" s="1"/>
  <c r="AG42" i="129"/>
  <c r="AH42" i="129" s="1"/>
  <c r="AL51" i="126"/>
  <c r="AN51" i="126" s="1"/>
  <c r="AK50" i="72" s="1"/>
  <c r="AL32" i="125"/>
  <c r="AN32" i="125" s="1"/>
  <c r="AJ31" i="72" s="1"/>
  <c r="AL42" i="127"/>
  <c r="AN42" i="127" s="1"/>
  <c r="AL41" i="72" s="1"/>
  <c r="AL19" i="129"/>
  <c r="AN19" i="129" s="1"/>
  <c r="AN18" i="72" s="1"/>
  <c r="AG38" i="129"/>
  <c r="AH38" i="129" s="1"/>
  <c r="AL70" i="131"/>
  <c r="AN70" i="131" s="1"/>
  <c r="AO69" i="72" s="1"/>
  <c r="AF58" i="131"/>
  <c r="AG58" i="131" s="1"/>
  <c r="AH58" i="131" s="1"/>
  <c r="S57" i="72" s="1"/>
  <c r="AF70" i="127"/>
  <c r="AG70" i="127" s="1"/>
  <c r="AH70" i="127" s="1"/>
  <c r="P69" i="72" s="1"/>
  <c r="AL16" i="126"/>
  <c r="AN16" i="126" s="1"/>
  <c r="AK15" i="72" s="1"/>
  <c r="AL49" i="115"/>
  <c r="AN49" i="115" s="1"/>
  <c r="AD48" i="72" s="1"/>
  <c r="AL46" i="120"/>
  <c r="AN46" i="120" s="1"/>
  <c r="AI45" i="72" s="1"/>
  <c r="AL47" i="113"/>
  <c r="AN47" i="113" s="1"/>
  <c r="AB46" i="72" s="1"/>
  <c r="AL71" i="114"/>
  <c r="AN71" i="114" s="1"/>
  <c r="AC70" i="72" s="1"/>
  <c r="AL52" i="120"/>
  <c r="AN52" i="120" s="1"/>
  <c r="AI51" i="72" s="1"/>
  <c r="AF12" i="113"/>
  <c r="AG12" i="113" s="1"/>
  <c r="AH12" i="113" s="1"/>
  <c r="F11" i="72" s="1"/>
  <c r="AM64" i="80"/>
  <c r="AO64" i="80" s="1"/>
  <c r="AQ65" i="72" s="1"/>
  <c r="AN26" i="117"/>
  <c r="AP26" i="117" s="1"/>
  <c r="AF25" i="72" s="1"/>
  <c r="AL39" i="119"/>
  <c r="AN39" i="119" s="1"/>
  <c r="AH38" i="72" s="1"/>
  <c r="AL68" i="118"/>
  <c r="AN68" i="118" s="1"/>
  <c r="AG67" i="72" s="1"/>
  <c r="AL45" i="116"/>
  <c r="AN45" i="116" s="1"/>
  <c r="AE44" i="72" s="1"/>
  <c r="AF48" i="115"/>
  <c r="AG48" i="115" s="1"/>
  <c r="AH48" i="115" s="1"/>
  <c r="H47" i="72" s="1"/>
  <c r="AF57" i="120"/>
  <c r="AG57" i="120" s="1"/>
  <c r="AH57" i="120" s="1"/>
  <c r="M56" i="72" s="1"/>
  <c r="AF22" i="114"/>
  <c r="AG22" i="114" s="1"/>
  <c r="AH22" i="114" s="1"/>
  <c r="G21" i="72" s="1"/>
  <c r="AL25" i="115"/>
  <c r="AN25" i="115" s="1"/>
  <c r="AD24" i="72" s="1"/>
  <c r="AL75" i="115"/>
  <c r="AN75" i="115" s="1"/>
  <c r="AD74" i="72" s="1"/>
  <c r="AL21" i="113"/>
  <c r="AN21" i="113" s="1"/>
  <c r="AB20" i="72" s="1"/>
  <c r="AL38" i="118"/>
  <c r="AN38" i="118" s="1"/>
  <c r="AG37" i="72" s="1"/>
  <c r="AL25" i="113"/>
  <c r="AN25" i="113" s="1"/>
  <c r="AB24" i="72" s="1"/>
  <c r="AL43" i="116"/>
  <c r="AN43" i="116" s="1"/>
  <c r="AE42" i="72" s="1"/>
  <c r="AL49" i="119"/>
  <c r="AN49" i="119" s="1"/>
  <c r="AH48" i="72" s="1"/>
  <c r="AL35" i="116"/>
  <c r="AN35" i="116" s="1"/>
  <c r="AE34" i="72" s="1"/>
  <c r="AF20" i="113"/>
  <c r="AG20" i="113" s="1"/>
  <c r="AH20" i="113" s="1"/>
  <c r="F19" i="72" s="1"/>
  <c r="AN24" i="117"/>
  <c r="AP24" i="117" s="1"/>
  <c r="AF23" i="72" s="1"/>
  <c r="AL60" i="113"/>
  <c r="AN60" i="113" s="1"/>
  <c r="AB59" i="72" s="1"/>
  <c r="AL41" i="113"/>
  <c r="AN41" i="113" s="1"/>
  <c r="AB40" i="72" s="1"/>
  <c r="AL30" i="119"/>
  <c r="AN30" i="119" s="1"/>
  <c r="AH29" i="72" s="1"/>
  <c r="AL45" i="119"/>
  <c r="AN45" i="119" s="1"/>
  <c r="AH44" i="72" s="1"/>
  <c r="AL71" i="118"/>
  <c r="AN71" i="118" s="1"/>
  <c r="AG70" i="72" s="1"/>
  <c r="AL36" i="118"/>
  <c r="AN36" i="118" s="1"/>
  <c r="AG35" i="72" s="1"/>
  <c r="AL42" i="118"/>
  <c r="AN42" i="118" s="1"/>
  <c r="AG41" i="72" s="1"/>
  <c r="AN72" i="117"/>
  <c r="AP72" i="117" s="1"/>
  <c r="AF71" i="72" s="1"/>
  <c r="AL44" i="120"/>
  <c r="AN44" i="120" s="1"/>
  <c r="AI43" i="72" s="1"/>
  <c r="AL41" i="116"/>
  <c r="AN41" i="116" s="1"/>
  <c r="AE40" i="72" s="1"/>
  <c r="AL68" i="114"/>
  <c r="AN68" i="114" s="1"/>
  <c r="AC67" i="72" s="1"/>
  <c r="AN44" i="117"/>
  <c r="AP44" i="117" s="1"/>
  <c r="AF43" i="72" s="1"/>
  <c r="AL11" i="119"/>
  <c r="AN11" i="119" s="1"/>
  <c r="AH10" i="72" s="1"/>
  <c r="AL53" i="113"/>
  <c r="AN53" i="113" s="1"/>
  <c r="AB52" i="72" s="1"/>
  <c r="AL32" i="118"/>
  <c r="AN32" i="118" s="1"/>
  <c r="AG31" i="72" s="1"/>
  <c r="AL45" i="120"/>
  <c r="AN45" i="120" s="1"/>
  <c r="AI44" i="72" s="1"/>
  <c r="AL23" i="116"/>
  <c r="AN23" i="116" s="1"/>
  <c r="AE22" i="72" s="1"/>
  <c r="AL76" i="118"/>
  <c r="AN76" i="118" s="1"/>
  <c r="AG75" i="72" s="1"/>
  <c r="AL61" i="119"/>
  <c r="AN61" i="119" s="1"/>
  <c r="AH60" i="72" s="1"/>
  <c r="AL38" i="116"/>
  <c r="AN38" i="116" s="1"/>
  <c r="AE37" i="72" s="1"/>
  <c r="AL36" i="120"/>
  <c r="AN36" i="120" s="1"/>
  <c r="AI35" i="72" s="1"/>
  <c r="AF17" i="116"/>
  <c r="AG17" i="116" s="1"/>
  <c r="AH17" i="116" s="1"/>
  <c r="I16" i="72" s="1"/>
  <c r="AM8" i="80"/>
  <c r="AO8" i="80" s="1"/>
  <c r="AQ9" i="72" s="1"/>
  <c r="AL15" i="113"/>
  <c r="AN15" i="113" s="1"/>
  <c r="AB14" i="72" s="1"/>
  <c r="AL11" i="116"/>
  <c r="AN11" i="116" s="1"/>
  <c r="AE10" i="72" s="1"/>
  <c r="AL23" i="115"/>
  <c r="AN23" i="115" s="1"/>
  <c r="AD22" i="72" s="1"/>
  <c r="AM35" i="80"/>
  <c r="AO35" i="80" s="1"/>
  <c r="AQ36" i="72" s="1"/>
  <c r="AL55" i="113"/>
  <c r="AN55" i="113" s="1"/>
  <c r="AB54" i="72" s="1"/>
  <c r="AF14" i="118"/>
  <c r="AG14" i="118" s="1"/>
  <c r="AH14" i="118" s="1"/>
  <c r="K13" i="72" s="1"/>
  <c r="AL20" i="120"/>
  <c r="AN20" i="120" s="1"/>
  <c r="AI19" i="72" s="1"/>
  <c r="AL43" i="113"/>
  <c r="AN43" i="113" s="1"/>
  <c r="AB42" i="72" s="1"/>
  <c r="AN58" i="117"/>
  <c r="AP58" i="117" s="1"/>
  <c r="AF57" i="72" s="1"/>
  <c r="AF46" i="125"/>
  <c r="AG46" i="125" s="1"/>
  <c r="AH46" i="125" s="1"/>
  <c r="N45" i="72" s="1"/>
  <c r="AL43" i="126"/>
  <c r="AN43" i="126" s="1"/>
  <c r="AK42" i="72" s="1"/>
  <c r="AL23" i="128"/>
  <c r="AN23" i="128" s="1"/>
  <c r="AM22" i="72" s="1"/>
  <c r="AF50" i="128"/>
  <c r="AG50" i="128" s="1"/>
  <c r="AH50" i="128" s="1"/>
  <c r="Q49" i="72" s="1"/>
  <c r="AL70" i="128"/>
  <c r="AN70" i="128" s="1"/>
  <c r="AM69" i="72" s="1"/>
  <c r="AF32" i="128"/>
  <c r="AG32" i="128" s="1"/>
  <c r="AH32" i="128" s="1"/>
  <c r="Q31" i="72" s="1"/>
  <c r="AL35" i="126"/>
  <c r="AN35" i="126" s="1"/>
  <c r="AK34" i="72" s="1"/>
  <c r="AL72" i="127"/>
  <c r="AN72" i="127" s="1"/>
  <c r="AL71" i="72" s="1"/>
  <c r="AL74" i="129"/>
  <c r="AN74" i="129" s="1"/>
  <c r="AN73" i="72" s="1"/>
  <c r="AF50" i="127"/>
  <c r="AG50" i="127" s="1"/>
  <c r="AH50" i="127" s="1"/>
  <c r="P49" i="72" s="1"/>
  <c r="AL70" i="126"/>
  <c r="AN70" i="126" s="1"/>
  <c r="AK69" i="72" s="1"/>
  <c r="AL39" i="127"/>
  <c r="AN39" i="127" s="1"/>
  <c r="AL38" i="72" s="1"/>
  <c r="AL15" i="127"/>
  <c r="AN15" i="127" s="1"/>
  <c r="AL14" i="72" s="1"/>
  <c r="AF56" i="127"/>
  <c r="AG56" i="127" s="1"/>
  <c r="AH56" i="127" s="1"/>
  <c r="P55" i="72" s="1"/>
  <c r="AF11" i="127"/>
  <c r="AG11" i="127" s="1"/>
  <c r="AH11" i="127" s="1"/>
  <c r="P10" i="72" s="1"/>
  <c r="AL76" i="126"/>
  <c r="AN76" i="126" s="1"/>
  <c r="AK75" i="72" s="1"/>
  <c r="AL18" i="126"/>
  <c r="AN18" i="126" s="1"/>
  <c r="AK17" i="72" s="1"/>
  <c r="AF54" i="127"/>
  <c r="AG54" i="127" s="1"/>
  <c r="AH54" i="127" s="1"/>
  <c r="P53" i="72" s="1"/>
  <c r="AF24" i="126"/>
  <c r="AG24" i="126" s="1"/>
  <c r="AH24" i="126" s="1"/>
  <c r="O23" i="72" s="1"/>
  <c r="AL39" i="131"/>
  <c r="AN39" i="131" s="1"/>
  <c r="AO38" i="72" s="1"/>
  <c r="AF22" i="126"/>
  <c r="AG22" i="126" s="1"/>
  <c r="AH22" i="126" s="1"/>
  <c r="O21" i="72" s="1"/>
  <c r="AF20" i="126"/>
  <c r="AG20" i="126" s="1"/>
  <c r="AH20" i="126" s="1"/>
  <c r="O19" i="72" s="1"/>
  <c r="AF64" i="126"/>
  <c r="AG64" i="126" s="1"/>
  <c r="AH64" i="126" s="1"/>
  <c r="O63" i="72" s="1"/>
  <c r="AL54" i="127"/>
  <c r="AN54" i="127" s="1"/>
  <c r="AL53" i="72" s="1"/>
  <c r="AL11" i="127"/>
  <c r="AN11" i="127" s="1"/>
  <c r="AL10" i="72" s="1"/>
  <c r="AL34" i="127"/>
  <c r="AN34" i="127" s="1"/>
  <c r="AL33" i="72" s="1"/>
  <c r="AL46" i="128"/>
  <c r="AN46" i="128" s="1"/>
  <c r="AM45" i="72" s="1"/>
  <c r="AL46" i="129"/>
  <c r="AN46" i="129" s="1"/>
  <c r="AN45" i="72" s="1"/>
  <c r="AL18" i="129"/>
  <c r="AN18" i="129" s="1"/>
  <c r="AN17" i="72" s="1"/>
  <c r="AL36" i="131"/>
  <c r="AN36" i="131" s="1"/>
  <c r="AO35" i="72" s="1"/>
  <c r="AL14" i="125"/>
  <c r="AN14" i="125" s="1"/>
  <c r="AJ13" i="72" s="1"/>
  <c r="AL75" i="127"/>
  <c r="AN75" i="127" s="1"/>
  <c r="AL74" i="72" s="1"/>
  <c r="AL72" i="129"/>
  <c r="AN72" i="129" s="1"/>
  <c r="AN71" i="72" s="1"/>
  <c r="AL28" i="131"/>
  <c r="AN28" i="131" s="1"/>
  <c r="AO27" i="72" s="1"/>
  <c r="AF52" i="128"/>
  <c r="AG52" i="128" s="1"/>
  <c r="AH52" i="128" s="1"/>
  <c r="Q51" i="72" s="1"/>
  <c r="AF18" i="131"/>
  <c r="AG18" i="131" s="1"/>
  <c r="AH18" i="131" s="1"/>
  <c r="S17" i="72" s="1"/>
  <c r="AL55" i="126"/>
  <c r="AN55" i="126" s="1"/>
  <c r="AK54" i="72" s="1"/>
  <c r="AL38" i="126"/>
  <c r="AN38" i="126" s="1"/>
  <c r="AK37" i="72" s="1"/>
  <c r="AL64" i="125"/>
  <c r="AN64" i="125" s="1"/>
  <c r="AJ63" i="72" s="1"/>
  <c r="AL72" i="128"/>
  <c r="AN72" i="128" s="1"/>
  <c r="AM71" i="72" s="1"/>
  <c r="AL52" i="126"/>
  <c r="AN52" i="126" s="1"/>
  <c r="AK51" i="72" s="1"/>
  <c r="AL64" i="127"/>
  <c r="AN64" i="127" s="1"/>
  <c r="AL63" i="72" s="1"/>
  <c r="AL22" i="126"/>
  <c r="AN22" i="126" s="1"/>
  <c r="AK21" i="72" s="1"/>
  <c r="AG40" i="129"/>
  <c r="AH40" i="129" s="1"/>
  <c r="AL34" i="131"/>
  <c r="AN34" i="131" s="1"/>
  <c r="AO33" i="72" s="1"/>
  <c r="AL11" i="131"/>
  <c r="AN11" i="131" s="1"/>
  <c r="AO10" i="72" s="1"/>
  <c r="AL18" i="131"/>
  <c r="AN18" i="131" s="1"/>
  <c r="AO17" i="72" s="1"/>
  <c r="AG55" i="129"/>
  <c r="AH55" i="129" s="1"/>
  <c r="AF55" i="131"/>
  <c r="AG55" i="131" s="1"/>
  <c r="AH55" i="131" s="1"/>
  <c r="S54" i="72" s="1"/>
  <c r="AF66" i="113"/>
  <c r="AG66" i="113" s="1"/>
  <c r="AH66" i="113" s="1"/>
  <c r="F65" i="72" s="1"/>
  <c r="AF28" i="125"/>
  <c r="AG28" i="125" s="1"/>
  <c r="AH28" i="125" s="1"/>
  <c r="N27" i="72" s="1"/>
  <c r="AF36" i="128"/>
  <c r="AG36" i="128" s="1"/>
  <c r="AH36" i="128" s="1"/>
  <c r="Q35" i="72" s="1"/>
  <c r="AF32" i="131"/>
  <c r="AG32" i="131" s="1"/>
  <c r="AH32" i="131" s="1"/>
  <c r="S31" i="72" s="1"/>
  <c r="AF12" i="131"/>
  <c r="AG12" i="131" s="1"/>
  <c r="AH12" i="131" s="1"/>
  <c r="S11" i="72" s="1"/>
  <c r="AF15" i="115"/>
  <c r="AG15" i="115" s="1"/>
  <c r="AH15" i="115" s="1"/>
  <c r="H14" i="72" s="1"/>
  <c r="AF48" i="128"/>
  <c r="AG48" i="128" s="1"/>
  <c r="AH48" i="128" s="1"/>
  <c r="Q47" i="72" s="1"/>
  <c r="AF28" i="128"/>
  <c r="AG28" i="128" s="1"/>
  <c r="AH28" i="128" s="1"/>
  <c r="Q27" i="72" s="1"/>
  <c r="AF51" i="131"/>
  <c r="AG51" i="131" s="1"/>
  <c r="AH51" i="131" s="1"/>
  <c r="S50" i="72" s="1"/>
  <c r="AF76" i="128"/>
  <c r="AG76" i="128" s="1"/>
  <c r="AH76" i="128" s="1"/>
  <c r="Q75" i="72" s="1"/>
  <c r="AF24" i="131"/>
  <c r="AG24" i="131" s="1"/>
  <c r="AH24" i="131" s="1"/>
  <c r="S23" i="72" s="1"/>
  <c r="AF64" i="131"/>
  <c r="AG64" i="131" s="1"/>
  <c r="AH64" i="131" s="1"/>
  <c r="S63" i="72" s="1"/>
  <c r="AF36" i="114"/>
  <c r="AG36" i="114" s="1"/>
  <c r="AH36" i="114" s="1"/>
  <c r="G35" i="72" s="1"/>
  <c r="AJ21" i="31"/>
  <c r="AK21" i="31" s="1"/>
  <c r="AJ54" i="31"/>
  <c r="AK54" i="31" s="1"/>
  <c r="AJ66" i="31"/>
  <c r="AK66" i="31" s="1"/>
  <c r="AJ52" i="31"/>
  <c r="AK52" i="31" s="1"/>
  <c r="AJ43" i="31"/>
  <c r="AK43" i="31" s="1"/>
  <c r="AJ36" i="31"/>
  <c r="AK36" i="31" s="1"/>
  <c r="AJ48" i="31"/>
  <c r="AK48" i="31" s="1"/>
  <c r="AJ51" i="31"/>
  <c r="AK51" i="31" s="1"/>
  <c r="AJ34" i="31"/>
  <c r="AK34" i="31" s="1"/>
  <c r="AJ25" i="31"/>
  <c r="AK25" i="31" s="1"/>
  <c r="AJ65" i="31"/>
  <c r="AK65" i="31" s="1"/>
  <c r="AJ31" i="31"/>
  <c r="AK31" i="31" s="1"/>
  <c r="AJ56" i="31"/>
  <c r="AK56" i="31" s="1"/>
  <c r="AJ49" i="31"/>
  <c r="AK49" i="31" s="1"/>
  <c r="AJ53" i="31"/>
  <c r="AK53" i="31" s="1"/>
  <c r="AJ39" i="31"/>
  <c r="AK39" i="31" s="1"/>
  <c r="AJ50" i="31"/>
  <c r="AK50" i="31" s="1"/>
  <c r="AJ14" i="31"/>
  <c r="AK14" i="31" s="1"/>
  <c r="AJ44" i="31"/>
  <c r="AK44" i="31" s="1"/>
  <c r="AJ15" i="31"/>
  <c r="AK15" i="31" s="1"/>
  <c r="AJ58" i="31"/>
  <c r="AK58" i="31" s="1"/>
  <c r="AJ22" i="31"/>
  <c r="AK22" i="31" s="1"/>
  <c r="AJ61" i="31"/>
  <c r="AK61" i="31" s="1"/>
  <c r="AJ64" i="31"/>
  <c r="AK64" i="31" s="1"/>
  <c r="AJ32" i="31"/>
  <c r="AK32" i="31" s="1"/>
  <c r="AJ35" i="31"/>
  <c r="AK35" i="31" s="1"/>
  <c r="AJ63" i="31"/>
  <c r="AK63" i="31" s="1"/>
  <c r="AJ33" i="31"/>
  <c r="AK33" i="31" s="1"/>
  <c r="AJ30" i="31"/>
  <c r="AK30" i="31" s="1"/>
  <c r="AJ42" i="31"/>
  <c r="AK42" i="31" s="1"/>
  <c r="AJ47" i="31"/>
  <c r="AK47" i="31" s="1"/>
  <c r="AJ38" i="31"/>
  <c r="AK38" i="31" s="1"/>
  <c r="AJ45" i="31"/>
  <c r="AK45" i="31" s="1"/>
  <c r="AJ17" i="31"/>
  <c r="AK17" i="31" s="1"/>
  <c r="AJ62" i="31"/>
  <c r="AK62" i="31" s="1"/>
  <c r="AJ18" i="31"/>
  <c r="AK18" i="31" s="1"/>
  <c r="AJ67" i="31"/>
  <c r="AK67" i="31" s="1"/>
  <c r="AJ55" i="31"/>
  <c r="AK55" i="31" s="1"/>
  <c r="AF8" i="118"/>
  <c r="AJ59" i="31"/>
  <c r="AK59" i="31" s="1"/>
  <c r="AJ41" i="31"/>
  <c r="AK41" i="31" s="1"/>
  <c r="AJ24" i="31"/>
  <c r="AK24" i="31" s="1"/>
  <c r="AJ27" i="31"/>
  <c r="AK27" i="31" s="1"/>
  <c r="AJ16" i="31"/>
  <c r="AK16" i="31" s="1"/>
  <c r="AF8" i="125"/>
  <c r="AH8" i="117" l="1"/>
  <c r="AF73" i="113"/>
  <c r="AG73" i="113" s="1"/>
  <c r="AH73" i="113" s="1"/>
  <c r="F72" i="72" s="1"/>
  <c r="AF53" i="120"/>
  <c r="AG53" i="120" s="1"/>
  <c r="AH53" i="120" s="1"/>
  <c r="M52" i="72" s="1"/>
  <c r="AF50" i="120"/>
  <c r="AG50" i="120" s="1"/>
  <c r="AH50" i="120" s="1"/>
  <c r="M49" i="72" s="1"/>
  <c r="AF20" i="115"/>
  <c r="AG20" i="115" s="1"/>
  <c r="AH20" i="115" s="1"/>
  <c r="H19" i="72" s="1"/>
  <c r="AF12" i="115"/>
  <c r="AG12" i="115" s="1"/>
  <c r="AH12" i="115" s="1"/>
  <c r="H11" i="72" s="1"/>
  <c r="AF58" i="127"/>
  <c r="AG58" i="127" s="1"/>
  <c r="AH58" i="127" s="1"/>
  <c r="P57" i="72" s="1"/>
  <c r="AF29" i="131"/>
  <c r="AG29" i="131" s="1"/>
  <c r="AH29" i="131" s="1"/>
  <c r="S28" i="72" s="1"/>
  <c r="AF39" i="128"/>
  <c r="AG39" i="128" s="1"/>
  <c r="AH39" i="128" s="1"/>
  <c r="Q38" i="72" s="1"/>
  <c r="AF35" i="113"/>
  <c r="AG35" i="113" s="1"/>
  <c r="AH35" i="113" s="1"/>
  <c r="F34" i="72" s="1"/>
  <c r="AH52" i="117"/>
  <c r="AI52" i="117" s="1"/>
  <c r="AJ52" i="117" s="1"/>
  <c r="J51" i="72" s="1"/>
  <c r="AF67" i="113"/>
  <c r="AG67" i="113" s="1"/>
  <c r="AH67" i="113" s="1"/>
  <c r="F66" i="72" s="1"/>
  <c r="AF37" i="125"/>
  <c r="AG37" i="125" s="1"/>
  <c r="AH37" i="125" s="1"/>
  <c r="N36" i="72" s="1"/>
  <c r="AF53" i="118"/>
  <c r="AG53" i="118" s="1"/>
  <c r="AH53" i="118" s="1"/>
  <c r="K52" i="72" s="1"/>
  <c r="AF74" i="118"/>
  <c r="AG74" i="118" s="1"/>
  <c r="AH74" i="118" s="1"/>
  <c r="K73" i="72" s="1"/>
  <c r="AF17" i="115"/>
  <c r="AG17" i="115" s="1"/>
  <c r="AH17" i="115" s="1"/>
  <c r="H16" i="72" s="1"/>
  <c r="AF46" i="113"/>
  <c r="AG46" i="113" s="1"/>
  <c r="AH46" i="113" s="1"/>
  <c r="F45" i="72" s="1"/>
  <c r="AF68" i="116"/>
  <c r="AG68" i="116" s="1"/>
  <c r="AH68" i="116" s="1"/>
  <c r="I67" i="72" s="1"/>
  <c r="AF30" i="127"/>
  <c r="AG30" i="127" s="1"/>
  <c r="AH30" i="127" s="1"/>
  <c r="P29" i="72" s="1"/>
  <c r="AG59" i="129"/>
  <c r="AH59" i="129" s="1"/>
  <c r="AF70" i="115"/>
  <c r="AG70" i="115" s="1"/>
  <c r="AH70" i="115" s="1"/>
  <c r="H69" i="72" s="1"/>
  <c r="AF13" i="114"/>
  <c r="AG13" i="114" s="1"/>
  <c r="AH13" i="114" s="1"/>
  <c r="G12" i="72" s="1"/>
  <c r="AF68" i="131"/>
  <c r="AG68" i="131" s="1"/>
  <c r="AH68" i="131" s="1"/>
  <c r="S67" i="72" s="1"/>
  <c r="AG8" i="118"/>
  <c r="AF48" i="113"/>
  <c r="AG48" i="113" s="1"/>
  <c r="AH48" i="113" s="1"/>
  <c r="F47" i="72" s="1"/>
  <c r="AF59" i="114"/>
  <c r="AG59" i="114" s="1"/>
  <c r="AH59" i="114" s="1"/>
  <c r="G58" i="72" s="1"/>
  <c r="AF51" i="113"/>
  <c r="AG51" i="113" s="1"/>
  <c r="AH51" i="113" s="1"/>
  <c r="F50" i="72" s="1"/>
  <c r="AF20" i="114"/>
  <c r="AG20" i="114" s="1"/>
  <c r="AH20" i="114" s="1"/>
  <c r="G19" i="72" s="1"/>
  <c r="AF55" i="114"/>
  <c r="AG55" i="114" s="1"/>
  <c r="AH55" i="114" s="1"/>
  <c r="G54" i="72" s="1"/>
  <c r="AF27" i="115"/>
  <c r="AG27" i="115" s="1"/>
  <c r="AH27" i="115" s="1"/>
  <c r="H26" i="72" s="1"/>
  <c r="AF57" i="115"/>
  <c r="AG57" i="115" s="1"/>
  <c r="AH57" i="115" s="1"/>
  <c r="H56" i="72" s="1"/>
  <c r="AF14" i="116"/>
  <c r="AG14" i="116" s="1"/>
  <c r="AH14" i="116" s="1"/>
  <c r="I13" i="72" s="1"/>
  <c r="AF61" i="116"/>
  <c r="AG61" i="116" s="1"/>
  <c r="AH61" i="116" s="1"/>
  <c r="I60" i="72" s="1"/>
  <c r="AH17" i="117"/>
  <c r="AI17" i="117" s="1"/>
  <c r="AJ17" i="117" s="1"/>
  <c r="J16" i="72" s="1"/>
  <c r="AH25" i="117"/>
  <c r="AI25" i="117" s="1"/>
  <c r="AJ25" i="117" s="1"/>
  <c r="J24" i="72" s="1"/>
  <c r="AF49" i="118"/>
  <c r="AG49" i="118" s="1"/>
  <c r="AH49" i="118" s="1"/>
  <c r="K48" i="72" s="1"/>
  <c r="AF26" i="118"/>
  <c r="AG26" i="118" s="1"/>
  <c r="AH26" i="118" s="1"/>
  <c r="K25" i="72" s="1"/>
  <c r="AF16" i="120"/>
  <c r="AG16" i="120" s="1"/>
  <c r="AH16" i="120" s="1"/>
  <c r="M15" i="72" s="1"/>
  <c r="AH63" i="117"/>
  <c r="AI63" i="117" s="1"/>
  <c r="AJ63" i="117" s="1"/>
  <c r="J62" i="72" s="1"/>
  <c r="AF37" i="114"/>
  <c r="AG37" i="114" s="1"/>
  <c r="AH37" i="114" s="1"/>
  <c r="G36" i="72" s="1"/>
  <c r="AF36" i="115"/>
  <c r="AG36" i="115" s="1"/>
  <c r="AH36" i="115" s="1"/>
  <c r="H35" i="72" s="1"/>
  <c r="AF37" i="120"/>
  <c r="AG37" i="120" s="1"/>
  <c r="AH37" i="120" s="1"/>
  <c r="M36" i="72" s="1"/>
  <c r="AH39" i="117"/>
  <c r="AI39" i="117" s="1"/>
  <c r="AJ39" i="117" s="1"/>
  <c r="J38" i="72" s="1"/>
  <c r="AF31" i="120"/>
  <c r="AG31" i="120" s="1"/>
  <c r="AH31" i="120" s="1"/>
  <c r="M30" i="72" s="1"/>
  <c r="AG29" i="129"/>
  <c r="AH29" i="129" s="1"/>
  <c r="AF9" i="126"/>
  <c r="AG9" i="126" s="1"/>
  <c r="AH9" i="126" s="1"/>
  <c r="O8" i="72" s="1"/>
  <c r="AF65" i="125"/>
  <c r="AG65" i="125" s="1"/>
  <c r="AH65" i="125" s="1"/>
  <c r="N64" i="72" s="1"/>
  <c r="AF57" i="127"/>
  <c r="AG57" i="127" s="1"/>
  <c r="AH57" i="127" s="1"/>
  <c r="P56" i="72" s="1"/>
  <c r="AF44" i="113"/>
  <c r="AG44" i="113" s="1"/>
  <c r="AH44" i="113" s="1"/>
  <c r="F43" i="72" s="1"/>
  <c r="AF15" i="131"/>
  <c r="AG15" i="131" s="1"/>
  <c r="AH15" i="131" s="1"/>
  <c r="S14" i="72" s="1"/>
  <c r="AF53" i="128"/>
  <c r="AG53" i="128" s="1"/>
  <c r="AH53" i="128" s="1"/>
  <c r="Q52" i="72" s="1"/>
  <c r="AF32" i="113"/>
  <c r="AG32" i="113" s="1"/>
  <c r="AH32" i="113" s="1"/>
  <c r="F31" i="72" s="1"/>
  <c r="AF29" i="126"/>
  <c r="AG29" i="126" s="1"/>
  <c r="AH29" i="126" s="1"/>
  <c r="O28" i="72" s="1"/>
  <c r="AF18" i="127"/>
  <c r="AG18" i="127" s="1"/>
  <c r="AH18" i="127" s="1"/>
  <c r="P17" i="72" s="1"/>
  <c r="AF11" i="118"/>
  <c r="AG11" i="118" s="1"/>
  <c r="AH11" i="118" s="1"/>
  <c r="K10" i="72" s="1"/>
  <c r="AF10" i="115"/>
  <c r="AG10" i="115" s="1"/>
  <c r="AH10" i="115" s="1"/>
  <c r="H9" i="72" s="1"/>
  <c r="AF50" i="113"/>
  <c r="AG50" i="113" s="1"/>
  <c r="AH50" i="113" s="1"/>
  <c r="F49" i="72" s="1"/>
  <c r="AH31" i="117"/>
  <c r="AI31" i="117" s="1"/>
  <c r="AJ31" i="117" s="1"/>
  <c r="J30" i="72" s="1"/>
  <c r="AF13" i="131"/>
  <c r="AG13" i="131" s="1"/>
  <c r="AH13" i="131" s="1"/>
  <c r="S12" i="72" s="1"/>
  <c r="AF25" i="126"/>
  <c r="AG25" i="126" s="1"/>
  <c r="AH25" i="126" s="1"/>
  <c r="O24" i="72" s="1"/>
  <c r="AF17" i="131"/>
  <c r="AG17" i="131" s="1"/>
  <c r="AH17" i="131" s="1"/>
  <c r="S16" i="72" s="1"/>
  <c r="AF57" i="128"/>
  <c r="AG57" i="128" s="1"/>
  <c r="AH57" i="128" s="1"/>
  <c r="Q56" i="72" s="1"/>
  <c r="AG15" i="129"/>
  <c r="AH15" i="129" s="1"/>
  <c r="AF59" i="125"/>
  <c r="AG59" i="125" s="1"/>
  <c r="AH59" i="125" s="1"/>
  <c r="N58" i="72" s="1"/>
  <c r="AF32" i="115"/>
  <c r="AG32" i="115" s="1"/>
  <c r="AH32" i="115" s="1"/>
  <c r="H31" i="72" s="1"/>
  <c r="AF34" i="125"/>
  <c r="AG34" i="125" s="1"/>
  <c r="AH34" i="125" s="1"/>
  <c r="N33" i="72" s="1"/>
  <c r="AF10" i="126"/>
  <c r="AG10" i="126" s="1"/>
  <c r="AH10" i="126" s="1"/>
  <c r="O9" i="72" s="1"/>
  <c r="AF55" i="125"/>
  <c r="AG55" i="125" s="1"/>
  <c r="AH55" i="125" s="1"/>
  <c r="N54" i="72" s="1"/>
  <c r="AG23" i="129"/>
  <c r="AH23" i="129" s="1"/>
  <c r="AF74" i="126"/>
  <c r="AG74" i="126" s="1"/>
  <c r="AH74" i="126" s="1"/>
  <c r="O73" i="72" s="1"/>
  <c r="AF38" i="131"/>
  <c r="AG38" i="131" s="1"/>
  <c r="AH38" i="131" s="1"/>
  <c r="S37" i="72" s="1"/>
  <c r="AF14" i="127"/>
  <c r="AG14" i="127" s="1"/>
  <c r="AH14" i="127" s="1"/>
  <c r="P13" i="72" s="1"/>
  <c r="AG58" i="129"/>
  <c r="AH58" i="129" s="1"/>
  <c r="AF41" i="114"/>
  <c r="AG41" i="114" s="1"/>
  <c r="AH41" i="114" s="1"/>
  <c r="G40" i="72" s="1"/>
  <c r="AF9" i="114"/>
  <c r="AG9" i="114" s="1"/>
  <c r="AH9" i="114" s="1"/>
  <c r="G8" i="72" s="1"/>
  <c r="AF41" i="125"/>
  <c r="AG41" i="125" s="1"/>
  <c r="AH41" i="125" s="1"/>
  <c r="N40" i="72" s="1"/>
  <c r="AF37" i="128"/>
  <c r="AG37" i="128" s="1"/>
  <c r="AH37" i="128" s="1"/>
  <c r="Q36" i="72" s="1"/>
  <c r="AG9" i="129"/>
  <c r="AH9" i="129" s="1"/>
  <c r="AF57" i="131"/>
  <c r="AG57" i="131" s="1"/>
  <c r="AH57" i="131" s="1"/>
  <c r="S56" i="72" s="1"/>
  <c r="AF65" i="127"/>
  <c r="AG65" i="127" s="1"/>
  <c r="AH65" i="127" s="1"/>
  <c r="P64" i="72" s="1"/>
  <c r="AF70" i="113"/>
  <c r="AG70" i="113" s="1"/>
  <c r="AH70" i="113" s="1"/>
  <c r="F69" i="72" s="1"/>
  <c r="AF59" i="120"/>
  <c r="AG59" i="120" s="1"/>
  <c r="AH59" i="120" s="1"/>
  <c r="M58" i="72" s="1"/>
  <c r="AF28" i="115"/>
  <c r="AG28" i="115" s="1"/>
  <c r="AH28" i="115" s="1"/>
  <c r="H27" i="72" s="1"/>
  <c r="AF43" i="131"/>
  <c r="AG43" i="131" s="1"/>
  <c r="AH43" i="131" s="1"/>
  <c r="S42" i="72" s="1"/>
  <c r="AF16" i="127"/>
  <c r="AG16" i="127" s="1"/>
  <c r="AH16" i="127" s="1"/>
  <c r="P15" i="72" s="1"/>
  <c r="AF21" i="131"/>
  <c r="AG21" i="131" s="1"/>
  <c r="AH21" i="131" s="1"/>
  <c r="S20" i="72" s="1"/>
  <c r="AF37" i="126"/>
  <c r="AG37" i="126" s="1"/>
  <c r="AH37" i="126" s="1"/>
  <c r="O36" i="72" s="1"/>
  <c r="AF24" i="116"/>
  <c r="AG24" i="116" s="1"/>
  <c r="AH24" i="116" s="1"/>
  <c r="I23" i="72" s="1"/>
  <c r="AF41" i="115"/>
  <c r="AG41" i="115" s="1"/>
  <c r="AH41" i="115" s="1"/>
  <c r="H40" i="72" s="1"/>
  <c r="AF22" i="115"/>
  <c r="AG22" i="115" s="1"/>
  <c r="AH22" i="115" s="1"/>
  <c r="H21" i="72" s="1"/>
  <c r="AF21" i="116"/>
  <c r="AG21" i="116" s="1"/>
  <c r="AH21" i="116" s="1"/>
  <c r="I20" i="72" s="1"/>
  <c r="AF23" i="120"/>
  <c r="AG23" i="120" s="1"/>
  <c r="AH23" i="120" s="1"/>
  <c r="M22" i="72" s="1"/>
  <c r="AF14" i="120"/>
  <c r="AG14" i="120" s="1"/>
  <c r="AH14" i="120" s="1"/>
  <c r="M13" i="72" s="1"/>
  <c r="AF43" i="114"/>
  <c r="AG43" i="114" s="1"/>
  <c r="AH43" i="114" s="1"/>
  <c r="G42" i="72" s="1"/>
  <c r="AF64" i="116"/>
  <c r="AG64" i="116" s="1"/>
  <c r="AH64" i="116" s="1"/>
  <c r="I63" i="72" s="1"/>
  <c r="AF41" i="116"/>
  <c r="AG41" i="116" s="1"/>
  <c r="AH41" i="116" s="1"/>
  <c r="I40" i="72" s="1"/>
  <c r="AF41" i="113"/>
  <c r="AG41" i="113" s="1"/>
  <c r="AH41" i="113" s="1"/>
  <c r="F40" i="72" s="1"/>
  <c r="AH50" i="117"/>
  <c r="AI50" i="117" s="1"/>
  <c r="AJ50" i="117" s="1"/>
  <c r="J49" i="72" s="1"/>
  <c r="AF63" i="120"/>
  <c r="AG63" i="120" s="1"/>
  <c r="AH63" i="120" s="1"/>
  <c r="M62" i="72" s="1"/>
  <c r="AF65" i="115"/>
  <c r="AG65" i="115" s="1"/>
  <c r="AH65" i="115" s="1"/>
  <c r="H64" i="72" s="1"/>
  <c r="AF58" i="116"/>
  <c r="AG58" i="116" s="1"/>
  <c r="AH58" i="116" s="1"/>
  <c r="I57" i="72" s="1"/>
  <c r="AH36" i="117"/>
  <c r="AI36" i="117" s="1"/>
  <c r="AJ36" i="117" s="1"/>
  <c r="J35" i="72" s="1"/>
  <c r="AH49" i="117"/>
  <c r="AI49" i="117" s="1"/>
  <c r="AJ49" i="117" s="1"/>
  <c r="J48" i="72" s="1"/>
  <c r="AF74" i="115"/>
  <c r="AG74" i="115" s="1"/>
  <c r="AH74" i="115" s="1"/>
  <c r="H73" i="72" s="1"/>
  <c r="AF16" i="113"/>
  <c r="AG16" i="113" s="1"/>
  <c r="AH16" i="113" s="1"/>
  <c r="F15" i="72" s="1"/>
  <c r="AH38" i="117"/>
  <c r="AI38" i="117" s="1"/>
  <c r="AJ38" i="117" s="1"/>
  <c r="J37" i="72" s="1"/>
  <c r="AH60" i="117"/>
  <c r="AI60" i="117" s="1"/>
  <c r="AJ60" i="117" s="1"/>
  <c r="J59" i="72" s="1"/>
  <c r="AF72" i="118"/>
  <c r="AG72" i="118" s="1"/>
  <c r="AH72" i="118" s="1"/>
  <c r="K71" i="72" s="1"/>
  <c r="AF54" i="120"/>
  <c r="AG54" i="120" s="1"/>
  <c r="AH54" i="120" s="1"/>
  <c r="M53" i="72" s="1"/>
  <c r="AH71" i="117"/>
  <c r="AI71" i="117" s="1"/>
  <c r="AJ71" i="117" s="1"/>
  <c r="J70" i="72" s="1"/>
  <c r="AF57" i="118"/>
  <c r="AG57" i="118" s="1"/>
  <c r="AH57" i="118" s="1"/>
  <c r="K56" i="72" s="1"/>
  <c r="AF30" i="115"/>
  <c r="AG30" i="115" s="1"/>
  <c r="AH30" i="115" s="1"/>
  <c r="H29" i="72" s="1"/>
  <c r="AF53" i="113"/>
  <c r="AG53" i="113" s="1"/>
  <c r="AH53" i="113" s="1"/>
  <c r="F52" i="72" s="1"/>
  <c r="AF76" i="118"/>
  <c r="AG76" i="118" s="1"/>
  <c r="AH76" i="118" s="1"/>
  <c r="K75" i="72" s="1"/>
  <c r="AF21" i="128"/>
  <c r="AG21" i="128" s="1"/>
  <c r="AH21" i="128" s="1"/>
  <c r="Q20" i="72" s="1"/>
  <c r="AF74" i="128"/>
  <c r="AG74" i="128" s="1"/>
  <c r="AH74" i="128" s="1"/>
  <c r="Q73" i="72" s="1"/>
  <c r="AF45" i="128"/>
  <c r="AG45" i="128" s="1"/>
  <c r="AH45" i="128" s="1"/>
  <c r="Q44" i="72" s="1"/>
  <c r="AF58" i="126"/>
  <c r="AG58" i="126" s="1"/>
  <c r="AH58" i="126" s="1"/>
  <c r="O57" i="72" s="1"/>
  <c r="AF32" i="127"/>
  <c r="AG32" i="127" s="1"/>
  <c r="AH32" i="127" s="1"/>
  <c r="P31" i="72" s="1"/>
  <c r="AF61" i="127"/>
  <c r="AG61" i="127" s="1"/>
  <c r="AH61" i="127" s="1"/>
  <c r="P60" i="72" s="1"/>
  <c r="AF47" i="131"/>
  <c r="AG47" i="131" s="1"/>
  <c r="AH47" i="131" s="1"/>
  <c r="S46" i="72" s="1"/>
  <c r="AF47" i="126"/>
  <c r="AG47" i="126" s="1"/>
  <c r="AH47" i="126" s="1"/>
  <c r="O46" i="72" s="1"/>
  <c r="AF53" i="127"/>
  <c r="AG53" i="127" s="1"/>
  <c r="AH53" i="127" s="1"/>
  <c r="P52" i="72" s="1"/>
  <c r="AF75" i="126"/>
  <c r="AG75" i="126" s="1"/>
  <c r="AH75" i="126" s="1"/>
  <c r="O74" i="72" s="1"/>
  <c r="AF12" i="126"/>
  <c r="AG12" i="126" s="1"/>
  <c r="AH12" i="126" s="1"/>
  <c r="O11" i="72" s="1"/>
  <c r="AF70" i="126"/>
  <c r="AG70" i="126" s="1"/>
  <c r="AH70" i="126" s="1"/>
  <c r="O69" i="72" s="1"/>
  <c r="AF45" i="127"/>
  <c r="AG45" i="127" s="1"/>
  <c r="AH45" i="127" s="1"/>
  <c r="P44" i="72" s="1"/>
  <c r="AF73" i="127"/>
  <c r="AG73" i="127" s="1"/>
  <c r="AH73" i="127" s="1"/>
  <c r="P72" i="72" s="1"/>
  <c r="AF39" i="125"/>
  <c r="AG39" i="125" s="1"/>
  <c r="AH39" i="125" s="1"/>
  <c r="N38" i="72" s="1"/>
  <c r="AF54" i="128"/>
  <c r="AG54" i="128" s="1"/>
  <c r="AH54" i="128" s="1"/>
  <c r="Q53" i="72" s="1"/>
  <c r="AF49" i="126"/>
  <c r="AG49" i="126" s="1"/>
  <c r="AH49" i="126" s="1"/>
  <c r="O48" i="72" s="1"/>
  <c r="AF75" i="125"/>
  <c r="AG75" i="125" s="1"/>
  <c r="AH75" i="125" s="1"/>
  <c r="N74" i="72" s="1"/>
  <c r="AH69" i="117"/>
  <c r="AI69" i="117" s="1"/>
  <c r="AJ69" i="117" s="1"/>
  <c r="J68" i="72" s="1"/>
  <c r="AF45" i="126"/>
  <c r="AG45" i="126" s="1"/>
  <c r="AH45" i="126" s="1"/>
  <c r="O44" i="72" s="1"/>
  <c r="AF47" i="127"/>
  <c r="AG47" i="127" s="1"/>
  <c r="AH47" i="127" s="1"/>
  <c r="P46" i="72" s="1"/>
  <c r="AF39" i="127"/>
  <c r="AG39" i="127" s="1"/>
  <c r="AH39" i="127" s="1"/>
  <c r="P38" i="72" s="1"/>
  <c r="AF62" i="128"/>
  <c r="AG62" i="128" s="1"/>
  <c r="AH62" i="128" s="1"/>
  <c r="Q61" i="72" s="1"/>
  <c r="AF14" i="128"/>
  <c r="AG14" i="128" s="1"/>
  <c r="AH14" i="128" s="1"/>
  <c r="Q13" i="72" s="1"/>
  <c r="AG27" i="129"/>
  <c r="AH27" i="129" s="1"/>
  <c r="AG31" i="129"/>
  <c r="AH31" i="129" s="1"/>
  <c r="AF69" i="131"/>
  <c r="AG69" i="131" s="1"/>
  <c r="AH69" i="131" s="1"/>
  <c r="S68" i="72" s="1"/>
  <c r="AF34" i="127"/>
  <c r="AG34" i="127" s="1"/>
  <c r="AH34" i="127" s="1"/>
  <c r="P33" i="72" s="1"/>
  <c r="AF76" i="126"/>
  <c r="AG76" i="126" s="1"/>
  <c r="AH76" i="126" s="1"/>
  <c r="O75" i="72" s="1"/>
  <c r="AF65" i="126"/>
  <c r="AG65" i="126" s="1"/>
  <c r="AH65" i="126" s="1"/>
  <c r="O64" i="72" s="1"/>
  <c r="AF20" i="127"/>
  <c r="AG20" i="127" s="1"/>
  <c r="AH20" i="127" s="1"/>
  <c r="P19" i="72" s="1"/>
  <c r="AF24" i="125"/>
  <c r="AG24" i="125" s="1"/>
  <c r="AH24" i="125" s="1"/>
  <c r="N23" i="72" s="1"/>
  <c r="AG33" i="129"/>
  <c r="AH33" i="129" s="1"/>
  <c r="AF67" i="131"/>
  <c r="AG67" i="131" s="1"/>
  <c r="AH67" i="131" s="1"/>
  <c r="S66" i="72" s="1"/>
  <c r="AG57" i="129"/>
  <c r="AH57" i="129" s="1"/>
  <c r="AF55" i="126"/>
  <c r="AG55" i="126" s="1"/>
  <c r="AH55" i="126" s="1"/>
  <c r="O54" i="72" s="1"/>
  <c r="AF75" i="127"/>
  <c r="AG75" i="127" s="1"/>
  <c r="AH75" i="127" s="1"/>
  <c r="P74" i="72" s="1"/>
  <c r="AH27" i="117"/>
  <c r="AI27" i="117" s="1"/>
  <c r="AJ27" i="117" s="1"/>
  <c r="J26" i="72" s="1"/>
  <c r="AF59" i="131"/>
  <c r="AG59" i="131" s="1"/>
  <c r="AH59" i="131" s="1"/>
  <c r="S58" i="72" s="1"/>
  <c r="AG72" i="129"/>
  <c r="AH72" i="129" s="1"/>
  <c r="AF39" i="131"/>
  <c r="AG39" i="131" s="1"/>
  <c r="AH39" i="131" s="1"/>
  <c r="S38" i="72" s="1"/>
  <c r="AF63" i="126"/>
  <c r="AG63" i="126" s="1"/>
  <c r="AH63" i="126" s="1"/>
  <c r="O62" i="72" s="1"/>
  <c r="AG75" i="129"/>
  <c r="AH75" i="129" s="1"/>
  <c r="AF25" i="125"/>
  <c r="AG25" i="125" s="1"/>
  <c r="AH25" i="125" s="1"/>
  <c r="N24" i="72" s="1"/>
  <c r="AF11" i="131"/>
  <c r="AG11" i="131" s="1"/>
  <c r="AH11" i="131" s="1"/>
  <c r="S10" i="72" s="1"/>
  <c r="AF52" i="126"/>
  <c r="AG52" i="126" s="1"/>
  <c r="AH52" i="126" s="1"/>
  <c r="O51" i="72" s="1"/>
  <c r="AF64" i="127"/>
  <c r="AG64" i="127" s="1"/>
  <c r="AH64" i="127" s="1"/>
  <c r="P63" i="72" s="1"/>
  <c r="AF72" i="128"/>
  <c r="AG72" i="128" s="1"/>
  <c r="AH72" i="128" s="1"/>
  <c r="Q71" i="72" s="1"/>
  <c r="AF64" i="125"/>
  <c r="AG64" i="125" s="1"/>
  <c r="AH64" i="125" s="1"/>
  <c r="N63" i="72" s="1"/>
  <c r="AF38" i="126"/>
  <c r="AG38" i="126" s="1"/>
  <c r="AH38" i="126" s="1"/>
  <c r="O37" i="72" s="1"/>
  <c r="AF28" i="131"/>
  <c r="AG28" i="131" s="1"/>
  <c r="AH28" i="131" s="1"/>
  <c r="S27" i="72" s="1"/>
  <c r="AF14" i="125"/>
  <c r="AG14" i="125" s="1"/>
  <c r="AH14" i="125" s="1"/>
  <c r="N13" i="72" s="1"/>
  <c r="AF36" i="131"/>
  <c r="AG36" i="131" s="1"/>
  <c r="AH36" i="131" s="1"/>
  <c r="S35" i="72" s="1"/>
  <c r="AG18" i="129"/>
  <c r="AH18" i="129" s="1"/>
  <c r="AG46" i="129"/>
  <c r="AH46" i="129" s="1"/>
  <c r="AF59" i="127"/>
  <c r="AG59" i="127" s="1"/>
  <c r="AH59" i="127" s="1"/>
  <c r="P58" i="72" s="1"/>
  <c r="AF15" i="127"/>
  <c r="AG15" i="127" s="1"/>
  <c r="AH15" i="127" s="1"/>
  <c r="P14" i="72" s="1"/>
  <c r="R37" i="72"/>
  <c r="AJ38" i="129"/>
  <c r="R41" i="72"/>
  <c r="AJ42" i="129"/>
  <c r="R34" i="72"/>
  <c r="AJ35" i="129"/>
  <c r="R31" i="72"/>
  <c r="AJ32" i="129"/>
  <c r="R46" i="72"/>
  <c r="AJ47" i="129"/>
  <c r="AL77" i="128"/>
  <c r="AN8" i="128"/>
  <c r="AL77" i="116"/>
  <c r="AN8" i="116"/>
  <c r="AN9" i="114"/>
  <c r="AL78" i="114"/>
  <c r="R50" i="72"/>
  <c r="AJ51" i="129"/>
  <c r="AM75" i="80"/>
  <c r="AN77" i="129"/>
  <c r="AN7" i="72"/>
  <c r="AN76" i="72" s="1"/>
  <c r="R25" i="72"/>
  <c r="AJ26" i="129"/>
  <c r="AL77" i="131"/>
  <c r="AN8" i="131"/>
  <c r="R59" i="72"/>
  <c r="AJ60" i="129"/>
  <c r="AJ52" i="129"/>
  <c r="R51" i="72"/>
  <c r="AL7" i="72"/>
  <c r="AL76" i="72" s="1"/>
  <c r="AN77" i="127"/>
  <c r="AP77" i="117"/>
  <c r="AF7" i="72"/>
  <c r="AF76" i="72" s="1"/>
  <c r="AG7" i="72"/>
  <c r="AG76" i="72" s="1"/>
  <c r="AN77" i="118"/>
  <c r="AN77" i="113"/>
  <c r="AB7" i="72"/>
  <c r="AB76" i="72" s="1"/>
  <c r="R15" i="72"/>
  <c r="AJ16" i="129"/>
  <c r="AJ44" i="129"/>
  <c r="R43" i="72"/>
  <c r="R53" i="72"/>
  <c r="AJ54" i="129"/>
  <c r="R11" i="72"/>
  <c r="AJ12" i="129"/>
  <c r="R49" i="72"/>
  <c r="AJ50" i="129"/>
  <c r="R13" i="72"/>
  <c r="AJ14" i="129"/>
  <c r="AL77" i="115"/>
  <c r="AN8" i="115"/>
  <c r="R23" i="72"/>
  <c r="AJ24" i="129"/>
  <c r="AL77" i="125"/>
  <c r="AN8" i="125"/>
  <c r="R10" i="72"/>
  <c r="AJ11" i="129"/>
  <c r="R47" i="72"/>
  <c r="AJ48" i="129"/>
  <c r="R27" i="72"/>
  <c r="AJ28" i="129"/>
  <c r="AL77" i="119"/>
  <c r="AN8" i="119"/>
  <c r="R64" i="72"/>
  <c r="AJ65" i="129"/>
  <c r="R9" i="72"/>
  <c r="AJ10" i="129"/>
  <c r="R19" i="72"/>
  <c r="AJ20" i="129"/>
  <c r="AL77" i="120"/>
  <c r="AN8" i="120"/>
  <c r="R66" i="72"/>
  <c r="AJ67" i="129"/>
  <c r="AK7" i="72"/>
  <c r="AK76" i="72" s="1"/>
  <c r="AN77" i="126"/>
  <c r="AF68" i="115"/>
  <c r="AG68" i="115" s="1"/>
  <c r="AH68" i="115" s="1"/>
  <c r="H67" i="72" s="1"/>
  <c r="AF67" i="115"/>
  <c r="AG67" i="115" s="1"/>
  <c r="AH67" i="115" s="1"/>
  <c r="H66" i="72" s="1"/>
  <c r="AH32" i="117"/>
  <c r="AI32" i="117" s="1"/>
  <c r="AJ32" i="117" s="1"/>
  <c r="J31" i="72" s="1"/>
  <c r="AF44" i="118"/>
  <c r="AG44" i="118" s="1"/>
  <c r="AH44" i="118" s="1"/>
  <c r="K43" i="72" s="1"/>
  <c r="AH47" i="117"/>
  <c r="AI47" i="117" s="1"/>
  <c r="AJ47" i="117" s="1"/>
  <c r="J46" i="72" s="1"/>
  <c r="AF72" i="113"/>
  <c r="AG72" i="113" s="1"/>
  <c r="AH72" i="113" s="1"/>
  <c r="F71" i="72" s="1"/>
  <c r="AF62" i="120"/>
  <c r="AG62" i="120" s="1"/>
  <c r="AH62" i="120" s="1"/>
  <c r="M61" i="72" s="1"/>
  <c r="AF11" i="126"/>
  <c r="AG11" i="126" s="1"/>
  <c r="AH11" i="126" s="1"/>
  <c r="O10" i="72" s="1"/>
  <c r="AF12" i="127"/>
  <c r="AG12" i="127" s="1"/>
  <c r="AH12" i="127" s="1"/>
  <c r="P11" i="72" s="1"/>
  <c r="AH70" i="117"/>
  <c r="AI70" i="117" s="1"/>
  <c r="AJ70" i="117" s="1"/>
  <c r="J69" i="72" s="1"/>
  <c r="AG8" i="125"/>
  <c r="AF54" i="126"/>
  <c r="AG54" i="126" s="1"/>
  <c r="AH54" i="126" s="1"/>
  <c r="O53" i="72" s="1"/>
  <c r="AF13" i="116"/>
  <c r="AG13" i="116" s="1"/>
  <c r="AH13" i="116" s="1"/>
  <c r="I12" i="72" s="1"/>
  <c r="AF74" i="116"/>
  <c r="AG74" i="116" s="1"/>
  <c r="AH74" i="116" s="1"/>
  <c r="I73" i="72" s="1"/>
  <c r="AF16" i="118"/>
  <c r="AG16" i="118" s="1"/>
  <c r="AH16" i="118" s="1"/>
  <c r="K15" i="72" s="1"/>
  <c r="AF54" i="118"/>
  <c r="AG54" i="118" s="1"/>
  <c r="AH54" i="118" s="1"/>
  <c r="K53" i="72" s="1"/>
  <c r="AF76" i="116"/>
  <c r="AG76" i="116" s="1"/>
  <c r="AH76" i="116" s="1"/>
  <c r="I75" i="72" s="1"/>
  <c r="AF46" i="116"/>
  <c r="AG46" i="116" s="1"/>
  <c r="AH46" i="116" s="1"/>
  <c r="I45" i="72" s="1"/>
  <c r="AF36" i="126"/>
  <c r="AG36" i="126" s="1"/>
  <c r="AH36" i="126" s="1"/>
  <c r="O35" i="72" s="1"/>
  <c r="AG68" i="129"/>
  <c r="AH68" i="129" s="1"/>
  <c r="AF36" i="127"/>
  <c r="AG36" i="127" s="1"/>
  <c r="AH36" i="127" s="1"/>
  <c r="P35" i="72" s="1"/>
  <c r="AF58" i="125"/>
  <c r="AG58" i="125" s="1"/>
  <c r="AH58" i="125" s="1"/>
  <c r="N57" i="72" s="1"/>
  <c r="AF33" i="118"/>
  <c r="AG33" i="118" s="1"/>
  <c r="AH33" i="118" s="1"/>
  <c r="K32" i="72" s="1"/>
  <c r="AH37" i="117"/>
  <c r="AI37" i="117" s="1"/>
  <c r="AJ37" i="117" s="1"/>
  <c r="J36" i="72" s="1"/>
  <c r="AF31" i="125"/>
  <c r="AG31" i="125" s="1"/>
  <c r="AH31" i="125" s="1"/>
  <c r="N30" i="72" s="1"/>
  <c r="AF37" i="113"/>
  <c r="AG37" i="113" s="1"/>
  <c r="AH37" i="113" s="1"/>
  <c r="F36" i="72" s="1"/>
  <c r="AF23" i="114"/>
  <c r="AG23" i="114" s="1"/>
  <c r="AH23" i="114" s="1"/>
  <c r="G22" i="72" s="1"/>
  <c r="AF16" i="115"/>
  <c r="AG16" i="115" s="1"/>
  <c r="AH16" i="115" s="1"/>
  <c r="H15" i="72" s="1"/>
  <c r="AF35" i="115"/>
  <c r="AG35" i="115" s="1"/>
  <c r="AH35" i="115" s="1"/>
  <c r="H34" i="72" s="1"/>
  <c r="AF40" i="115"/>
  <c r="AG40" i="115" s="1"/>
  <c r="AH40" i="115" s="1"/>
  <c r="H39" i="72" s="1"/>
  <c r="AF51" i="116"/>
  <c r="AG51" i="116" s="1"/>
  <c r="AH51" i="116" s="1"/>
  <c r="I50" i="72" s="1"/>
  <c r="AH12" i="117"/>
  <c r="AI12" i="117" s="1"/>
  <c r="AJ12" i="117" s="1"/>
  <c r="J11" i="72" s="1"/>
  <c r="AH76" i="117"/>
  <c r="AI76" i="117" s="1"/>
  <c r="AJ76" i="117" s="1"/>
  <c r="J75" i="72" s="1"/>
  <c r="AH53" i="117"/>
  <c r="AI53" i="117" s="1"/>
  <c r="AJ53" i="117" s="1"/>
  <c r="J52" i="72" s="1"/>
  <c r="AF40" i="118"/>
  <c r="AG40" i="118" s="1"/>
  <c r="AH40" i="118" s="1"/>
  <c r="K39" i="72" s="1"/>
  <c r="AF60" i="120"/>
  <c r="AG60" i="120" s="1"/>
  <c r="AH60" i="120" s="1"/>
  <c r="M59" i="72" s="1"/>
  <c r="AF18" i="120"/>
  <c r="AG18" i="120" s="1"/>
  <c r="AH18" i="120" s="1"/>
  <c r="M17" i="72" s="1"/>
  <c r="AF45" i="125"/>
  <c r="AG45" i="125" s="1"/>
  <c r="AH45" i="125" s="1"/>
  <c r="N44" i="72" s="1"/>
  <c r="AF46" i="114"/>
  <c r="AG46" i="114" s="1"/>
  <c r="AH46" i="114" s="1"/>
  <c r="G45" i="72" s="1"/>
  <c r="AH23" i="117"/>
  <c r="AI23" i="117" s="1"/>
  <c r="AJ23" i="117" s="1"/>
  <c r="J22" i="72" s="1"/>
  <c r="AF39" i="116"/>
  <c r="AG39" i="116" s="1"/>
  <c r="AH39" i="116" s="1"/>
  <c r="I38" i="72" s="1"/>
  <c r="AF72" i="116"/>
  <c r="AG72" i="116" s="1"/>
  <c r="AH72" i="116" s="1"/>
  <c r="I71" i="72" s="1"/>
  <c r="AF65" i="131"/>
  <c r="AG65" i="131" s="1"/>
  <c r="AH65" i="131" s="1"/>
  <c r="S64" i="72" s="1"/>
  <c r="AF37" i="127"/>
  <c r="AG37" i="127" s="1"/>
  <c r="AH37" i="127" s="1"/>
  <c r="P36" i="72" s="1"/>
  <c r="AF13" i="125"/>
  <c r="AG13" i="125" s="1"/>
  <c r="AH13" i="125" s="1"/>
  <c r="N12" i="72" s="1"/>
  <c r="AG13" i="129"/>
  <c r="AH13" i="129" s="1"/>
  <c r="AF41" i="126"/>
  <c r="AG41" i="126" s="1"/>
  <c r="AH41" i="126" s="1"/>
  <c r="O40" i="72" s="1"/>
  <c r="AF42" i="131"/>
  <c r="AG42" i="131" s="1"/>
  <c r="AH42" i="131" s="1"/>
  <c r="S41" i="72" s="1"/>
  <c r="AF55" i="116"/>
  <c r="AG55" i="116" s="1"/>
  <c r="AH55" i="116" s="1"/>
  <c r="I54" i="72" s="1"/>
  <c r="AF32" i="116"/>
  <c r="AG32" i="116" s="1"/>
  <c r="AH32" i="116" s="1"/>
  <c r="I31" i="72" s="1"/>
  <c r="AH59" i="117"/>
  <c r="AI59" i="117" s="1"/>
  <c r="AJ59" i="117" s="1"/>
  <c r="J58" i="72" s="1"/>
  <c r="AF37" i="118"/>
  <c r="AG37" i="118" s="1"/>
  <c r="AH37" i="118" s="1"/>
  <c r="K36" i="72" s="1"/>
  <c r="AF12" i="114"/>
  <c r="AG12" i="114" s="1"/>
  <c r="AH12" i="114" s="1"/>
  <c r="G11" i="72" s="1"/>
  <c r="AF47" i="125"/>
  <c r="AG47" i="125" s="1"/>
  <c r="AH47" i="125" s="1"/>
  <c r="N46" i="72" s="1"/>
  <c r="AG36" i="129"/>
  <c r="AH36" i="129" s="1"/>
  <c r="AH67" i="117"/>
  <c r="AI67" i="117" s="1"/>
  <c r="AJ67" i="117" s="1"/>
  <c r="J66" i="72" s="1"/>
  <c r="AF61" i="118"/>
  <c r="AG61" i="118" s="1"/>
  <c r="AH61" i="118" s="1"/>
  <c r="K60" i="72" s="1"/>
  <c r="AF56" i="116"/>
  <c r="AG56" i="116" s="1"/>
  <c r="AH56" i="116" s="1"/>
  <c r="I55" i="72" s="1"/>
  <c r="AF57" i="114"/>
  <c r="AG57" i="114" s="1"/>
  <c r="AH57" i="114" s="1"/>
  <c r="G56" i="72" s="1"/>
  <c r="AH55" i="117"/>
  <c r="AI55" i="117" s="1"/>
  <c r="AJ55" i="117" s="1"/>
  <c r="J54" i="72" s="1"/>
  <c r="AF9" i="128"/>
  <c r="AG9" i="128" s="1"/>
  <c r="AH9" i="128" s="1"/>
  <c r="Q8" i="72" s="1"/>
  <c r="AF67" i="125"/>
  <c r="AG67" i="125" s="1"/>
  <c r="AH67" i="125" s="1"/>
  <c r="N66" i="72" s="1"/>
  <c r="AF64" i="113"/>
  <c r="AG64" i="113" s="1"/>
  <c r="AH64" i="113" s="1"/>
  <c r="F63" i="72" s="1"/>
  <c r="AF63" i="131"/>
  <c r="AG63" i="131" s="1"/>
  <c r="AH63" i="131" s="1"/>
  <c r="S62" i="72" s="1"/>
  <c r="AF28" i="127"/>
  <c r="AG28" i="127" s="1"/>
  <c r="AH28" i="127" s="1"/>
  <c r="P27" i="72" s="1"/>
  <c r="AF11" i="125"/>
  <c r="AG11" i="125" s="1"/>
  <c r="AH11" i="125" s="1"/>
  <c r="N10" i="72" s="1"/>
  <c r="AF31" i="127"/>
  <c r="AG31" i="127" s="1"/>
  <c r="AH31" i="127" s="1"/>
  <c r="P30" i="72" s="1"/>
  <c r="AH9" i="117"/>
  <c r="AI9" i="117" s="1"/>
  <c r="AJ9" i="117" s="1"/>
  <c r="J8" i="72" s="1"/>
  <c r="AF15" i="125"/>
  <c r="AG15" i="125" s="1"/>
  <c r="AH15" i="125" s="1"/>
  <c r="N14" i="72" s="1"/>
  <c r="AF71" i="125"/>
  <c r="AG71" i="125" s="1"/>
  <c r="AH71" i="125" s="1"/>
  <c r="N70" i="72" s="1"/>
  <c r="AF8" i="128"/>
  <c r="AF19" i="131"/>
  <c r="AG19" i="131" s="1"/>
  <c r="AH19" i="131" s="1"/>
  <c r="S18" i="72" s="1"/>
  <c r="AG71" i="129"/>
  <c r="AH71" i="129" s="1"/>
  <c r="AF36" i="116"/>
  <c r="AG36" i="116" s="1"/>
  <c r="AH36" i="116" s="1"/>
  <c r="I35" i="72" s="1"/>
  <c r="AF61" i="125"/>
  <c r="AG61" i="125" s="1"/>
  <c r="AH61" i="125" s="1"/>
  <c r="N60" i="72" s="1"/>
  <c r="AH13" i="117"/>
  <c r="AI13" i="117" s="1"/>
  <c r="AJ13" i="117" s="1"/>
  <c r="J12" i="72" s="1"/>
  <c r="AF73" i="125"/>
  <c r="AG73" i="125" s="1"/>
  <c r="AH73" i="125" s="1"/>
  <c r="N72" i="72" s="1"/>
  <c r="AF9" i="127"/>
  <c r="AG9" i="127" s="1"/>
  <c r="AH9" i="127" s="1"/>
  <c r="P8" i="72" s="1"/>
  <c r="AF74" i="125"/>
  <c r="AG74" i="125" s="1"/>
  <c r="AH74" i="125" s="1"/>
  <c r="N73" i="72" s="1"/>
  <c r="AF38" i="120"/>
  <c r="AG38" i="120" s="1"/>
  <c r="AH38" i="120" s="1"/>
  <c r="M37" i="72" s="1"/>
  <c r="AF19" i="126"/>
  <c r="AG19" i="126" s="1"/>
  <c r="AH19" i="126" s="1"/>
  <c r="O18" i="72" s="1"/>
  <c r="AF59" i="115"/>
  <c r="AG59" i="115" s="1"/>
  <c r="AH59" i="115" s="1"/>
  <c r="H58" i="72" s="1"/>
  <c r="AF14" i="131"/>
  <c r="AG14" i="131" s="1"/>
  <c r="AH14" i="131" s="1"/>
  <c r="S13" i="72" s="1"/>
  <c r="AF26" i="125"/>
  <c r="AG26" i="125" s="1"/>
  <c r="AH26" i="125" s="1"/>
  <c r="N25" i="72" s="1"/>
  <c r="AG64" i="129"/>
  <c r="AH64" i="129" s="1"/>
  <c r="AF31" i="128"/>
  <c r="AG31" i="128" s="1"/>
  <c r="AH31" i="128" s="1"/>
  <c r="Q30" i="72" s="1"/>
  <c r="AF74" i="131"/>
  <c r="AG74" i="131" s="1"/>
  <c r="AH74" i="131" s="1"/>
  <c r="S73" i="72" s="1"/>
  <c r="AF65" i="128"/>
  <c r="AG65" i="128" s="1"/>
  <c r="AH65" i="128" s="1"/>
  <c r="Q64" i="72" s="1"/>
  <c r="AH18" i="117"/>
  <c r="AI18" i="117" s="1"/>
  <c r="AJ18" i="117" s="1"/>
  <c r="J17" i="72" s="1"/>
  <c r="AH42" i="117"/>
  <c r="AI42" i="117" s="1"/>
  <c r="AJ42" i="117" s="1"/>
  <c r="J41" i="72" s="1"/>
  <c r="AF58" i="115"/>
  <c r="AG58" i="115" s="1"/>
  <c r="AH58" i="115" s="1"/>
  <c r="H57" i="72" s="1"/>
  <c r="AF75" i="115"/>
  <c r="AG75" i="115" s="1"/>
  <c r="AH75" i="115" s="1"/>
  <c r="H74" i="72" s="1"/>
  <c r="AF52" i="120"/>
  <c r="AG52" i="120" s="1"/>
  <c r="AH52" i="120" s="1"/>
  <c r="M51" i="72" s="1"/>
  <c r="AF16" i="114"/>
  <c r="AG16" i="114" s="1"/>
  <c r="AH16" i="114" s="1"/>
  <c r="G15" i="72" s="1"/>
  <c r="AF30" i="114"/>
  <c r="AG30" i="114" s="1"/>
  <c r="AH30" i="114" s="1"/>
  <c r="G29" i="72" s="1"/>
  <c r="AH72" i="117"/>
  <c r="AI72" i="117" s="1"/>
  <c r="AJ72" i="117" s="1"/>
  <c r="J71" i="72" s="1"/>
  <c r="AF51" i="115"/>
  <c r="AG51" i="115" s="1"/>
  <c r="AH51" i="115" s="1"/>
  <c r="H50" i="72" s="1"/>
  <c r="AF58" i="120"/>
  <c r="AG58" i="120" s="1"/>
  <c r="AH58" i="120" s="1"/>
  <c r="M57" i="72" s="1"/>
  <c r="AF67" i="114"/>
  <c r="AG67" i="114" s="1"/>
  <c r="AH67" i="114" s="1"/>
  <c r="G66" i="72" s="1"/>
  <c r="AF44" i="116"/>
  <c r="AG44" i="116" s="1"/>
  <c r="AH44" i="116" s="1"/>
  <c r="I43" i="72" s="1"/>
  <c r="AF61" i="120"/>
  <c r="AG61" i="120" s="1"/>
  <c r="AH61" i="120" s="1"/>
  <c r="M60" i="72" s="1"/>
  <c r="AF31" i="114"/>
  <c r="AG31" i="114" s="1"/>
  <c r="AH31" i="114" s="1"/>
  <c r="G30" i="72" s="1"/>
  <c r="AF18" i="116"/>
  <c r="AG18" i="116" s="1"/>
  <c r="AH18" i="116" s="1"/>
  <c r="I17" i="72" s="1"/>
  <c r="AF53" i="114"/>
  <c r="AG53" i="114" s="1"/>
  <c r="AH53" i="114" s="1"/>
  <c r="G52" i="72" s="1"/>
  <c r="AF45" i="120"/>
  <c r="AG45" i="120" s="1"/>
  <c r="AH45" i="120" s="1"/>
  <c r="M44" i="72" s="1"/>
  <c r="AF50" i="114"/>
  <c r="AG50" i="114" s="1"/>
  <c r="AH50" i="114" s="1"/>
  <c r="G49" i="72" s="1"/>
  <c r="AF18" i="113"/>
  <c r="AG18" i="113" s="1"/>
  <c r="AH18" i="113" s="1"/>
  <c r="F17" i="72" s="1"/>
  <c r="AF31" i="118"/>
  <c r="AG31" i="118" s="1"/>
  <c r="AH31" i="118" s="1"/>
  <c r="K30" i="72" s="1"/>
  <c r="AF9" i="116"/>
  <c r="AG9" i="116" s="1"/>
  <c r="AH9" i="116" s="1"/>
  <c r="I8" i="72" s="1"/>
  <c r="AF44" i="120"/>
  <c r="AG44" i="120" s="1"/>
  <c r="AH44" i="120" s="1"/>
  <c r="M43" i="72" s="1"/>
  <c r="AF71" i="118"/>
  <c r="AG71" i="118" s="1"/>
  <c r="AH71" i="118" s="1"/>
  <c r="K70" i="72" s="1"/>
  <c r="AF72" i="115"/>
  <c r="AG72" i="115" s="1"/>
  <c r="AH72" i="115" s="1"/>
  <c r="H71" i="72" s="1"/>
  <c r="AF19" i="116"/>
  <c r="AG19" i="116" s="1"/>
  <c r="AH19" i="116" s="1"/>
  <c r="I18" i="72" s="1"/>
  <c r="AF32" i="118"/>
  <c r="AG32" i="118" s="1"/>
  <c r="AH32" i="118" s="1"/>
  <c r="K31" i="72" s="1"/>
  <c r="AF55" i="113"/>
  <c r="AG55" i="113" s="1"/>
  <c r="AH55" i="113" s="1"/>
  <c r="F54" i="72" s="1"/>
  <c r="AF24" i="113"/>
  <c r="AG24" i="113" s="1"/>
  <c r="AH24" i="113" s="1"/>
  <c r="F23" i="72" s="1"/>
  <c r="AF45" i="115"/>
  <c r="AG45" i="115" s="1"/>
  <c r="AH45" i="115" s="1"/>
  <c r="H44" i="72" s="1"/>
  <c r="AF20" i="120"/>
  <c r="AG20" i="120" s="1"/>
  <c r="AH20" i="120" s="1"/>
  <c r="M19" i="72" s="1"/>
  <c r="AF47" i="118"/>
  <c r="AG47" i="118" s="1"/>
  <c r="AH47" i="118" s="1"/>
  <c r="K46" i="72" s="1"/>
  <c r="AF68" i="114"/>
  <c r="AG68" i="114" s="1"/>
  <c r="AH68" i="114" s="1"/>
  <c r="G67" i="72" s="1"/>
  <c r="AF24" i="118"/>
  <c r="AG24" i="118" s="1"/>
  <c r="AH24" i="118" s="1"/>
  <c r="K23" i="72" s="1"/>
  <c r="AF68" i="120"/>
  <c r="AG68" i="120" s="1"/>
  <c r="AH68" i="120" s="1"/>
  <c r="M67" i="72" s="1"/>
  <c r="AH58" i="117"/>
  <c r="AI58" i="117" s="1"/>
  <c r="AJ58" i="117" s="1"/>
  <c r="J57" i="72" s="1"/>
  <c r="AH54" i="117"/>
  <c r="AI54" i="117" s="1"/>
  <c r="AJ54" i="117" s="1"/>
  <c r="J53" i="72" s="1"/>
  <c r="AF24" i="115"/>
  <c r="AG24" i="115" s="1"/>
  <c r="AH24" i="115" s="1"/>
  <c r="H23" i="72" s="1"/>
  <c r="AF73" i="115"/>
  <c r="AG73" i="115" s="1"/>
  <c r="AH73" i="115" s="1"/>
  <c r="H72" i="72" s="1"/>
  <c r="AH33" i="117"/>
  <c r="AI33" i="117" s="1"/>
  <c r="AJ33" i="117" s="1"/>
  <c r="J32" i="72" s="1"/>
  <c r="AF69" i="116"/>
  <c r="AG69" i="116" s="1"/>
  <c r="AH69" i="116" s="1"/>
  <c r="I68" i="72" s="1"/>
  <c r="AF55" i="115"/>
  <c r="AG55" i="115" s="1"/>
  <c r="AH55" i="115" s="1"/>
  <c r="H54" i="72" s="1"/>
  <c r="AF57" i="126"/>
  <c r="AG57" i="126" s="1"/>
  <c r="AH57" i="126" s="1"/>
  <c r="O56" i="72" s="1"/>
  <c r="AF50" i="126"/>
  <c r="AG50" i="126" s="1"/>
  <c r="AH50" i="126" s="1"/>
  <c r="O49" i="72" s="1"/>
  <c r="AG45" i="129"/>
  <c r="AH45" i="129" s="1"/>
  <c r="AF25" i="127"/>
  <c r="AG25" i="127" s="1"/>
  <c r="AH25" i="127" s="1"/>
  <c r="P24" i="72" s="1"/>
  <c r="AG21" i="129"/>
  <c r="AH21" i="129" s="1"/>
  <c r="AF27" i="125"/>
  <c r="AG27" i="125" s="1"/>
  <c r="AH27" i="125" s="1"/>
  <c r="N26" i="72" s="1"/>
  <c r="AF55" i="128"/>
  <c r="AG55" i="128" s="1"/>
  <c r="AH55" i="128" s="1"/>
  <c r="Q54" i="72" s="1"/>
  <c r="AH74" i="117"/>
  <c r="AI74" i="117" s="1"/>
  <c r="AJ74" i="117" s="1"/>
  <c r="J73" i="72" s="1"/>
  <c r="AF73" i="116"/>
  <c r="AG73" i="116" s="1"/>
  <c r="AH73" i="116" s="1"/>
  <c r="I72" i="72" s="1"/>
  <c r="AF65" i="120"/>
  <c r="AG65" i="120" s="1"/>
  <c r="AH65" i="120" s="1"/>
  <c r="M64" i="72" s="1"/>
  <c r="AF56" i="118"/>
  <c r="AG56" i="118" s="1"/>
  <c r="AH56" i="118" s="1"/>
  <c r="K55" i="72" s="1"/>
  <c r="AF66" i="126"/>
  <c r="AG66" i="126" s="1"/>
  <c r="AH66" i="126" s="1"/>
  <c r="O65" i="72" s="1"/>
  <c r="AF75" i="128"/>
  <c r="AG75" i="128" s="1"/>
  <c r="AH75" i="128" s="1"/>
  <c r="Q74" i="72" s="1"/>
  <c r="AF38" i="127"/>
  <c r="AG38" i="127" s="1"/>
  <c r="AH38" i="127" s="1"/>
  <c r="P37" i="72" s="1"/>
  <c r="AF51" i="118"/>
  <c r="AG51" i="118" s="1"/>
  <c r="AH51" i="118" s="1"/>
  <c r="K50" i="72" s="1"/>
  <c r="AF29" i="116"/>
  <c r="AG29" i="116" s="1"/>
  <c r="AH29" i="116" s="1"/>
  <c r="I28" i="72" s="1"/>
  <c r="AH19" i="117"/>
  <c r="AI19" i="117" s="1"/>
  <c r="AJ19" i="117" s="1"/>
  <c r="J18" i="72" s="1"/>
  <c r="AF54" i="116"/>
  <c r="AG54" i="116" s="1"/>
  <c r="AH54" i="116" s="1"/>
  <c r="I53" i="72" s="1"/>
  <c r="AI8" i="117"/>
  <c r="AF13" i="113"/>
  <c r="AG13" i="113" s="1"/>
  <c r="AH13" i="113" s="1"/>
  <c r="F12" i="72" s="1"/>
  <c r="AF37" i="115"/>
  <c r="AG37" i="115" s="1"/>
  <c r="AH37" i="115" s="1"/>
  <c r="H36" i="72" s="1"/>
  <c r="AF61" i="115"/>
  <c r="AG61" i="115" s="1"/>
  <c r="AH61" i="115" s="1"/>
  <c r="H60" i="72" s="1"/>
  <c r="AF63" i="114"/>
  <c r="AG63" i="114" s="1"/>
  <c r="AH63" i="114" s="1"/>
  <c r="G62" i="72" s="1"/>
  <c r="AF14" i="114"/>
  <c r="AG14" i="114" s="1"/>
  <c r="AH14" i="114" s="1"/>
  <c r="G13" i="72" s="1"/>
  <c r="AH51" i="117"/>
  <c r="AI51" i="117" s="1"/>
  <c r="AJ51" i="117" s="1"/>
  <c r="J50" i="72" s="1"/>
  <c r="AF75" i="118"/>
  <c r="AG75" i="118" s="1"/>
  <c r="AH75" i="118" s="1"/>
  <c r="K74" i="72" s="1"/>
  <c r="AF42" i="120"/>
  <c r="AG42" i="120" s="1"/>
  <c r="AH42" i="120" s="1"/>
  <c r="M41" i="72" s="1"/>
  <c r="AF28" i="126"/>
  <c r="AG28" i="126" s="1"/>
  <c r="AH28" i="126" s="1"/>
  <c r="O27" i="72" s="1"/>
  <c r="AF49" i="125"/>
  <c r="AG49" i="125" s="1"/>
  <c r="AH49" i="125" s="1"/>
  <c r="N48" i="72" s="1"/>
  <c r="AF12" i="125"/>
  <c r="AG12" i="125" s="1"/>
  <c r="AH12" i="125" s="1"/>
  <c r="N11" i="72" s="1"/>
  <c r="AF33" i="128"/>
  <c r="AG33" i="128" s="1"/>
  <c r="AH33" i="128" s="1"/>
  <c r="Q32" i="72" s="1"/>
  <c r="AF35" i="125"/>
  <c r="AG35" i="125" s="1"/>
  <c r="AH35" i="125" s="1"/>
  <c r="N34" i="72" s="1"/>
  <c r="AF50" i="125"/>
  <c r="AG50" i="125" s="1"/>
  <c r="AH50" i="125" s="1"/>
  <c r="N49" i="72" s="1"/>
  <c r="AF25" i="114"/>
  <c r="AG25" i="114" s="1"/>
  <c r="AH25" i="114" s="1"/>
  <c r="G24" i="72" s="1"/>
  <c r="AH46" i="117"/>
  <c r="AI46" i="117" s="1"/>
  <c r="AJ46" i="117" s="1"/>
  <c r="J45" i="72" s="1"/>
  <c r="AF22" i="113"/>
  <c r="AG22" i="113" s="1"/>
  <c r="AH22" i="113" s="1"/>
  <c r="F21" i="72" s="1"/>
  <c r="AF62" i="125"/>
  <c r="AG62" i="125" s="1"/>
  <c r="AH62" i="125" s="1"/>
  <c r="N61" i="72" s="1"/>
  <c r="AF27" i="114"/>
  <c r="AG27" i="114" s="1"/>
  <c r="AH27" i="114" s="1"/>
  <c r="G26" i="72" s="1"/>
  <c r="AF26" i="126"/>
  <c r="AG26" i="126" s="1"/>
  <c r="AH26" i="126" s="1"/>
  <c r="O25" i="72" s="1"/>
  <c r="AF60" i="125"/>
  <c r="AG60" i="125" s="1"/>
  <c r="AH60" i="125" s="1"/>
  <c r="N59" i="72" s="1"/>
  <c r="AF44" i="126"/>
  <c r="AG44" i="126" s="1"/>
  <c r="AH44" i="126" s="1"/>
  <c r="O43" i="72" s="1"/>
  <c r="AF13" i="128"/>
  <c r="AG13" i="128" s="1"/>
  <c r="AH13" i="128" s="1"/>
  <c r="Q12" i="72" s="1"/>
  <c r="AF75" i="113"/>
  <c r="AG75" i="113" s="1"/>
  <c r="AH75" i="113" s="1"/>
  <c r="F74" i="72" s="1"/>
  <c r="AF36" i="113"/>
  <c r="AG36" i="113" s="1"/>
  <c r="AH36" i="113" s="1"/>
  <c r="F35" i="72" s="1"/>
  <c r="AF29" i="113"/>
  <c r="AG29" i="113" s="1"/>
  <c r="AH29" i="113" s="1"/>
  <c r="F28" i="72" s="1"/>
  <c r="AF48" i="114"/>
  <c r="AG48" i="114" s="1"/>
  <c r="AH48" i="114" s="1"/>
  <c r="G47" i="72" s="1"/>
  <c r="AF11" i="114"/>
  <c r="AG11" i="114" s="1"/>
  <c r="AH11" i="114" s="1"/>
  <c r="G10" i="72" s="1"/>
  <c r="AF54" i="114"/>
  <c r="AG54" i="114" s="1"/>
  <c r="AH54" i="114" s="1"/>
  <c r="G53" i="72" s="1"/>
  <c r="AF26" i="114"/>
  <c r="AG26" i="114" s="1"/>
  <c r="AH26" i="114" s="1"/>
  <c r="G25" i="72" s="1"/>
  <c r="AF18" i="115"/>
  <c r="AG18" i="115" s="1"/>
  <c r="AH18" i="115" s="1"/>
  <c r="H17" i="72" s="1"/>
  <c r="AF19" i="115"/>
  <c r="AG19" i="115" s="1"/>
  <c r="AH19" i="115" s="1"/>
  <c r="H18" i="72" s="1"/>
  <c r="AF66" i="115"/>
  <c r="AG66" i="115" s="1"/>
  <c r="AH66" i="115" s="1"/>
  <c r="H65" i="72" s="1"/>
  <c r="AF47" i="116"/>
  <c r="AG47" i="116" s="1"/>
  <c r="AH47" i="116" s="1"/>
  <c r="I46" i="72" s="1"/>
  <c r="AF59" i="116"/>
  <c r="AG59" i="116" s="1"/>
  <c r="AH59" i="116" s="1"/>
  <c r="I58" i="72" s="1"/>
  <c r="AF48" i="116"/>
  <c r="AG48" i="116" s="1"/>
  <c r="AH48" i="116" s="1"/>
  <c r="I47" i="72" s="1"/>
  <c r="AH48" i="117"/>
  <c r="AI48" i="117" s="1"/>
  <c r="AJ48" i="117" s="1"/>
  <c r="J47" i="72" s="1"/>
  <c r="AF27" i="118"/>
  <c r="AG27" i="118" s="1"/>
  <c r="AH27" i="118" s="1"/>
  <c r="K26" i="72" s="1"/>
  <c r="AF64" i="118"/>
  <c r="AG64" i="118" s="1"/>
  <c r="AH64" i="118" s="1"/>
  <c r="K63" i="72" s="1"/>
  <c r="AF24" i="120"/>
  <c r="AG24" i="120" s="1"/>
  <c r="AH24" i="120" s="1"/>
  <c r="M23" i="72" s="1"/>
  <c r="AF71" i="120"/>
  <c r="AG71" i="120" s="1"/>
  <c r="AH71" i="120" s="1"/>
  <c r="M70" i="72" s="1"/>
  <c r="AF56" i="120"/>
  <c r="AG56" i="120" s="1"/>
  <c r="AH56" i="120" s="1"/>
  <c r="M55" i="72" s="1"/>
  <c r="AF17" i="120"/>
  <c r="AG17" i="120" s="1"/>
  <c r="AH17" i="120" s="1"/>
  <c r="M16" i="72" s="1"/>
  <c r="AF35" i="120"/>
  <c r="AG35" i="120" s="1"/>
  <c r="AH35" i="120" s="1"/>
  <c r="M34" i="72" s="1"/>
  <c r="AG30" i="129"/>
  <c r="AH30" i="129" s="1"/>
  <c r="AF31" i="116"/>
  <c r="AG31" i="116" s="1"/>
  <c r="AH31" i="116" s="1"/>
  <c r="I30" i="72" s="1"/>
  <c r="AF69" i="125"/>
  <c r="AG69" i="125" s="1"/>
  <c r="AH69" i="125" s="1"/>
  <c r="N68" i="72" s="1"/>
  <c r="AF74" i="120"/>
  <c r="AG74" i="120" s="1"/>
  <c r="AH74" i="120" s="1"/>
  <c r="M73" i="72" s="1"/>
  <c r="AF38" i="115"/>
  <c r="AG38" i="115" s="1"/>
  <c r="AH38" i="115" s="1"/>
  <c r="H37" i="72" s="1"/>
  <c r="AF62" i="116"/>
  <c r="AG62" i="116" s="1"/>
  <c r="AH62" i="116" s="1"/>
  <c r="I61" i="72" s="1"/>
  <c r="AF30" i="113"/>
  <c r="AG30" i="113" s="1"/>
  <c r="AH30" i="113" s="1"/>
  <c r="F29" i="72" s="1"/>
  <c r="AF69" i="118"/>
  <c r="AG69" i="118" s="1"/>
  <c r="AH69" i="118" s="1"/>
  <c r="K68" i="72" s="1"/>
  <c r="AH35" i="117"/>
  <c r="AI35" i="117" s="1"/>
  <c r="AJ35" i="117" s="1"/>
  <c r="J34" i="72" s="1"/>
  <c r="AF33" i="125"/>
  <c r="AG33" i="125" s="1"/>
  <c r="AH33" i="125" s="1"/>
  <c r="N32" i="72" s="1"/>
  <c r="AG17" i="129"/>
  <c r="AH17" i="129" s="1"/>
  <c r="AF25" i="128"/>
  <c r="AG25" i="128" s="1"/>
  <c r="AH25" i="128" s="1"/>
  <c r="Q24" i="72" s="1"/>
  <c r="AF69" i="127"/>
  <c r="AG69" i="127" s="1"/>
  <c r="AH69" i="127" s="1"/>
  <c r="P68" i="72" s="1"/>
  <c r="AF53" i="126"/>
  <c r="AG53" i="126" s="1"/>
  <c r="AH53" i="126" s="1"/>
  <c r="O52" i="72" s="1"/>
  <c r="AF29" i="125"/>
  <c r="AG29" i="125" s="1"/>
  <c r="AH29" i="125" s="1"/>
  <c r="N28" i="72" s="1"/>
  <c r="AF33" i="131"/>
  <c r="AG33" i="131" s="1"/>
  <c r="AH33" i="131" s="1"/>
  <c r="S32" i="72" s="1"/>
  <c r="AG73" i="129"/>
  <c r="AH73" i="129" s="1"/>
  <c r="AF61" i="128"/>
  <c r="AG61" i="128" s="1"/>
  <c r="AH61" i="128" s="1"/>
  <c r="Q60" i="72" s="1"/>
  <c r="AF21" i="126"/>
  <c r="AG21" i="126" s="1"/>
  <c r="AH21" i="126" s="1"/>
  <c r="O20" i="72" s="1"/>
  <c r="AF18" i="118"/>
  <c r="AG18" i="118" s="1"/>
  <c r="AH18" i="118" s="1"/>
  <c r="K17" i="72" s="1"/>
  <c r="AF60" i="128"/>
  <c r="AG60" i="128" s="1"/>
  <c r="AH60" i="128" s="1"/>
  <c r="Q59" i="72" s="1"/>
  <c r="AF34" i="128"/>
  <c r="AG34" i="128" s="1"/>
  <c r="AH34" i="128" s="1"/>
  <c r="Q33" i="72" s="1"/>
  <c r="AF40" i="113"/>
  <c r="AG40" i="113" s="1"/>
  <c r="AH40" i="113" s="1"/>
  <c r="F39" i="72" s="1"/>
  <c r="AH56" i="117"/>
  <c r="AI56" i="117" s="1"/>
  <c r="AJ56" i="117" s="1"/>
  <c r="J55" i="72" s="1"/>
  <c r="AH15" i="117"/>
  <c r="AI15" i="117" s="1"/>
  <c r="AJ15" i="117" s="1"/>
  <c r="J14" i="72" s="1"/>
  <c r="AF21" i="118"/>
  <c r="AG21" i="118" s="1"/>
  <c r="AH21" i="118" s="1"/>
  <c r="K20" i="72" s="1"/>
  <c r="AF75" i="116"/>
  <c r="AG75" i="116" s="1"/>
  <c r="AH75" i="116" s="1"/>
  <c r="I74" i="72" s="1"/>
  <c r="AF29" i="114"/>
  <c r="AG29" i="114" s="1"/>
  <c r="AH29" i="114" s="1"/>
  <c r="G28" i="72" s="1"/>
  <c r="AF53" i="131"/>
  <c r="AG53" i="131" s="1"/>
  <c r="AH53" i="131" s="1"/>
  <c r="S52" i="72" s="1"/>
  <c r="AF19" i="120"/>
  <c r="AG19" i="120" s="1"/>
  <c r="AH19" i="120" s="1"/>
  <c r="M18" i="72" s="1"/>
  <c r="AF34" i="114"/>
  <c r="AG34" i="114" s="1"/>
  <c r="AH34" i="114" s="1"/>
  <c r="G33" i="72" s="1"/>
  <c r="AF69" i="114"/>
  <c r="AG69" i="114" s="1"/>
  <c r="AH69" i="114" s="1"/>
  <c r="G68" i="72" s="1"/>
  <c r="AF46" i="115"/>
  <c r="AG46" i="115" s="1"/>
  <c r="AH46" i="115" s="1"/>
  <c r="H45" i="72" s="1"/>
  <c r="AF21" i="114"/>
  <c r="AG21" i="114" s="1"/>
  <c r="AH21" i="114" s="1"/>
  <c r="G20" i="72" s="1"/>
  <c r="AF73" i="114"/>
  <c r="AG73" i="114" s="1"/>
  <c r="AH73" i="114" s="1"/>
  <c r="G72" i="72" s="1"/>
  <c r="AG53" i="129"/>
  <c r="AH53" i="129" s="1"/>
  <c r="AF21" i="127"/>
  <c r="AG21" i="127" s="1"/>
  <c r="AH21" i="127" s="1"/>
  <c r="P20" i="72" s="1"/>
  <c r="AF11" i="120"/>
  <c r="AG11" i="120" s="1"/>
  <c r="AH11" i="120" s="1"/>
  <c r="M10" i="72" s="1"/>
  <c r="AF21" i="125"/>
  <c r="AG21" i="125" s="1"/>
  <c r="AH21" i="125" s="1"/>
  <c r="N20" i="72" s="1"/>
  <c r="AF49" i="128"/>
  <c r="AG49" i="128" s="1"/>
  <c r="AH49" i="128" s="1"/>
  <c r="Q48" i="72" s="1"/>
  <c r="AF49" i="127"/>
  <c r="AG49" i="127" s="1"/>
  <c r="AH49" i="127" s="1"/>
  <c r="P48" i="72" s="1"/>
  <c r="AF46" i="131"/>
  <c r="AG46" i="131" s="1"/>
  <c r="AH46" i="131" s="1"/>
  <c r="S45" i="72" s="1"/>
  <c r="AF65" i="114"/>
  <c r="AG65" i="114" s="1"/>
  <c r="AH65" i="114" s="1"/>
  <c r="G64" i="72" s="1"/>
  <c r="AF22" i="125"/>
  <c r="AG22" i="125" s="1"/>
  <c r="AH22" i="125" s="1"/>
  <c r="N21" i="72" s="1"/>
  <c r="AF31" i="126"/>
  <c r="AG31" i="126" s="1"/>
  <c r="AH31" i="126" s="1"/>
  <c r="O30" i="72" s="1"/>
  <c r="AH28" i="117"/>
  <c r="AI28" i="117" s="1"/>
  <c r="AJ28" i="117" s="1"/>
  <c r="J27" i="72" s="1"/>
  <c r="AF40" i="126"/>
  <c r="AG40" i="126" s="1"/>
  <c r="AH40" i="126" s="1"/>
  <c r="O39" i="72" s="1"/>
  <c r="AF71" i="131"/>
  <c r="AG71" i="131" s="1"/>
  <c r="AH71" i="131" s="1"/>
  <c r="S70" i="72" s="1"/>
  <c r="AF10" i="131"/>
  <c r="AG10" i="131" s="1"/>
  <c r="AH10" i="131" s="1"/>
  <c r="S9" i="72" s="1"/>
  <c r="AF30" i="131"/>
  <c r="AG30" i="131" s="1"/>
  <c r="AH30" i="131" s="1"/>
  <c r="S29" i="72" s="1"/>
  <c r="AF26" i="128"/>
  <c r="AG26" i="128" s="1"/>
  <c r="AH26" i="128" s="1"/>
  <c r="Q25" i="72" s="1"/>
  <c r="AG56" i="129"/>
  <c r="AH56" i="129" s="1"/>
  <c r="AF60" i="116"/>
  <c r="AG60" i="116" s="1"/>
  <c r="AH60" i="116" s="1"/>
  <c r="I59" i="72" s="1"/>
  <c r="AH57" i="117"/>
  <c r="AI57" i="117" s="1"/>
  <c r="AJ57" i="117" s="1"/>
  <c r="J56" i="72" s="1"/>
  <c r="AF13" i="120"/>
  <c r="AG13" i="120" s="1"/>
  <c r="AH13" i="120" s="1"/>
  <c r="M12" i="72" s="1"/>
  <c r="AF63" i="125"/>
  <c r="AG63" i="125" s="1"/>
  <c r="AH63" i="125" s="1"/>
  <c r="N62" i="72" s="1"/>
  <c r="AF27" i="131"/>
  <c r="AG27" i="131" s="1"/>
  <c r="AH27" i="131" s="1"/>
  <c r="S26" i="72" s="1"/>
  <c r="AF15" i="128"/>
  <c r="AG15" i="128" s="1"/>
  <c r="AH15" i="128" s="1"/>
  <c r="Q14" i="72" s="1"/>
  <c r="AF39" i="114"/>
  <c r="AG39" i="114" s="1"/>
  <c r="AH39" i="114" s="1"/>
  <c r="G38" i="72" s="1"/>
  <c r="AF20" i="125"/>
  <c r="AG20" i="125" s="1"/>
  <c r="AH20" i="125" s="1"/>
  <c r="N19" i="72" s="1"/>
  <c r="AF66" i="127"/>
  <c r="AG66" i="127" s="1"/>
  <c r="AH66" i="127" s="1"/>
  <c r="P65" i="72" s="1"/>
  <c r="AF34" i="126"/>
  <c r="AG34" i="126" s="1"/>
  <c r="AH34" i="126" s="1"/>
  <c r="O33" i="72" s="1"/>
  <c r="AF35" i="128"/>
  <c r="AG35" i="128" s="1"/>
  <c r="AH35" i="128" s="1"/>
  <c r="Q34" i="72" s="1"/>
  <c r="AF63" i="128"/>
  <c r="AG63" i="128" s="1"/>
  <c r="AH63" i="128" s="1"/>
  <c r="Q62" i="72" s="1"/>
  <c r="AF51" i="125"/>
  <c r="AG51" i="125" s="1"/>
  <c r="AH51" i="125" s="1"/>
  <c r="N50" i="72" s="1"/>
  <c r="AF17" i="114"/>
  <c r="AG17" i="114" s="1"/>
  <c r="AH17" i="114" s="1"/>
  <c r="G16" i="72" s="1"/>
  <c r="AF13" i="118"/>
  <c r="AG13" i="118" s="1"/>
  <c r="AH13" i="118" s="1"/>
  <c r="K12" i="72" s="1"/>
  <c r="AF62" i="113"/>
  <c r="AG62" i="113" s="1"/>
  <c r="AH62" i="113" s="1"/>
  <c r="F61" i="72" s="1"/>
  <c r="AF28" i="116"/>
  <c r="AG28" i="116" s="1"/>
  <c r="AH28" i="116" s="1"/>
  <c r="I27" i="72" s="1"/>
  <c r="AF26" i="115"/>
  <c r="AG26" i="115" s="1"/>
  <c r="AH26" i="115" s="1"/>
  <c r="H25" i="72" s="1"/>
  <c r="AF53" i="125"/>
  <c r="AG53" i="125" s="1"/>
  <c r="AH53" i="125" s="1"/>
  <c r="N52" i="72" s="1"/>
  <c r="AG61" i="129"/>
  <c r="AH61" i="129" s="1"/>
  <c r="AF29" i="127"/>
  <c r="AG29" i="127" s="1"/>
  <c r="AH29" i="127" s="1"/>
  <c r="P28" i="72" s="1"/>
  <c r="AF34" i="120"/>
  <c r="AG34" i="120" s="1"/>
  <c r="AH34" i="120" s="1"/>
  <c r="M33" i="72" s="1"/>
  <c r="AF41" i="131"/>
  <c r="AG41" i="131" s="1"/>
  <c r="AH41" i="131" s="1"/>
  <c r="S40" i="72" s="1"/>
  <c r="AF61" i="131"/>
  <c r="AG61" i="131" s="1"/>
  <c r="AH61" i="131" s="1"/>
  <c r="S60" i="72" s="1"/>
  <c r="AF41" i="127"/>
  <c r="AG41" i="127" s="1"/>
  <c r="AH41" i="127" s="1"/>
  <c r="P40" i="72" s="1"/>
  <c r="AF69" i="126"/>
  <c r="AG69" i="126" s="1"/>
  <c r="AH69" i="126" s="1"/>
  <c r="O68" i="72" s="1"/>
  <c r="AF67" i="120"/>
  <c r="AG67" i="120" s="1"/>
  <c r="AH67" i="120" s="1"/>
  <c r="M66" i="72" s="1"/>
  <c r="AF70" i="120"/>
  <c r="AG70" i="120" s="1"/>
  <c r="AH70" i="120" s="1"/>
  <c r="M69" i="72" s="1"/>
  <c r="AF10" i="125"/>
  <c r="AG10" i="125" s="1"/>
  <c r="AH10" i="125" s="1"/>
  <c r="N9" i="72" s="1"/>
  <c r="AF71" i="127"/>
  <c r="AG71" i="127" s="1"/>
  <c r="AH71" i="127" s="1"/>
  <c r="P70" i="72" s="1"/>
  <c r="AF39" i="115"/>
  <c r="AG39" i="115" s="1"/>
  <c r="AH39" i="115" s="1"/>
  <c r="H38" i="72" s="1"/>
  <c r="AF54" i="115"/>
  <c r="AG54" i="115" s="1"/>
  <c r="AH54" i="115" s="1"/>
  <c r="H53" i="72" s="1"/>
  <c r="AF67" i="118"/>
  <c r="AG67" i="118" s="1"/>
  <c r="AH67" i="118" s="1"/>
  <c r="K66" i="72" s="1"/>
  <c r="AF70" i="131"/>
  <c r="AG70" i="131" s="1"/>
  <c r="AH70" i="131" s="1"/>
  <c r="S69" i="72" s="1"/>
  <c r="AF35" i="131"/>
  <c r="AG35" i="131" s="1"/>
  <c r="AH35" i="131" s="1"/>
  <c r="S34" i="72" s="1"/>
  <c r="AF27" i="128"/>
  <c r="AG27" i="128" s="1"/>
  <c r="AH27" i="128" s="1"/>
  <c r="Q26" i="72" s="1"/>
  <c r="AF19" i="127"/>
  <c r="AG19" i="127" s="1"/>
  <c r="AH19" i="127" s="1"/>
  <c r="P18" i="72" s="1"/>
  <c r="AF30" i="125"/>
  <c r="AG30" i="125" s="1"/>
  <c r="AH30" i="125" s="1"/>
  <c r="N29" i="72" s="1"/>
  <c r="AF61" i="114"/>
  <c r="AG61" i="114" s="1"/>
  <c r="AH61" i="114" s="1"/>
  <c r="G60" i="72" s="1"/>
  <c r="AF37" i="131"/>
  <c r="AG37" i="131" s="1"/>
  <c r="AH37" i="131" s="1"/>
  <c r="S36" i="72" s="1"/>
  <c r="AF25" i="131"/>
  <c r="AG25" i="131" s="1"/>
  <c r="AH25" i="131" s="1"/>
  <c r="S24" i="72" s="1"/>
  <c r="AF38" i="118"/>
  <c r="AG38" i="118" s="1"/>
  <c r="AH38" i="118" s="1"/>
  <c r="K37" i="72" s="1"/>
  <c r="AF60" i="113"/>
  <c r="AG60" i="113" s="1"/>
  <c r="AH60" i="113" s="1"/>
  <c r="F59" i="72" s="1"/>
  <c r="AH43" i="117"/>
  <c r="AI43" i="117" s="1"/>
  <c r="AJ43" i="117" s="1"/>
  <c r="J42" i="72" s="1"/>
  <c r="AF52" i="118"/>
  <c r="AG52" i="118" s="1"/>
  <c r="AH52" i="118" s="1"/>
  <c r="K51" i="72" s="1"/>
  <c r="AF29" i="120"/>
  <c r="AG29" i="120" s="1"/>
  <c r="AH29" i="120" s="1"/>
  <c r="M28" i="72" s="1"/>
  <c r="AF45" i="114"/>
  <c r="AG45" i="114" s="1"/>
  <c r="AH45" i="114" s="1"/>
  <c r="G44" i="72" s="1"/>
  <c r="AF17" i="118"/>
  <c r="AG17" i="118" s="1"/>
  <c r="AH17" i="118" s="1"/>
  <c r="K16" i="72" s="1"/>
  <c r="AF28" i="118"/>
  <c r="AG28" i="118" s="1"/>
  <c r="AH28" i="118" s="1"/>
  <c r="K27" i="72" s="1"/>
  <c r="AF26" i="120"/>
  <c r="AG26" i="120" s="1"/>
  <c r="AH26" i="120" s="1"/>
  <c r="M25" i="72" s="1"/>
  <c r="AF43" i="120"/>
  <c r="AG43" i="120" s="1"/>
  <c r="AH43" i="120" s="1"/>
  <c r="M42" i="72" s="1"/>
  <c r="AF33" i="113"/>
  <c r="AG33" i="113" s="1"/>
  <c r="AH33" i="113" s="1"/>
  <c r="F32" i="72" s="1"/>
  <c r="AF73" i="120"/>
  <c r="AG73" i="120" s="1"/>
  <c r="AH73" i="120" s="1"/>
  <c r="M72" i="72" s="1"/>
  <c r="AF30" i="118"/>
  <c r="AG30" i="118" s="1"/>
  <c r="AH30" i="118" s="1"/>
  <c r="K29" i="72" s="1"/>
  <c r="AF57" i="113"/>
  <c r="AG57" i="113" s="1"/>
  <c r="AH57" i="113" s="1"/>
  <c r="F56" i="72" s="1"/>
  <c r="AF42" i="113"/>
  <c r="AG42" i="113" s="1"/>
  <c r="AH42" i="113" s="1"/>
  <c r="F41" i="72" s="1"/>
  <c r="AF35" i="116"/>
  <c r="AG35" i="116" s="1"/>
  <c r="AH35" i="116" s="1"/>
  <c r="I34" i="72" s="1"/>
  <c r="AF44" i="115"/>
  <c r="AG44" i="115" s="1"/>
  <c r="AH44" i="115" s="1"/>
  <c r="H43" i="72" s="1"/>
  <c r="AF52" i="113"/>
  <c r="AG52" i="113" s="1"/>
  <c r="AH52" i="113" s="1"/>
  <c r="F51" i="72" s="1"/>
  <c r="AF34" i="113"/>
  <c r="AG34" i="113" s="1"/>
  <c r="AH34" i="113" s="1"/>
  <c r="F33" i="72" s="1"/>
  <c r="AF67" i="116"/>
  <c r="AG67" i="116" s="1"/>
  <c r="AH67" i="116" s="1"/>
  <c r="I66" i="72" s="1"/>
  <c r="AF46" i="120"/>
  <c r="AG46" i="120" s="1"/>
  <c r="AH46" i="120" s="1"/>
  <c r="M45" i="72" s="1"/>
  <c r="AF42" i="115"/>
  <c r="AG42" i="115" s="1"/>
  <c r="AH42" i="115" s="1"/>
  <c r="H41" i="72" s="1"/>
  <c r="AF56" i="114"/>
  <c r="AG56" i="114" s="1"/>
  <c r="AH56" i="114" s="1"/>
  <c r="G55" i="72" s="1"/>
  <c r="AF49" i="115"/>
  <c r="AG49" i="115" s="1"/>
  <c r="AH49" i="115" s="1"/>
  <c r="H48" i="72" s="1"/>
  <c r="AF13" i="115"/>
  <c r="AG13" i="115" s="1"/>
  <c r="AH13" i="115" s="1"/>
  <c r="H12" i="72" s="1"/>
  <c r="AF28" i="114"/>
  <c r="AG28" i="114" s="1"/>
  <c r="AH28" i="114" s="1"/>
  <c r="G27" i="72" s="1"/>
  <c r="AF70" i="116"/>
  <c r="AG70" i="116" s="1"/>
  <c r="AH70" i="116" s="1"/>
  <c r="I69" i="72" s="1"/>
  <c r="AF35" i="118"/>
  <c r="AG35" i="118" s="1"/>
  <c r="AH35" i="118" s="1"/>
  <c r="K34" i="72" s="1"/>
  <c r="AF26" i="116"/>
  <c r="AG26" i="116" s="1"/>
  <c r="AH26" i="116" s="1"/>
  <c r="I25" i="72" s="1"/>
  <c r="AF73" i="118"/>
  <c r="AG73" i="118" s="1"/>
  <c r="AH73" i="118" s="1"/>
  <c r="K72" i="72" s="1"/>
  <c r="AF20" i="116"/>
  <c r="AG20" i="116" s="1"/>
  <c r="AH20" i="116" s="1"/>
  <c r="I19" i="72" s="1"/>
  <c r="AF10" i="116"/>
  <c r="AG10" i="116" s="1"/>
  <c r="AH10" i="116" s="1"/>
  <c r="I9" i="72" s="1"/>
  <c r="AF30" i="120"/>
  <c r="AG30" i="120" s="1"/>
  <c r="AH30" i="120" s="1"/>
  <c r="M29" i="72" s="1"/>
  <c r="AF12" i="116"/>
  <c r="AG12" i="116" s="1"/>
  <c r="AH12" i="116" s="1"/>
  <c r="I11" i="72" s="1"/>
  <c r="AF69" i="113"/>
  <c r="AG69" i="113" s="1"/>
  <c r="AH69" i="113" s="1"/>
  <c r="F68" i="72" s="1"/>
  <c r="AF38" i="116"/>
  <c r="AG38" i="116" s="1"/>
  <c r="AH38" i="116" s="1"/>
  <c r="I37" i="72" s="1"/>
  <c r="AF18" i="114"/>
  <c r="AG18" i="114" s="1"/>
  <c r="AH18" i="114" s="1"/>
  <c r="G17" i="72" s="1"/>
  <c r="AF15" i="113"/>
  <c r="AG15" i="113" s="1"/>
  <c r="AH15" i="113" s="1"/>
  <c r="F14" i="72" s="1"/>
  <c r="AF25" i="113"/>
  <c r="AG25" i="113" s="1"/>
  <c r="AH25" i="113" s="1"/>
  <c r="F24" i="72" s="1"/>
  <c r="AF47" i="120"/>
  <c r="AG47" i="120" s="1"/>
  <c r="AH47" i="120" s="1"/>
  <c r="M46" i="72" s="1"/>
  <c r="AF71" i="114"/>
  <c r="AG71" i="114" s="1"/>
  <c r="AH71" i="114" s="1"/>
  <c r="G70" i="72" s="1"/>
  <c r="AF14" i="115"/>
  <c r="AG14" i="115" s="1"/>
  <c r="AH14" i="115" s="1"/>
  <c r="H13" i="72" s="1"/>
  <c r="AF39" i="120"/>
  <c r="AG39" i="120" s="1"/>
  <c r="AH39" i="120" s="1"/>
  <c r="M38" i="72" s="1"/>
  <c r="AH44" i="117"/>
  <c r="AI44" i="117" s="1"/>
  <c r="AJ44" i="117" s="1"/>
  <c r="J43" i="72" s="1"/>
  <c r="AF61" i="113"/>
  <c r="AG61" i="113" s="1"/>
  <c r="AH61" i="113" s="1"/>
  <c r="F60" i="72" s="1"/>
  <c r="AH20" i="117"/>
  <c r="AI20" i="117" s="1"/>
  <c r="AJ20" i="117" s="1"/>
  <c r="J19" i="72" s="1"/>
  <c r="AF39" i="113"/>
  <c r="AG39" i="113" s="1"/>
  <c r="AH39" i="113" s="1"/>
  <c r="F38" i="72" s="1"/>
  <c r="AH30" i="117"/>
  <c r="AI30" i="117" s="1"/>
  <c r="AJ30" i="117" s="1"/>
  <c r="J29" i="72" s="1"/>
  <c r="AF22" i="118"/>
  <c r="AG22" i="118" s="1"/>
  <c r="AH22" i="118" s="1"/>
  <c r="K21" i="72" s="1"/>
  <c r="AF35" i="114"/>
  <c r="AG35" i="114" s="1"/>
  <c r="AH35" i="114" s="1"/>
  <c r="G34" i="72" s="1"/>
  <c r="AF76" i="115"/>
  <c r="AG76" i="115" s="1"/>
  <c r="AH76" i="115" s="1"/>
  <c r="H75" i="72" s="1"/>
  <c r="AF19" i="114"/>
  <c r="AG19" i="114" s="1"/>
  <c r="AH19" i="114" s="1"/>
  <c r="G18" i="72" s="1"/>
  <c r="AH24" i="117"/>
  <c r="AI24" i="117" s="1"/>
  <c r="AJ24" i="117" s="1"/>
  <c r="J23" i="72" s="1"/>
  <c r="AF42" i="118"/>
  <c r="AG42" i="118" s="1"/>
  <c r="AH42" i="118" s="1"/>
  <c r="K41" i="72" s="1"/>
  <c r="AF21" i="120"/>
  <c r="AG21" i="120" s="1"/>
  <c r="AH21" i="120" s="1"/>
  <c r="M20" i="72" s="1"/>
  <c r="AF23" i="118"/>
  <c r="AG23" i="118" s="1"/>
  <c r="AH23" i="118" s="1"/>
  <c r="K22" i="72" s="1"/>
  <c r="AF37" i="116"/>
  <c r="AG37" i="116" s="1"/>
  <c r="AH37" i="116" s="1"/>
  <c r="I36" i="72" s="1"/>
  <c r="AF45" i="116"/>
  <c r="AG45" i="116" s="1"/>
  <c r="AH45" i="116" s="1"/>
  <c r="I44" i="72" s="1"/>
  <c r="AF11" i="116"/>
  <c r="AG11" i="116" s="1"/>
  <c r="AH11" i="116" s="1"/>
  <c r="I10" i="72" s="1"/>
  <c r="AH34" i="117"/>
  <c r="AI34" i="117" s="1"/>
  <c r="AJ34" i="117" s="1"/>
  <c r="J33" i="72" s="1"/>
  <c r="AF36" i="118"/>
  <c r="AG36" i="118" s="1"/>
  <c r="AH36" i="118" s="1"/>
  <c r="K35" i="72" s="1"/>
  <c r="AF43" i="113"/>
  <c r="AG43" i="113" s="1"/>
  <c r="AH43" i="113" s="1"/>
  <c r="F42" i="72" s="1"/>
  <c r="AF68" i="125"/>
  <c r="AG68" i="125" s="1"/>
  <c r="AH68" i="125" s="1"/>
  <c r="N67" i="72" s="1"/>
  <c r="AF17" i="128"/>
  <c r="AG17" i="128" s="1"/>
  <c r="AH17" i="128" s="1"/>
  <c r="Q16" i="72" s="1"/>
  <c r="AF10" i="128"/>
  <c r="AG10" i="128" s="1"/>
  <c r="AH10" i="128" s="1"/>
  <c r="Q9" i="72" s="1"/>
  <c r="AF41" i="128"/>
  <c r="AG41" i="128" s="1"/>
  <c r="AH41" i="128" s="1"/>
  <c r="Q40" i="72" s="1"/>
  <c r="AF20" i="128"/>
  <c r="AG20" i="128" s="1"/>
  <c r="AH20" i="128" s="1"/>
  <c r="Q19" i="72" s="1"/>
  <c r="AF30" i="128"/>
  <c r="AG30" i="128" s="1"/>
  <c r="AH30" i="128" s="1"/>
  <c r="Q29" i="72" s="1"/>
  <c r="AF72" i="126"/>
  <c r="AG72" i="126" s="1"/>
  <c r="AH72" i="126" s="1"/>
  <c r="O71" i="72" s="1"/>
  <c r="AF23" i="127"/>
  <c r="AG23" i="127" s="1"/>
  <c r="AH23" i="127" s="1"/>
  <c r="P22" i="72" s="1"/>
  <c r="AF32" i="125"/>
  <c r="AG32" i="125" s="1"/>
  <c r="AH32" i="125" s="1"/>
  <c r="N31" i="72" s="1"/>
  <c r="AF17" i="126"/>
  <c r="AG17" i="126" s="1"/>
  <c r="AH17" i="126" s="1"/>
  <c r="O16" i="72" s="1"/>
  <c r="AF18" i="126"/>
  <c r="AG18" i="126" s="1"/>
  <c r="AH18" i="126" s="1"/>
  <c r="O17" i="72" s="1"/>
  <c r="AF76" i="127"/>
  <c r="AG76" i="127" s="1"/>
  <c r="AH76" i="127" s="1"/>
  <c r="P75" i="72" s="1"/>
  <c r="AF17" i="127"/>
  <c r="AG17" i="127" s="1"/>
  <c r="AH17" i="127" s="1"/>
  <c r="P16" i="72" s="1"/>
  <c r="AG49" i="129"/>
  <c r="AH49" i="129" s="1"/>
  <c r="AF66" i="125"/>
  <c r="AG66" i="125" s="1"/>
  <c r="AH66" i="125" s="1"/>
  <c r="N65" i="72" s="1"/>
  <c r="AG37" i="129"/>
  <c r="AH37" i="129" s="1"/>
  <c r="AG41" i="129"/>
  <c r="AH41" i="129" s="1"/>
  <c r="AF51" i="126"/>
  <c r="AG51" i="126" s="1"/>
  <c r="AH51" i="126" s="1"/>
  <c r="O50" i="72" s="1"/>
  <c r="AF44" i="125"/>
  <c r="AG44" i="125" s="1"/>
  <c r="AH44" i="125" s="1"/>
  <c r="N43" i="72" s="1"/>
  <c r="AF57" i="125"/>
  <c r="AG57" i="125" s="1"/>
  <c r="AH57" i="125" s="1"/>
  <c r="N56" i="72" s="1"/>
  <c r="AF30" i="126"/>
  <c r="AG30" i="126" s="1"/>
  <c r="AH30" i="126" s="1"/>
  <c r="O29" i="72" s="1"/>
  <c r="AF32" i="126"/>
  <c r="AG32" i="126" s="1"/>
  <c r="AH32" i="126" s="1"/>
  <c r="O31" i="72" s="1"/>
  <c r="AF67" i="126"/>
  <c r="AG67" i="126" s="1"/>
  <c r="AH67" i="126" s="1"/>
  <c r="O66" i="72" s="1"/>
  <c r="AF46" i="128"/>
  <c r="AG46" i="128" s="1"/>
  <c r="AH46" i="128" s="1"/>
  <c r="Q45" i="72" s="1"/>
  <c r="AF52" i="131"/>
  <c r="AG52" i="131" s="1"/>
  <c r="AH52" i="131" s="1"/>
  <c r="S51" i="72" s="1"/>
  <c r="AF31" i="131"/>
  <c r="AG31" i="131" s="1"/>
  <c r="AH31" i="131" s="1"/>
  <c r="S30" i="72" s="1"/>
  <c r="AF23" i="126"/>
  <c r="AG23" i="126" s="1"/>
  <c r="AH23" i="126" s="1"/>
  <c r="O22" i="72" s="1"/>
  <c r="AF18" i="128"/>
  <c r="AG18" i="128" s="1"/>
  <c r="AH18" i="128" s="1"/>
  <c r="Q17" i="72" s="1"/>
  <c r="AF43" i="126"/>
  <c r="AG43" i="126" s="1"/>
  <c r="AH43" i="126" s="1"/>
  <c r="O42" i="72" s="1"/>
  <c r="AG22" i="129"/>
  <c r="AH22" i="129" s="1"/>
  <c r="AF17" i="125"/>
  <c r="AG17" i="125" s="1"/>
  <c r="AH17" i="125" s="1"/>
  <c r="N16" i="72" s="1"/>
  <c r="AG74" i="129"/>
  <c r="AH74" i="129" s="1"/>
  <c r="AF22" i="128"/>
  <c r="AG22" i="128" s="1"/>
  <c r="AH22" i="128" s="1"/>
  <c r="Q21" i="72" s="1"/>
  <c r="AF15" i="126"/>
  <c r="AG15" i="126" s="1"/>
  <c r="AH15" i="126" s="1"/>
  <c r="O14" i="72" s="1"/>
  <c r="AF13" i="127"/>
  <c r="AG13" i="127" s="1"/>
  <c r="AH13" i="127" s="1"/>
  <c r="P12" i="72" s="1"/>
  <c r="AF42" i="128"/>
  <c r="AG42" i="128" s="1"/>
  <c r="AH42" i="128" s="1"/>
  <c r="Q41" i="72" s="1"/>
  <c r="AF34" i="131"/>
  <c r="AG34" i="131" s="1"/>
  <c r="AH34" i="131" s="1"/>
  <c r="S33" i="72" s="1"/>
  <c r="AF51" i="127"/>
  <c r="AG51" i="127" s="1"/>
  <c r="AH51" i="127" s="1"/>
  <c r="P50" i="72" s="1"/>
  <c r="AG43" i="129"/>
  <c r="AH43" i="129" s="1"/>
  <c r="AF71" i="128"/>
  <c r="AG71" i="128" s="1"/>
  <c r="AH71" i="128" s="1"/>
  <c r="Q70" i="72" s="1"/>
  <c r="R54" i="72"/>
  <c r="AJ55" i="129"/>
  <c r="R39" i="72"/>
  <c r="AJ40" i="129"/>
  <c r="AF36" i="125"/>
  <c r="AG36" i="125" s="1"/>
  <c r="AH36" i="125" s="1"/>
  <c r="N35" i="72" s="1"/>
  <c r="AF39" i="126"/>
  <c r="AG39" i="126" s="1"/>
  <c r="AH39" i="126" s="1"/>
  <c r="O38" i="72" s="1"/>
  <c r="AF72" i="127"/>
  <c r="AG72" i="127" s="1"/>
  <c r="AH72" i="127" s="1"/>
  <c r="P71" i="72" s="1"/>
  <c r="AF35" i="126"/>
  <c r="AG35" i="126" s="1"/>
  <c r="AH35" i="126" s="1"/>
  <c r="O34" i="72" s="1"/>
  <c r="AF23" i="128"/>
  <c r="AG23" i="128" s="1"/>
  <c r="AH23" i="128" s="1"/>
  <c r="Q22" i="72" s="1"/>
  <c r="AF23" i="115"/>
  <c r="AG23" i="115" s="1"/>
  <c r="AH23" i="115" s="1"/>
  <c r="H22" i="72" s="1"/>
  <c r="AF36" i="120"/>
  <c r="AG36" i="120" s="1"/>
  <c r="AH36" i="120" s="1"/>
  <c r="M35" i="72" s="1"/>
  <c r="AF23" i="116"/>
  <c r="AG23" i="116" s="1"/>
  <c r="AH23" i="116" s="1"/>
  <c r="I22" i="72" s="1"/>
  <c r="AF43" i="116"/>
  <c r="AG43" i="116" s="1"/>
  <c r="AH43" i="116" s="1"/>
  <c r="I42" i="72" s="1"/>
  <c r="AF21" i="113"/>
  <c r="AG21" i="113" s="1"/>
  <c r="AH21" i="113" s="1"/>
  <c r="F20" i="72" s="1"/>
  <c r="AF25" i="115"/>
  <c r="AG25" i="115" s="1"/>
  <c r="AH25" i="115" s="1"/>
  <c r="H24" i="72" s="1"/>
  <c r="AF68" i="118"/>
  <c r="AG68" i="118" s="1"/>
  <c r="AH68" i="118" s="1"/>
  <c r="K67" i="72" s="1"/>
  <c r="AH26" i="117"/>
  <c r="AI26" i="117" s="1"/>
  <c r="AJ26" i="117" s="1"/>
  <c r="J25" i="72" s="1"/>
  <c r="AF47" i="113"/>
  <c r="AG47" i="113" s="1"/>
  <c r="AH47" i="113" s="1"/>
  <c r="F46" i="72" s="1"/>
  <c r="AF16" i="126"/>
  <c r="AG16" i="126" s="1"/>
  <c r="AH16" i="126" s="1"/>
  <c r="O15" i="72" s="1"/>
  <c r="AG19" i="129"/>
  <c r="AH19" i="129" s="1"/>
  <c r="AF42" i="127"/>
  <c r="AG42" i="127" s="1"/>
  <c r="AH42" i="127" s="1"/>
  <c r="P41" i="72" s="1"/>
  <c r="AF51" i="114"/>
  <c r="AG51" i="114" s="1"/>
  <c r="AH51" i="114" s="1"/>
  <c r="G50" i="72" s="1"/>
  <c r="AF34" i="116"/>
  <c r="AG34" i="116" s="1"/>
  <c r="AH34" i="116" s="1"/>
  <c r="I33" i="72" s="1"/>
  <c r="AF19" i="118"/>
  <c r="AG19" i="118" s="1"/>
  <c r="AH19" i="118" s="1"/>
  <c r="K18" i="72" s="1"/>
  <c r="AF42" i="125"/>
  <c r="AG42" i="125" s="1"/>
  <c r="AH42" i="125" s="1"/>
  <c r="N41" i="72" s="1"/>
  <c r="AG76" i="129"/>
  <c r="AH76" i="129" s="1"/>
  <c r="AF27" i="126"/>
  <c r="AG27" i="126" s="1"/>
  <c r="AH27" i="126" s="1"/>
  <c r="O26" i="72" s="1"/>
  <c r="AG63" i="129"/>
  <c r="AH63" i="129" s="1"/>
  <c r="AF74" i="127"/>
  <c r="AG74" i="127" s="1"/>
  <c r="AH74" i="127" s="1"/>
  <c r="P73" i="72" s="1"/>
  <c r="AF48" i="127"/>
  <c r="AG48" i="127" s="1"/>
  <c r="AH48" i="127" s="1"/>
  <c r="P47" i="72" s="1"/>
  <c r="AF56" i="125"/>
  <c r="AG56" i="125" s="1"/>
  <c r="AH56" i="125" s="1"/>
  <c r="N55" i="72" s="1"/>
  <c r="AF10" i="113"/>
  <c r="AG10" i="113" s="1"/>
  <c r="AH10" i="113" s="1"/>
  <c r="F9" i="72" s="1"/>
  <c r="AF29" i="118"/>
  <c r="AG29" i="118" s="1"/>
  <c r="AH29" i="118" s="1"/>
  <c r="K28" i="72" s="1"/>
  <c r="AF44" i="114"/>
  <c r="AG44" i="114" s="1"/>
  <c r="AH44" i="114" s="1"/>
  <c r="G43" i="72" s="1"/>
  <c r="AF58" i="113"/>
  <c r="AG58" i="113" s="1"/>
  <c r="AH58" i="113" s="1"/>
  <c r="F57" i="72" s="1"/>
  <c r="AF34" i="115"/>
  <c r="AG34" i="115" s="1"/>
  <c r="AH34" i="115" s="1"/>
  <c r="H33" i="72" s="1"/>
  <c r="AF61" i="126"/>
  <c r="AG61" i="126" s="1"/>
  <c r="AH61" i="126" s="1"/>
  <c r="O60" i="72" s="1"/>
  <c r="AF49" i="131"/>
  <c r="AG49" i="131" s="1"/>
  <c r="AH49" i="131" s="1"/>
  <c r="S48" i="72" s="1"/>
  <c r="AF69" i="128"/>
  <c r="AG69" i="128" s="1"/>
  <c r="AH69" i="128" s="1"/>
  <c r="Q68" i="72" s="1"/>
  <c r="AF33" i="127"/>
  <c r="AG33" i="127" s="1"/>
  <c r="AH33" i="127" s="1"/>
  <c r="P32" i="72" s="1"/>
  <c r="AF13" i="126"/>
  <c r="AG13" i="126" s="1"/>
  <c r="AH13" i="126" s="1"/>
  <c r="O12" i="72" s="1"/>
  <c r="AF69" i="115"/>
  <c r="AG69" i="115" s="1"/>
  <c r="AH69" i="115" s="1"/>
  <c r="H68" i="72" s="1"/>
  <c r="AF49" i="120"/>
  <c r="AG49" i="120" s="1"/>
  <c r="AH49" i="120" s="1"/>
  <c r="M48" i="72" s="1"/>
  <c r="AF65" i="118"/>
  <c r="AG65" i="118" s="1"/>
  <c r="AH65" i="118" s="1"/>
  <c r="K64" i="72" s="1"/>
  <c r="AF66" i="118"/>
  <c r="AG66" i="118" s="1"/>
  <c r="AH66" i="118" s="1"/>
  <c r="K65" i="72" s="1"/>
  <c r="AF50" i="115"/>
  <c r="AG50" i="115" s="1"/>
  <c r="AH50" i="115" s="1"/>
  <c r="H49" i="72" s="1"/>
  <c r="AL77" i="129"/>
  <c r="AL77" i="127"/>
  <c r="AN77" i="117"/>
  <c r="AL77" i="118"/>
  <c r="AL77" i="113"/>
  <c r="AF62" i="127"/>
  <c r="AG62" i="127" s="1"/>
  <c r="AH62" i="127" s="1"/>
  <c r="P61" i="72" s="1"/>
  <c r="AF12" i="128"/>
  <c r="AG12" i="128" s="1"/>
  <c r="AH12" i="128" s="1"/>
  <c r="Q11" i="72" s="1"/>
  <c r="AG70" i="129"/>
  <c r="AH70" i="129" s="1"/>
  <c r="AF40" i="128"/>
  <c r="AG40" i="128" s="1"/>
  <c r="AH40" i="128" s="1"/>
  <c r="Q39" i="72" s="1"/>
  <c r="AF24" i="127"/>
  <c r="AG24" i="127" s="1"/>
  <c r="AH24" i="127" s="1"/>
  <c r="P23" i="72" s="1"/>
  <c r="AG66" i="129"/>
  <c r="AH66" i="129" s="1"/>
  <c r="AF16" i="131"/>
  <c r="AG16" i="131" s="1"/>
  <c r="AH16" i="131" s="1"/>
  <c r="S15" i="72" s="1"/>
  <c r="AF10" i="127"/>
  <c r="AG10" i="127" s="1"/>
  <c r="AH10" i="127" s="1"/>
  <c r="P9" i="72" s="1"/>
  <c r="AG62" i="129"/>
  <c r="AH62" i="129" s="1"/>
  <c r="AF68" i="128"/>
  <c r="AG68" i="128" s="1"/>
  <c r="AH68" i="128" s="1"/>
  <c r="Q67" i="72" s="1"/>
  <c r="AF10" i="120"/>
  <c r="AG10" i="120" s="1"/>
  <c r="AH10" i="120" s="1"/>
  <c r="M9" i="72" s="1"/>
  <c r="AF41" i="120"/>
  <c r="AG41" i="120" s="1"/>
  <c r="AH41" i="120" s="1"/>
  <c r="M40" i="72" s="1"/>
  <c r="AF74" i="114"/>
  <c r="AG74" i="114" s="1"/>
  <c r="AH74" i="114" s="1"/>
  <c r="G73" i="72" s="1"/>
  <c r="AF71" i="113"/>
  <c r="AG71" i="113" s="1"/>
  <c r="AH71" i="113" s="1"/>
  <c r="F70" i="72" s="1"/>
  <c r="AF72" i="120"/>
  <c r="AG72" i="120" s="1"/>
  <c r="AH72" i="120" s="1"/>
  <c r="M71" i="72" s="1"/>
  <c r="AH65" i="117"/>
  <c r="AI65" i="117" s="1"/>
  <c r="AJ65" i="117" s="1"/>
  <c r="J64" i="72" s="1"/>
  <c r="AF62" i="118"/>
  <c r="AG62" i="118" s="1"/>
  <c r="AH62" i="118" s="1"/>
  <c r="K61" i="72" s="1"/>
  <c r="AF56" i="113"/>
  <c r="AG56" i="113" s="1"/>
  <c r="AH56" i="113" s="1"/>
  <c r="F55" i="72" s="1"/>
  <c r="AF63" i="115"/>
  <c r="AG63" i="115" s="1"/>
  <c r="AH63" i="115" s="1"/>
  <c r="H62" i="72" s="1"/>
  <c r="AF52" i="114"/>
  <c r="AG52" i="114" s="1"/>
  <c r="AH52" i="114" s="1"/>
  <c r="G51" i="72" s="1"/>
  <c r="AF38" i="114"/>
  <c r="AG38" i="114" s="1"/>
  <c r="AH38" i="114" s="1"/>
  <c r="G37" i="72" s="1"/>
  <c r="AF66" i="114"/>
  <c r="AG66" i="114" s="1"/>
  <c r="AH66" i="114" s="1"/>
  <c r="G65" i="72" s="1"/>
  <c r="AF27" i="113"/>
  <c r="AG27" i="113" s="1"/>
  <c r="AH27" i="113" s="1"/>
  <c r="F26" i="72" s="1"/>
  <c r="AF48" i="120"/>
  <c r="AG48" i="120" s="1"/>
  <c r="AH48" i="120" s="1"/>
  <c r="M47" i="72" s="1"/>
  <c r="AF58" i="118"/>
  <c r="AG58" i="118" s="1"/>
  <c r="AH58" i="118" s="1"/>
  <c r="K57" i="72" s="1"/>
  <c r="AF43" i="125"/>
  <c r="AG43" i="125" s="1"/>
  <c r="AH43" i="125" s="1"/>
  <c r="N42" i="72" s="1"/>
  <c r="AF20" i="131"/>
  <c r="AG20" i="131" s="1"/>
  <c r="AH20" i="131" s="1"/>
  <c r="S19" i="72" s="1"/>
  <c r="AF76" i="125"/>
  <c r="AG76" i="125" s="1"/>
  <c r="AH76" i="125" s="1"/>
  <c r="N75" i="72" s="1"/>
  <c r="AH21" i="117"/>
  <c r="AI21" i="117" s="1"/>
  <c r="AJ21" i="117" s="1"/>
  <c r="J20" i="72" s="1"/>
  <c r="AH45" i="117"/>
  <c r="AI45" i="117" s="1"/>
  <c r="AJ45" i="117" s="1"/>
  <c r="J44" i="72" s="1"/>
  <c r="AF8" i="115"/>
  <c r="AF64" i="115"/>
  <c r="AG64" i="115" s="1"/>
  <c r="AH64" i="115" s="1"/>
  <c r="H63" i="72" s="1"/>
  <c r="AF69" i="120"/>
  <c r="AG69" i="120" s="1"/>
  <c r="AH69" i="120" s="1"/>
  <c r="M68" i="72" s="1"/>
  <c r="AF23" i="125"/>
  <c r="AG23" i="125" s="1"/>
  <c r="AH23" i="125" s="1"/>
  <c r="N22" i="72" s="1"/>
  <c r="AF10" i="114"/>
  <c r="AG10" i="114" s="1"/>
  <c r="AH10" i="114" s="1"/>
  <c r="G9" i="72" s="1"/>
  <c r="AF29" i="115"/>
  <c r="AG29" i="115" s="1"/>
  <c r="AH29" i="115" s="1"/>
  <c r="H28" i="72" s="1"/>
  <c r="AF23" i="131"/>
  <c r="AG23" i="131" s="1"/>
  <c r="AH23" i="131" s="1"/>
  <c r="S22" i="72" s="1"/>
  <c r="AF66" i="131"/>
  <c r="AG66" i="131" s="1"/>
  <c r="AH66" i="131" s="1"/>
  <c r="S65" i="72" s="1"/>
  <c r="AG39" i="129"/>
  <c r="AH39" i="129" s="1"/>
  <c r="AF63" i="127"/>
  <c r="AG63" i="127" s="1"/>
  <c r="AH63" i="127" s="1"/>
  <c r="P62" i="72" s="1"/>
  <c r="AF46" i="127"/>
  <c r="AG46" i="127" s="1"/>
  <c r="AH46" i="127" s="1"/>
  <c r="P45" i="72" s="1"/>
  <c r="AF68" i="126"/>
  <c r="AG68" i="126" s="1"/>
  <c r="AH68" i="126" s="1"/>
  <c r="O67" i="72" s="1"/>
  <c r="AF38" i="128"/>
  <c r="AG38" i="128" s="1"/>
  <c r="AH38" i="128" s="1"/>
  <c r="Q37" i="72" s="1"/>
  <c r="AF40" i="127"/>
  <c r="AG40" i="127" s="1"/>
  <c r="AH40" i="127" s="1"/>
  <c r="P39" i="72" s="1"/>
  <c r="AF33" i="114"/>
  <c r="AG33" i="114" s="1"/>
  <c r="AH33" i="114" s="1"/>
  <c r="G32" i="72" s="1"/>
  <c r="AF62" i="115"/>
  <c r="AG62" i="115" s="1"/>
  <c r="AH62" i="115" s="1"/>
  <c r="H61" i="72" s="1"/>
  <c r="AH22" i="117"/>
  <c r="AI22" i="117" s="1"/>
  <c r="AJ22" i="117" s="1"/>
  <c r="J21" i="72" s="1"/>
  <c r="AF49" i="114"/>
  <c r="AG49" i="114" s="1"/>
  <c r="AH49" i="114" s="1"/>
  <c r="G48" i="72" s="1"/>
  <c r="AF9" i="118"/>
  <c r="AG9" i="118" s="1"/>
  <c r="AH9" i="118" s="1"/>
  <c r="K8" i="72" s="1"/>
  <c r="AF73" i="126"/>
  <c r="AG73" i="126" s="1"/>
  <c r="AH73" i="126" s="1"/>
  <c r="O72" i="72" s="1"/>
  <c r="AF9" i="125"/>
  <c r="AG9" i="125" s="1"/>
  <c r="AH9" i="125" s="1"/>
  <c r="N8" i="72" s="1"/>
  <c r="AF9" i="131"/>
  <c r="AG9" i="131" s="1"/>
  <c r="AH9" i="131" s="1"/>
  <c r="S8" i="72" s="1"/>
  <c r="AF45" i="131"/>
  <c r="AG45" i="131" s="1"/>
  <c r="AH45" i="131" s="1"/>
  <c r="S44" i="72" s="1"/>
  <c r="AG25" i="129"/>
  <c r="AH25" i="129" s="1"/>
  <c r="AG69" i="129"/>
  <c r="AH69" i="129" s="1"/>
  <c r="AF73" i="128"/>
  <c r="AG73" i="128" s="1"/>
  <c r="AH73" i="128" s="1"/>
  <c r="Q72" i="72" s="1"/>
  <c r="AF28" i="113"/>
  <c r="AG28" i="113" s="1"/>
  <c r="AH28" i="113" s="1"/>
  <c r="F27" i="72" s="1"/>
  <c r="AF29" i="128"/>
  <c r="AG29" i="128" s="1"/>
  <c r="AH29" i="128" s="1"/>
  <c r="Q28" i="72" s="1"/>
  <c r="AF24" i="128"/>
  <c r="AG24" i="128" s="1"/>
  <c r="AH24" i="128" s="1"/>
  <c r="Q23" i="72" s="1"/>
  <c r="AF52" i="125"/>
  <c r="AG52" i="125" s="1"/>
  <c r="AH52" i="125" s="1"/>
  <c r="N51" i="72" s="1"/>
  <c r="AF66" i="128"/>
  <c r="AG66" i="128" s="1"/>
  <c r="AH66" i="128" s="1"/>
  <c r="Q65" i="72" s="1"/>
  <c r="AF71" i="115"/>
  <c r="AG71" i="115" s="1"/>
  <c r="AH71" i="115" s="1"/>
  <c r="H70" i="72" s="1"/>
  <c r="AF60" i="114"/>
  <c r="AG60" i="114" s="1"/>
  <c r="AH60" i="114" s="1"/>
  <c r="G59" i="72" s="1"/>
  <c r="AL77" i="126"/>
  <c r="AJ12" i="31"/>
  <c r="AJ46" i="31"/>
  <c r="AK46" i="31" s="1"/>
  <c r="AJ37" i="31"/>
  <c r="AK37" i="31" s="1"/>
  <c r="AJ28" i="31"/>
  <c r="AK28" i="31" s="1"/>
  <c r="AJ60" i="31"/>
  <c r="AK60" i="31" s="1"/>
  <c r="AJ40" i="31"/>
  <c r="AK40" i="31" s="1"/>
  <c r="AF8" i="131"/>
  <c r="AF9" i="115"/>
  <c r="AG9" i="115" s="1"/>
  <c r="AH9" i="115" s="1"/>
  <c r="H8" i="72" s="1"/>
  <c r="AF8" i="120"/>
  <c r="AF11" i="128" l="1"/>
  <c r="AG11" i="128" s="1"/>
  <c r="AH11" i="128" s="1"/>
  <c r="Q10" i="72" s="1"/>
  <c r="AF8" i="116"/>
  <c r="AG8" i="116" s="1"/>
  <c r="AH8" i="116" s="1"/>
  <c r="I7" i="72" s="1"/>
  <c r="AF8" i="113"/>
  <c r="AG8" i="113" s="1"/>
  <c r="AF8" i="114"/>
  <c r="AF78" i="114" s="1"/>
  <c r="R68" i="72"/>
  <c r="AJ69" i="129"/>
  <c r="R24" i="72"/>
  <c r="AJ25" i="129"/>
  <c r="R38" i="72"/>
  <c r="AJ39" i="129"/>
  <c r="AF77" i="115"/>
  <c r="AG8" i="115"/>
  <c r="R61" i="72"/>
  <c r="AJ62" i="129"/>
  <c r="R65" i="72"/>
  <c r="AJ66" i="129"/>
  <c r="R69" i="72"/>
  <c r="AJ70" i="129"/>
  <c r="R62" i="72"/>
  <c r="AJ63" i="129"/>
  <c r="R75" i="72"/>
  <c r="AJ76" i="129"/>
  <c r="R18" i="72"/>
  <c r="AJ19" i="129"/>
  <c r="R42" i="72"/>
  <c r="AJ43" i="129"/>
  <c r="R73" i="72"/>
  <c r="AJ74" i="129"/>
  <c r="R21" i="72"/>
  <c r="AJ22" i="129"/>
  <c r="R40" i="72"/>
  <c r="AJ41" i="129"/>
  <c r="R36" i="72"/>
  <c r="AJ37" i="129"/>
  <c r="R48" i="72"/>
  <c r="AJ49" i="129"/>
  <c r="AF77" i="125"/>
  <c r="AE7" i="72"/>
  <c r="AE76" i="72" s="1"/>
  <c r="AN77" i="116"/>
  <c r="AM7" i="72"/>
  <c r="AM76" i="72" s="1"/>
  <c r="AN77" i="128"/>
  <c r="R45" i="72"/>
  <c r="AJ46" i="129"/>
  <c r="R17" i="72"/>
  <c r="AJ18" i="129"/>
  <c r="R74" i="72"/>
  <c r="AJ75" i="129"/>
  <c r="R71" i="72"/>
  <c r="AJ72" i="129"/>
  <c r="R56" i="72"/>
  <c r="AJ57" i="129"/>
  <c r="R32" i="72"/>
  <c r="AJ33" i="129"/>
  <c r="R30" i="72"/>
  <c r="AJ31" i="129"/>
  <c r="R26" i="72"/>
  <c r="AJ27" i="129"/>
  <c r="R8" i="72"/>
  <c r="AJ9" i="129"/>
  <c r="R57" i="72"/>
  <c r="AJ58" i="129"/>
  <c r="R22" i="72"/>
  <c r="AJ23" i="129"/>
  <c r="R14" i="72"/>
  <c r="AJ15" i="129"/>
  <c r="R28" i="72"/>
  <c r="AJ29" i="129"/>
  <c r="AG77" i="118"/>
  <c r="AH8" i="118"/>
  <c r="R58" i="72"/>
  <c r="AJ59" i="129"/>
  <c r="AF77" i="120"/>
  <c r="AG8" i="120"/>
  <c r="AF77" i="131"/>
  <c r="AG8" i="131"/>
  <c r="R60" i="72"/>
  <c r="AJ61" i="129"/>
  <c r="R55" i="72"/>
  <c r="AJ56" i="129"/>
  <c r="R52" i="72"/>
  <c r="AJ53" i="129"/>
  <c r="R72" i="72"/>
  <c r="AJ73" i="129"/>
  <c r="R16" i="72"/>
  <c r="AJ17" i="129"/>
  <c r="R29" i="72"/>
  <c r="AJ30" i="129"/>
  <c r="AJ8" i="117"/>
  <c r="R20" i="72"/>
  <c r="AJ21" i="129"/>
  <c r="R44" i="72"/>
  <c r="AJ45" i="129"/>
  <c r="AJ64" i="129"/>
  <c r="R63" i="72"/>
  <c r="R70" i="72"/>
  <c r="AJ71" i="129"/>
  <c r="AF77" i="128"/>
  <c r="AG8" i="128"/>
  <c r="R35" i="72"/>
  <c r="AJ36" i="129"/>
  <c r="R12" i="72"/>
  <c r="AJ13" i="129"/>
  <c r="R67" i="72"/>
  <c r="AJ68" i="129"/>
  <c r="AH8" i="125"/>
  <c r="AG77" i="125"/>
  <c r="AI7" i="72"/>
  <c r="AI76" i="72" s="1"/>
  <c r="AN77" i="120"/>
  <c r="AH7" i="72"/>
  <c r="AH76" i="72" s="1"/>
  <c r="AN77" i="119"/>
  <c r="AJ7" i="72"/>
  <c r="AJ76" i="72" s="1"/>
  <c r="AN77" i="125"/>
  <c r="AD7" i="72"/>
  <c r="AD76" i="72" s="1"/>
  <c r="AN77" i="115"/>
  <c r="AO7" i="72"/>
  <c r="AO76" i="72" s="1"/>
  <c r="AN77" i="131"/>
  <c r="AC8" i="72"/>
  <c r="AC76" i="72" s="1"/>
  <c r="AN78" i="114"/>
  <c r="AF77" i="118"/>
  <c r="AJ57" i="31"/>
  <c r="AK57" i="31" s="1"/>
  <c r="AM58" i="31" s="1"/>
  <c r="AK12" i="31"/>
  <c r="AF8" i="126"/>
  <c r="AF77" i="113" l="1"/>
  <c r="AG8" i="114"/>
  <c r="AH11" i="117"/>
  <c r="AH77" i="117" s="1"/>
  <c r="AF8" i="127"/>
  <c r="AG8" i="127" s="1"/>
  <c r="AF77" i="126"/>
  <c r="AG8" i="126"/>
  <c r="AI11" i="117"/>
  <c r="AF77" i="129"/>
  <c r="AG8" i="129"/>
  <c r="AH8" i="128"/>
  <c r="AG77" i="128"/>
  <c r="J7" i="72"/>
  <c r="AH8" i="115"/>
  <c r="AG77" i="115"/>
  <c r="AG77" i="113"/>
  <c r="AH8" i="113"/>
  <c r="AF77" i="127"/>
  <c r="N7" i="72"/>
  <c r="N76" i="72" s="1"/>
  <c r="AH77" i="125"/>
  <c r="AH8" i="131"/>
  <c r="AG77" i="131"/>
  <c r="AH8" i="120"/>
  <c r="AG77" i="120"/>
  <c r="AH8" i="114"/>
  <c r="AG78" i="114"/>
  <c r="AH77" i="118"/>
  <c r="K7" i="72"/>
  <c r="K76" i="72" s="1"/>
  <c r="AH78" i="114" l="1"/>
  <c r="G7" i="72"/>
  <c r="G76" i="72" s="1"/>
  <c r="M7" i="72"/>
  <c r="M76" i="72" s="1"/>
  <c r="AH77" i="120"/>
  <c r="S7" i="72"/>
  <c r="S76" i="72" s="1"/>
  <c r="AH77" i="131"/>
  <c r="H7" i="72"/>
  <c r="H76" i="72" s="1"/>
  <c r="AH77" i="115"/>
  <c r="Q7" i="72"/>
  <c r="Q76" i="72" s="1"/>
  <c r="AH77" i="128"/>
  <c r="AG77" i="129"/>
  <c r="AH8" i="129"/>
  <c r="AH8" i="126"/>
  <c r="AG77" i="126"/>
  <c r="AG77" i="127"/>
  <c r="AH8" i="127"/>
  <c r="AH77" i="113"/>
  <c r="F7" i="72"/>
  <c r="F76" i="72" s="1"/>
  <c r="AJ11" i="117"/>
  <c r="AI77" i="117"/>
  <c r="J10" i="72" l="1"/>
  <c r="J76" i="72" s="1"/>
  <c r="AJ77" i="117"/>
  <c r="AH77" i="126"/>
  <c r="O7" i="72"/>
  <c r="O76" i="72" s="1"/>
  <c r="AH77" i="127"/>
  <c r="P7" i="72"/>
  <c r="P76" i="72" s="1"/>
  <c r="AJ8" i="129"/>
  <c r="AJ77" i="129" s="1"/>
  <c r="AH77" i="129"/>
  <c r="R7" i="72"/>
  <c r="R76" i="72" s="1"/>
  <c r="AJ13" i="31"/>
  <c r="AI69" i="31"/>
  <c r="AK13" i="31" l="1"/>
  <c r="AK69" i="31" s="1"/>
  <c r="AJ69" i="31"/>
  <c r="N29" i="137" l="1"/>
  <c r="R10" i="137" l="1"/>
  <c r="R17" i="137"/>
  <c r="R14" i="137"/>
  <c r="R18" i="137"/>
  <c r="R15" i="137"/>
  <c r="R11" i="137"/>
  <c r="R19" i="137"/>
  <c r="AN6" i="80" l="1"/>
  <c r="AN75" i="80" s="1"/>
  <c r="AC75" i="80"/>
  <c r="AD6" i="80"/>
  <c r="AD75" i="80" s="1"/>
  <c r="AF6" i="80"/>
  <c r="AF75" i="80" s="1"/>
  <c r="AO6" i="80" l="1"/>
  <c r="AQ7" i="72" s="1"/>
  <c r="AQ76" i="72" s="1"/>
  <c r="AJ6" i="80"/>
  <c r="AJ75" i="80" s="1"/>
  <c r="AO75" i="80"/>
  <c r="AC77" i="80"/>
  <c r="AD77" i="80" s="1"/>
  <c r="AF77" i="80" s="1"/>
  <c r="AJ77" i="80" s="1"/>
  <c r="AJ79" i="80" l="1"/>
  <c r="AD79" i="80"/>
  <c r="AC79" i="80"/>
  <c r="AF79" i="80"/>
  <c r="AG53" i="76" l="1"/>
  <c r="AH53" i="76" s="1"/>
  <c r="AI53" i="76" s="1"/>
  <c r="T54" i="72" s="1"/>
  <c r="AL11" i="46"/>
  <c r="AM11" i="46" s="1"/>
  <c r="AN11" i="46" s="1"/>
  <c r="AG56" i="80"/>
  <c r="AH56" i="80" s="1"/>
  <c r="AI56" i="80" s="1"/>
  <c r="U57" i="72" s="1"/>
  <c r="AG42" i="80"/>
  <c r="AH42" i="80" s="1"/>
  <c r="AI42" i="80" s="1"/>
  <c r="U43" i="72" s="1"/>
  <c r="AL23" i="46" l="1"/>
  <c r="AM23" i="46" s="1"/>
  <c r="AN23" i="46" s="1"/>
  <c r="D45" i="72" s="1"/>
  <c r="AL12" i="46"/>
  <c r="AM12" i="46" s="1"/>
  <c r="AN12" i="46" s="1"/>
  <c r="AL10" i="46"/>
  <c r="AL14" i="46"/>
  <c r="AM14" i="46" s="1"/>
  <c r="AN14" i="46" s="1"/>
  <c r="AH48" i="46"/>
  <c r="AH51" i="46" s="1"/>
  <c r="Z15" i="72" s="1"/>
  <c r="AD48" i="46"/>
  <c r="AD51" i="46" s="1"/>
  <c r="AG34" i="76"/>
  <c r="AH34" i="76" s="1"/>
  <c r="AI34" i="76" s="1"/>
  <c r="T35" i="72" s="1"/>
  <c r="AG16" i="80"/>
  <c r="AH16" i="80" s="1"/>
  <c r="AI16" i="80" s="1"/>
  <c r="U17" i="72" s="1"/>
  <c r="AG24" i="76"/>
  <c r="AH24" i="76" s="1"/>
  <c r="AI24" i="76" s="1"/>
  <c r="T25" i="72" s="1"/>
  <c r="AG70" i="76"/>
  <c r="AH70" i="76" s="1"/>
  <c r="AI70" i="76" s="1"/>
  <c r="T71" i="72" s="1"/>
  <c r="AG10" i="76"/>
  <c r="AH10" i="76" s="1"/>
  <c r="AI10" i="76" s="1"/>
  <c r="T11" i="72" s="1"/>
  <c r="AF64" i="119"/>
  <c r="AG64" i="119" s="1"/>
  <c r="AH64" i="119" s="1"/>
  <c r="L63" i="72" s="1"/>
  <c r="AF15" i="119"/>
  <c r="AG15" i="119" s="1"/>
  <c r="AH15" i="119" s="1"/>
  <c r="L14" i="72" s="1"/>
  <c r="AF49" i="119"/>
  <c r="AG49" i="119" s="1"/>
  <c r="AH49" i="119" s="1"/>
  <c r="L48" i="72" s="1"/>
  <c r="AG30" i="76"/>
  <c r="AH30" i="76" s="1"/>
  <c r="AI30" i="76" s="1"/>
  <c r="T31" i="72" s="1"/>
  <c r="AF73" i="119"/>
  <c r="AG73" i="119" s="1"/>
  <c r="AH73" i="119" s="1"/>
  <c r="L72" i="72" s="1"/>
  <c r="AG36" i="76"/>
  <c r="AH36" i="76" s="1"/>
  <c r="AI36" i="76" s="1"/>
  <c r="T37" i="72" s="1"/>
  <c r="AL13" i="46"/>
  <c r="AM13" i="46" s="1"/>
  <c r="AN13" i="46" s="1"/>
  <c r="AL16" i="46"/>
  <c r="AM16" i="46" s="1"/>
  <c r="AN16" i="46" s="1"/>
  <c r="AF27" i="119"/>
  <c r="AG27" i="119" s="1"/>
  <c r="AH27" i="119" s="1"/>
  <c r="L26" i="72" s="1"/>
  <c r="AG27" i="76"/>
  <c r="AH27" i="76" s="1"/>
  <c r="AI27" i="76" s="1"/>
  <c r="T28" i="72" s="1"/>
  <c r="AG72" i="76"/>
  <c r="AH72" i="76" s="1"/>
  <c r="AI72" i="76" s="1"/>
  <c r="T73" i="72" s="1"/>
  <c r="AG74" i="80"/>
  <c r="AH74" i="80" s="1"/>
  <c r="AI74" i="80" s="1"/>
  <c r="U75" i="72" s="1"/>
  <c r="AG58" i="80"/>
  <c r="AH58" i="80" s="1"/>
  <c r="AI58" i="80" s="1"/>
  <c r="U59" i="72" s="1"/>
  <c r="AG56" i="76"/>
  <c r="AH56" i="76" s="1"/>
  <c r="AI56" i="76" s="1"/>
  <c r="T57" i="72" s="1"/>
  <c r="AG50" i="80"/>
  <c r="AH50" i="80" s="1"/>
  <c r="AI50" i="80" s="1"/>
  <c r="U51" i="72" s="1"/>
  <c r="AG72" i="80"/>
  <c r="AH72" i="80" s="1"/>
  <c r="AI72" i="80" s="1"/>
  <c r="U73" i="72" s="1"/>
  <c r="AL28" i="46"/>
  <c r="AF42" i="119"/>
  <c r="AG42" i="119" s="1"/>
  <c r="AH42" i="119" s="1"/>
  <c r="L41" i="72" s="1"/>
  <c r="AL15" i="46"/>
  <c r="AM15" i="46" s="1"/>
  <c r="AN15" i="46" s="1"/>
  <c r="AF23" i="119"/>
  <c r="AG23" i="119" s="1"/>
  <c r="AH23" i="119" s="1"/>
  <c r="L22" i="72" s="1"/>
  <c r="AG46" i="80"/>
  <c r="AH46" i="80" s="1"/>
  <c r="AI46" i="80" s="1"/>
  <c r="U47" i="72" s="1"/>
  <c r="AF24" i="119"/>
  <c r="AG24" i="119" s="1"/>
  <c r="AH24" i="119" s="1"/>
  <c r="L23" i="72" s="1"/>
  <c r="AG37" i="76"/>
  <c r="AH37" i="76" s="1"/>
  <c r="AI37" i="76" s="1"/>
  <c r="T38" i="72" s="1"/>
  <c r="AG53" i="80"/>
  <c r="AH53" i="80" s="1"/>
  <c r="AI53" i="80" s="1"/>
  <c r="U54" i="72" s="1"/>
  <c r="AG57" i="80"/>
  <c r="AH57" i="80" s="1"/>
  <c r="AI57" i="80" s="1"/>
  <c r="U58" i="72" s="1"/>
  <c r="AF32" i="119"/>
  <c r="AG32" i="119" s="1"/>
  <c r="AH32" i="119" s="1"/>
  <c r="L31" i="72" s="1"/>
  <c r="AF9" i="119"/>
  <c r="AG9" i="119" s="1"/>
  <c r="AH9" i="119" s="1"/>
  <c r="L8" i="72" s="1"/>
  <c r="AF33" i="116"/>
  <c r="AF21" i="119"/>
  <c r="AG21" i="119" s="1"/>
  <c r="AH21" i="119" s="1"/>
  <c r="L20" i="72" s="1"/>
  <c r="AG43" i="80"/>
  <c r="AH43" i="80" s="1"/>
  <c r="AI43" i="80" s="1"/>
  <c r="U44" i="72" s="1"/>
  <c r="AG66" i="80"/>
  <c r="AH66" i="80" s="1"/>
  <c r="AI66" i="80" s="1"/>
  <c r="U67" i="72" s="1"/>
  <c r="AG39" i="80"/>
  <c r="AH39" i="80" s="1"/>
  <c r="AI39" i="80" s="1"/>
  <c r="U40" i="72" s="1"/>
  <c r="AG55" i="80"/>
  <c r="AH55" i="80" s="1"/>
  <c r="AI55" i="80" s="1"/>
  <c r="U56" i="72" s="1"/>
  <c r="AG44" i="76"/>
  <c r="AH44" i="76" s="1"/>
  <c r="AI44" i="76" s="1"/>
  <c r="T45" i="72" s="1"/>
  <c r="AG32" i="76"/>
  <c r="AH32" i="76" s="1"/>
  <c r="AI32" i="76" s="1"/>
  <c r="T33" i="72" s="1"/>
  <c r="AG63" i="76"/>
  <c r="AH63" i="76" s="1"/>
  <c r="AI63" i="76" s="1"/>
  <c r="T64" i="72" s="1"/>
  <c r="AG25" i="76"/>
  <c r="AH25" i="76" s="1"/>
  <c r="AI25" i="76" s="1"/>
  <c r="T26" i="72" s="1"/>
  <c r="AF19" i="119"/>
  <c r="AG19" i="119" s="1"/>
  <c r="AH19" i="119" s="1"/>
  <c r="L18" i="72" s="1"/>
  <c r="AF51" i="119"/>
  <c r="AG51" i="119" s="1"/>
  <c r="AH51" i="119" s="1"/>
  <c r="L50" i="72" s="1"/>
  <c r="AF25" i="119"/>
  <c r="AG25" i="119" s="1"/>
  <c r="AH25" i="119" s="1"/>
  <c r="L24" i="72" s="1"/>
  <c r="AF17" i="119"/>
  <c r="AG17" i="119" s="1"/>
  <c r="AH17" i="119" s="1"/>
  <c r="L16" i="72" s="1"/>
  <c r="AF69" i="119"/>
  <c r="AG69" i="119" s="1"/>
  <c r="AH69" i="119" s="1"/>
  <c r="L68" i="72" s="1"/>
  <c r="AG40" i="80"/>
  <c r="AH40" i="80" s="1"/>
  <c r="AI40" i="80" s="1"/>
  <c r="U41" i="72" s="1"/>
  <c r="AG11" i="80"/>
  <c r="AH11" i="80" s="1"/>
  <c r="AI11" i="80" s="1"/>
  <c r="U12" i="72" s="1"/>
  <c r="AG18" i="80"/>
  <c r="AH18" i="80" s="1"/>
  <c r="AI18" i="80" s="1"/>
  <c r="U19" i="72" s="1"/>
  <c r="AG26" i="80"/>
  <c r="AH26" i="80" s="1"/>
  <c r="AI26" i="80" s="1"/>
  <c r="U27" i="72" s="1"/>
  <c r="AG67" i="80"/>
  <c r="AH67" i="80" s="1"/>
  <c r="AI67" i="80" s="1"/>
  <c r="U68" i="72" s="1"/>
  <c r="AG47" i="76"/>
  <c r="AH47" i="76" s="1"/>
  <c r="AI47" i="76" s="1"/>
  <c r="T48" i="72" s="1"/>
  <c r="AG39" i="76"/>
  <c r="AH39" i="76" s="1"/>
  <c r="AI39" i="76" s="1"/>
  <c r="T40" i="72" s="1"/>
  <c r="AC48" i="46"/>
  <c r="AC51" i="46" s="1"/>
  <c r="AG16" i="76"/>
  <c r="AH16" i="76" s="1"/>
  <c r="AI16" i="76" s="1"/>
  <c r="T17" i="72" s="1"/>
  <c r="AF72" i="119"/>
  <c r="AG72" i="119" s="1"/>
  <c r="AH72" i="119" s="1"/>
  <c r="L71" i="72" s="1"/>
  <c r="AF16" i="119"/>
  <c r="AG16" i="119" s="1"/>
  <c r="AH16" i="119" s="1"/>
  <c r="L15" i="72" s="1"/>
  <c r="Y23" i="72" l="1"/>
  <c r="AM28" i="46"/>
  <c r="AF77" i="116"/>
  <c r="AG33" i="116"/>
  <c r="AC54" i="46"/>
  <c r="Z23" i="72"/>
  <c r="Z76" i="72" s="1"/>
  <c r="AM10" i="46"/>
  <c r="AG64" i="76"/>
  <c r="AH64" i="76" s="1"/>
  <c r="AI64" i="76" s="1"/>
  <c r="T65" i="72" s="1"/>
  <c r="AG21" i="76"/>
  <c r="AH21" i="76" s="1"/>
  <c r="AI21" i="76" s="1"/>
  <c r="T22" i="72" s="1"/>
  <c r="AG14" i="76"/>
  <c r="AH14" i="76" s="1"/>
  <c r="AI14" i="76" s="1"/>
  <c r="T15" i="72" s="1"/>
  <c r="AG36" i="80"/>
  <c r="AH36" i="80" s="1"/>
  <c r="AI36" i="80" s="1"/>
  <c r="U37" i="72" s="1"/>
  <c r="AG26" i="76"/>
  <c r="AH26" i="76" s="1"/>
  <c r="AI26" i="76" s="1"/>
  <c r="T27" i="72" s="1"/>
  <c r="AG54" i="76"/>
  <c r="AH54" i="76" s="1"/>
  <c r="AI54" i="76" s="1"/>
  <c r="T55" i="72" s="1"/>
  <c r="AG40" i="76"/>
  <c r="AH40" i="76" s="1"/>
  <c r="AI40" i="76" s="1"/>
  <c r="T41" i="72" s="1"/>
  <c r="AF39" i="119"/>
  <c r="AG39" i="119" s="1"/>
  <c r="AH39" i="119" s="1"/>
  <c r="L38" i="72" s="1"/>
  <c r="AG48" i="80"/>
  <c r="AH48" i="80" s="1"/>
  <c r="AI48" i="80" s="1"/>
  <c r="U49" i="72" s="1"/>
  <c r="AF55" i="119"/>
  <c r="AG55" i="119" s="1"/>
  <c r="AH55" i="119" s="1"/>
  <c r="L54" i="72" s="1"/>
  <c r="AG64" i="80"/>
  <c r="AH64" i="80" s="1"/>
  <c r="AI64" i="80" s="1"/>
  <c r="U65" i="72" s="1"/>
  <c r="AG46" i="76"/>
  <c r="AH46" i="76" s="1"/>
  <c r="AI46" i="76" s="1"/>
  <c r="T47" i="72" s="1"/>
  <c r="AG35" i="80"/>
  <c r="AH35" i="80" s="1"/>
  <c r="AI35" i="80" s="1"/>
  <c r="U36" i="72" s="1"/>
  <c r="AG13" i="80"/>
  <c r="AH13" i="80" s="1"/>
  <c r="AI13" i="80" s="1"/>
  <c r="U14" i="72" s="1"/>
  <c r="AG67" i="76"/>
  <c r="AH67" i="76" s="1"/>
  <c r="AI67" i="76" s="1"/>
  <c r="T68" i="72" s="1"/>
  <c r="AG15" i="76"/>
  <c r="AH15" i="76" s="1"/>
  <c r="AI15" i="76" s="1"/>
  <c r="T16" i="72" s="1"/>
  <c r="AG10" i="80"/>
  <c r="AH10" i="80" s="1"/>
  <c r="AI10" i="80" s="1"/>
  <c r="U11" i="72" s="1"/>
  <c r="AF12" i="119"/>
  <c r="AG12" i="119" s="1"/>
  <c r="AH12" i="119" s="1"/>
  <c r="L11" i="72" s="1"/>
  <c r="AG23" i="80"/>
  <c r="AH23" i="80" s="1"/>
  <c r="AI23" i="80" s="1"/>
  <c r="U24" i="72" s="1"/>
  <c r="AF30" i="119"/>
  <c r="AG30" i="119" s="1"/>
  <c r="AH30" i="119" s="1"/>
  <c r="L29" i="72" s="1"/>
  <c r="AF67" i="119"/>
  <c r="AG67" i="119" s="1"/>
  <c r="AH67" i="119" s="1"/>
  <c r="L66" i="72" s="1"/>
  <c r="AF48" i="119"/>
  <c r="AG48" i="119" s="1"/>
  <c r="AH48" i="119" s="1"/>
  <c r="L47" i="72" s="1"/>
  <c r="AG50" i="76"/>
  <c r="AH50" i="76" s="1"/>
  <c r="AI50" i="76" s="1"/>
  <c r="T51" i="72" s="1"/>
  <c r="AG69" i="76"/>
  <c r="AH69" i="76" s="1"/>
  <c r="AI69" i="76" s="1"/>
  <c r="T70" i="72" s="1"/>
  <c r="AG22" i="80"/>
  <c r="AH22" i="80" s="1"/>
  <c r="AI22" i="80" s="1"/>
  <c r="U23" i="72" s="1"/>
  <c r="AF8" i="119"/>
  <c r="AG74" i="76"/>
  <c r="AH74" i="76" s="1"/>
  <c r="AI74" i="76" s="1"/>
  <c r="T75" i="72" s="1"/>
  <c r="AG61" i="80"/>
  <c r="AH61" i="80" s="1"/>
  <c r="AI61" i="80" s="1"/>
  <c r="U62" i="72" s="1"/>
  <c r="AG8" i="80"/>
  <c r="AH8" i="80" s="1"/>
  <c r="AI8" i="80" s="1"/>
  <c r="U9" i="72" s="1"/>
  <c r="AG68" i="80"/>
  <c r="AH68" i="80" s="1"/>
  <c r="AI68" i="80" s="1"/>
  <c r="U69" i="72" s="1"/>
  <c r="AG31" i="80"/>
  <c r="AH31" i="80" s="1"/>
  <c r="AI31" i="80" s="1"/>
  <c r="U32" i="72" s="1"/>
  <c r="AG7" i="80"/>
  <c r="AH7" i="80" s="1"/>
  <c r="AI7" i="80" s="1"/>
  <c r="U8" i="72" s="1"/>
  <c r="AG69" i="80"/>
  <c r="AH69" i="80" s="1"/>
  <c r="AI69" i="80" s="1"/>
  <c r="U70" i="72" s="1"/>
  <c r="AG42" i="76"/>
  <c r="AH42" i="76" s="1"/>
  <c r="AI42" i="76" s="1"/>
  <c r="T43" i="72" s="1"/>
  <c r="AG37" i="80"/>
  <c r="AH37" i="80" s="1"/>
  <c r="AI37" i="80" s="1"/>
  <c r="U38" i="72" s="1"/>
  <c r="AG47" i="80"/>
  <c r="AH47" i="80" s="1"/>
  <c r="AI47" i="80" s="1"/>
  <c r="U48" i="72" s="1"/>
  <c r="AF45" i="119"/>
  <c r="AG45" i="119" s="1"/>
  <c r="AH45" i="119" s="1"/>
  <c r="L44" i="72" s="1"/>
  <c r="AF75" i="119"/>
  <c r="AG75" i="119" s="1"/>
  <c r="AH75" i="119" s="1"/>
  <c r="L74" i="72" s="1"/>
  <c r="AF13" i="119"/>
  <c r="AG13" i="119" s="1"/>
  <c r="AH13" i="119" s="1"/>
  <c r="L12" i="72" s="1"/>
  <c r="AG19" i="76"/>
  <c r="AH19" i="76" s="1"/>
  <c r="AI19" i="76" s="1"/>
  <c r="T20" i="72" s="1"/>
  <c r="AF70" i="119"/>
  <c r="AG70" i="119" s="1"/>
  <c r="AH70" i="119" s="1"/>
  <c r="L69" i="72" s="1"/>
  <c r="AF33" i="119"/>
  <c r="AG33" i="119" s="1"/>
  <c r="AH33" i="119" s="1"/>
  <c r="L32" i="72" s="1"/>
  <c r="AF61" i="119"/>
  <c r="AG61" i="119" s="1"/>
  <c r="AH61" i="119" s="1"/>
  <c r="L60" i="72" s="1"/>
  <c r="AG12" i="76"/>
  <c r="AH12" i="76" s="1"/>
  <c r="AI12" i="76" s="1"/>
  <c r="T13" i="72" s="1"/>
  <c r="AF11" i="119"/>
  <c r="AG11" i="119" s="1"/>
  <c r="AH11" i="119" s="1"/>
  <c r="L10" i="72" s="1"/>
  <c r="AG17" i="76"/>
  <c r="AH17" i="76" s="1"/>
  <c r="AI17" i="76" s="1"/>
  <c r="T18" i="72" s="1"/>
  <c r="AG44" i="80"/>
  <c r="AH44" i="80" s="1"/>
  <c r="AI44" i="80" s="1"/>
  <c r="U45" i="72" s="1"/>
  <c r="AF14" i="119"/>
  <c r="AG14" i="119" s="1"/>
  <c r="AH14" i="119" s="1"/>
  <c r="L13" i="72" s="1"/>
  <c r="AF40" i="119"/>
  <c r="AG40" i="119" s="1"/>
  <c r="AH40" i="119" s="1"/>
  <c r="L39" i="72" s="1"/>
  <c r="AF68" i="119"/>
  <c r="AG68" i="119" s="1"/>
  <c r="AH68" i="119" s="1"/>
  <c r="L67" i="72" s="1"/>
  <c r="AG22" i="76"/>
  <c r="AH22" i="76" s="1"/>
  <c r="AI22" i="76" s="1"/>
  <c r="T23" i="72" s="1"/>
  <c r="AG15" i="80"/>
  <c r="AH15" i="80" s="1"/>
  <c r="AI15" i="80" s="1"/>
  <c r="U16" i="72" s="1"/>
  <c r="AG21" i="80"/>
  <c r="AH21" i="80" s="1"/>
  <c r="AI21" i="80" s="1"/>
  <c r="U22" i="72" s="1"/>
  <c r="AG41" i="80"/>
  <c r="AH41" i="80" s="1"/>
  <c r="AI41" i="80" s="1"/>
  <c r="U42" i="72" s="1"/>
  <c r="AG65" i="80"/>
  <c r="AH65" i="80" s="1"/>
  <c r="AI65" i="80" s="1"/>
  <c r="U66" i="72" s="1"/>
  <c r="AG68" i="76"/>
  <c r="AH68" i="76" s="1"/>
  <c r="AI68" i="76" s="1"/>
  <c r="T69" i="72" s="1"/>
  <c r="AG7" i="76"/>
  <c r="AH7" i="76" s="1"/>
  <c r="AI7" i="76" s="1"/>
  <c r="T8" i="72" s="1"/>
  <c r="AG34" i="80"/>
  <c r="AH34" i="80" s="1"/>
  <c r="AI34" i="80" s="1"/>
  <c r="U35" i="72" s="1"/>
  <c r="AG24" i="80"/>
  <c r="AH24" i="80" s="1"/>
  <c r="AI24" i="80" s="1"/>
  <c r="U25" i="72" s="1"/>
  <c r="AG62" i="76"/>
  <c r="AH62" i="76" s="1"/>
  <c r="AI62" i="76" s="1"/>
  <c r="T63" i="72" s="1"/>
  <c r="AG33" i="76"/>
  <c r="AH33" i="76" s="1"/>
  <c r="AI33" i="76" s="1"/>
  <c r="T34" i="72" s="1"/>
  <c r="AG12" i="80"/>
  <c r="AH12" i="80" s="1"/>
  <c r="AI12" i="80" s="1"/>
  <c r="U13" i="72" s="1"/>
  <c r="AF60" i="119"/>
  <c r="AG60" i="119" s="1"/>
  <c r="AH60" i="119" s="1"/>
  <c r="L59" i="72" s="1"/>
  <c r="AF43" i="119"/>
  <c r="AG43" i="119" s="1"/>
  <c r="AH43" i="119" s="1"/>
  <c r="L42" i="72" s="1"/>
  <c r="AG63" i="80"/>
  <c r="AH63" i="80" s="1"/>
  <c r="AI63" i="80" s="1"/>
  <c r="U64" i="72" s="1"/>
  <c r="AG61" i="76"/>
  <c r="AH61" i="76" s="1"/>
  <c r="AI61" i="76" s="1"/>
  <c r="T62" i="72" s="1"/>
  <c r="AG33" i="80"/>
  <c r="AH33" i="80" s="1"/>
  <c r="AI33" i="80" s="1"/>
  <c r="U34" i="72" s="1"/>
  <c r="AG17" i="80"/>
  <c r="AH17" i="80" s="1"/>
  <c r="AI17" i="80" s="1"/>
  <c r="U18" i="72" s="1"/>
  <c r="AL35" i="46"/>
  <c r="AM35" i="46" s="1"/>
  <c r="AN35" i="46" s="1"/>
  <c r="D52" i="72" s="1"/>
  <c r="AG62" i="80"/>
  <c r="AH62" i="80" s="1"/>
  <c r="AI62" i="80" s="1"/>
  <c r="U63" i="72" s="1"/>
  <c r="AG35" i="76"/>
  <c r="AH35" i="76" s="1"/>
  <c r="AI35" i="76" s="1"/>
  <c r="T36" i="72" s="1"/>
  <c r="AF66" i="119"/>
  <c r="AG66" i="119" s="1"/>
  <c r="AH66" i="119" s="1"/>
  <c r="L65" i="72" s="1"/>
  <c r="AF62" i="119"/>
  <c r="AG62" i="119" s="1"/>
  <c r="AH62" i="119" s="1"/>
  <c r="L61" i="72" s="1"/>
  <c r="AF10" i="119"/>
  <c r="AG10" i="119" s="1"/>
  <c r="AH10" i="119" s="1"/>
  <c r="L9" i="72" s="1"/>
  <c r="AG52" i="76"/>
  <c r="AH52" i="76" s="1"/>
  <c r="AI52" i="76" s="1"/>
  <c r="T53" i="72" s="1"/>
  <c r="AG32" i="80"/>
  <c r="AH32" i="80" s="1"/>
  <c r="AI32" i="80" s="1"/>
  <c r="U33" i="72" s="1"/>
  <c r="AG54" i="80"/>
  <c r="AH54" i="80" s="1"/>
  <c r="AI54" i="80" s="1"/>
  <c r="U55" i="72" s="1"/>
  <c r="AF34" i="119"/>
  <c r="AG34" i="119" s="1"/>
  <c r="AH34" i="119" s="1"/>
  <c r="L33" i="72" s="1"/>
  <c r="AF22" i="119"/>
  <c r="AG22" i="119" s="1"/>
  <c r="AH22" i="119" s="1"/>
  <c r="L21" i="72" s="1"/>
  <c r="AG41" i="76"/>
  <c r="AH41" i="76" s="1"/>
  <c r="AI41" i="76" s="1"/>
  <c r="T42" i="72" s="1"/>
  <c r="AG14" i="80"/>
  <c r="AH14" i="80" s="1"/>
  <c r="AI14" i="80" s="1"/>
  <c r="U15" i="72" s="1"/>
  <c r="AG9" i="80"/>
  <c r="AH9" i="80" s="1"/>
  <c r="AI9" i="80" s="1"/>
  <c r="U10" i="72" s="1"/>
  <c r="AF46" i="119"/>
  <c r="AG46" i="119" s="1"/>
  <c r="AH46" i="119" s="1"/>
  <c r="L45" i="72" s="1"/>
  <c r="AG19" i="80"/>
  <c r="AH19" i="80" s="1"/>
  <c r="AI19" i="80" s="1"/>
  <c r="U20" i="72" s="1"/>
  <c r="AF52" i="119"/>
  <c r="AG52" i="119" s="1"/>
  <c r="AH52" i="119" s="1"/>
  <c r="L51" i="72" s="1"/>
  <c r="AG71" i="80"/>
  <c r="AH71" i="80" s="1"/>
  <c r="AI71" i="80" s="1"/>
  <c r="U72" i="72" s="1"/>
  <c r="AF29" i="119"/>
  <c r="AG29" i="119" s="1"/>
  <c r="AH29" i="119" s="1"/>
  <c r="L28" i="72" s="1"/>
  <c r="AF20" i="119"/>
  <c r="AG20" i="119" s="1"/>
  <c r="AH20" i="119" s="1"/>
  <c r="L19" i="72" s="1"/>
  <c r="AF54" i="119"/>
  <c r="AG54" i="119" s="1"/>
  <c r="AH54" i="119" s="1"/>
  <c r="L53" i="72" s="1"/>
  <c r="AG25" i="80"/>
  <c r="AH25" i="80" s="1"/>
  <c r="AI25" i="80" s="1"/>
  <c r="U26" i="72" s="1"/>
  <c r="AF74" i="119"/>
  <c r="AG74" i="119" s="1"/>
  <c r="AH74" i="119" s="1"/>
  <c r="L73" i="72" s="1"/>
  <c r="AG48" i="76"/>
  <c r="AH48" i="76" s="1"/>
  <c r="AI48" i="76" s="1"/>
  <c r="T49" i="72" s="1"/>
  <c r="AG71" i="76"/>
  <c r="AH71" i="76" s="1"/>
  <c r="AI71" i="76" s="1"/>
  <c r="T72" i="72" s="1"/>
  <c r="AF71" i="119"/>
  <c r="AG71" i="119" s="1"/>
  <c r="AH71" i="119" s="1"/>
  <c r="L70" i="72" s="1"/>
  <c r="AG60" i="76"/>
  <c r="AH60" i="76" s="1"/>
  <c r="AI60" i="76" s="1"/>
  <c r="T61" i="72" s="1"/>
  <c r="AG52" i="80"/>
  <c r="AH52" i="80" s="1"/>
  <c r="AI52" i="80" s="1"/>
  <c r="U53" i="72" s="1"/>
  <c r="AG45" i="76"/>
  <c r="AH45" i="76" s="1"/>
  <c r="AI45" i="76" s="1"/>
  <c r="T46" i="72" s="1"/>
  <c r="AG13" i="76"/>
  <c r="AH13" i="76" s="1"/>
  <c r="AI13" i="76" s="1"/>
  <c r="T14" i="72" s="1"/>
  <c r="AG43" i="76"/>
  <c r="AH43" i="76" s="1"/>
  <c r="AI43" i="76" s="1"/>
  <c r="T44" i="72" s="1"/>
  <c r="AG29" i="80"/>
  <c r="AH29" i="80" s="1"/>
  <c r="AI29" i="80" s="1"/>
  <c r="U30" i="72" s="1"/>
  <c r="AF36" i="119"/>
  <c r="AG36" i="119" s="1"/>
  <c r="AH36" i="119" s="1"/>
  <c r="L35" i="72" s="1"/>
  <c r="AG30" i="80"/>
  <c r="AH30" i="80" s="1"/>
  <c r="AI30" i="80" s="1"/>
  <c r="U31" i="72" s="1"/>
  <c r="AF41" i="119"/>
  <c r="AG41" i="119" s="1"/>
  <c r="AH41" i="119" s="1"/>
  <c r="L40" i="72" s="1"/>
  <c r="AG18" i="76"/>
  <c r="AH18" i="76" s="1"/>
  <c r="AI18" i="76" s="1"/>
  <c r="T19" i="72" s="1"/>
  <c r="AG66" i="76"/>
  <c r="AH66" i="76" s="1"/>
  <c r="AI66" i="76" s="1"/>
  <c r="T67" i="72" s="1"/>
  <c r="AG38" i="80"/>
  <c r="AH38" i="80" s="1"/>
  <c r="AI38" i="80" s="1"/>
  <c r="U39" i="72" s="1"/>
  <c r="AG20" i="80"/>
  <c r="AH20" i="80" s="1"/>
  <c r="AI20" i="80" s="1"/>
  <c r="U21" i="72" s="1"/>
  <c r="AG70" i="80"/>
  <c r="AH70" i="80" s="1"/>
  <c r="AI70" i="80" s="1"/>
  <c r="U71" i="72" s="1"/>
  <c r="AG28" i="80"/>
  <c r="AH28" i="80" s="1"/>
  <c r="AI28" i="80" s="1"/>
  <c r="U29" i="72" s="1"/>
  <c r="AG73" i="80"/>
  <c r="AH73" i="80" s="1"/>
  <c r="AI73" i="80" s="1"/>
  <c r="U74" i="72" s="1"/>
  <c r="AG51" i="80"/>
  <c r="AH51" i="80" s="1"/>
  <c r="AI51" i="80" s="1"/>
  <c r="U52" i="72" s="1"/>
  <c r="AG59" i="80"/>
  <c r="AH59" i="80" s="1"/>
  <c r="AI59" i="80" s="1"/>
  <c r="U60" i="72" s="1"/>
  <c r="AG45" i="80"/>
  <c r="AH45" i="80" s="1"/>
  <c r="AI45" i="80" s="1"/>
  <c r="U46" i="72" s="1"/>
  <c r="AG28" i="76"/>
  <c r="AH28" i="76" s="1"/>
  <c r="AI28" i="76" s="1"/>
  <c r="T29" i="72" s="1"/>
  <c r="AG38" i="76"/>
  <c r="AH38" i="76" s="1"/>
  <c r="AI38" i="76" s="1"/>
  <c r="T39" i="72" s="1"/>
  <c r="AG23" i="76"/>
  <c r="AH23" i="76" s="1"/>
  <c r="AI23" i="76" s="1"/>
  <c r="T24" i="72" s="1"/>
  <c r="AG73" i="76"/>
  <c r="AH73" i="76" s="1"/>
  <c r="AI73" i="76" s="1"/>
  <c r="T74" i="72" s="1"/>
  <c r="AG29" i="76"/>
  <c r="AH29" i="76" s="1"/>
  <c r="AI29" i="76" s="1"/>
  <c r="T30" i="72" s="1"/>
  <c r="AG58" i="76"/>
  <c r="AH58" i="76" s="1"/>
  <c r="AI58" i="76" s="1"/>
  <c r="T59" i="72" s="1"/>
  <c r="AG8" i="76"/>
  <c r="AH8" i="76" s="1"/>
  <c r="AI8" i="76" s="1"/>
  <c r="T9" i="72" s="1"/>
  <c r="AG20" i="76"/>
  <c r="AH20" i="76" s="1"/>
  <c r="AI20" i="76" s="1"/>
  <c r="T21" i="72" s="1"/>
  <c r="AG57" i="76"/>
  <c r="AH57" i="76" s="1"/>
  <c r="AI57" i="76" s="1"/>
  <c r="T58" i="72" s="1"/>
  <c r="AF76" i="119"/>
  <c r="AG76" i="119" s="1"/>
  <c r="AH76" i="119" s="1"/>
  <c r="L75" i="72" s="1"/>
  <c r="AF35" i="119"/>
  <c r="AG35" i="119" s="1"/>
  <c r="AH35" i="119" s="1"/>
  <c r="L34" i="72" s="1"/>
  <c r="AF58" i="119"/>
  <c r="AG58" i="119" s="1"/>
  <c r="AH58" i="119" s="1"/>
  <c r="L57" i="72" s="1"/>
  <c r="AF31" i="119"/>
  <c r="AG31" i="119" s="1"/>
  <c r="AH31" i="119" s="1"/>
  <c r="L30" i="72" s="1"/>
  <c r="AF26" i="119"/>
  <c r="AG26" i="119" s="1"/>
  <c r="AH26" i="119" s="1"/>
  <c r="L25" i="72" s="1"/>
  <c r="AF37" i="119"/>
  <c r="AG37" i="119" s="1"/>
  <c r="AH37" i="119" s="1"/>
  <c r="L36" i="72" s="1"/>
  <c r="AF57" i="119"/>
  <c r="AG57" i="119" s="1"/>
  <c r="AH57" i="119" s="1"/>
  <c r="L56" i="72" s="1"/>
  <c r="AF47" i="119"/>
  <c r="AG47" i="119" s="1"/>
  <c r="AH47" i="119" s="1"/>
  <c r="L46" i="72" s="1"/>
  <c r="AG49" i="80"/>
  <c r="AH49" i="80" s="1"/>
  <c r="AI49" i="80" s="1"/>
  <c r="U50" i="72" s="1"/>
  <c r="AG11" i="76"/>
  <c r="AH11" i="76" s="1"/>
  <c r="AI11" i="76" s="1"/>
  <c r="T12" i="72" s="1"/>
  <c r="AG60" i="80"/>
  <c r="AH60" i="80" s="1"/>
  <c r="AI60" i="80" s="1"/>
  <c r="U61" i="72" s="1"/>
  <c r="AG6" i="76"/>
  <c r="AF56" i="119"/>
  <c r="AG56" i="119" s="1"/>
  <c r="AH56" i="119" s="1"/>
  <c r="L55" i="72" s="1"/>
  <c r="AF53" i="119"/>
  <c r="AG53" i="119" s="1"/>
  <c r="AH53" i="119" s="1"/>
  <c r="L52" i="72" s="1"/>
  <c r="AG49" i="76"/>
  <c r="AH49" i="76" s="1"/>
  <c r="AI49" i="76" s="1"/>
  <c r="T50" i="72" s="1"/>
  <c r="AG27" i="80"/>
  <c r="AH27" i="80" s="1"/>
  <c r="AI27" i="80" s="1"/>
  <c r="U28" i="72" s="1"/>
  <c r="AG51" i="76"/>
  <c r="AH51" i="76" s="1"/>
  <c r="AI51" i="76" s="1"/>
  <c r="T52" i="72" s="1"/>
  <c r="AG48" i="46"/>
  <c r="AG51" i="46" s="1"/>
  <c r="Y15" i="72" s="1"/>
  <c r="Y76" i="72" s="1"/>
  <c r="AG65" i="76"/>
  <c r="AH65" i="76" s="1"/>
  <c r="AI65" i="76" s="1"/>
  <c r="T66" i="72" s="1"/>
  <c r="AF18" i="119"/>
  <c r="AG18" i="119" s="1"/>
  <c r="AH18" i="119" s="1"/>
  <c r="L17" i="72" s="1"/>
  <c r="AF65" i="119"/>
  <c r="AG65" i="119" s="1"/>
  <c r="AH65" i="119" s="1"/>
  <c r="L64" i="72" s="1"/>
  <c r="AF28" i="119"/>
  <c r="AG28" i="119" s="1"/>
  <c r="AH28" i="119" s="1"/>
  <c r="L27" i="72" s="1"/>
  <c r="AF38" i="119"/>
  <c r="AG38" i="119" s="1"/>
  <c r="AH38" i="119" s="1"/>
  <c r="L37" i="72" s="1"/>
  <c r="AF63" i="119"/>
  <c r="AG63" i="119" s="1"/>
  <c r="AH63" i="119" s="1"/>
  <c r="L62" i="72" s="1"/>
  <c r="AF44" i="119"/>
  <c r="AG44" i="119" s="1"/>
  <c r="AH44" i="119" s="1"/>
  <c r="L43" i="72" s="1"/>
  <c r="AF50" i="119"/>
  <c r="AG50" i="119" s="1"/>
  <c r="AH50" i="119" s="1"/>
  <c r="L49" i="72" s="1"/>
  <c r="AG31" i="76"/>
  <c r="AH31" i="76" s="1"/>
  <c r="AI31" i="76" s="1"/>
  <c r="T32" i="72" s="1"/>
  <c r="AF59" i="119"/>
  <c r="AG59" i="119" s="1"/>
  <c r="AH59" i="119" s="1"/>
  <c r="L58" i="72" s="1"/>
  <c r="AG59" i="76"/>
  <c r="AH59" i="76" s="1"/>
  <c r="AI59" i="76" s="1"/>
  <c r="T60" i="72" s="1"/>
  <c r="AG55" i="76"/>
  <c r="AH55" i="76" s="1"/>
  <c r="AI55" i="76" s="1"/>
  <c r="T56" i="72" s="1"/>
  <c r="O84" i="76"/>
  <c r="AH6" i="76" l="1"/>
  <c r="AF77" i="119"/>
  <c r="AG8" i="119"/>
  <c r="AH33" i="116"/>
  <c r="AG77" i="116"/>
  <c r="AC53" i="46"/>
  <c r="AN10" i="46"/>
  <c r="AN28" i="46"/>
  <c r="AG6" i="80"/>
  <c r="AJ9" i="31" l="1"/>
  <c r="AI70" i="31"/>
  <c r="AI72" i="31" s="1"/>
  <c r="AG77" i="119"/>
  <c r="AH8" i="119"/>
  <c r="AG75" i="80"/>
  <c r="AG79" i="80" s="1"/>
  <c r="AH6" i="80"/>
  <c r="AH77" i="116"/>
  <c r="I32" i="72"/>
  <c r="I76" i="72" s="1"/>
  <c r="AI6" i="76"/>
  <c r="AG9" i="76"/>
  <c r="AL17" i="46"/>
  <c r="AM17" i="46" l="1"/>
  <c r="AL18" i="46"/>
  <c r="AH9" i="76"/>
  <c r="AG75" i="76"/>
  <c r="AG79" i="76" s="1"/>
  <c r="AI6" i="80"/>
  <c r="AH75" i="80"/>
  <c r="AH79" i="80" s="1"/>
  <c r="L7" i="72"/>
  <c r="AH77" i="119"/>
  <c r="T7" i="72"/>
  <c r="AK9" i="31"/>
  <c r="AK70" i="31" s="1"/>
  <c r="AJ70" i="31"/>
  <c r="AJ72" i="31" s="1"/>
  <c r="AL29" i="46"/>
  <c r="T47" i="67"/>
  <c r="U47" i="67" s="1"/>
  <c r="V47" i="67" s="1"/>
  <c r="V46" i="72" s="1"/>
  <c r="W46" i="72" s="1"/>
  <c r="AM29" i="46" l="1"/>
  <c r="AL30" i="46"/>
  <c r="AL38" i="46"/>
  <c r="AL44" i="46" s="1"/>
  <c r="AK72" i="31"/>
  <c r="E42" i="72"/>
  <c r="E76" i="72" s="1"/>
  <c r="L76" i="72"/>
  <c r="U7" i="72"/>
  <c r="U76" i="72" s="1"/>
  <c r="AI75" i="80"/>
  <c r="AI79" i="80" s="1"/>
  <c r="AI9" i="76"/>
  <c r="AH75" i="76"/>
  <c r="AH79" i="76" s="1"/>
  <c r="AN17" i="46"/>
  <c r="AN18" i="46" s="1"/>
  <c r="AM18" i="46"/>
  <c r="T63" i="67"/>
  <c r="U63" i="67" s="1"/>
  <c r="V63" i="67" s="1"/>
  <c r="V62" i="72" s="1"/>
  <c r="W62" i="72" s="1"/>
  <c r="T72" i="67"/>
  <c r="U72" i="67" s="1"/>
  <c r="V72" i="67" s="1"/>
  <c r="V71" i="72" s="1"/>
  <c r="W71" i="72" s="1"/>
  <c r="D23" i="72" l="1"/>
  <c r="T10" i="72"/>
  <c r="T76" i="72" s="1"/>
  <c r="AI75" i="76"/>
  <c r="AI79" i="76" s="1"/>
  <c r="AN29" i="46"/>
  <c r="AN30" i="46" s="1"/>
  <c r="D15" i="72" s="1"/>
  <c r="AM30" i="46"/>
  <c r="AM38" i="46" s="1"/>
  <c r="T35" i="67"/>
  <c r="U35" i="67" s="1"/>
  <c r="V35" i="67" s="1"/>
  <c r="V34" i="72" s="1"/>
  <c r="W34" i="72" s="1"/>
  <c r="Q47" i="125"/>
  <c r="R47" i="125" s="1"/>
  <c r="S47" i="125" s="1"/>
  <c r="AJ47" i="125" s="1"/>
  <c r="Q47" i="113"/>
  <c r="R47" i="113" s="1"/>
  <c r="S47" i="113" s="1"/>
  <c r="AJ47" i="113" s="1"/>
  <c r="T23" i="67"/>
  <c r="U23" i="67" s="1"/>
  <c r="V23" i="67" s="1"/>
  <c r="V22" i="72" s="1"/>
  <c r="W22" i="72" s="1"/>
  <c r="T75" i="67"/>
  <c r="U75" i="67" s="1"/>
  <c r="V75" i="67" s="1"/>
  <c r="V74" i="72" s="1"/>
  <c r="W74" i="72" s="1"/>
  <c r="T62" i="67"/>
  <c r="U62" i="67" s="1"/>
  <c r="V62" i="67" s="1"/>
  <c r="V61" i="72" s="1"/>
  <c r="W61" i="72" s="1"/>
  <c r="T13" i="67"/>
  <c r="U13" i="67" s="1"/>
  <c r="V13" i="67" s="1"/>
  <c r="V12" i="72" s="1"/>
  <c r="W12" i="72" s="1"/>
  <c r="T64" i="67"/>
  <c r="U64" i="67" s="1"/>
  <c r="V64" i="67" s="1"/>
  <c r="V63" i="72" s="1"/>
  <c r="W63" i="72" s="1"/>
  <c r="T46" i="67"/>
  <c r="U46" i="67" s="1"/>
  <c r="V46" i="67" s="1"/>
  <c r="V45" i="72" s="1"/>
  <c r="W45" i="72" s="1"/>
  <c r="AN38" i="46" l="1"/>
  <c r="D76" i="72"/>
  <c r="Q35" i="125"/>
  <c r="R35" i="125" s="1"/>
  <c r="S35" i="125" s="1"/>
  <c r="AJ35" i="125" s="1"/>
  <c r="R58" i="80"/>
  <c r="S58" i="80" s="1"/>
  <c r="T58" i="80" s="1"/>
  <c r="AK58" i="80" s="1"/>
  <c r="Q60" i="113"/>
  <c r="R60" i="113" s="1"/>
  <c r="S60" i="113" s="1"/>
  <c r="AJ60" i="113" s="1"/>
  <c r="Q60" i="128"/>
  <c r="R60" i="128" s="1"/>
  <c r="S60" i="128" s="1"/>
  <c r="AJ60" i="128" s="1"/>
  <c r="Q60" i="131"/>
  <c r="R60" i="131" s="1"/>
  <c r="S60" i="131" s="1"/>
  <c r="AJ60" i="131" s="1"/>
  <c r="Q64" i="131"/>
  <c r="R64" i="131" s="1"/>
  <c r="S64" i="131" s="1"/>
  <c r="AJ64" i="131" s="1"/>
  <c r="Q64" i="128"/>
  <c r="R64" i="128" s="1"/>
  <c r="S64" i="128" s="1"/>
  <c r="AJ64" i="128" s="1"/>
  <c r="Q35" i="113"/>
  <c r="R35" i="113" s="1"/>
  <c r="S35" i="113" s="1"/>
  <c r="AJ35" i="113" s="1"/>
  <c r="Q35" i="128"/>
  <c r="R35" i="128" s="1"/>
  <c r="S35" i="128" s="1"/>
  <c r="AJ35" i="128" s="1"/>
  <c r="Q64" i="126"/>
  <c r="R64" i="126" s="1"/>
  <c r="S64" i="126" s="1"/>
  <c r="AJ64" i="126" s="1"/>
  <c r="R62" i="80"/>
  <c r="S62" i="80" s="1"/>
  <c r="T62" i="80" s="1"/>
  <c r="AK62" i="80" s="1"/>
  <c r="Q64" i="127"/>
  <c r="R64" i="127" s="1"/>
  <c r="S64" i="127" s="1"/>
  <c r="AJ64" i="127" s="1"/>
  <c r="Q47" i="119"/>
  <c r="R47" i="119" s="1"/>
  <c r="S47" i="119" s="1"/>
  <c r="AJ47" i="119" s="1"/>
  <c r="Q47" i="115"/>
  <c r="R47" i="115" s="1"/>
  <c r="S47" i="115" s="1"/>
  <c r="AJ47" i="115" s="1"/>
  <c r="J47" i="67"/>
  <c r="K47" i="67" s="1"/>
  <c r="L47" i="67" s="1"/>
  <c r="Z47" i="67" s="1"/>
  <c r="R57" i="76"/>
  <c r="S57" i="76" s="1"/>
  <c r="T57" i="76" s="1"/>
  <c r="AK57" i="76" s="1"/>
  <c r="T59" i="67"/>
  <c r="U59" i="67" s="1"/>
  <c r="V59" i="67" s="1"/>
  <c r="V58" i="72" s="1"/>
  <c r="W58" i="72" s="1"/>
  <c r="Q59" i="116"/>
  <c r="R59" i="116" s="1"/>
  <c r="S59" i="116" s="1"/>
  <c r="AJ59" i="116" s="1"/>
  <c r="Q59" i="126"/>
  <c r="R59" i="126" s="1"/>
  <c r="S59" i="126" s="1"/>
  <c r="AJ59" i="126" s="1"/>
  <c r="T60" i="67"/>
  <c r="U60" i="67" s="1"/>
  <c r="V60" i="67" s="1"/>
  <c r="V59" i="72" s="1"/>
  <c r="W59" i="72" s="1"/>
  <c r="Q59" i="125"/>
  <c r="R59" i="125" s="1"/>
  <c r="S59" i="125" s="1"/>
  <c r="AJ59" i="125" s="1"/>
  <c r="T65" i="67"/>
  <c r="U65" i="67" s="1"/>
  <c r="V65" i="67" s="1"/>
  <c r="V64" i="72" s="1"/>
  <c r="W64" i="72" s="1"/>
  <c r="T24" i="67"/>
  <c r="U24" i="67" s="1"/>
  <c r="V24" i="67" s="1"/>
  <c r="V23" i="72" s="1"/>
  <c r="W23" i="72" s="1"/>
  <c r="Q46" i="125"/>
  <c r="R46" i="125" s="1"/>
  <c r="S46" i="125" s="1"/>
  <c r="AJ46" i="125" s="1"/>
  <c r="Q47" i="127"/>
  <c r="R47" i="127" s="1"/>
  <c r="S47" i="127" s="1"/>
  <c r="AJ47" i="127" s="1"/>
  <c r="Q47" i="120"/>
  <c r="R47" i="120" s="1"/>
  <c r="S47" i="120" s="1"/>
  <c r="AJ47" i="120" s="1"/>
  <c r="Q47" i="116"/>
  <c r="R47" i="116" s="1"/>
  <c r="S47" i="116" s="1"/>
  <c r="AJ47" i="116" s="1"/>
  <c r="Q72" i="113"/>
  <c r="R72" i="113" s="1"/>
  <c r="S72" i="113" s="1"/>
  <c r="AJ72" i="113" s="1"/>
  <c r="Q47" i="118"/>
  <c r="R47" i="118" s="1"/>
  <c r="S47" i="118" s="1"/>
  <c r="AJ47" i="118" s="1"/>
  <c r="Q47" i="114"/>
  <c r="R47" i="114" s="1"/>
  <c r="S47" i="114" s="1"/>
  <c r="AJ47" i="114" s="1"/>
  <c r="R45" i="80"/>
  <c r="S45" i="80" s="1"/>
  <c r="T45" i="80" s="1"/>
  <c r="AK45" i="80" s="1"/>
  <c r="Q47" i="126"/>
  <c r="R47" i="126" s="1"/>
  <c r="S47" i="126" s="1"/>
  <c r="AJ47" i="126" s="1"/>
  <c r="Q47" i="128"/>
  <c r="R47" i="128" s="1"/>
  <c r="S47" i="128" s="1"/>
  <c r="AJ47" i="128" s="1"/>
  <c r="Q47" i="131"/>
  <c r="R47" i="131" s="1"/>
  <c r="S47" i="131" s="1"/>
  <c r="AJ47" i="131" s="1"/>
  <c r="R45" i="76"/>
  <c r="S45" i="76" s="1"/>
  <c r="T45" i="76" s="1"/>
  <c r="AK45" i="76" s="1"/>
  <c r="Q60" i="126" l="1"/>
  <c r="R60" i="126" s="1"/>
  <c r="S60" i="126" s="1"/>
  <c r="AJ60" i="126" s="1"/>
  <c r="Q64" i="120"/>
  <c r="R64" i="120" s="1"/>
  <c r="S64" i="120" s="1"/>
  <c r="AJ64" i="120" s="1"/>
  <c r="Q60" i="119"/>
  <c r="R60" i="119" s="1"/>
  <c r="S60" i="119" s="1"/>
  <c r="AJ60" i="119" s="1"/>
  <c r="Q64" i="125"/>
  <c r="R64" i="125" s="1"/>
  <c r="S64" i="125" s="1"/>
  <c r="AJ64" i="125" s="1"/>
  <c r="Q59" i="115"/>
  <c r="R59" i="115" s="1"/>
  <c r="S59" i="115" s="1"/>
  <c r="AJ59" i="115" s="1"/>
  <c r="Q47" i="117"/>
  <c r="R47" i="117" s="1"/>
  <c r="S47" i="117" s="1"/>
  <c r="AL47" i="117" s="1"/>
  <c r="Q64" i="116"/>
  <c r="R64" i="116" s="1"/>
  <c r="S64" i="116" s="1"/>
  <c r="AJ64" i="116" s="1"/>
  <c r="Q35" i="120"/>
  <c r="R35" i="120" s="1"/>
  <c r="S35" i="120" s="1"/>
  <c r="AJ35" i="120" s="1"/>
  <c r="Q64" i="115"/>
  <c r="R64" i="115" s="1"/>
  <c r="S64" i="115" s="1"/>
  <c r="AJ64" i="115" s="1"/>
  <c r="T26" i="67"/>
  <c r="U26" i="67" s="1"/>
  <c r="V26" i="67" s="1"/>
  <c r="V25" i="72" s="1"/>
  <c r="W25" i="72" s="1"/>
  <c r="Q59" i="117"/>
  <c r="R59" i="117" s="1"/>
  <c r="S59" i="117" s="1"/>
  <c r="AL59" i="117" s="1"/>
  <c r="Q59" i="118"/>
  <c r="R59" i="118" s="1"/>
  <c r="S59" i="118" s="1"/>
  <c r="AJ59" i="118" s="1"/>
  <c r="R57" i="80"/>
  <c r="S57" i="80" s="1"/>
  <c r="T57" i="80" s="1"/>
  <c r="AK57" i="80" s="1"/>
  <c r="T37" i="67"/>
  <c r="U37" i="67" s="1"/>
  <c r="V37" i="67" s="1"/>
  <c r="V36" i="72" s="1"/>
  <c r="W36" i="72" s="1"/>
  <c r="Q59" i="114"/>
  <c r="R59" i="114" s="1"/>
  <c r="S59" i="114" s="1"/>
  <c r="AJ59" i="114" s="1"/>
  <c r="Q59" i="127"/>
  <c r="R59" i="127" s="1"/>
  <c r="S59" i="127" s="1"/>
  <c r="AJ59" i="127" s="1"/>
  <c r="Q43" i="127"/>
  <c r="R43" i="127" s="1"/>
  <c r="S43" i="127" s="1"/>
  <c r="AJ43" i="127" s="1"/>
  <c r="Q43" i="113"/>
  <c r="R43" i="113" s="1"/>
  <c r="S43" i="113" s="1"/>
  <c r="AJ43" i="113" s="1"/>
  <c r="Q43" i="126"/>
  <c r="R43" i="126" s="1"/>
  <c r="S43" i="126" s="1"/>
  <c r="AJ43" i="126" s="1"/>
  <c r="Q54" i="125"/>
  <c r="R54" i="125" s="1"/>
  <c r="S54" i="125" s="1"/>
  <c r="AJ54" i="125" s="1"/>
  <c r="Q59" i="131"/>
  <c r="R59" i="131" s="1"/>
  <c r="S59" i="131" s="1"/>
  <c r="AJ59" i="131" s="1"/>
  <c r="Q54" i="120"/>
  <c r="R54" i="120" s="1"/>
  <c r="S54" i="120" s="1"/>
  <c r="AJ54" i="120" s="1"/>
  <c r="T57" i="67"/>
  <c r="U57" i="67" s="1"/>
  <c r="V57" i="67" s="1"/>
  <c r="V56" i="72" s="1"/>
  <c r="W56" i="72" s="1"/>
  <c r="Q54" i="128"/>
  <c r="R54" i="128" s="1"/>
  <c r="S54" i="128" s="1"/>
  <c r="AJ54" i="128" s="1"/>
  <c r="Q43" i="125"/>
  <c r="R43" i="125" s="1"/>
  <c r="S43" i="125" s="1"/>
  <c r="AJ43" i="125" s="1"/>
  <c r="Q43" i="128"/>
  <c r="R43" i="128" s="1"/>
  <c r="S43" i="128" s="1"/>
  <c r="AJ43" i="128" s="1"/>
  <c r="R52" i="76"/>
  <c r="S52" i="76" s="1"/>
  <c r="T52" i="76" s="1"/>
  <c r="AK52" i="76" s="1"/>
  <c r="Q59" i="128"/>
  <c r="R59" i="128" s="1"/>
  <c r="S59" i="128" s="1"/>
  <c r="AJ59" i="128" s="1"/>
  <c r="J54" i="67"/>
  <c r="K54" i="67" s="1"/>
  <c r="L54" i="67" s="1"/>
  <c r="T29" i="67"/>
  <c r="U29" i="67" s="1"/>
  <c r="V29" i="67" s="1"/>
  <c r="V28" i="72" s="1"/>
  <c r="W28" i="72" s="1"/>
  <c r="T73" i="67"/>
  <c r="U73" i="67" s="1"/>
  <c r="V73" i="67" s="1"/>
  <c r="V72" i="72" s="1"/>
  <c r="W72" i="72" s="1"/>
  <c r="T52" i="67"/>
  <c r="U52" i="67" s="1"/>
  <c r="V52" i="67" s="1"/>
  <c r="V51" i="72" s="1"/>
  <c r="W51" i="72" s="1"/>
  <c r="T45" i="67"/>
  <c r="U45" i="67" s="1"/>
  <c r="V45" i="67" s="1"/>
  <c r="V44" i="72" s="1"/>
  <c r="W44" i="72" s="1"/>
  <c r="T31" i="67"/>
  <c r="U31" i="67" s="1"/>
  <c r="V31" i="67" s="1"/>
  <c r="V30" i="72" s="1"/>
  <c r="W30" i="72" s="1"/>
  <c r="T21" i="67"/>
  <c r="U21" i="67" s="1"/>
  <c r="V21" i="67" s="1"/>
  <c r="V20" i="72" s="1"/>
  <c r="W20" i="72" s="1"/>
  <c r="T53" i="67"/>
  <c r="U53" i="67" s="1"/>
  <c r="V53" i="67" s="1"/>
  <c r="V52" i="72" s="1"/>
  <c r="W52" i="72" s="1"/>
  <c r="T11" i="67"/>
  <c r="U11" i="67" s="1"/>
  <c r="V11" i="67" s="1"/>
  <c r="V10" i="72" s="1"/>
  <c r="W10" i="72" s="1"/>
  <c r="T67" i="67"/>
  <c r="U67" i="67" s="1"/>
  <c r="V67" i="67" s="1"/>
  <c r="V66" i="72" s="1"/>
  <c r="W66" i="72" s="1"/>
  <c r="T41" i="67"/>
  <c r="U41" i="67" s="1"/>
  <c r="V41" i="67" s="1"/>
  <c r="V40" i="72" s="1"/>
  <c r="W40" i="72" s="1"/>
  <c r="T56" i="67"/>
  <c r="U56" i="67" s="1"/>
  <c r="V56" i="67" s="1"/>
  <c r="V55" i="72" s="1"/>
  <c r="W55" i="72" s="1"/>
  <c r="T70" i="67"/>
  <c r="U70" i="67" s="1"/>
  <c r="V70" i="67" s="1"/>
  <c r="V69" i="72" s="1"/>
  <c r="W69" i="72" s="1"/>
  <c r="T69" i="67"/>
  <c r="U69" i="67" s="1"/>
  <c r="V69" i="67" s="1"/>
  <c r="V68" i="72" s="1"/>
  <c r="W68" i="72" s="1"/>
  <c r="T14" i="67"/>
  <c r="U14" i="67" s="1"/>
  <c r="V14" i="67" s="1"/>
  <c r="V13" i="72" s="1"/>
  <c r="W13" i="72" s="1"/>
  <c r="T39" i="67"/>
  <c r="U39" i="67" s="1"/>
  <c r="V39" i="67" s="1"/>
  <c r="V38" i="72" s="1"/>
  <c r="W38" i="72" s="1"/>
  <c r="Q65" i="125"/>
  <c r="R65" i="125" s="1"/>
  <c r="S65" i="125" s="1"/>
  <c r="AJ65" i="125" s="1"/>
  <c r="T30" i="67"/>
  <c r="U30" i="67" s="1"/>
  <c r="V30" i="67" s="1"/>
  <c r="V29" i="72" s="1"/>
  <c r="W29" i="72" s="1"/>
  <c r="T10" i="67"/>
  <c r="U10" i="67" s="1"/>
  <c r="V10" i="67" s="1"/>
  <c r="V9" i="72" s="1"/>
  <c r="W9" i="72" s="1"/>
  <c r="T33" i="67"/>
  <c r="U33" i="67" s="1"/>
  <c r="V33" i="67" s="1"/>
  <c r="V32" i="72" s="1"/>
  <c r="W32" i="72" s="1"/>
  <c r="T20" i="67"/>
  <c r="U20" i="67" s="1"/>
  <c r="V20" i="67" s="1"/>
  <c r="V19" i="72" s="1"/>
  <c r="W19" i="72" s="1"/>
  <c r="T40" i="67"/>
  <c r="U40" i="67" s="1"/>
  <c r="V40" i="67" s="1"/>
  <c r="V39" i="72" s="1"/>
  <c r="W39" i="72" s="1"/>
  <c r="Q70" i="131"/>
  <c r="R70" i="131" s="1"/>
  <c r="S70" i="131" s="1"/>
  <c r="AJ70" i="131" s="1"/>
  <c r="T44" i="67"/>
  <c r="U44" i="67" s="1"/>
  <c r="V44" i="67" s="1"/>
  <c r="V43" i="72" s="1"/>
  <c r="W43" i="72" s="1"/>
  <c r="T32" i="67"/>
  <c r="U32" i="67" s="1"/>
  <c r="V32" i="67" s="1"/>
  <c r="V31" i="72" s="1"/>
  <c r="W31" i="72" s="1"/>
  <c r="T49" i="67"/>
  <c r="U49" i="67" s="1"/>
  <c r="V49" i="67" s="1"/>
  <c r="V48" i="72" s="1"/>
  <c r="W48" i="72" s="1"/>
  <c r="T58" i="67"/>
  <c r="U58" i="67" s="1"/>
  <c r="V58" i="67" s="1"/>
  <c r="V57" i="72" s="1"/>
  <c r="W57" i="72" s="1"/>
  <c r="Q50" i="126"/>
  <c r="R50" i="126" s="1"/>
  <c r="S50" i="126" s="1"/>
  <c r="AJ50" i="126" s="1"/>
  <c r="Q50" i="125"/>
  <c r="R50" i="125" s="1"/>
  <c r="S50" i="125" s="1"/>
  <c r="AJ50" i="125" s="1"/>
  <c r="T74" i="67"/>
  <c r="U74" i="67" s="1"/>
  <c r="V74" i="67" s="1"/>
  <c r="V73" i="72" s="1"/>
  <c r="W73" i="72" s="1"/>
  <c r="T43" i="67"/>
  <c r="U43" i="67" s="1"/>
  <c r="V43" i="67" s="1"/>
  <c r="V42" i="72" s="1"/>
  <c r="W42" i="72" s="1"/>
  <c r="T18" i="67"/>
  <c r="U18" i="67" s="1"/>
  <c r="V18" i="67" s="1"/>
  <c r="V17" i="72" s="1"/>
  <c r="W17" i="72" s="1"/>
  <c r="T27" i="67"/>
  <c r="U27" i="67" s="1"/>
  <c r="V27" i="67" s="1"/>
  <c r="V26" i="72" s="1"/>
  <c r="W26" i="72" s="1"/>
  <c r="T34" i="67"/>
  <c r="U34" i="67" s="1"/>
  <c r="V34" i="67" s="1"/>
  <c r="V33" i="72" s="1"/>
  <c r="W33" i="72" s="1"/>
  <c r="T71" i="67"/>
  <c r="U71" i="67" s="1"/>
  <c r="V71" i="67" s="1"/>
  <c r="V70" i="72" s="1"/>
  <c r="W70" i="72" s="1"/>
  <c r="T28" i="67"/>
  <c r="U28" i="67" s="1"/>
  <c r="V28" i="67" s="1"/>
  <c r="V27" i="72" s="1"/>
  <c r="W27" i="72" s="1"/>
  <c r="T42" i="67"/>
  <c r="U42" i="67" s="1"/>
  <c r="V42" i="67" s="1"/>
  <c r="V41" i="72" s="1"/>
  <c r="W41" i="72" s="1"/>
  <c r="T17" i="67"/>
  <c r="U17" i="67" s="1"/>
  <c r="V17" i="67" s="1"/>
  <c r="V16" i="72" s="1"/>
  <c r="W16" i="72" s="1"/>
  <c r="Q71" i="131"/>
  <c r="R71" i="131" s="1"/>
  <c r="S71" i="131" s="1"/>
  <c r="AJ71" i="131" s="1"/>
  <c r="R69" i="80"/>
  <c r="S69" i="80" s="1"/>
  <c r="T69" i="80" s="1"/>
  <c r="AK69" i="80" s="1"/>
  <c r="T66" i="67"/>
  <c r="U66" i="67" s="1"/>
  <c r="V66" i="67" s="1"/>
  <c r="V65" i="72" s="1"/>
  <c r="W65" i="72" s="1"/>
  <c r="T36" i="67"/>
  <c r="U36" i="67" s="1"/>
  <c r="V36" i="67" s="1"/>
  <c r="V35" i="72" s="1"/>
  <c r="W35" i="72" s="1"/>
  <c r="Q41" i="126"/>
  <c r="R41" i="126" s="1"/>
  <c r="S41" i="126" s="1"/>
  <c r="AJ41" i="126" s="1"/>
  <c r="Q41" i="128"/>
  <c r="R41" i="128" s="1"/>
  <c r="S41" i="128" s="1"/>
  <c r="AJ41" i="128" s="1"/>
  <c r="T25" i="67"/>
  <c r="U25" i="67" s="1"/>
  <c r="V25" i="67" s="1"/>
  <c r="V24" i="72" s="1"/>
  <c r="W24" i="72" s="1"/>
  <c r="T22" i="67"/>
  <c r="U22" i="67" s="1"/>
  <c r="V22" i="67" s="1"/>
  <c r="V21" i="72" s="1"/>
  <c r="W21" i="72" s="1"/>
  <c r="T76" i="67"/>
  <c r="U76" i="67" s="1"/>
  <c r="V76" i="67" s="1"/>
  <c r="V75" i="72" s="1"/>
  <c r="W75" i="72" s="1"/>
  <c r="T38" i="67"/>
  <c r="U38" i="67" s="1"/>
  <c r="V38" i="67" s="1"/>
  <c r="V37" i="72" s="1"/>
  <c r="W37" i="72" s="1"/>
  <c r="T68" i="67"/>
  <c r="U68" i="67" s="1"/>
  <c r="V68" i="67" s="1"/>
  <c r="V67" i="72" s="1"/>
  <c r="W67" i="72" s="1"/>
  <c r="T50" i="67"/>
  <c r="U50" i="67" s="1"/>
  <c r="V50" i="67" s="1"/>
  <c r="V49" i="72" s="1"/>
  <c r="W49" i="72" s="1"/>
  <c r="T55" i="67"/>
  <c r="U55" i="67" s="1"/>
  <c r="V55" i="67" s="1"/>
  <c r="V54" i="72" s="1"/>
  <c r="W54" i="72" s="1"/>
  <c r="T9" i="67"/>
  <c r="U9" i="67" s="1"/>
  <c r="V9" i="67" s="1"/>
  <c r="V8" i="72" s="1"/>
  <c r="W8" i="72" s="1"/>
  <c r="T48" i="67"/>
  <c r="U48" i="67" s="1"/>
  <c r="V48" i="67" s="1"/>
  <c r="V47" i="72" s="1"/>
  <c r="W47" i="72" s="1"/>
  <c r="T61" i="67"/>
  <c r="U61" i="67" s="1"/>
  <c r="V61" i="67" s="1"/>
  <c r="V60" i="72" s="1"/>
  <c r="W60" i="72" s="1"/>
  <c r="T51" i="67"/>
  <c r="U51" i="67" s="1"/>
  <c r="V51" i="67" s="1"/>
  <c r="V50" i="72" s="1"/>
  <c r="W50" i="72" s="1"/>
  <c r="T19" i="67"/>
  <c r="U19" i="67" s="1"/>
  <c r="V19" i="67" s="1"/>
  <c r="V18" i="72" s="1"/>
  <c r="W18" i="72" s="1"/>
  <c r="T15" i="67"/>
  <c r="U15" i="67" s="1"/>
  <c r="V15" i="67" s="1"/>
  <c r="V14" i="72" s="1"/>
  <c r="W14" i="72" s="1"/>
  <c r="Q32" i="128"/>
  <c r="R32" i="128" s="1"/>
  <c r="S32" i="128" s="1"/>
  <c r="AJ32" i="128" s="1"/>
  <c r="Q32" i="125"/>
  <c r="R32" i="125" s="1"/>
  <c r="S32" i="125" s="1"/>
  <c r="AJ32" i="125" s="1"/>
  <c r="T54" i="67"/>
  <c r="U54" i="67" s="1"/>
  <c r="V54" i="67" s="1"/>
  <c r="V53" i="72" s="1"/>
  <c r="W53" i="72" s="1"/>
  <c r="T12" i="67"/>
  <c r="U12" i="67" s="1"/>
  <c r="V12" i="67" s="1"/>
  <c r="V11" i="72" s="1"/>
  <c r="W11" i="72" s="1"/>
  <c r="Q24" i="125"/>
  <c r="R24" i="125" s="1"/>
  <c r="S24" i="125" s="1"/>
  <c r="AJ24" i="125" s="1"/>
  <c r="Q46" i="128"/>
  <c r="R46" i="128" s="1"/>
  <c r="S46" i="128" s="1"/>
  <c r="AJ46" i="128" s="1"/>
  <c r="Q23" i="128"/>
  <c r="R23" i="128" s="1"/>
  <c r="S23" i="128" s="1"/>
  <c r="AJ23" i="128" s="1"/>
  <c r="Q23" i="131"/>
  <c r="R23" i="131" s="1"/>
  <c r="S23" i="131" s="1"/>
  <c r="AJ23" i="131" s="1"/>
  <c r="Q23" i="125"/>
  <c r="R23" i="125" s="1"/>
  <c r="S23" i="125" s="1"/>
  <c r="AJ23" i="125" s="1"/>
  <c r="Q23" i="126"/>
  <c r="R23" i="126" s="1"/>
  <c r="S23" i="126" s="1"/>
  <c r="AJ23" i="126" s="1"/>
  <c r="Q23" i="113"/>
  <c r="R23" i="113" s="1"/>
  <c r="S23" i="113" s="1"/>
  <c r="AJ23" i="113" s="1"/>
  <c r="Q23" i="127"/>
  <c r="R23" i="127" s="1"/>
  <c r="S23" i="127" s="1"/>
  <c r="AJ23" i="127" s="1"/>
  <c r="Q64" i="114"/>
  <c r="R64" i="114" s="1"/>
  <c r="S64" i="114" s="1"/>
  <c r="AJ64" i="114" s="1"/>
  <c r="Q75" i="113"/>
  <c r="R75" i="113" s="1"/>
  <c r="S75" i="113" s="1"/>
  <c r="AJ75" i="113" s="1"/>
  <c r="R73" i="80"/>
  <c r="S73" i="80" s="1"/>
  <c r="T73" i="80" s="1"/>
  <c r="AK73" i="80" s="1"/>
  <c r="R11" i="76"/>
  <c r="S11" i="76" s="1"/>
  <c r="T11" i="76" s="1"/>
  <c r="AK11" i="76" s="1"/>
  <c r="Q13" i="127"/>
  <c r="R13" i="127" s="1"/>
  <c r="S13" i="127" s="1"/>
  <c r="AJ13" i="127" s="1"/>
  <c r="Q13" i="125"/>
  <c r="R13" i="125" s="1"/>
  <c r="S13" i="125" s="1"/>
  <c r="AJ13" i="125" s="1"/>
  <c r="Q62" i="127"/>
  <c r="R62" i="127" s="1"/>
  <c r="S62" i="127" s="1"/>
  <c r="AJ62" i="127" s="1"/>
  <c r="Q62" i="125"/>
  <c r="R62" i="125" s="1"/>
  <c r="S62" i="125" s="1"/>
  <c r="AJ62" i="125" s="1"/>
  <c r="Q64" i="117"/>
  <c r="R64" i="117" s="1"/>
  <c r="S64" i="117" s="1"/>
  <c r="AL64" i="117" s="1"/>
  <c r="J64" i="67"/>
  <c r="K64" i="67" s="1"/>
  <c r="L64" i="67" s="1"/>
  <c r="Z64" i="67" s="1"/>
  <c r="Q75" i="131"/>
  <c r="R75" i="131" s="1"/>
  <c r="S75" i="131" s="1"/>
  <c r="AJ75" i="131" s="1"/>
  <c r="Q75" i="125"/>
  <c r="R75" i="125" s="1"/>
  <c r="S75" i="125" s="1"/>
  <c r="AJ75" i="125" s="1"/>
  <c r="Q46" i="113"/>
  <c r="R46" i="113" s="1"/>
  <c r="S46" i="113" s="1"/>
  <c r="AJ46" i="113" s="1"/>
  <c r="Q13" i="113"/>
  <c r="R13" i="113" s="1"/>
  <c r="S13" i="113" s="1"/>
  <c r="AJ13" i="113" s="1"/>
  <c r="Q62" i="131"/>
  <c r="R62" i="131" s="1"/>
  <c r="S62" i="131" s="1"/>
  <c r="AJ62" i="131" s="1"/>
  <c r="R62" i="76"/>
  <c r="S62" i="76" s="1"/>
  <c r="T62" i="76" s="1"/>
  <c r="AK62" i="76" s="1"/>
  <c r="Q75" i="128"/>
  <c r="R75" i="128" s="1"/>
  <c r="S75" i="128" s="1"/>
  <c r="AJ75" i="128" s="1"/>
  <c r="Q46" i="127"/>
  <c r="R46" i="127" s="1"/>
  <c r="S46" i="127" s="1"/>
  <c r="AJ46" i="127" s="1"/>
  <c r="Q46" i="126"/>
  <c r="R46" i="126" s="1"/>
  <c r="S46" i="126" s="1"/>
  <c r="AJ46" i="126" s="1"/>
  <c r="Q13" i="126"/>
  <c r="R13" i="126" s="1"/>
  <c r="S13" i="126" s="1"/>
  <c r="AJ13" i="126" s="1"/>
  <c r="R11" i="80"/>
  <c r="S11" i="80" s="1"/>
  <c r="T11" i="80" s="1"/>
  <c r="AK11" i="80" s="1"/>
  <c r="Q13" i="128"/>
  <c r="R13" i="128" s="1"/>
  <c r="S13" i="128" s="1"/>
  <c r="AJ13" i="128" s="1"/>
  <c r="Q62" i="126"/>
  <c r="R62" i="126" s="1"/>
  <c r="S62" i="126" s="1"/>
  <c r="AJ62" i="126" s="1"/>
  <c r="Q62" i="128"/>
  <c r="R62" i="128" s="1"/>
  <c r="S62" i="128" s="1"/>
  <c r="AJ62" i="128" s="1"/>
  <c r="Q62" i="113"/>
  <c r="R62" i="113" s="1"/>
  <c r="S62" i="113" s="1"/>
  <c r="AJ62" i="113" s="1"/>
  <c r="Q75" i="126"/>
  <c r="R75" i="126" s="1"/>
  <c r="S75" i="126" s="1"/>
  <c r="AJ75" i="126" s="1"/>
  <c r="Q13" i="131"/>
  <c r="R13" i="131" s="1"/>
  <c r="S13" i="131" s="1"/>
  <c r="AJ13" i="131" s="1"/>
  <c r="Q64" i="118"/>
  <c r="R64" i="118" s="1"/>
  <c r="S64" i="118" s="1"/>
  <c r="AJ64" i="118" s="1"/>
  <c r="Q72" i="125"/>
  <c r="R72" i="125" s="1"/>
  <c r="S72" i="125" s="1"/>
  <c r="AJ72" i="125" s="1"/>
  <c r="R58" i="76"/>
  <c r="S58" i="76" s="1"/>
  <c r="T58" i="76" s="1"/>
  <c r="AK58" i="76" s="1"/>
  <c r="Q60" i="127"/>
  <c r="R60" i="127" s="1"/>
  <c r="S60" i="127" s="1"/>
  <c r="AJ60" i="127" s="1"/>
  <c r="Q72" i="118"/>
  <c r="R72" i="118" s="1"/>
  <c r="S72" i="118" s="1"/>
  <c r="AJ72" i="118" s="1"/>
  <c r="Q72" i="116"/>
  <c r="R72" i="116" s="1"/>
  <c r="S72" i="116" s="1"/>
  <c r="AJ72" i="116" s="1"/>
  <c r="Q35" i="131"/>
  <c r="R35" i="131" s="1"/>
  <c r="S35" i="131" s="1"/>
  <c r="AJ35" i="131" s="1"/>
  <c r="R70" i="80"/>
  <c r="S70" i="80" s="1"/>
  <c r="T70" i="80" s="1"/>
  <c r="AK70" i="80" s="1"/>
  <c r="Q72" i="128"/>
  <c r="R72" i="128" s="1"/>
  <c r="S72" i="128" s="1"/>
  <c r="AJ72" i="128" s="1"/>
  <c r="Q60" i="114"/>
  <c r="R60" i="114" s="1"/>
  <c r="S60" i="114" s="1"/>
  <c r="AJ60" i="114" s="1"/>
  <c r="Q72" i="119"/>
  <c r="R72" i="119" s="1"/>
  <c r="S72" i="119" s="1"/>
  <c r="AJ72" i="119" s="1"/>
  <c r="Q60" i="118"/>
  <c r="R60" i="118" s="1"/>
  <c r="S60" i="118" s="1"/>
  <c r="AJ60" i="118" s="1"/>
  <c r="Q35" i="114"/>
  <c r="R35" i="114" s="1"/>
  <c r="S35" i="114" s="1"/>
  <c r="AJ35" i="114" s="1"/>
  <c r="Q60" i="115"/>
  <c r="R60" i="115" s="1"/>
  <c r="S60" i="115" s="1"/>
  <c r="AJ60" i="115" s="1"/>
  <c r="Q72" i="117"/>
  <c r="R72" i="117" s="1"/>
  <c r="S72" i="117" s="1"/>
  <c r="AL72" i="117" s="1"/>
  <c r="J72" i="67"/>
  <c r="K72" i="67" s="1"/>
  <c r="L72" i="67" s="1"/>
  <c r="Z72" i="67" s="1"/>
  <c r="Q72" i="127"/>
  <c r="R72" i="127" s="1"/>
  <c r="S72" i="127" s="1"/>
  <c r="AJ72" i="127" s="1"/>
  <c r="Q72" i="120"/>
  <c r="R72" i="120" s="1"/>
  <c r="S72" i="120" s="1"/>
  <c r="AJ72" i="120" s="1"/>
  <c r="Q35" i="115"/>
  <c r="R35" i="115" s="1"/>
  <c r="S35" i="115" s="1"/>
  <c r="AJ35" i="115" s="1"/>
  <c r="Q35" i="116"/>
  <c r="R35" i="116" s="1"/>
  <c r="S35" i="116" s="1"/>
  <c r="AJ35" i="116" s="1"/>
  <c r="Q35" i="117"/>
  <c r="R35" i="117" s="1"/>
  <c r="S35" i="117" s="1"/>
  <c r="AL35" i="117" s="1"/>
  <c r="Q60" i="120"/>
  <c r="R60" i="120" s="1"/>
  <c r="S60" i="120" s="1"/>
  <c r="AJ60" i="120" s="1"/>
  <c r="Q72" i="126"/>
  <c r="R72" i="126" s="1"/>
  <c r="S72" i="126" s="1"/>
  <c r="AJ72" i="126" s="1"/>
  <c r="R33" i="76"/>
  <c r="S33" i="76" s="1"/>
  <c r="T33" i="76" s="1"/>
  <c r="AK33" i="76" s="1"/>
  <c r="Q35" i="119"/>
  <c r="R35" i="119" s="1"/>
  <c r="S35" i="119" s="1"/>
  <c r="AJ35" i="119" s="1"/>
  <c r="J60" i="67"/>
  <c r="K60" i="67" s="1"/>
  <c r="L60" i="67" s="1"/>
  <c r="Z60" i="67" s="1"/>
  <c r="Q35" i="126"/>
  <c r="R35" i="126" s="1"/>
  <c r="S35" i="126" s="1"/>
  <c r="AJ35" i="126" s="1"/>
  <c r="Q35" i="127"/>
  <c r="R35" i="127" s="1"/>
  <c r="S35" i="127" s="1"/>
  <c r="AJ35" i="127" s="1"/>
  <c r="Q72" i="115"/>
  <c r="R72" i="115" s="1"/>
  <c r="S72" i="115" s="1"/>
  <c r="AJ72" i="115" s="1"/>
  <c r="R70" i="76"/>
  <c r="S70" i="76" s="1"/>
  <c r="T70" i="76" s="1"/>
  <c r="AK70" i="76" s="1"/>
  <c r="R33" i="80"/>
  <c r="S33" i="80" s="1"/>
  <c r="T33" i="80" s="1"/>
  <c r="AK33" i="80" s="1"/>
  <c r="Q60" i="117"/>
  <c r="R60" i="117" s="1"/>
  <c r="S60" i="117" s="1"/>
  <c r="AL60" i="117" s="1"/>
  <c r="Q60" i="125"/>
  <c r="R60" i="125" s="1"/>
  <c r="S60" i="125" s="1"/>
  <c r="AJ60" i="125" s="1"/>
  <c r="Q60" i="116"/>
  <c r="R60" i="116" s="1"/>
  <c r="S60" i="116" s="1"/>
  <c r="AJ60" i="116" s="1"/>
  <c r="Q72" i="114"/>
  <c r="R72" i="114" s="1"/>
  <c r="S72" i="114" s="1"/>
  <c r="AJ72" i="114" s="1"/>
  <c r="Q35" i="118"/>
  <c r="R35" i="118" s="1"/>
  <c r="S35" i="118" s="1"/>
  <c r="AJ35" i="118" s="1"/>
  <c r="Q72" i="131"/>
  <c r="R72" i="131" s="1"/>
  <c r="S72" i="131" s="1"/>
  <c r="AJ72" i="131" s="1"/>
  <c r="J35" i="67"/>
  <c r="K35" i="67" s="1"/>
  <c r="L35" i="67" s="1"/>
  <c r="Z35" i="67" s="1"/>
  <c r="R52" i="80"/>
  <c r="S52" i="80" s="1"/>
  <c r="T52" i="80" s="1"/>
  <c r="AK52" i="80" s="1"/>
  <c r="Z54" i="67" l="1"/>
  <c r="Q64" i="113"/>
  <c r="R64" i="113" s="1"/>
  <c r="S64" i="113" s="1"/>
  <c r="AJ64" i="113" s="1"/>
  <c r="Q59" i="113"/>
  <c r="R59" i="113" s="1"/>
  <c r="S59" i="113" s="1"/>
  <c r="AJ59" i="113" s="1"/>
  <c r="Q43" i="131"/>
  <c r="R43" i="131" s="1"/>
  <c r="S43" i="131" s="1"/>
  <c r="AJ43" i="131" s="1"/>
  <c r="Q64" i="119"/>
  <c r="R64" i="119" s="1"/>
  <c r="S64" i="119" s="1"/>
  <c r="AJ64" i="119" s="1"/>
  <c r="R39" i="80"/>
  <c r="S39" i="80" s="1"/>
  <c r="T39" i="80" s="1"/>
  <c r="AK39" i="80" s="1"/>
  <c r="Q14" i="113"/>
  <c r="R14" i="113" s="1"/>
  <c r="S14" i="113" s="1"/>
  <c r="AJ14" i="113" s="1"/>
  <c r="Q14" i="126"/>
  <c r="R14" i="126" s="1"/>
  <c r="S14" i="126" s="1"/>
  <c r="AJ14" i="126" s="1"/>
  <c r="Q71" i="125"/>
  <c r="R71" i="125" s="1"/>
  <c r="S71" i="125" s="1"/>
  <c r="AJ71" i="125" s="1"/>
  <c r="Q54" i="114"/>
  <c r="R54" i="114" s="1"/>
  <c r="S54" i="114" s="1"/>
  <c r="AJ54" i="114" s="1"/>
  <c r="Q43" i="117"/>
  <c r="R43" i="117" s="1"/>
  <c r="S43" i="117" s="1"/>
  <c r="AL43" i="117" s="1"/>
  <c r="Q54" i="127"/>
  <c r="R54" i="127" s="1"/>
  <c r="S54" i="127" s="1"/>
  <c r="AJ54" i="127" s="1"/>
  <c r="AB47" i="33"/>
  <c r="AC47" i="33" s="1"/>
  <c r="AD47" i="33" s="1"/>
  <c r="C46" i="72" s="1"/>
  <c r="X46" i="72" s="1"/>
  <c r="AR46" i="72" s="1"/>
  <c r="Q14" i="125"/>
  <c r="R14" i="125" s="1"/>
  <c r="S14" i="125" s="1"/>
  <c r="AJ14" i="125" s="1"/>
  <c r="Q77" i="114"/>
  <c r="R77" i="114" s="1"/>
  <c r="S77" i="114" s="1"/>
  <c r="AJ77" i="114" s="1"/>
  <c r="Q63" i="113"/>
  <c r="R63" i="113" s="1"/>
  <c r="S63" i="113" s="1"/>
  <c r="AJ63" i="113" s="1"/>
  <c r="Q63" i="128"/>
  <c r="R63" i="128" s="1"/>
  <c r="S63" i="128" s="1"/>
  <c r="AJ63" i="128" s="1"/>
  <c r="Q63" i="125"/>
  <c r="R63" i="125" s="1"/>
  <c r="S63" i="125" s="1"/>
  <c r="AJ63" i="125" s="1"/>
  <c r="Q59" i="120"/>
  <c r="R59" i="120" s="1"/>
  <c r="S59" i="120" s="1"/>
  <c r="AJ59" i="120" s="1"/>
  <c r="Q63" i="127"/>
  <c r="R63" i="127" s="1"/>
  <c r="S63" i="127" s="1"/>
  <c r="AJ63" i="127" s="1"/>
  <c r="Q63" i="126"/>
  <c r="R63" i="126" s="1"/>
  <c r="S63" i="126" s="1"/>
  <c r="AJ63" i="126" s="1"/>
  <c r="Q54" i="117"/>
  <c r="R54" i="117" s="1"/>
  <c r="S54" i="117" s="1"/>
  <c r="AL54" i="117" s="1"/>
  <c r="Q28" i="125"/>
  <c r="R28" i="125" s="1"/>
  <c r="S28" i="125" s="1"/>
  <c r="AJ28" i="125" s="1"/>
  <c r="Q63" i="131"/>
  <c r="R63" i="131" s="1"/>
  <c r="S63" i="131" s="1"/>
  <c r="AJ63" i="131" s="1"/>
  <c r="Q59" i="119"/>
  <c r="R59" i="119" s="1"/>
  <c r="S59" i="119" s="1"/>
  <c r="AJ59" i="119" s="1"/>
  <c r="Q50" i="131"/>
  <c r="R50" i="131" s="1"/>
  <c r="S50" i="131" s="1"/>
  <c r="AJ50" i="131" s="1"/>
  <c r="Q54" i="126"/>
  <c r="R54" i="126" s="1"/>
  <c r="S54" i="126" s="1"/>
  <c r="AJ54" i="126" s="1"/>
  <c r="Q24" i="128"/>
  <c r="R24" i="128" s="1"/>
  <c r="S24" i="128" s="1"/>
  <c r="AJ24" i="128" s="1"/>
  <c r="Q43" i="120"/>
  <c r="R43" i="120" s="1"/>
  <c r="S43" i="120" s="1"/>
  <c r="AJ43" i="120" s="1"/>
  <c r="Q20" i="131"/>
  <c r="R20" i="131" s="1"/>
  <c r="S20" i="131" s="1"/>
  <c r="AJ20" i="131" s="1"/>
  <c r="Q28" i="113"/>
  <c r="R28" i="113" s="1"/>
  <c r="S28" i="113" s="1"/>
  <c r="AJ28" i="113" s="1"/>
  <c r="Q28" i="128"/>
  <c r="R28" i="128" s="1"/>
  <c r="S28" i="128" s="1"/>
  <c r="AJ28" i="128" s="1"/>
  <c r="Q40" i="126"/>
  <c r="R40" i="126" s="1"/>
  <c r="S40" i="126" s="1"/>
  <c r="AJ40" i="126" s="1"/>
  <c r="Q70" i="128"/>
  <c r="R70" i="128" s="1"/>
  <c r="S70" i="128" s="1"/>
  <c r="AJ70" i="128" s="1"/>
  <c r="Q65" i="126"/>
  <c r="R65" i="126" s="1"/>
  <c r="S65" i="126" s="1"/>
  <c r="AJ65" i="126" s="1"/>
  <c r="Q32" i="131"/>
  <c r="R32" i="131" s="1"/>
  <c r="S32" i="131" s="1"/>
  <c r="AJ32" i="131" s="1"/>
  <c r="Q54" i="119"/>
  <c r="R54" i="119" s="1"/>
  <c r="S54" i="119" s="1"/>
  <c r="AJ54" i="119" s="1"/>
  <c r="Q40" i="128"/>
  <c r="R40" i="128" s="1"/>
  <c r="S40" i="128" s="1"/>
  <c r="AJ40" i="128" s="1"/>
  <c r="Q40" i="127"/>
  <c r="R40" i="127" s="1"/>
  <c r="S40" i="127" s="1"/>
  <c r="AJ40" i="127" s="1"/>
  <c r="Q54" i="116"/>
  <c r="R54" i="116" s="1"/>
  <c r="S54" i="116" s="1"/>
  <c r="AJ54" i="116" s="1"/>
  <c r="Q15" i="126"/>
  <c r="R15" i="126" s="1"/>
  <c r="S15" i="126" s="1"/>
  <c r="AJ15" i="126" s="1"/>
  <c r="Q54" i="131"/>
  <c r="R54" i="131" s="1"/>
  <c r="S54" i="131" s="1"/>
  <c r="AJ54" i="131" s="1"/>
  <c r="Q54" i="118"/>
  <c r="R54" i="118" s="1"/>
  <c r="S54" i="118" s="1"/>
  <c r="AJ54" i="118" s="1"/>
  <c r="Q40" i="131"/>
  <c r="R40" i="131" s="1"/>
  <c r="S40" i="131" s="1"/>
  <c r="AJ40" i="131" s="1"/>
  <c r="Q15" i="128"/>
  <c r="R15" i="128" s="1"/>
  <c r="S15" i="128" s="1"/>
  <c r="AJ15" i="128" s="1"/>
  <c r="J59" i="67"/>
  <c r="K59" i="67" s="1"/>
  <c r="L59" i="67" s="1"/>
  <c r="Z59" i="67" s="1"/>
  <c r="Q71" i="126"/>
  <c r="R71" i="126" s="1"/>
  <c r="S71" i="126" s="1"/>
  <c r="AJ71" i="126" s="1"/>
  <c r="Q15" i="131"/>
  <c r="R15" i="131" s="1"/>
  <c r="S15" i="131" s="1"/>
  <c r="AJ15" i="131" s="1"/>
  <c r="Q20" i="113"/>
  <c r="R20" i="113" s="1"/>
  <c r="S20" i="113" s="1"/>
  <c r="AJ20" i="113" s="1"/>
  <c r="Q20" i="126"/>
  <c r="R20" i="126" s="1"/>
  <c r="S20" i="126" s="1"/>
  <c r="AJ20" i="126" s="1"/>
  <c r="R43" i="76"/>
  <c r="S43" i="76" s="1"/>
  <c r="T43" i="76" s="1"/>
  <c r="AK43" i="76" s="1"/>
  <c r="Q20" i="127"/>
  <c r="R20" i="127" s="1"/>
  <c r="S20" i="127" s="1"/>
  <c r="AJ20" i="127" s="1"/>
  <c r="Q11" i="127"/>
  <c r="R11" i="127" s="1"/>
  <c r="S11" i="127" s="1"/>
  <c r="AJ11" i="127" s="1"/>
  <c r="Q11" i="128"/>
  <c r="R11" i="128" s="1"/>
  <c r="S11" i="128" s="1"/>
  <c r="AJ11" i="128" s="1"/>
  <c r="Q14" i="127"/>
  <c r="R14" i="127" s="1"/>
  <c r="S14" i="127" s="1"/>
  <c r="AJ14" i="127" s="1"/>
  <c r="Q24" i="127"/>
  <c r="R24" i="127" s="1"/>
  <c r="S24" i="127" s="1"/>
  <c r="AJ24" i="127" s="1"/>
  <c r="Q70" i="127"/>
  <c r="R70" i="127" s="1"/>
  <c r="S70" i="127" s="1"/>
  <c r="AJ70" i="127" s="1"/>
  <c r="Q39" i="128"/>
  <c r="R39" i="128" s="1"/>
  <c r="S39" i="128" s="1"/>
  <c r="AJ39" i="128" s="1"/>
  <c r="Q20" i="128"/>
  <c r="R20" i="128" s="1"/>
  <c r="S20" i="128" s="1"/>
  <c r="AJ20" i="128" s="1"/>
  <c r="Q41" i="131"/>
  <c r="R41" i="131" s="1"/>
  <c r="S41" i="131" s="1"/>
  <c r="AJ41" i="131" s="1"/>
  <c r="Q41" i="125"/>
  <c r="R41" i="125" s="1"/>
  <c r="S41" i="125" s="1"/>
  <c r="AJ41" i="125" s="1"/>
  <c r="Q71" i="113"/>
  <c r="R71" i="113" s="1"/>
  <c r="S71" i="113" s="1"/>
  <c r="AJ71" i="113" s="1"/>
  <c r="Q32" i="126"/>
  <c r="R32" i="126" s="1"/>
  <c r="S32" i="126" s="1"/>
  <c r="AJ32" i="126" s="1"/>
  <c r="Q51" i="131"/>
  <c r="R51" i="131" s="1"/>
  <c r="S51" i="131" s="1"/>
  <c r="AJ51" i="131" s="1"/>
  <c r="Q65" i="131"/>
  <c r="R65" i="131" s="1"/>
  <c r="S65" i="131" s="1"/>
  <c r="AJ65" i="131" s="1"/>
  <c r="Q56" i="126"/>
  <c r="R56" i="126" s="1"/>
  <c r="S56" i="126" s="1"/>
  <c r="AJ56" i="126" s="1"/>
  <c r="Q56" i="127"/>
  <c r="R56" i="127" s="1"/>
  <c r="S56" i="127" s="1"/>
  <c r="AJ56" i="127" s="1"/>
  <c r="Q39" i="113"/>
  <c r="R39" i="113" s="1"/>
  <c r="S39" i="113" s="1"/>
  <c r="AJ39" i="113" s="1"/>
  <c r="Q39" i="127"/>
  <c r="R39" i="127" s="1"/>
  <c r="S39" i="127" s="1"/>
  <c r="AJ39" i="127" s="1"/>
  <c r="Q50" i="113"/>
  <c r="R50" i="113" s="1"/>
  <c r="S50" i="113" s="1"/>
  <c r="AJ50" i="113" s="1"/>
  <c r="Q50" i="127"/>
  <c r="R50" i="127" s="1"/>
  <c r="S50" i="127" s="1"/>
  <c r="AJ50" i="127" s="1"/>
  <c r="Q54" i="113"/>
  <c r="R54" i="113" s="1"/>
  <c r="S54" i="113" s="1"/>
  <c r="AJ54" i="113" s="1"/>
  <c r="Q71" i="128"/>
  <c r="R71" i="128" s="1"/>
  <c r="S71" i="128" s="1"/>
  <c r="AJ71" i="128" s="1"/>
  <c r="Q24" i="126"/>
  <c r="R24" i="126" s="1"/>
  <c r="S24" i="126" s="1"/>
  <c r="AJ24" i="126" s="1"/>
  <c r="Q56" i="128"/>
  <c r="R56" i="128" s="1"/>
  <c r="S56" i="128" s="1"/>
  <c r="AJ56" i="128" s="1"/>
  <c r="Q56" i="131"/>
  <c r="R56" i="131" s="1"/>
  <c r="S56" i="131" s="1"/>
  <c r="AJ56" i="131" s="1"/>
  <c r="Q39" i="126"/>
  <c r="R39" i="126" s="1"/>
  <c r="S39" i="126" s="1"/>
  <c r="AJ39" i="126" s="1"/>
  <c r="R63" i="76"/>
  <c r="S63" i="76" s="1"/>
  <c r="T63" i="76" s="1"/>
  <c r="AK63" i="76" s="1"/>
  <c r="Q32" i="127"/>
  <c r="R32" i="127" s="1"/>
  <c r="S32" i="127" s="1"/>
  <c r="AJ32" i="127" s="1"/>
  <c r="Q41" i="127"/>
  <c r="R41" i="127" s="1"/>
  <c r="S41" i="127" s="1"/>
  <c r="AJ41" i="127" s="1"/>
  <c r="R54" i="80"/>
  <c r="S54" i="80" s="1"/>
  <c r="T54" i="80" s="1"/>
  <c r="AK54" i="80" s="1"/>
  <c r="Q56" i="125"/>
  <c r="R56" i="125" s="1"/>
  <c r="S56" i="125" s="1"/>
  <c r="AJ56" i="125" s="1"/>
  <c r="Q39" i="125"/>
  <c r="R39" i="125" s="1"/>
  <c r="S39" i="125" s="1"/>
  <c r="AJ39" i="125" s="1"/>
  <c r="Q50" i="128"/>
  <c r="R50" i="128" s="1"/>
  <c r="S50" i="128" s="1"/>
  <c r="AJ50" i="128" s="1"/>
  <c r="Q70" i="113"/>
  <c r="R70" i="113" s="1"/>
  <c r="S70" i="113" s="1"/>
  <c r="AJ70" i="113" s="1"/>
  <c r="Q65" i="127"/>
  <c r="R65" i="127" s="1"/>
  <c r="S65" i="127" s="1"/>
  <c r="AJ65" i="127" s="1"/>
  <c r="Q65" i="128"/>
  <c r="R65" i="128" s="1"/>
  <c r="S65" i="128" s="1"/>
  <c r="AJ65" i="128" s="1"/>
  <c r="Q19" i="131"/>
  <c r="R19" i="131" s="1"/>
  <c r="S19" i="131" s="1"/>
  <c r="AJ19" i="131" s="1"/>
  <c r="Q19" i="125"/>
  <c r="R19" i="125" s="1"/>
  <c r="S19" i="125" s="1"/>
  <c r="AJ19" i="125" s="1"/>
  <c r="R39" i="76"/>
  <c r="S39" i="76" s="1"/>
  <c r="T39" i="76" s="1"/>
  <c r="AK39" i="76" s="1"/>
  <c r="Q65" i="113"/>
  <c r="R65" i="113" s="1"/>
  <c r="S65" i="113" s="1"/>
  <c r="AJ65" i="113" s="1"/>
  <c r="Q32" i="113"/>
  <c r="R32" i="113" s="1"/>
  <c r="S32" i="113" s="1"/>
  <c r="AJ32" i="113" s="1"/>
  <c r="Q41" i="113"/>
  <c r="R41" i="113" s="1"/>
  <c r="S41" i="113" s="1"/>
  <c r="AJ41" i="113" s="1"/>
  <c r="Q71" i="127"/>
  <c r="R71" i="127" s="1"/>
  <c r="S71" i="127" s="1"/>
  <c r="AJ71" i="127" s="1"/>
  <c r="Q56" i="113"/>
  <c r="R56" i="113" s="1"/>
  <c r="S56" i="113" s="1"/>
  <c r="AJ56" i="113" s="1"/>
  <c r="Q39" i="131"/>
  <c r="R39" i="131" s="1"/>
  <c r="S39" i="131" s="1"/>
  <c r="AJ39" i="131" s="1"/>
  <c r="Q70" i="126"/>
  <c r="R70" i="126" s="1"/>
  <c r="S70" i="126" s="1"/>
  <c r="AJ70" i="126" s="1"/>
  <c r="Q70" i="125"/>
  <c r="R70" i="125" s="1"/>
  <c r="S70" i="125" s="1"/>
  <c r="AJ70" i="125" s="1"/>
  <c r="Q24" i="131"/>
  <c r="R24" i="131" s="1"/>
  <c r="S24" i="131" s="1"/>
  <c r="AJ24" i="131" s="1"/>
  <c r="T15" i="46"/>
  <c r="U15" i="46" s="1"/>
  <c r="V15" i="46" s="1"/>
  <c r="AP15" i="46" s="1"/>
  <c r="T11" i="46"/>
  <c r="U11" i="46" s="1"/>
  <c r="V11" i="46" s="1"/>
  <c r="AP11" i="46" s="1"/>
  <c r="T13" i="46"/>
  <c r="U13" i="46" s="1"/>
  <c r="V13" i="46" s="1"/>
  <c r="AP13" i="46" s="1"/>
  <c r="T12" i="46"/>
  <c r="U12" i="46" s="1"/>
  <c r="V12" i="46" s="1"/>
  <c r="AP12" i="46" s="1"/>
  <c r="K48" i="46"/>
  <c r="K51" i="46" s="1"/>
  <c r="Q24" i="113"/>
  <c r="R24" i="113" s="1"/>
  <c r="S24" i="113" s="1"/>
  <c r="AJ24" i="113" s="1"/>
  <c r="T14" i="46"/>
  <c r="U14" i="46" s="1"/>
  <c r="V14" i="46" s="1"/>
  <c r="AP14" i="46" s="1"/>
  <c r="T16" i="46"/>
  <c r="U16" i="46" s="1"/>
  <c r="V16" i="46" s="1"/>
  <c r="AP16" i="46" s="1"/>
  <c r="R21" i="80"/>
  <c r="S21" i="80" s="1"/>
  <c r="T21" i="80" s="1"/>
  <c r="AK21" i="80" s="1"/>
  <c r="Q23" i="120"/>
  <c r="R23" i="120" s="1"/>
  <c r="S23" i="120" s="1"/>
  <c r="AJ23" i="120" s="1"/>
  <c r="Q23" i="116"/>
  <c r="R23" i="116" s="1"/>
  <c r="S23" i="116" s="1"/>
  <c r="AJ23" i="116" s="1"/>
  <c r="Q23" i="114"/>
  <c r="R23" i="114" s="1"/>
  <c r="S23" i="114" s="1"/>
  <c r="AJ23" i="114" s="1"/>
  <c r="R21" i="76"/>
  <c r="S21" i="76" s="1"/>
  <c r="T21" i="76" s="1"/>
  <c r="AK21" i="76" s="1"/>
  <c r="Q23" i="118"/>
  <c r="R23" i="118" s="1"/>
  <c r="S23" i="118" s="1"/>
  <c r="AJ23" i="118" s="1"/>
  <c r="Q23" i="115"/>
  <c r="R23" i="115" s="1"/>
  <c r="S23" i="115" s="1"/>
  <c r="AJ23" i="115" s="1"/>
  <c r="Q23" i="119"/>
  <c r="R23" i="119" s="1"/>
  <c r="S23" i="119" s="1"/>
  <c r="AJ23" i="119" s="1"/>
  <c r="J23" i="67"/>
  <c r="K23" i="67" s="1"/>
  <c r="L23" i="67" s="1"/>
  <c r="Z23" i="67" s="1"/>
  <c r="Q23" i="117"/>
  <c r="R23" i="117" s="1"/>
  <c r="S23" i="117" s="1"/>
  <c r="AL23" i="117" s="1"/>
  <c r="Q75" i="127"/>
  <c r="R75" i="127" s="1"/>
  <c r="S75" i="127" s="1"/>
  <c r="AJ75" i="127" s="1"/>
  <c r="Q43" i="114"/>
  <c r="R43" i="114" s="1"/>
  <c r="S43" i="114" s="1"/>
  <c r="AJ43" i="114" s="1"/>
  <c r="Q13" i="118"/>
  <c r="R13" i="118" s="1"/>
  <c r="S13" i="118" s="1"/>
  <c r="AJ13" i="118" s="1"/>
  <c r="Q13" i="117"/>
  <c r="R13" i="117" s="1"/>
  <c r="S13" i="117" s="1"/>
  <c r="AL13" i="117" s="1"/>
  <c r="Q46" i="131"/>
  <c r="R46" i="131" s="1"/>
  <c r="S46" i="131" s="1"/>
  <c r="AJ46" i="131" s="1"/>
  <c r="Q75" i="119"/>
  <c r="R75" i="119" s="1"/>
  <c r="S75" i="119" s="1"/>
  <c r="AJ75" i="119" s="1"/>
  <c r="J75" i="67"/>
  <c r="K75" i="67" s="1"/>
  <c r="L75" i="67" s="1"/>
  <c r="Z75" i="67" s="1"/>
  <c r="Q43" i="116"/>
  <c r="R43" i="116" s="1"/>
  <c r="S43" i="116" s="1"/>
  <c r="AJ43" i="116" s="1"/>
  <c r="Q13" i="116"/>
  <c r="R13" i="116" s="1"/>
  <c r="S13" i="116" s="1"/>
  <c r="AJ13" i="116" s="1"/>
  <c r="Q75" i="116"/>
  <c r="R75" i="116" s="1"/>
  <c r="S75" i="116" s="1"/>
  <c r="AJ75" i="116" s="1"/>
  <c r="Q62" i="116"/>
  <c r="R62" i="116" s="1"/>
  <c r="S62" i="116" s="1"/>
  <c r="AJ62" i="116" s="1"/>
  <c r="R41" i="76"/>
  <c r="S41" i="76" s="1"/>
  <c r="T41" i="76" s="1"/>
  <c r="AK41" i="76" s="1"/>
  <c r="Q62" i="114"/>
  <c r="R62" i="114" s="1"/>
  <c r="S62" i="114" s="1"/>
  <c r="AJ62" i="114" s="1"/>
  <c r="Q46" i="116"/>
  <c r="R46" i="116" s="1"/>
  <c r="S46" i="116" s="1"/>
  <c r="AJ46" i="116" s="1"/>
  <c r="Q46" i="115"/>
  <c r="R46" i="115" s="1"/>
  <c r="S46" i="115" s="1"/>
  <c r="AJ46" i="115" s="1"/>
  <c r="R41" i="80"/>
  <c r="S41" i="80" s="1"/>
  <c r="T41" i="80" s="1"/>
  <c r="AK41" i="80" s="1"/>
  <c r="Q46" i="119"/>
  <c r="R46" i="119" s="1"/>
  <c r="S46" i="119" s="1"/>
  <c r="AJ46" i="119" s="1"/>
  <c r="Q75" i="117"/>
  <c r="R75" i="117" s="1"/>
  <c r="S75" i="117" s="1"/>
  <c r="AL75" i="117" s="1"/>
  <c r="Q62" i="119"/>
  <c r="R62" i="119" s="1"/>
  <c r="S62" i="119" s="1"/>
  <c r="AJ62" i="119" s="1"/>
  <c r="Q62" i="115"/>
  <c r="R62" i="115" s="1"/>
  <c r="S62" i="115" s="1"/>
  <c r="AJ62" i="115" s="1"/>
  <c r="Q13" i="114"/>
  <c r="R13" i="114" s="1"/>
  <c r="S13" i="114" s="1"/>
  <c r="AJ13" i="114" s="1"/>
  <c r="Q75" i="120"/>
  <c r="R75" i="120" s="1"/>
  <c r="S75" i="120" s="1"/>
  <c r="AJ75" i="120" s="1"/>
  <c r="Q46" i="114"/>
  <c r="R46" i="114" s="1"/>
  <c r="S46" i="114" s="1"/>
  <c r="AJ46" i="114" s="1"/>
  <c r="AB64" i="33"/>
  <c r="AC64" i="33" s="1"/>
  <c r="AD64" i="33" s="1"/>
  <c r="C63" i="72" s="1"/>
  <c r="X63" i="72" s="1"/>
  <c r="AR63" i="72" s="1"/>
  <c r="J43" i="67"/>
  <c r="K43" i="67" s="1"/>
  <c r="L43" i="67" s="1"/>
  <c r="Z43" i="67" s="1"/>
  <c r="Q46" i="120"/>
  <c r="R46" i="120" s="1"/>
  <c r="S46" i="120" s="1"/>
  <c r="AJ46" i="120" s="1"/>
  <c r="R73" i="76"/>
  <c r="S73" i="76" s="1"/>
  <c r="T73" i="76" s="1"/>
  <c r="AK73" i="76" s="1"/>
  <c r="Q75" i="115"/>
  <c r="R75" i="115" s="1"/>
  <c r="S75" i="115" s="1"/>
  <c r="AJ75" i="115" s="1"/>
  <c r="Q13" i="119"/>
  <c r="R13" i="119" s="1"/>
  <c r="S13" i="119" s="1"/>
  <c r="AJ13" i="119" s="1"/>
  <c r="Q46" i="117"/>
  <c r="R46" i="117" s="1"/>
  <c r="S46" i="117" s="1"/>
  <c r="AL46" i="117" s="1"/>
  <c r="T23" i="46"/>
  <c r="U23" i="46" s="1"/>
  <c r="V23" i="46" s="1"/>
  <c r="AP23" i="46" s="1"/>
  <c r="Q46" i="118"/>
  <c r="R46" i="118" s="1"/>
  <c r="S46" i="118" s="1"/>
  <c r="AJ46" i="118" s="1"/>
  <c r="J13" i="67"/>
  <c r="K13" i="67" s="1"/>
  <c r="L13" i="67" s="1"/>
  <c r="Z13" i="67" s="1"/>
  <c r="Q62" i="120"/>
  <c r="R62" i="120" s="1"/>
  <c r="S62" i="120" s="1"/>
  <c r="AJ62" i="120" s="1"/>
  <c r="R60" i="80"/>
  <c r="S60" i="80" s="1"/>
  <c r="T60" i="80" s="1"/>
  <c r="AK60" i="80" s="1"/>
  <c r="Q13" i="115"/>
  <c r="R13" i="115" s="1"/>
  <c r="S13" i="115" s="1"/>
  <c r="AJ13" i="115" s="1"/>
  <c r="J46" i="67"/>
  <c r="K46" i="67" s="1"/>
  <c r="L46" i="67" s="1"/>
  <c r="Z46" i="67" s="1"/>
  <c r="Q62" i="117"/>
  <c r="R62" i="117" s="1"/>
  <c r="S62" i="117" s="1"/>
  <c r="AL62" i="117" s="1"/>
  <c r="J62" i="67"/>
  <c r="K62" i="67" s="1"/>
  <c r="L62" i="67" s="1"/>
  <c r="Z62" i="67" s="1"/>
  <c r="R60" i="76"/>
  <c r="S60" i="76" s="1"/>
  <c r="T60" i="76" s="1"/>
  <c r="AK60" i="76" s="1"/>
  <c r="Q62" i="118"/>
  <c r="R62" i="118" s="1"/>
  <c r="S62" i="118" s="1"/>
  <c r="AJ62" i="118" s="1"/>
  <c r="Q75" i="118"/>
  <c r="R75" i="118" s="1"/>
  <c r="S75" i="118" s="1"/>
  <c r="AJ75" i="118" s="1"/>
  <c r="Q13" i="120"/>
  <c r="R13" i="120" s="1"/>
  <c r="S13" i="120" s="1"/>
  <c r="AJ13" i="120" s="1"/>
  <c r="Q75" i="114"/>
  <c r="R75" i="114" s="1"/>
  <c r="S75" i="114" s="1"/>
  <c r="AJ75" i="114" s="1"/>
  <c r="AB72" i="33"/>
  <c r="AC72" i="33" s="1"/>
  <c r="AD72" i="33" s="1"/>
  <c r="C71" i="72" s="1"/>
  <c r="X71" i="72" s="1"/>
  <c r="AR71" i="72" s="1"/>
  <c r="AB35" i="33" l="1"/>
  <c r="AC35" i="33" s="1"/>
  <c r="AD35" i="33" s="1"/>
  <c r="C34" i="72" s="1"/>
  <c r="X34" i="72" s="1"/>
  <c r="AR34" i="72" s="1"/>
  <c r="AB60" i="33"/>
  <c r="AC60" i="33" s="1"/>
  <c r="AD60" i="33" s="1"/>
  <c r="C59" i="72" s="1"/>
  <c r="X59" i="72" s="1"/>
  <c r="AR59" i="72" s="1"/>
  <c r="Q14" i="131"/>
  <c r="R14" i="131" s="1"/>
  <c r="S14" i="131" s="1"/>
  <c r="AJ14" i="131" s="1"/>
  <c r="Q74" i="125"/>
  <c r="R74" i="125" s="1"/>
  <c r="S74" i="125" s="1"/>
  <c r="AJ74" i="125" s="1"/>
  <c r="Q14" i="118"/>
  <c r="R14" i="118" s="1"/>
  <c r="S14" i="118" s="1"/>
  <c r="AJ14" i="118" s="1"/>
  <c r="Q14" i="128"/>
  <c r="R14" i="128" s="1"/>
  <c r="S14" i="128" s="1"/>
  <c r="AJ14" i="128" s="1"/>
  <c r="Q28" i="131"/>
  <c r="R28" i="131" s="1"/>
  <c r="S28" i="131" s="1"/>
  <c r="AJ28" i="131" s="1"/>
  <c r="AB59" i="33"/>
  <c r="AC59" i="33" s="1"/>
  <c r="AD59" i="33" s="1"/>
  <c r="C58" i="72" s="1"/>
  <c r="X58" i="72" s="1"/>
  <c r="AR58" i="72" s="1"/>
  <c r="Q15" i="125"/>
  <c r="R15" i="125" s="1"/>
  <c r="S15" i="125" s="1"/>
  <c r="AJ15" i="125" s="1"/>
  <c r="Q20" i="119"/>
  <c r="R20" i="119" s="1"/>
  <c r="S20" i="119" s="1"/>
  <c r="AJ20" i="119" s="1"/>
  <c r="Q26" i="128"/>
  <c r="R26" i="128" s="1"/>
  <c r="S26" i="128" s="1"/>
  <c r="AJ26" i="128" s="1"/>
  <c r="J28" i="67"/>
  <c r="K28" i="67" s="1"/>
  <c r="L28" i="67" s="1"/>
  <c r="Z28" i="67" s="1"/>
  <c r="Q26" i="113"/>
  <c r="R26" i="113" s="1"/>
  <c r="S26" i="113" s="1"/>
  <c r="AJ26" i="113" s="1"/>
  <c r="Q26" i="125"/>
  <c r="R26" i="125" s="1"/>
  <c r="S26" i="125" s="1"/>
  <c r="AJ26" i="125" s="1"/>
  <c r="Q26" i="126"/>
  <c r="R26" i="126" s="1"/>
  <c r="S26" i="126" s="1"/>
  <c r="AJ26" i="126" s="1"/>
  <c r="Q26" i="127"/>
  <c r="R26" i="127" s="1"/>
  <c r="S26" i="127" s="1"/>
  <c r="AJ26" i="127" s="1"/>
  <c r="Q26" i="131"/>
  <c r="R26" i="131" s="1"/>
  <c r="S26" i="131" s="1"/>
  <c r="AJ26" i="131" s="1"/>
  <c r="Q45" i="127"/>
  <c r="R45" i="127" s="1"/>
  <c r="S45" i="127" s="1"/>
  <c r="AJ45" i="127" s="1"/>
  <c r="Q15" i="116"/>
  <c r="R15" i="116" s="1"/>
  <c r="S15" i="116" s="1"/>
  <c r="AJ15" i="116" s="1"/>
  <c r="Q40" i="118"/>
  <c r="R40" i="118" s="1"/>
  <c r="S40" i="118" s="1"/>
  <c r="AJ40" i="118" s="1"/>
  <c r="Q43" i="118"/>
  <c r="R43" i="118" s="1"/>
  <c r="S43" i="118" s="1"/>
  <c r="AJ43" i="118" s="1"/>
  <c r="Q14" i="114"/>
  <c r="R14" i="114" s="1"/>
  <c r="S14" i="114" s="1"/>
  <c r="AJ14" i="114" s="1"/>
  <c r="Q28" i="118"/>
  <c r="R28" i="118" s="1"/>
  <c r="S28" i="118" s="1"/>
  <c r="AJ28" i="118" s="1"/>
  <c r="Q63" i="116"/>
  <c r="R63" i="116" s="1"/>
  <c r="S63" i="116" s="1"/>
  <c r="AJ63" i="116" s="1"/>
  <c r="Q37" i="128"/>
  <c r="R37" i="128" s="1"/>
  <c r="S37" i="128" s="1"/>
  <c r="AJ37" i="128" s="1"/>
  <c r="Q63" i="120"/>
  <c r="R63" i="120" s="1"/>
  <c r="S63" i="120" s="1"/>
  <c r="AJ63" i="120" s="1"/>
  <c r="Q63" i="118"/>
  <c r="R63" i="118" s="1"/>
  <c r="S63" i="118" s="1"/>
  <c r="AJ63" i="118" s="1"/>
  <c r="Q37" i="131"/>
  <c r="R37" i="131" s="1"/>
  <c r="S37" i="131" s="1"/>
  <c r="AJ37" i="131" s="1"/>
  <c r="Q43" i="115"/>
  <c r="R43" i="115" s="1"/>
  <c r="S43" i="115" s="1"/>
  <c r="AJ43" i="115" s="1"/>
  <c r="Q37" i="113"/>
  <c r="R37" i="113" s="1"/>
  <c r="S37" i="113" s="1"/>
  <c r="AJ37" i="113" s="1"/>
  <c r="R35" i="80"/>
  <c r="S35" i="80" s="1"/>
  <c r="T35" i="80" s="1"/>
  <c r="AK35" i="80" s="1"/>
  <c r="R35" i="76"/>
  <c r="S35" i="76" s="1"/>
  <c r="T35" i="76" s="1"/>
  <c r="AK35" i="76" s="1"/>
  <c r="Q63" i="117"/>
  <c r="R63" i="117" s="1"/>
  <c r="S63" i="117" s="1"/>
  <c r="AL63" i="117" s="1"/>
  <c r="Q63" i="115"/>
  <c r="R63" i="115" s="1"/>
  <c r="S63" i="115" s="1"/>
  <c r="AJ63" i="115" s="1"/>
  <c r="R61" i="76"/>
  <c r="S61" i="76" s="1"/>
  <c r="T61" i="76" s="1"/>
  <c r="AK61" i="76" s="1"/>
  <c r="Q37" i="125"/>
  <c r="R37" i="125" s="1"/>
  <c r="S37" i="125" s="1"/>
  <c r="AJ37" i="125" s="1"/>
  <c r="Q63" i="114"/>
  <c r="R63" i="114" s="1"/>
  <c r="S63" i="114" s="1"/>
  <c r="AJ63" i="114" s="1"/>
  <c r="R38" i="80"/>
  <c r="S38" i="80" s="1"/>
  <c r="T38" i="80" s="1"/>
  <c r="AK38" i="80" s="1"/>
  <c r="Q37" i="126"/>
  <c r="R37" i="126" s="1"/>
  <c r="S37" i="126" s="1"/>
  <c r="AJ37" i="126" s="1"/>
  <c r="Q37" i="127"/>
  <c r="R37" i="127" s="1"/>
  <c r="S37" i="127" s="1"/>
  <c r="AJ37" i="127" s="1"/>
  <c r="R61" i="80"/>
  <c r="S61" i="80" s="1"/>
  <c r="T61" i="80" s="1"/>
  <c r="AK61" i="80" s="1"/>
  <c r="Q63" i="119"/>
  <c r="R63" i="119" s="1"/>
  <c r="S63" i="119" s="1"/>
  <c r="AJ63" i="119" s="1"/>
  <c r="J63" i="67"/>
  <c r="K63" i="67" s="1"/>
  <c r="L63" i="67" s="1"/>
  <c r="Z63" i="67" s="1"/>
  <c r="Q28" i="127"/>
  <c r="R28" i="127" s="1"/>
  <c r="S28" i="127" s="1"/>
  <c r="AJ28" i="127" s="1"/>
  <c r="Q21" i="131"/>
  <c r="R21" i="131" s="1"/>
  <c r="S21" i="131" s="1"/>
  <c r="AJ21" i="131" s="1"/>
  <c r="Q43" i="119"/>
  <c r="R43" i="119" s="1"/>
  <c r="S43" i="119" s="1"/>
  <c r="AJ43" i="119" s="1"/>
  <c r="R26" i="80"/>
  <c r="S26" i="80" s="1"/>
  <c r="T26" i="80" s="1"/>
  <c r="AK26" i="80" s="1"/>
  <c r="Q28" i="126"/>
  <c r="R28" i="126" s="1"/>
  <c r="S28" i="126" s="1"/>
  <c r="AJ28" i="126" s="1"/>
  <c r="Q19" i="128"/>
  <c r="R19" i="128" s="1"/>
  <c r="S19" i="128" s="1"/>
  <c r="AJ19" i="128" s="1"/>
  <c r="Q15" i="115"/>
  <c r="R15" i="115" s="1"/>
  <c r="S15" i="115" s="1"/>
  <c r="AJ15" i="115" s="1"/>
  <c r="Q40" i="125"/>
  <c r="R40" i="125" s="1"/>
  <c r="S40" i="125" s="1"/>
  <c r="AJ40" i="125" s="1"/>
  <c r="Q54" i="115"/>
  <c r="R54" i="115" s="1"/>
  <c r="S54" i="115" s="1"/>
  <c r="AJ54" i="115" s="1"/>
  <c r="R43" i="80"/>
  <c r="S43" i="80" s="1"/>
  <c r="T43" i="80" s="1"/>
  <c r="AK43" i="80" s="1"/>
  <c r="R38" i="76"/>
  <c r="S38" i="76" s="1"/>
  <c r="T38" i="76" s="1"/>
  <c r="AK38" i="76" s="1"/>
  <c r="R55" i="76"/>
  <c r="S55" i="76" s="1"/>
  <c r="T55" i="76" s="1"/>
  <c r="AK55" i="76" s="1"/>
  <c r="Q57" i="131"/>
  <c r="R57" i="131" s="1"/>
  <c r="S57" i="131" s="1"/>
  <c r="AJ57" i="131" s="1"/>
  <c r="R46" i="76"/>
  <c r="S46" i="76" s="1"/>
  <c r="T46" i="76" s="1"/>
  <c r="AK46" i="76" s="1"/>
  <c r="R34" i="80"/>
  <c r="S34" i="80" s="1"/>
  <c r="T34" i="80" s="1"/>
  <c r="AK34" i="80" s="1"/>
  <c r="Q57" i="113"/>
  <c r="R57" i="113" s="1"/>
  <c r="S57" i="113" s="1"/>
  <c r="AJ57" i="113" s="1"/>
  <c r="Q57" i="126"/>
  <c r="R57" i="126" s="1"/>
  <c r="S57" i="126" s="1"/>
  <c r="AJ57" i="126" s="1"/>
  <c r="Q57" i="128"/>
  <c r="R57" i="128" s="1"/>
  <c r="S57" i="128" s="1"/>
  <c r="AJ57" i="128" s="1"/>
  <c r="Q20" i="125"/>
  <c r="R20" i="125" s="1"/>
  <c r="S20" i="125" s="1"/>
  <c r="AJ20" i="125" s="1"/>
  <c r="Q57" i="127"/>
  <c r="R57" i="127" s="1"/>
  <c r="S57" i="127" s="1"/>
  <c r="AJ57" i="127" s="1"/>
  <c r="Q57" i="125"/>
  <c r="R57" i="125" s="1"/>
  <c r="S57" i="125" s="1"/>
  <c r="AJ57" i="125" s="1"/>
  <c r="Q73" i="113"/>
  <c r="R73" i="113" s="1"/>
  <c r="S73" i="113" s="1"/>
  <c r="AJ73" i="113" s="1"/>
  <c r="R27" i="76"/>
  <c r="S27" i="76" s="1"/>
  <c r="T27" i="76" s="1"/>
  <c r="AK27" i="76" s="1"/>
  <c r="Q73" i="125"/>
  <c r="R73" i="125" s="1"/>
  <c r="S73" i="125" s="1"/>
  <c r="AJ73" i="125" s="1"/>
  <c r="Q29" i="131"/>
  <c r="R29" i="131" s="1"/>
  <c r="S29" i="131" s="1"/>
  <c r="AJ29" i="131" s="1"/>
  <c r="Q15" i="127"/>
  <c r="R15" i="127" s="1"/>
  <c r="S15" i="127" s="1"/>
  <c r="AJ15" i="127" s="1"/>
  <c r="Q73" i="128"/>
  <c r="R73" i="128" s="1"/>
  <c r="S73" i="128" s="1"/>
  <c r="AJ73" i="128" s="1"/>
  <c r="Q73" i="126"/>
  <c r="R73" i="126" s="1"/>
  <c r="S73" i="126" s="1"/>
  <c r="AJ73" i="126" s="1"/>
  <c r="Q29" i="113"/>
  <c r="R29" i="113" s="1"/>
  <c r="S29" i="113" s="1"/>
  <c r="AJ29" i="113" s="1"/>
  <c r="Q29" i="126"/>
  <c r="R29" i="126" s="1"/>
  <c r="S29" i="126" s="1"/>
  <c r="AJ29" i="126" s="1"/>
  <c r="Q29" i="127"/>
  <c r="R29" i="127" s="1"/>
  <c r="S29" i="127" s="1"/>
  <c r="AJ29" i="127" s="1"/>
  <c r="Q73" i="131"/>
  <c r="R73" i="131" s="1"/>
  <c r="S73" i="131" s="1"/>
  <c r="AJ73" i="131" s="1"/>
  <c r="Q73" i="127"/>
  <c r="R73" i="127" s="1"/>
  <c r="S73" i="127" s="1"/>
  <c r="AJ73" i="127" s="1"/>
  <c r="Q29" i="125"/>
  <c r="R29" i="125" s="1"/>
  <c r="S29" i="125" s="1"/>
  <c r="AJ29" i="125" s="1"/>
  <c r="Q29" i="128"/>
  <c r="R29" i="128" s="1"/>
  <c r="S29" i="128" s="1"/>
  <c r="AJ29" i="128" s="1"/>
  <c r="Q31" i="126"/>
  <c r="R31" i="126" s="1"/>
  <c r="S31" i="126" s="1"/>
  <c r="AJ31" i="126" s="1"/>
  <c r="Q53" i="126"/>
  <c r="R53" i="126" s="1"/>
  <c r="S53" i="126" s="1"/>
  <c r="AJ53" i="126" s="1"/>
  <c r="Q11" i="131"/>
  <c r="R11" i="131" s="1"/>
  <c r="S11" i="131" s="1"/>
  <c r="AJ11" i="131" s="1"/>
  <c r="Q11" i="113"/>
  <c r="R11" i="113" s="1"/>
  <c r="S11" i="113" s="1"/>
  <c r="AJ11" i="113" s="1"/>
  <c r="Q21" i="127"/>
  <c r="R21" i="127" s="1"/>
  <c r="S21" i="127" s="1"/>
  <c r="AJ21" i="127" s="1"/>
  <c r="Q31" i="128"/>
  <c r="R31" i="128" s="1"/>
  <c r="S31" i="128" s="1"/>
  <c r="AJ31" i="128" s="1"/>
  <c r="Q53" i="131"/>
  <c r="R53" i="131" s="1"/>
  <c r="S53" i="131" s="1"/>
  <c r="AJ53" i="131" s="1"/>
  <c r="Q11" i="126"/>
  <c r="R11" i="126" s="1"/>
  <c r="S11" i="126" s="1"/>
  <c r="AJ11" i="126" s="1"/>
  <c r="Q51" i="125"/>
  <c r="R51" i="125" s="1"/>
  <c r="S51" i="125" s="1"/>
  <c r="AJ51" i="125" s="1"/>
  <c r="R49" i="80"/>
  <c r="S49" i="80" s="1"/>
  <c r="T49" i="80" s="1"/>
  <c r="AK49" i="80" s="1"/>
  <c r="Q31" i="125"/>
  <c r="R31" i="125" s="1"/>
  <c r="S31" i="125" s="1"/>
  <c r="AJ31" i="125" s="1"/>
  <c r="Q31" i="127"/>
  <c r="R31" i="127" s="1"/>
  <c r="S31" i="127" s="1"/>
  <c r="AJ31" i="127" s="1"/>
  <c r="Q31" i="113"/>
  <c r="R31" i="113" s="1"/>
  <c r="S31" i="113" s="1"/>
  <c r="AJ31" i="113" s="1"/>
  <c r="Q53" i="127"/>
  <c r="R53" i="127" s="1"/>
  <c r="S53" i="127" s="1"/>
  <c r="AJ53" i="127" s="1"/>
  <c r="Q11" i="125"/>
  <c r="R11" i="125" s="1"/>
  <c r="S11" i="125" s="1"/>
  <c r="AJ11" i="125" s="1"/>
  <c r="Q21" i="126"/>
  <c r="R21" i="126" s="1"/>
  <c r="S21" i="126" s="1"/>
  <c r="AJ21" i="126" s="1"/>
  <c r="Q52" i="113"/>
  <c r="R52" i="113" s="1"/>
  <c r="S52" i="113" s="1"/>
  <c r="AJ52" i="113" s="1"/>
  <c r="Q52" i="125"/>
  <c r="R52" i="125" s="1"/>
  <c r="S52" i="125" s="1"/>
  <c r="AJ52" i="125" s="1"/>
  <c r="Q52" i="128"/>
  <c r="R52" i="128" s="1"/>
  <c r="S52" i="128" s="1"/>
  <c r="AJ52" i="128" s="1"/>
  <c r="R50" i="76"/>
  <c r="S50" i="76" s="1"/>
  <c r="T50" i="76" s="1"/>
  <c r="AK50" i="76" s="1"/>
  <c r="Q45" i="113"/>
  <c r="R45" i="113" s="1"/>
  <c r="S45" i="113" s="1"/>
  <c r="AJ45" i="113" s="1"/>
  <c r="Q53" i="113"/>
  <c r="R53" i="113" s="1"/>
  <c r="S53" i="113" s="1"/>
  <c r="AJ53" i="113" s="1"/>
  <c r="R51" i="80"/>
  <c r="S51" i="80" s="1"/>
  <c r="T51" i="80" s="1"/>
  <c r="AK51" i="80" s="1"/>
  <c r="Q21" i="128"/>
  <c r="R21" i="128" s="1"/>
  <c r="S21" i="128" s="1"/>
  <c r="AJ21" i="128" s="1"/>
  <c r="Q21" i="113"/>
  <c r="R21" i="113" s="1"/>
  <c r="S21" i="113" s="1"/>
  <c r="AJ21" i="113" s="1"/>
  <c r="Q52" i="131"/>
  <c r="R52" i="131" s="1"/>
  <c r="S52" i="131" s="1"/>
  <c r="AJ52" i="131" s="1"/>
  <c r="R29" i="76"/>
  <c r="S29" i="76" s="1"/>
  <c r="T29" i="76" s="1"/>
  <c r="AK29" i="76" s="1"/>
  <c r="Q53" i="125"/>
  <c r="R53" i="125" s="1"/>
  <c r="S53" i="125" s="1"/>
  <c r="AJ53" i="125" s="1"/>
  <c r="R51" i="76"/>
  <c r="S51" i="76" s="1"/>
  <c r="T51" i="76" s="1"/>
  <c r="AK51" i="76" s="1"/>
  <c r="Q21" i="125"/>
  <c r="R21" i="125" s="1"/>
  <c r="S21" i="125" s="1"/>
  <c r="AJ21" i="125" s="1"/>
  <c r="R50" i="80"/>
  <c r="S50" i="80" s="1"/>
  <c r="T50" i="80" s="1"/>
  <c r="AK50" i="80" s="1"/>
  <c r="Q45" i="126"/>
  <c r="R45" i="126" s="1"/>
  <c r="S45" i="126" s="1"/>
  <c r="AJ45" i="126" s="1"/>
  <c r="Q45" i="131"/>
  <c r="R45" i="131" s="1"/>
  <c r="S45" i="131" s="1"/>
  <c r="AJ45" i="131" s="1"/>
  <c r="Q45" i="128"/>
  <c r="R45" i="128" s="1"/>
  <c r="S45" i="128" s="1"/>
  <c r="AJ45" i="128" s="1"/>
  <c r="R29" i="80"/>
  <c r="S29" i="80" s="1"/>
  <c r="T29" i="80" s="1"/>
  <c r="AK29" i="80" s="1"/>
  <c r="Q31" i="131"/>
  <c r="R31" i="131" s="1"/>
  <c r="S31" i="131" s="1"/>
  <c r="AJ31" i="131" s="1"/>
  <c r="Q53" i="128"/>
  <c r="R53" i="128" s="1"/>
  <c r="S53" i="128" s="1"/>
  <c r="AJ53" i="128" s="1"/>
  <c r="Q52" i="127"/>
  <c r="R52" i="127" s="1"/>
  <c r="S52" i="127" s="1"/>
  <c r="AJ52" i="127" s="1"/>
  <c r="Q52" i="126"/>
  <c r="R52" i="126" s="1"/>
  <c r="S52" i="126" s="1"/>
  <c r="AJ52" i="126" s="1"/>
  <c r="Q45" i="125"/>
  <c r="R45" i="125" s="1"/>
  <c r="S45" i="125" s="1"/>
  <c r="AJ45" i="125" s="1"/>
  <c r="Q65" i="120"/>
  <c r="R65" i="120" s="1"/>
  <c r="S65" i="120" s="1"/>
  <c r="AJ65" i="120" s="1"/>
  <c r="Q18" i="125"/>
  <c r="R18" i="125" s="1"/>
  <c r="S18" i="125" s="1"/>
  <c r="AJ18" i="125" s="1"/>
  <c r="R7" i="76"/>
  <c r="S7" i="76" s="1"/>
  <c r="T7" i="76" s="1"/>
  <c r="AK7" i="76" s="1"/>
  <c r="Q50" i="119"/>
  <c r="R50" i="119" s="1"/>
  <c r="S50" i="119" s="1"/>
  <c r="AJ50" i="119" s="1"/>
  <c r="Q41" i="120"/>
  <c r="R41" i="120" s="1"/>
  <c r="S41" i="120" s="1"/>
  <c r="AJ41" i="120" s="1"/>
  <c r="Q41" i="117"/>
  <c r="R41" i="117" s="1"/>
  <c r="S41" i="117" s="1"/>
  <c r="AL41" i="117" s="1"/>
  <c r="Q68" i="126"/>
  <c r="R68" i="126" s="1"/>
  <c r="S68" i="126" s="1"/>
  <c r="AJ68" i="126" s="1"/>
  <c r="Q32" i="116"/>
  <c r="R32" i="116" s="1"/>
  <c r="S32" i="116" s="1"/>
  <c r="AJ32" i="116" s="1"/>
  <c r="Q38" i="113"/>
  <c r="R38" i="113" s="1"/>
  <c r="S38" i="113" s="1"/>
  <c r="AJ38" i="113" s="1"/>
  <c r="Q36" i="127"/>
  <c r="R36" i="127" s="1"/>
  <c r="S36" i="127" s="1"/>
  <c r="AJ36" i="127" s="1"/>
  <c r="J15" i="67"/>
  <c r="K15" i="67" s="1"/>
  <c r="L15" i="67" s="1"/>
  <c r="Z15" i="67" s="1"/>
  <c r="Q48" i="131"/>
  <c r="R48" i="131" s="1"/>
  <c r="S48" i="131" s="1"/>
  <c r="AJ48" i="131" s="1"/>
  <c r="R30" i="80"/>
  <c r="S30" i="80" s="1"/>
  <c r="T30" i="80" s="1"/>
  <c r="AK30" i="80" s="1"/>
  <c r="Q17" i="127"/>
  <c r="R17" i="127" s="1"/>
  <c r="S17" i="127" s="1"/>
  <c r="AJ17" i="127" s="1"/>
  <c r="Q74" i="127"/>
  <c r="R74" i="127" s="1"/>
  <c r="S74" i="127" s="1"/>
  <c r="AJ74" i="127" s="1"/>
  <c r="Q74" i="113"/>
  <c r="R74" i="113" s="1"/>
  <c r="S74" i="113" s="1"/>
  <c r="AJ74" i="113" s="1"/>
  <c r="Q65" i="114"/>
  <c r="R65" i="114" s="1"/>
  <c r="S65" i="114" s="1"/>
  <c r="AJ65" i="114" s="1"/>
  <c r="Q70" i="115"/>
  <c r="R70" i="115" s="1"/>
  <c r="S70" i="115" s="1"/>
  <c r="AJ70" i="115" s="1"/>
  <c r="Q14" i="117"/>
  <c r="R14" i="117" s="1"/>
  <c r="S14" i="117" s="1"/>
  <c r="AL14" i="117" s="1"/>
  <c r="Q30" i="113"/>
  <c r="R30" i="113" s="1"/>
  <c r="S30" i="113" s="1"/>
  <c r="AJ30" i="113" s="1"/>
  <c r="Q22" i="126"/>
  <c r="R22" i="126" s="1"/>
  <c r="S22" i="126" s="1"/>
  <c r="AJ22" i="126" s="1"/>
  <c r="Q27" i="128"/>
  <c r="R27" i="128" s="1"/>
  <c r="S27" i="128" s="1"/>
  <c r="AJ27" i="128" s="1"/>
  <c r="Q27" i="113"/>
  <c r="R27" i="113" s="1"/>
  <c r="S27" i="113" s="1"/>
  <c r="AJ27" i="113" s="1"/>
  <c r="Q61" i="128"/>
  <c r="R61" i="128" s="1"/>
  <c r="S61" i="128" s="1"/>
  <c r="AJ61" i="128" s="1"/>
  <c r="Q12" i="131"/>
  <c r="R12" i="131" s="1"/>
  <c r="S12" i="131" s="1"/>
  <c r="AJ12" i="131" s="1"/>
  <c r="Q14" i="120"/>
  <c r="R14" i="120" s="1"/>
  <c r="S14" i="120" s="1"/>
  <c r="AJ14" i="120" s="1"/>
  <c r="R18" i="80"/>
  <c r="S18" i="80" s="1"/>
  <c r="T18" i="80" s="1"/>
  <c r="AK18" i="80" s="1"/>
  <c r="Q41" i="116"/>
  <c r="R41" i="116" s="1"/>
  <c r="S41" i="116" s="1"/>
  <c r="AJ41" i="116" s="1"/>
  <c r="J71" i="67"/>
  <c r="K71" i="67" s="1"/>
  <c r="L71" i="67" s="1"/>
  <c r="Z71" i="67" s="1"/>
  <c r="Q50" i="117"/>
  <c r="R50" i="117" s="1"/>
  <c r="S50" i="117" s="1"/>
  <c r="AL50" i="117" s="1"/>
  <c r="Q49" i="126"/>
  <c r="R49" i="126" s="1"/>
  <c r="S49" i="126" s="1"/>
  <c r="AJ49" i="126" s="1"/>
  <c r="Q65" i="117"/>
  <c r="R65" i="117" s="1"/>
  <c r="S65" i="117" s="1"/>
  <c r="AL65" i="117" s="1"/>
  <c r="R68" i="80"/>
  <c r="S68" i="80" s="1"/>
  <c r="T68" i="80" s="1"/>
  <c r="AK68" i="80" s="1"/>
  <c r="Q18" i="127"/>
  <c r="R18" i="127" s="1"/>
  <c r="S18" i="127" s="1"/>
  <c r="AJ18" i="127" s="1"/>
  <c r="Q18" i="113"/>
  <c r="R18" i="113" s="1"/>
  <c r="S18" i="113" s="1"/>
  <c r="AJ18" i="113" s="1"/>
  <c r="Q9" i="127"/>
  <c r="R9" i="127" s="1"/>
  <c r="S9" i="127" s="1"/>
  <c r="AJ9" i="127" s="1"/>
  <c r="Q9" i="113"/>
  <c r="R9" i="113" s="1"/>
  <c r="S9" i="113" s="1"/>
  <c r="AJ9" i="113" s="1"/>
  <c r="Q25" i="127"/>
  <c r="R25" i="127" s="1"/>
  <c r="S25" i="127" s="1"/>
  <c r="AJ25" i="127" s="1"/>
  <c r="Q25" i="113"/>
  <c r="R25" i="113" s="1"/>
  <c r="S25" i="113" s="1"/>
  <c r="AJ25" i="113" s="1"/>
  <c r="Q50" i="116"/>
  <c r="R50" i="116" s="1"/>
  <c r="S50" i="116" s="1"/>
  <c r="AJ50" i="116" s="1"/>
  <c r="R37" i="76"/>
  <c r="S37" i="76" s="1"/>
  <c r="T37" i="76" s="1"/>
  <c r="AK37" i="76" s="1"/>
  <c r="Q39" i="115"/>
  <c r="R39" i="115" s="1"/>
  <c r="S39" i="115" s="1"/>
  <c r="AJ39" i="115" s="1"/>
  <c r="Q28" i="115"/>
  <c r="R28" i="115" s="1"/>
  <c r="S28" i="115" s="1"/>
  <c r="AJ28" i="115" s="1"/>
  <c r="Q71" i="114"/>
  <c r="R71" i="114" s="1"/>
  <c r="S71" i="114" s="1"/>
  <c r="AJ71" i="114" s="1"/>
  <c r="Q68" i="127"/>
  <c r="R68" i="127" s="1"/>
  <c r="S68" i="127" s="1"/>
  <c r="AJ68" i="127" s="1"/>
  <c r="Q68" i="131"/>
  <c r="R68" i="131" s="1"/>
  <c r="S68" i="131" s="1"/>
  <c r="AJ68" i="131" s="1"/>
  <c r="Q38" i="125"/>
  <c r="R38" i="125" s="1"/>
  <c r="S38" i="125" s="1"/>
  <c r="AJ38" i="125" s="1"/>
  <c r="Q38" i="127"/>
  <c r="R38" i="127" s="1"/>
  <c r="S38" i="127" s="1"/>
  <c r="AJ38" i="127" s="1"/>
  <c r="R36" i="76"/>
  <c r="S36" i="76" s="1"/>
  <c r="T36" i="76" s="1"/>
  <c r="AK36" i="76" s="1"/>
  <c r="Q36" i="128"/>
  <c r="R36" i="128" s="1"/>
  <c r="S36" i="128" s="1"/>
  <c r="AJ36" i="128" s="1"/>
  <c r="Q70" i="120"/>
  <c r="R70" i="120" s="1"/>
  <c r="S70" i="120" s="1"/>
  <c r="AJ70" i="120" s="1"/>
  <c r="J40" i="67"/>
  <c r="K40" i="67" s="1"/>
  <c r="L40" i="67" s="1"/>
  <c r="Z40" i="67" s="1"/>
  <c r="R12" i="80"/>
  <c r="S12" i="80" s="1"/>
  <c r="T12" i="80" s="1"/>
  <c r="AK12" i="80" s="1"/>
  <c r="Q39" i="118"/>
  <c r="R39" i="118" s="1"/>
  <c r="S39" i="118" s="1"/>
  <c r="AJ39" i="118" s="1"/>
  <c r="Q56" i="116"/>
  <c r="R56" i="116" s="1"/>
  <c r="S56" i="116" s="1"/>
  <c r="AJ56" i="116" s="1"/>
  <c r="J65" i="67"/>
  <c r="K65" i="67" s="1"/>
  <c r="L65" i="67" s="1"/>
  <c r="Z65" i="67" s="1"/>
  <c r="Q48" i="126"/>
  <c r="R48" i="126" s="1"/>
  <c r="S48" i="126" s="1"/>
  <c r="AJ48" i="126" s="1"/>
  <c r="Q44" i="125"/>
  <c r="R44" i="125" s="1"/>
  <c r="S44" i="125" s="1"/>
  <c r="AJ44" i="125" s="1"/>
  <c r="Q44" i="131"/>
  <c r="R44" i="131" s="1"/>
  <c r="S44" i="131" s="1"/>
  <c r="AJ44" i="131" s="1"/>
  <c r="Q17" i="126"/>
  <c r="R17" i="126" s="1"/>
  <c r="S17" i="126" s="1"/>
  <c r="AJ17" i="126" s="1"/>
  <c r="R15" i="80"/>
  <c r="S15" i="80" s="1"/>
  <c r="T15" i="80" s="1"/>
  <c r="AK15" i="80" s="1"/>
  <c r="Q19" i="113"/>
  <c r="R19" i="113" s="1"/>
  <c r="S19" i="113" s="1"/>
  <c r="AJ19" i="113" s="1"/>
  <c r="Q19" i="127"/>
  <c r="R19" i="127" s="1"/>
  <c r="S19" i="127" s="1"/>
  <c r="AJ19" i="127" s="1"/>
  <c r="J20" i="67"/>
  <c r="K20" i="67" s="1"/>
  <c r="L20" i="67" s="1"/>
  <c r="Z20" i="67" s="1"/>
  <c r="Q30" i="125"/>
  <c r="R30" i="125" s="1"/>
  <c r="S30" i="125" s="1"/>
  <c r="AJ30" i="125" s="1"/>
  <c r="R28" i="76"/>
  <c r="S28" i="76" s="1"/>
  <c r="T28" i="76" s="1"/>
  <c r="AK28" i="76" s="1"/>
  <c r="Q22" i="127"/>
  <c r="R22" i="127" s="1"/>
  <c r="S22" i="127" s="1"/>
  <c r="AJ22" i="127" s="1"/>
  <c r="Q22" i="131"/>
  <c r="R22" i="131" s="1"/>
  <c r="S22" i="131" s="1"/>
  <c r="AJ22" i="131" s="1"/>
  <c r="Q34" i="126"/>
  <c r="R34" i="126" s="1"/>
  <c r="S34" i="126" s="1"/>
  <c r="AJ34" i="126" s="1"/>
  <c r="Q34" i="125"/>
  <c r="R34" i="125" s="1"/>
  <c r="S34" i="125" s="1"/>
  <c r="AJ34" i="125" s="1"/>
  <c r="Q27" i="125"/>
  <c r="R27" i="125" s="1"/>
  <c r="S27" i="125" s="1"/>
  <c r="AJ27" i="125" s="1"/>
  <c r="Q27" i="127"/>
  <c r="R27" i="127" s="1"/>
  <c r="S27" i="127" s="1"/>
  <c r="AJ27" i="127" s="1"/>
  <c r="Q61" i="127"/>
  <c r="R61" i="127" s="1"/>
  <c r="S61" i="127" s="1"/>
  <c r="AJ61" i="127" s="1"/>
  <c r="Q55" i="126"/>
  <c r="R55" i="126" s="1"/>
  <c r="S55" i="126" s="1"/>
  <c r="AJ55" i="126" s="1"/>
  <c r="Q55" i="127"/>
  <c r="R55" i="127" s="1"/>
  <c r="S55" i="127" s="1"/>
  <c r="AJ55" i="127" s="1"/>
  <c r="R53" i="80"/>
  <c r="S53" i="80" s="1"/>
  <c r="T53" i="80" s="1"/>
  <c r="AK53" i="80" s="1"/>
  <c r="Q33" i="128"/>
  <c r="R33" i="128" s="1"/>
  <c r="S33" i="128" s="1"/>
  <c r="AJ33" i="128" s="1"/>
  <c r="Q33" i="127"/>
  <c r="R33" i="127" s="1"/>
  <c r="S33" i="127" s="1"/>
  <c r="AJ33" i="127" s="1"/>
  <c r="R31" i="76"/>
  <c r="S31" i="76" s="1"/>
  <c r="T31" i="76" s="1"/>
  <c r="AK31" i="76" s="1"/>
  <c r="Q12" i="127"/>
  <c r="R12" i="127" s="1"/>
  <c r="S12" i="127" s="1"/>
  <c r="AJ12" i="127" s="1"/>
  <c r="Q12" i="113"/>
  <c r="R12" i="113" s="1"/>
  <c r="S12" i="113" s="1"/>
  <c r="AJ12" i="113" s="1"/>
  <c r="Q42" i="128"/>
  <c r="R42" i="128" s="1"/>
  <c r="S42" i="128" s="1"/>
  <c r="AJ42" i="128" s="1"/>
  <c r="Q42" i="125"/>
  <c r="R42" i="125" s="1"/>
  <c r="S42" i="125" s="1"/>
  <c r="AJ42" i="125" s="1"/>
  <c r="Q14" i="115"/>
  <c r="R14" i="115" s="1"/>
  <c r="S14" i="115" s="1"/>
  <c r="AJ14" i="115" s="1"/>
  <c r="Q41" i="119"/>
  <c r="R41" i="119" s="1"/>
  <c r="S41" i="119" s="1"/>
  <c r="AJ41" i="119" s="1"/>
  <c r="Q70" i="117"/>
  <c r="R70" i="117" s="1"/>
  <c r="S70" i="117" s="1"/>
  <c r="AL70" i="117" s="1"/>
  <c r="R68" i="76"/>
  <c r="S68" i="76" s="1"/>
  <c r="T68" i="76" s="1"/>
  <c r="AK68" i="76" s="1"/>
  <c r="Q69" i="131"/>
  <c r="R69" i="131" s="1"/>
  <c r="S69" i="131" s="1"/>
  <c r="AJ69" i="131" s="1"/>
  <c r="Q69" i="127"/>
  <c r="R69" i="127" s="1"/>
  <c r="S69" i="127" s="1"/>
  <c r="AJ69" i="127" s="1"/>
  <c r="Q14" i="119"/>
  <c r="R14" i="119" s="1"/>
  <c r="S14" i="119" s="1"/>
  <c r="AJ14" i="119" s="1"/>
  <c r="Q56" i="115"/>
  <c r="R56" i="115" s="1"/>
  <c r="S56" i="115" s="1"/>
  <c r="AJ56" i="115" s="1"/>
  <c r="R47" i="80"/>
  <c r="S47" i="80" s="1"/>
  <c r="T47" i="80" s="1"/>
  <c r="AK47" i="80" s="1"/>
  <c r="R47" i="76"/>
  <c r="S47" i="76" s="1"/>
  <c r="T47" i="76" s="1"/>
  <c r="AK47" i="76" s="1"/>
  <c r="Q49" i="131"/>
  <c r="R49" i="131" s="1"/>
  <c r="S49" i="131" s="1"/>
  <c r="AJ49" i="131" s="1"/>
  <c r="R63" i="80"/>
  <c r="S63" i="80" s="1"/>
  <c r="T63" i="80" s="1"/>
  <c r="AK63" i="80" s="1"/>
  <c r="Q51" i="126"/>
  <c r="R51" i="126" s="1"/>
  <c r="S51" i="126" s="1"/>
  <c r="AJ51" i="126" s="1"/>
  <c r="Q51" i="113"/>
  <c r="R51" i="113" s="1"/>
  <c r="S51" i="113" s="1"/>
  <c r="AJ51" i="113" s="1"/>
  <c r="J14" i="67"/>
  <c r="K14" i="67" s="1"/>
  <c r="L14" i="67" s="1"/>
  <c r="Z14" i="67" s="1"/>
  <c r="Q32" i="120"/>
  <c r="R32" i="120" s="1"/>
  <c r="S32" i="120" s="1"/>
  <c r="AJ32" i="120" s="1"/>
  <c r="J70" i="67"/>
  <c r="K70" i="67" s="1"/>
  <c r="L70" i="67" s="1"/>
  <c r="Z70" i="67" s="1"/>
  <c r="Q66" i="131"/>
  <c r="R66" i="131" s="1"/>
  <c r="S66" i="131" s="1"/>
  <c r="AJ66" i="131" s="1"/>
  <c r="R64" i="76"/>
  <c r="S64" i="76" s="1"/>
  <c r="T64" i="76" s="1"/>
  <c r="AK64" i="76" s="1"/>
  <c r="R64" i="80"/>
  <c r="S64" i="80" s="1"/>
  <c r="T64" i="80" s="1"/>
  <c r="AK64" i="80" s="1"/>
  <c r="Q67" i="128"/>
  <c r="R67" i="128" s="1"/>
  <c r="S67" i="128" s="1"/>
  <c r="AJ67" i="128" s="1"/>
  <c r="Q67" i="126"/>
  <c r="R67" i="126" s="1"/>
  <c r="S67" i="126" s="1"/>
  <c r="AJ67" i="126" s="1"/>
  <c r="Q20" i="120"/>
  <c r="R20" i="120" s="1"/>
  <c r="S20" i="120" s="1"/>
  <c r="AJ20" i="120" s="1"/>
  <c r="R56" i="80"/>
  <c r="S56" i="80" s="1"/>
  <c r="T56" i="80" s="1"/>
  <c r="AK56" i="80" s="1"/>
  <c r="Q58" i="126"/>
  <c r="R58" i="126" s="1"/>
  <c r="S58" i="126" s="1"/>
  <c r="AJ58" i="126" s="1"/>
  <c r="R49" i="76"/>
  <c r="S49" i="76" s="1"/>
  <c r="T49" i="76" s="1"/>
  <c r="AK49" i="76" s="1"/>
  <c r="R34" i="76"/>
  <c r="S34" i="76" s="1"/>
  <c r="T34" i="76" s="1"/>
  <c r="AK34" i="76" s="1"/>
  <c r="Q40" i="114"/>
  <c r="R40" i="114" s="1"/>
  <c r="S40" i="114" s="1"/>
  <c r="AJ40" i="114" s="1"/>
  <c r="Q9" i="131"/>
  <c r="R9" i="131" s="1"/>
  <c r="S9" i="131" s="1"/>
  <c r="AJ9" i="131" s="1"/>
  <c r="Q9" i="125"/>
  <c r="R9" i="125" s="1"/>
  <c r="S9" i="125" s="1"/>
  <c r="AJ9" i="125" s="1"/>
  <c r="Q25" i="125"/>
  <c r="R25" i="125" s="1"/>
  <c r="S25" i="125" s="1"/>
  <c r="AJ25" i="125" s="1"/>
  <c r="Q71" i="118"/>
  <c r="R71" i="118" s="1"/>
  <c r="S71" i="118" s="1"/>
  <c r="AJ71" i="118" s="1"/>
  <c r="J56" i="67"/>
  <c r="K56" i="67" s="1"/>
  <c r="L56" i="67" s="1"/>
  <c r="Z56" i="67" s="1"/>
  <c r="Q32" i="115"/>
  <c r="R32" i="115" s="1"/>
  <c r="S32" i="115" s="1"/>
  <c r="AJ32" i="115" s="1"/>
  <c r="Q38" i="131"/>
  <c r="R38" i="131" s="1"/>
  <c r="S38" i="131" s="1"/>
  <c r="AJ38" i="131" s="1"/>
  <c r="Q36" i="126"/>
  <c r="R36" i="126" s="1"/>
  <c r="S36" i="126" s="1"/>
  <c r="AJ36" i="126" s="1"/>
  <c r="Q36" i="125"/>
  <c r="R36" i="125" s="1"/>
  <c r="S36" i="125" s="1"/>
  <c r="AJ36" i="125" s="1"/>
  <c r="Q39" i="117"/>
  <c r="R39" i="117" s="1"/>
  <c r="S39" i="117" s="1"/>
  <c r="AL39" i="117" s="1"/>
  <c r="Q48" i="128"/>
  <c r="R48" i="128" s="1"/>
  <c r="S48" i="128" s="1"/>
  <c r="AJ48" i="128" s="1"/>
  <c r="Q48" i="113"/>
  <c r="R48" i="113" s="1"/>
  <c r="S48" i="113" s="1"/>
  <c r="AJ48" i="113" s="1"/>
  <c r="Q44" i="113"/>
  <c r="R44" i="113" s="1"/>
  <c r="S44" i="113" s="1"/>
  <c r="AJ44" i="113" s="1"/>
  <c r="R30" i="76"/>
  <c r="S30" i="76" s="1"/>
  <c r="T30" i="76" s="1"/>
  <c r="AK30" i="76" s="1"/>
  <c r="J41" i="67"/>
  <c r="K41" i="67" s="1"/>
  <c r="L41" i="67" s="1"/>
  <c r="Z41" i="67" s="1"/>
  <c r="Q17" i="113"/>
  <c r="R17" i="113" s="1"/>
  <c r="S17" i="113" s="1"/>
  <c r="AJ17" i="113" s="1"/>
  <c r="J32" i="67"/>
  <c r="K32" i="67" s="1"/>
  <c r="L32" i="67" s="1"/>
  <c r="Z32" i="67" s="1"/>
  <c r="Q19" i="126"/>
  <c r="R19" i="126" s="1"/>
  <c r="S19" i="126" s="1"/>
  <c r="AJ19" i="126" s="1"/>
  <c r="Q74" i="126"/>
  <c r="R74" i="126" s="1"/>
  <c r="S74" i="126" s="1"/>
  <c r="AJ74" i="126" s="1"/>
  <c r="Q65" i="115"/>
  <c r="R65" i="115" s="1"/>
  <c r="S65" i="115" s="1"/>
  <c r="AJ65" i="115" s="1"/>
  <c r="Q10" i="126"/>
  <c r="R10" i="126" s="1"/>
  <c r="S10" i="126" s="1"/>
  <c r="AJ10" i="126" s="1"/>
  <c r="Q10" i="131"/>
  <c r="R10" i="131" s="1"/>
  <c r="S10" i="131" s="1"/>
  <c r="AJ10" i="131" s="1"/>
  <c r="Q10" i="128"/>
  <c r="R10" i="128" s="1"/>
  <c r="S10" i="128" s="1"/>
  <c r="AJ10" i="128" s="1"/>
  <c r="Q70" i="116"/>
  <c r="R70" i="116" s="1"/>
  <c r="S70" i="116" s="1"/>
  <c r="AJ70" i="116" s="1"/>
  <c r="Q50" i="115"/>
  <c r="R50" i="115" s="1"/>
  <c r="S50" i="115" s="1"/>
  <c r="AJ50" i="115" s="1"/>
  <c r="Q39" i="114"/>
  <c r="R39" i="114" s="1"/>
  <c r="S39" i="114" s="1"/>
  <c r="AJ39" i="114" s="1"/>
  <c r="Q30" i="127"/>
  <c r="R30" i="127" s="1"/>
  <c r="S30" i="127" s="1"/>
  <c r="AJ30" i="127" s="1"/>
  <c r="Q30" i="128"/>
  <c r="R30" i="128" s="1"/>
  <c r="S30" i="128" s="1"/>
  <c r="AJ30" i="128" s="1"/>
  <c r="Q22" i="128"/>
  <c r="R22" i="128" s="1"/>
  <c r="S22" i="128" s="1"/>
  <c r="AJ22" i="128" s="1"/>
  <c r="Q22" i="125"/>
  <c r="R22" i="125" s="1"/>
  <c r="S22" i="125" s="1"/>
  <c r="AJ22" i="125" s="1"/>
  <c r="Q28" i="117"/>
  <c r="R28" i="117" s="1"/>
  <c r="S28" i="117" s="1"/>
  <c r="AL28" i="117" s="1"/>
  <c r="Q20" i="115"/>
  <c r="R20" i="115" s="1"/>
  <c r="S20" i="115" s="1"/>
  <c r="AJ20" i="115" s="1"/>
  <c r="Q20" i="117"/>
  <c r="R20" i="117" s="1"/>
  <c r="S20" i="117" s="1"/>
  <c r="AL20" i="117" s="1"/>
  <c r="Q34" i="131"/>
  <c r="R34" i="131" s="1"/>
  <c r="S34" i="131" s="1"/>
  <c r="AJ34" i="131" s="1"/>
  <c r="Q34" i="127"/>
  <c r="R34" i="127" s="1"/>
  <c r="S34" i="127" s="1"/>
  <c r="AJ34" i="127" s="1"/>
  <c r="Q34" i="128"/>
  <c r="R34" i="128" s="1"/>
  <c r="S34" i="128" s="1"/>
  <c r="AJ34" i="128" s="1"/>
  <c r="Q71" i="116"/>
  <c r="R71" i="116" s="1"/>
  <c r="S71" i="116" s="1"/>
  <c r="AJ71" i="116" s="1"/>
  <c r="Q32" i="117"/>
  <c r="R32" i="117" s="1"/>
  <c r="S32" i="117" s="1"/>
  <c r="AL32" i="117" s="1"/>
  <c r="Q32" i="118"/>
  <c r="R32" i="118" s="1"/>
  <c r="S32" i="118" s="1"/>
  <c r="AJ32" i="118" s="1"/>
  <c r="Q61" i="126"/>
  <c r="R61" i="126" s="1"/>
  <c r="S61" i="126" s="1"/>
  <c r="AJ61" i="126" s="1"/>
  <c r="R59" i="80"/>
  <c r="S59" i="80" s="1"/>
  <c r="T59" i="80" s="1"/>
  <c r="AK59" i="80" s="1"/>
  <c r="Q61" i="131"/>
  <c r="R61" i="131" s="1"/>
  <c r="S61" i="131" s="1"/>
  <c r="AJ61" i="131" s="1"/>
  <c r="Q55" i="125"/>
  <c r="R55" i="125" s="1"/>
  <c r="S55" i="125" s="1"/>
  <c r="AJ55" i="125" s="1"/>
  <c r="Q55" i="128"/>
  <c r="R55" i="128" s="1"/>
  <c r="S55" i="128" s="1"/>
  <c r="AJ55" i="128" s="1"/>
  <c r="Q55" i="131"/>
  <c r="R55" i="131" s="1"/>
  <c r="S55" i="131" s="1"/>
  <c r="AJ55" i="131" s="1"/>
  <c r="Q12" i="125"/>
  <c r="R12" i="125" s="1"/>
  <c r="S12" i="125" s="1"/>
  <c r="AJ12" i="125" s="1"/>
  <c r="Q42" i="126"/>
  <c r="R42" i="126" s="1"/>
  <c r="S42" i="126" s="1"/>
  <c r="AJ42" i="126" s="1"/>
  <c r="Q42" i="113"/>
  <c r="R42" i="113" s="1"/>
  <c r="S42" i="113" s="1"/>
  <c r="AJ42" i="113" s="1"/>
  <c r="Q40" i="115"/>
  <c r="R40" i="115" s="1"/>
  <c r="S40" i="115" s="1"/>
  <c r="AJ40" i="115" s="1"/>
  <c r="Q70" i="118"/>
  <c r="R70" i="118" s="1"/>
  <c r="S70" i="118" s="1"/>
  <c r="AJ70" i="118" s="1"/>
  <c r="R18" i="76"/>
  <c r="S18" i="76" s="1"/>
  <c r="T18" i="76" s="1"/>
  <c r="AK18" i="76" s="1"/>
  <c r="Q71" i="120"/>
  <c r="R71" i="120" s="1"/>
  <c r="S71" i="120" s="1"/>
  <c r="AJ71" i="120" s="1"/>
  <c r="Q41" i="114"/>
  <c r="R41" i="114" s="1"/>
  <c r="S41" i="114" s="1"/>
  <c r="AJ41" i="114" s="1"/>
  <c r="Q32" i="114"/>
  <c r="R32" i="114" s="1"/>
  <c r="S32" i="114" s="1"/>
  <c r="AJ32" i="114" s="1"/>
  <c r="R13" i="76"/>
  <c r="S13" i="76" s="1"/>
  <c r="T13" i="76" s="1"/>
  <c r="AK13" i="76" s="1"/>
  <c r="Q41" i="118"/>
  <c r="R41" i="118" s="1"/>
  <c r="S41" i="118" s="1"/>
  <c r="AJ41" i="118" s="1"/>
  <c r="Q69" i="126"/>
  <c r="R69" i="126" s="1"/>
  <c r="S69" i="126" s="1"/>
  <c r="AJ69" i="126" s="1"/>
  <c r="Q50" i="118"/>
  <c r="R50" i="118" s="1"/>
  <c r="S50" i="118" s="1"/>
  <c r="AJ50" i="118" s="1"/>
  <c r="R12" i="76"/>
  <c r="S12" i="76" s="1"/>
  <c r="T12" i="76" s="1"/>
  <c r="AK12" i="76" s="1"/>
  <c r="Q49" i="125"/>
  <c r="R49" i="125" s="1"/>
  <c r="S49" i="125" s="1"/>
  <c r="AJ49" i="125" s="1"/>
  <c r="Q49" i="113"/>
  <c r="R49" i="113" s="1"/>
  <c r="S49" i="113" s="1"/>
  <c r="AJ49" i="113" s="1"/>
  <c r="Q49" i="128"/>
  <c r="R49" i="128" s="1"/>
  <c r="S49" i="128" s="1"/>
  <c r="AJ49" i="128" s="1"/>
  <c r="Q65" i="118"/>
  <c r="R65" i="118" s="1"/>
  <c r="S65" i="118" s="1"/>
  <c r="AJ65" i="118" s="1"/>
  <c r="Q51" i="128"/>
  <c r="R51" i="128" s="1"/>
  <c r="S51" i="128" s="1"/>
  <c r="AJ51" i="128" s="1"/>
  <c r="Q76" i="125"/>
  <c r="R76" i="125" s="1"/>
  <c r="S76" i="125" s="1"/>
  <c r="AJ76" i="125" s="1"/>
  <c r="Q76" i="126"/>
  <c r="R76" i="126" s="1"/>
  <c r="S76" i="126" s="1"/>
  <c r="AJ76" i="126" s="1"/>
  <c r="Q76" i="131"/>
  <c r="R76" i="131" s="1"/>
  <c r="S76" i="131" s="1"/>
  <c r="AJ76" i="131" s="1"/>
  <c r="Q66" i="126"/>
  <c r="R66" i="126" s="1"/>
  <c r="S66" i="126" s="1"/>
  <c r="AJ66" i="126" s="1"/>
  <c r="Q66" i="125"/>
  <c r="R66" i="125" s="1"/>
  <c r="S66" i="125" s="1"/>
  <c r="AJ66" i="125" s="1"/>
  <c r="R65" i="76"/>
  <c r="S65" i="76" s="1"/>
  <c r="T65" i="76" s="1"/>
  <c r="AK65" i="76" s="1"/>
  <c r="Q67" i="125"/>
  <c r="R67" i="125" s="1"/>
  <c r="S67" i="125" s="1"/>
  <c r="AJ67" i="125" s="1"/>
  <c r="Q67" i="127"/>
  <c r="R67" i="127" s="1"/>
  <c r="S67" i="127" s="1"/>
  <c r="AJ67" i="127" s="1"/>
  <c r="R56" i="76"/>
  <c r="S56" i="76" s="1"/>
  <c r="T56" i="76" s="1"/>
  <c r="AK56" i="76" s="1"/>
  <c r="Q58" i="128"/>
  <c r="R58" i="128" s="1"/>
  <c r="S58" i="128" s="1"/>
  <c r="AJ58" i="128" s="1"/>
  <c r="Q18" i="126"/>
  <c r="R18" i="126" s="1"/>
  <c r="S18" i="126" s="1"/>
  <c r="AJ18" i="126" s="1"/>
  <c r="Q18" i="131"/>
  <c r="R18" i="131" s="1"/>
  <c r="S18" i="131" s="1"/>
  <c r="AJ18" i="131" s="1"/>
  <c r="Q9" i="128"/>
  <c r="R9" i="128" s="1"/>
  <c r="S9" i="128" s="1"/>
  <c r="AJ9" i="128" s="1"/>
  <c r="Q25" i="128"/>
  <c r="R25" i="128" s="1"/>
  <c r="S25" i="128" s="1"/>
  <c r="AJ25" i="128" s="1"/>
  <c r="Q25" i="131"/>
  <c r="R25" i="131" s="1"/>
  <c r="S25" i="131" s="1"/>
  <c r="AJ25" i="131" s="1"/>
  <c r="Q50" i="114"/>
  <c r="R50" i="114" s="1"/>
  <c r="S50" i="114" s="1"/>
  <c r="AJ50" i="114" s="1"/>
  <c r="Q39" i="116"/>
  <c r="R39" i="116" s="1"/>
  <c r="S39" i="116" s="1"/>
  <c r="AJ39" i="116" s="1"/>
  <c r="Q56" i="120"/>
  <c r="R56" i="120" s="1"/>
  <c r="S56" i="120" s="1"/>
  <c r="AJ56" i="120" s="1"/>
  <c r="Q56" i="114"/>
  <c r="R56" i="114" s="1"/>
  <c r="S56" i="114" s="1"/>
  <c r="AJ56" i="114" s="1"/>
  <c r="Q28" i="116"/>
  <c r="R28" i="116" s="1"/>
  <c r="S28" i="116" s="1"/>
  <c r="AJ28" i="116" s="1"/>
  <c r="R66" i="76"/>
  <c r="S66" i="76" s="1"/>
  <c r="T66" i="76" s="1"/>
  <c r="AK66" i="76" s="1"/>
  <c r="Q68" i="125"/>
  <c r="R68" i="125" s="1"/>
  <c r="S68" i="125" s="1"/>
  <c r="AJ68" i="125" s="1"/>
  <c r="Q68" i="113"/>
  <c r="R68" i="113" s="1"/>
  <c r="S68" i="113" s="1"/>
  <c r="AJ68" i="113" s="1"/>
  <c r="Q32" i="119"/>
  <c r="R32" i="119" s="1"/>
  <c r="S32" i="119" s="1"/>
  <c r="AJ32" i="119" s="1"/>
  <c r="Q38" i="128"/>
  <c r="R38" i="128" s="1"/>
  <c r="S38" i="128" s="1"/>
  <c r="AJ38" i="128" s="1"/>
  <c r="Q38" i="126"/>
  <c r="R38" i="126" s="1"/>
  <c r="S38" i="126" s="1"/>
  <c r="AJ38" i="126" s="1"/>
  <c r="Q65" i="119"/>
  <c r="R65" i="119" s="1"/>
  <c r="S65" i="119" s="1"/>
  <c r="AJ65" i="119" s="1"/>
  <c r="Q36" i="131"/>
  <c r="R36" i="131" s="1"/>
  <c r="S36" i="131" s="1"/>
  <c r="AJ36" i="131" s="1"/>
  <c r="R37" i="80"/>
  <c r="S37" i="80" s="1"/>
  <c r="T37" i="80" s="1"/>
  <c r="AK37" i="80" s="1"/>
  <c r="Q20" i="118"/>
  <c r="R20" i="118" s="1"/>
  <c r="S20" i="118" s="1"/>
  <c r="AJ20" i="118" s="1"/>
  <c r="Q48" i="127"/>
  <c r="R48" i="127" s="1"/>
  <c r="S48" i="127" s="1"/>
  <c r="AJ48" i="127" s="1"/>
  <c r="Q44" i="127"/>
  <c r="R44" i="127" s="1"/>
  <c r="S44" i="127" s="1"/>
  <c r="AJ44" i="127" s="1"/>
  <c r="Q44" i="128"/>
  <c r="R44" i="128" s="1"/>
  <c r="S44" i="128" s="1"/>
  <c r="AJ44" i="128" s="1"/>
  <c r="Q17" i="131"/>
  <c r="R17" i="131" s="1"/>
  <c r="S17" i="131" s="1"/>
  <c r="AJ17" i="131" s="1"/>
  <c r="Q17" i="125"/>
  <c r="R17" i="125" s="1"/>
  <c r="S17" i="125" s="1"/>
  <c r="AJ17" i="125" s="1"/>
  <c r="Q40" i="116"/>
  <c r="R40" i="116" s="1"/>
  <c r="S40" i="116" s="1"/>
  <c r="AJ40" i="116" s="1"/>
  <c r="Q10" i="113"/>
  <c r="R10" i="113" s="1"/>
  <c r="S10" i="113" s="1"/>
  <c r="AJ10" i="113" s="1"/>
  <c r="Q10" i="127"/>
  <c r="R10" i="127" s="1"/>
  <c r="S10" i="127" s="1"/>
  <c r="AJ10" i="127" s="1"/>
  <c r="Q10" i="125"/>
  <c r="R10" i="125" s="1"/>
  <c r="S10" i="125" s="1"/>
  <c r="AJ10" i="125" s="1"/>
  <c r="Q39" i="120"/>
  <c r="R39" i="120" s="1"/>
  <c r="S39" i="120" s="1"/>
  <c r="AJ39" i="120" s="1"/>
  <c r="Q56" i="117"/>
  <c r="R56" i="117" s="1"/>
  <c r="S56" i="117" s="1"/>
  <c r="AL56" i="117" s="1"/>
  <c r="Q30" i="126"/>
  <c r="R30" i="126" s="1"/>
  <c r="S30" i="126" s="1"/>
  <c r="AJ30" i="126" s="1"/>
  <c r="Q22" i="113"/>
  <c r="R22" i="113" s="1"/>
  <c r="S22" i="113" s="1"/>
  <c r="AJ22" i="113" s="1"/>
  <c r="Q34" i="113"/>
  <c r="R34" i="113" s="1"/>
  <c r="S34" i="113" s="1"/>
  <c r="AJ34" i="113" s="1"/>
  <c r="Q71" i="115"/>
  <c r="R71" i="115" s="1"/>
  <c r="S71" i="115" s="1"/>
  <c r="AJ71" i="115" s="1"/>
  <c r="Q41" i="115"/>
  <c r="R41" i="115" s="1"/>
  <c r="S41" i="115" s="1"/>
  <c r="AJ41" i="115" s="1"/>
  <c r="Q27" i="126"/>
  <c r="R27" i="126" s="1"/>
  <c r="S27" i="126" s="1"/>
  <c r="AJ27" i="126" s="1"/>
  <c r="Q27" i="131"/>
  <c r="R27" i="131" s="1"/>
  <c r="S27" i="131" s="1"/>
  <c r="AJ27" i="131" s="1"/>
  <c r="Q61" i="125"/>
  <c r="R61" i="125" s="1"/>
  <c r="S61" i="125" s="1"/>
  <c r="AJ61" i="125" s="1"/>
  <c r="R59" i="76"/>
  <c r="S59" i="76" s="1"/>
  <c r="T59" i="76" s="1"/>
  <c r="AK59" i="76" s="1"/>
  <c r="Q61" i="113"/>
  <c r="R61" i="113" s="1"/>
  <c r="S61" i="113" s="1"/>
  <c r="AJ61" i="113" s="1"/>
  <c r="R53" i="76"/>
  <c r="S53" i="76" s="1"/>
  <c r="T53" i="76" s="1"/>
  <c r="AK53" i="76" s="1"/>
  <c r="Q55" i="113"/>
  <c r="R55" i="113" s="1"/>
  <c r="S55" i="113" s="1"/>
  <c r="AJ55" i="113" s="1"/>
  <c r="Q33" i="113"/>
  <c r="R33" i="113" s="1"/>
  <c r="S33" i="113" s="1"/>
  <c r="AJ33" i="113" s="1"/>
  <c r="Q33" i="126"/>
  <c r="R33" i="126" s="1"/>
  <c r="S33" i="126" s="1"/>
  <c r="AJ33" i="126" s="1"/>
  <c r="Q42" i="127"/>
  <c r="R42" i="127" s="1"/>
  <c r="S42" i="127" s="1"/>
  <c r="AJ42" i="127" s="1"/>
  <c r="Q42" i="131"/>
  <c r="R42" i="131" s="1"/>
  <c r="S42" i="131" s="1"/>
  <c r="AJ42" i="131" s="1"/>
  <c r="J39" i="67"/>
  <c r="K39" i="67" s="1"/>
  <c r="L39" i="67" s="1"/>
  <c r="Z39" i="67" s="1"/>
  <c r="Q50" i="120"/>
  <c r="R50" i="120" s="1"/>
  <c r="S50" i="120" s="1"/>
  <c r="AJ50" i="120" s="1"/>
  <c r="Q70" i="119"/>
  <c r="R70" i="119" s="1"/>
  <c r="S70" i="119" s="1"/>
  <c r="AJ70" i="119" s="1"/>
  <c r="Q70" i="114"/>
  <c r="R70" i="114" s="1"/>
  <c r="S70" i="114" s="1"/>
  <c r="AJ70" i="114" s="1"/>
  <c r="Q69" i="125"/>
  <c r="R69" i="125" s="1"/>
  <c r="S69" i="125" s="1"/>
  <c r="AJ69" i="125" s="1"/>
  <c r="Q39" i="119"/>
  <c r="R39" i="119" s="1"/>
  <c r="S39" i="119" s="1"/>
  <c r="AJ39" i="119" s="1"/>
  <c r="Q51" i="127"/>
  <c r="R51" i="127" s="1"/>
  <c r="S51" i="127" s="1"/>
  <c r="AJ51" i="127" s="1"/>
  <c r="R74" i="80"/>
  <c r="S74" i="80" s="1"/>
  <c r="T74" i="80" s="1"/>
  <c r="AK74" i="80" s="1"/>
  <c r="Q76" i="113"/>
  <c r="R76" i="113" s="1"/>
  <c r="S76" i="113" s="1"/>
  <c r="AJ76" i="113" s="1"/>
  <c r="Q15" i="117"/>
  <c r="R15" i="117" s="1"/>
  <c r="S15" i="117" s="1"/>
  <c r="AL15" i="117" s="1"/>
  <c r="R65" i="80"/>
  <c r="S65" i="80" s="1"/>
  <c r="T65" i="80" s="1"/>
  <c r="AK65" i="80" s="1"/>
  <c r="Q58" i="131"/>
  <c r="R58" i="131" s="1"/>
  <c r="S58" i="131" s="1"/>
  <c r="AJ58" i="131" s="1"/>
  <c r="Q18" i="128"/>
  <c r="R18" i="128" s="1"/>
  <c r="S18" i="128" s="1"/>
  <c r="AJ18" i="128" s="1"/>
  <c r="Q9" i="126"/>
  <c r="R9" i="126" s="1"/>
  <c r="S9" i="126" s="1"/>
  <c r="AJ9" i="126" s="1"/>
  <c r="Q25" i="126"/>
  <c r="R25" i="126" s="1"/>
  <c r="S25" i="126" s="1"/>
  <c r="AJ25" i="126" s="1"/>
  <c r="Q56" i="118"/>
  <c r="R56" i="118" s="1"/>
  <c r="S56" i="118" s="1"/>
  <c r="AJ56" i="118" s="1"/>
  <c r="R66" i="80"/>
  <c r="S66" i="80" s="1"/>
  <c r="T66" i="80" s="1"/>
  <c r="AK66" i="80" s="1"/>
  <c r="Q68" i="128"/>
  <c r="R68" i="128" s="1"/>
  <c r="S68" i="128" s="1"/>
  <c r="AJ68" i="128" s="1"/>
  <c r="Q65" i="116"/>
  <c r="R65" i="116" s="1"/>
  <c r="S65" i="116" s="1"/>
  <c r="AJ65" i="116" s="1"/>
  <c r="Q36" i="113"/>
  <c r="R36" i="113" s="1"/>
  <c r="S36" i="113" s="1"/>
  <c r="AJ36" i="113" s="1"/>
  <c r="Q48" i="125"/>
  <c r="R48" i="125" s="1"/>
  <c r="S48" i="125" s="1"/>
  <c r="AJ48" i="125" s="1"/>
  <c r="Q44" i="126"/>
  <c r="R44" i="126" s="1"/>
  <c r="S44" i="126" s="1"/>
  <c r="AJ44" i="126" s="1"/>
  <c r="Q15" i="114"/>
  <c r="R15" i="114" s="1"/>
  <c r="S15" i="114" s="1"/>
  <c r="AJ15" i="114" s="1"/>
  <c r="Q17" i="128"/>
  <c r="R17" i="128" s="1"/>
  <c r="S17" i="128" s="1"/>
  <c r="AJ17" i="128" s="1"/>
  <c r="Q74" i="131"/>
  <c r="R74" i="131" s="1"/>
  <c r="S74" i="131" s="1"/>
  <c r="AJ74" i="131" s="1"/>
  <c r="Q74" i="128"/>
  <c r="R74" i="128" s="1"/>
  <c r="S74" i="128" s="1"/>
  <c r="AJ74" i="128" s="1"/>
  <c r="Q56" i="119"/>
  <c r="R56" i="119" s="1"/>
  <c r="S56" i="119" s="1"/>
  <c r="AJ56" i="119" s="1"/>
  <c r="Q30" i="131"/>
  <c r="R30" i="131" s="1"/>
  <c r="S30" i="131" s="1"/>
  <c r="AJ30" i="131" s="1"/>
  <c r="J50" i="67"/>
  <c r="K50" i="67" s="1"/>
  <c r="L50" i="67" s="1"/>
  <c r="Z50" i="67" s="1"/>
  <c r="Q33" i="125"/>
  <c r="R33" i="125" s="1"/>
  <c r="S33" i="125" s="1"/>
  <c r="AJ33" i="125" s="1"/>
  <c r="Q33" i="131"/>
  <c r="R33" i="131" s="1"/>
  <c r="S33" i="131" s="1"/>
  <c r="AJ33" i="131" s="1"/>
  <c r="Q12" i="126"/>
  <c r="R12" i="126" s="1"/>
  <c r="S12" i="126" s="1"/>
  <c r="AJ12" i="126" s="1"/>
  <c r="Q12" i="128"/>
  <c r="R12" i="128" s="1"/>
  <c r="S12" i="128" s="1"/>
  <c r="AJ12" i="128" s="1"/>
  <c r="Q71" i="119"/>
  <c r="R71" i="119" s="1"/>
  <c r="S71" i="119" s="1"/>
  <c r="AJ71" i="119" s="1"/>
  <c r="Q15" i="120"/>
  <c r="R15" i="120" s="1"/>
  <c r="S15" i="120" s="1"/>
  <c r="AJ15" i="120" s="1"/>
  <c r="Q69" i="128"/>
  <c r="R69" i="128" s="1"/>
  <c r="S69" i="128" s="1"/>
  <c r="AJ69" i="128" s="1"/>
  <c r="Q69" i="113"/>
  <c r="R69" i="113" s="1"/>
  <c r="S69" i="113" s="1"/>
  <c r="AJ69" i="113" s="1"/>
  <c r="R54" i="76"/>
  <c r="S54" i="76" s="1"/>
  <c r="T54" i="76" s="1"/>
  <c r="AK54" i="76" s="1"/>
  <c r="Q49" i="127"/>
  <c r="R49" i="127" s="1"/>
  <c r="S49" i="127" s="1"/>
  <c r="AJ49" i="127" s="1"/>
  <c r="R74" i="76"/>
  <c r="S74" i="76" s="1"/>
  <c r="T74" i="76" s="1"/>
  <c r="AK74" i="76" s="1"/>
  <c r="Q76" i="127"/>
  <c r="R76" i="127" s="1"/>
  <c r="S76" i="127" s="1"/>
  <c r="AJ76" i="127" s="1"/>
  <c r="Q76" i="128"/>
  <c r="R76" i="128" s="1"/>
  <c r="S76" i="128" s="1"/>
  <c r="AJ76" i="128" s="1"/>
  <c r="Q66" i="113"/>
  <c r="R66" i="113" s="1"/>
  <c r="S66" i="113" s="1"/>
  <c r="AJ66" i="113" s="1"/>
  <c r="Q66" i="127"/>
  <c r="R66" i="127" s="1"/>
  <c r="S66" i="127" s="1"/>
  <c r="AJ66" i="127" s="1"/>
  <c r="Q66" i="128"/>
  <c r="R66" i="128" s="1"/>
  <c r="S66" i="128" s="1"/>
  <c r="AJ66" i="128" s="1"/>
  <c r="Q67" i="131"/>
  <c r="R67" i="131" s="1"/>
  <c r="S67" i="131" s="1"/>
  <c r="AJ67" i="131" s="1"/>
  <c r="Q67" i="113"/>
  <c r="R67" i="113" s="1"/>
  <c r="S67" i="113" s="1"/>
  <c r="AJ67" i="113" s="1"/>
  <c r="Q28" i="119"/>
  <c r="R28" i="119" s="1"/>
  <c r="S28" i="119" s="1"/>
  <c r="AJ28" i="119" s="1"/>
  <c r="Q71" i="117"/>
  <c r="R71" i="117" s="1"/>
  <c r="S71" i="117" s="1"/>
  <c r="AL71" i="117" s="1"/>
  <c r="Q58" i="127"/>
  <c r="R58" i="127" s="1"/>
  <c r="S58" i="127" s="1"/>
  <c r="AJ58" i="127" s="1"/>
  <c r="Q58" i="125"/>
  <c r="R58" i="125" s="1"/>
  <c r="S58" i="125" s="1"/>
  <c r="AJ58" i="125" s="1"/>
  <c r="Q58" i="113"/>
  <c r="R58" i="113" s="1"/>
  <c r="S58" i="113" s="1"/>
  <c r="AJ58" i="113" s="1"/>
  <c r="R22" i="80"/>
  <c r="S22" i="80" s="1"/>
  <c r="T22" i="80" s="1"/>
  <c r="AK22" i="80" s="1"/>
  <c r="Q24" i="114"/>
  <c r="R24" i="114" s="1"/>
  <c r="S24" i="114" s="1"/>
  <c r="AJ24" i="114" s="1"/>
  <c r="Q24" i="115"/>
  <c r="R24" i="115" s="1"/>
  <c r="S24" i="115" s="1"/>
  <c r="AJ24" i="115" s="1"/>
  <c r="Q24" i="118"/>
  <c r="R24" i="118" s="1"/>
  <c r="S24" i="118" s="1"/>
  <c r="AJ24" i="118" s="1"/>
  <c r="J24" i="67"/>
  <c r="K24" i="67" s="1"/>
  <c r="L24" i="67" s="1"/>
  <c r="Z24" i="67" s="1"/>
  <c r="Q24" i="116"/>
  <c r="R24" i="116" s="1"/>
  <c r="S24" i="116" s="1"/>
  <c r="AJ24" i="116" s="1"/>
  <c r="R22" i="76"/>
  <c r="S22" i="76" s="1"/>
  <c r="T22" i="76" s="1"/>
  <c r="AK22" i="76" s="1"/>
  <c r="J48" i="46"/>
  <c r="J51" i="46" s="1"/>
  <c r="Q24" i="117"/>
  <c r="R24" i="117" s="1"/>
  <c r="S24" i="117" s="1"/>
  <c r="AL24" i="117" s="1"/>
  <c r="Q24" i="120"/>
  <c r="R24" i="120" s="1"/>
  <c r="S24" i="120" s="1"/>
  <c r="AJ24" i="120" s="1"/>
  <c r="T10" i="46"/>
  <c r="Q24" i="119"/>
  <c r="R24" i="119" s="1"/>
  <c r="S24" i="119" s="1"/>
  <c r="AJ24" i="119" s="1"/>
  <c r="R67" i="76"/>
  <c r="S67" i="76" s="1"/>
  <c r="T67" i="76" s="1"/>
  <c r="AK67" i="76" s="1"/>
  <c r="AB23" i="33"/>
  <c r="AC23" i="33" s="1"/>
  <c r="AD23" i="33" s="1"/>
  <c r="C22" i="72" s="1"/>
  <c r="X22" i="72" s="1"/>
  <c r="AR22" i="72" s="1"/>
  <c r="R67" i="80"/>
  <c r="S67" i="80" s="1"/>
  <c r="T67" i="80" s="1"/>
  <c r="AK67" i="80" s="1"/>
  <c r="R44" i="76"/>
  <c r="S44" i="76" s="1"/>
  <c r="T44" i="76" s="1"/>
  <c r="AK44" i="76" s="1"/>
  <c r="AB75" i="33"/>
  <c r="AC75" i="33" s="1"/>
  <c r="AD75" i="33" s="1"/>
  <c r="C74" i="72" s="1"/>
  <c r="X74" i="72" s="1"/>
  <c r="AR74" i="72" s="1"/>
  <c r="AB62" i="33"/>
  <c r="AC62" i="33" s="1"/>
  <c r="AD62" i="33" s="1"/>
  <c r="C61" i="72" s="1"/>
  <c r="X61" i="72" s="1"/>
  <c r="AR61" i="72" s="1"/>
  <c r="AB13" i="33"/>
  <c r="AC13" i="33" s="1"/>
  <c r="AD13" i="33" s="1"/>
  <c r="C12" i="72" s="1"/>
  <c r="X12" i="72" s="1"/>
  <c r="AR12" i="72" s="1"/>
  <c r="R44" i="80"/>
  <c r="S44" i="80" s="1"/>
  <c r="T44" i="80" s="1"/>
  <c r="AK44" i="80" s="1"/>
  <c r="T8" i="67"/>
  <c r="U10" i="46" l="1"/>
  <c r="U8" i="67"/>
  <c r="Q40" i="113"/>
  <c r="R40" i="113" s="1"/>
  <c r="S40" i="113" s="1"/>
  <c r="AJ40" i="113" s="1"/>
  <c r="Q15" i="113"/>
  <c r="R15" i="113" s="1"/>
  <c r="S15" i="113" s="1"/>
  <c r="AJ15" i="113" s="1"/>
  <c r="Q20" i="116"/>
  <c r="R20" i="116" s="1"/>
  <c r="S20" i="116" s="1"/>
  <c r="AJ20" i="116" s="1"/>
  <c r="Q40" i="119"/>
  <c r="R40" i="119" s="1"/>
  <c r="S40" i="119" s="1"/>
  <c r="AJ40" i="119" s="1"/>
  <c r="Q14" i="116"/>
  <c r="R14" i="116" s="1"/>
  <c r="S14" i="116" s="1"/>
  <c r="AJ14" i="116" s="1"/>
  <c r="Q15" i="118"/>
  <c r="R15" i="118" s="1"/>
  <c r="S15" i="118" s="1"/>
  <c r="AJ15" i="118" s="1"/>
  <c r="R26" i="76"/>
  <c r="S26" i="76" s="1"/>
  <c r="T26" i="76" s="1"/>
  <c r="AK26" i="76" s="1"/>
  <c r="AB28" i="33"/>
  <c r="AC28" i="33" s="1"/>
  <c r="AD28" i="33" s="1"/>
  <c r="C27" i="72" s="1"/>
  <c r="X27" i="72" s="1"/>
  <c r="AR27" i="72" s="1"/>
  <c r="Q26" i="116"/>
  <c r="R26" i="116" s="1"/>
  <c r="S26" i="116" s="1"/>
  <c r="AJ26" i="116" s="1"/>
  <c r="J26" i="67"/>
  <c r="K26" i="67" s="1"/>
  <c r="L26" i="67" s="1"/>
  <c r="Z26" i="67" s="1"/>
  <c r="Q26" i="118"/>
  <c r="R26" i="118" s="1"/>
  <c r="S26" i="118" s="1"/>
  <c r="AJ26" i="118" s="1"/>
  <c r="R24" i="76"/>
  <c r="S24" i="76" s="1"/>
  <c r="T24" i="76" s="1"/>
  <c r="AK24" i="76" s="1"/>
  <c r="Q26" i="115"/>
  <c r="R26" i="115" s="1"/>
  <c r="S26" i="115" s="1"/>
  <c r="AJ26" i="115" s="1"/>
  <c r="Q26" i="114"/>
  <c r="R26" i="114" s="1"/>
  <c r="S26" i="114" s="1"/>
  <c r="AJ26" i="114" s="1"/>
  <c r="Q26" i="120"/>
  <c r="R26" i="120" s="1"/>
  <c r="S26" i="120" s="1"/>
  <c r="AJ26" i="120" s="1"/>
  <c r="Q26" i="117"/>
  <c r="R26" i="117" s="1"/>
  <c r="S26" i="117" s="1"/>
  <c r="AL26" i="117" s="1"/>
  <c r="R24" i="80"/>
  <c r="S24" i="80" s="1"/>
  <c r="T24" i="80" s="1"/>
  <c r="AK24" i="80" s="1"/>
  <c r="Q26" i="119"/>
  <c r="R26" i="119" s="1"/>
  <c r="S26" i="119" s="1"/>
  <c r="AJ26" i="119" s="1"/>
  <c r="Q28" i="120"/>
  <c r="R28" i="120" s="1"/>
  <c r="S28" i="120" s="1"/>
  <c r="AJ28" i="120" s="1"/>
  <c r="AB63" i="33"/>
  <c r="AC63" i="33" s="1"/>
  <c r="AD63" i="33" s="1"/>
  <c r="C62" i="72" s="1"/>
  <c r="X62" i="72" s="1"/>
  <c r="AR62" i="72" s="1"/>
  <c r="Q40" i="120"/>
  <c r="R40" i="120" s="1"/>
  <c r="S40" i="120" s="1"/>
  <c r="AJ40" i="120" s="1"/>
  <c r="Q40" i="117"/>
  <c r="R40" i="117" s="1"/>
  <c r="S40" i="117" s="1"/>
  <c r="AL40" i="117" s="1"/>
  <c r="Q37" i="115"/>
  <c r="R37" i="115" s="1"/>
  <c r="S37" i="115" s="1"/>
  <c r="AJ37" i="115" s="1"/>
  <c r="Q37" i="120"/>
  <c r="R37" i="120" s="1"/>
  <c r="S37" i="120" s="1"/>
  <c r="AJ37" i="120" s="1"/>
  <c r="Q37" i="116"/>
  <c r="R37" i="116" s="1"/>
  <c r="S37" i="116" s="1"/>
  <c r="AJ37" i="116" s="1"/>
  <c r="Q28" i="114"/>
  <c r="R28" i="114" s="1"/>
  <c r="S28" i="114" s="1"/>
  <c r="AJ28" i="114" s="1"/>
  <c r="Q37" i="117"/>
  <c r="R37" i="117" s="1"/>
  <c r="S37" i="117" s="1"/>
  <c r="AL37" i="117" s="1"/>
  <c r="J37" i="67"/>
  <c r="K37" i="67" s="1"/>
  <c r="L37" i="67" s="1"/>
  <c r="Z37" i="67" s="1"/>
  <c r="Q37" i="119"/>
  <c r="R37" i="119" s="1"/>
  <c r="S37" i="119" s="1"/>
  <c r="AJ37" i="119" s="1"/>
  <c r="Q37" i="114"/>
  <c r="R37" i="114" s="1"/>
  <c r="S37" i="114" s="1"/>
  <c r="AJ37" i="114" s="1"/>
  <c r="Q37" i="118"/>
  <c r="R37" i="118" s="1"/>
  <c r="S37" i="118" s="1"/>
  <c r="AJ37" i="118" s="1"/>
  <c r="AB54" i="33"/>
  <c r="AC54" i="33" s="1"/>
  <c r="AD54" i="33" s="1"/>
  <c r="C53" i="72" s="1"/>
  <c r="X53" i="72" s="1"/>
  <c r="AR53" i="72" s="1"/>
  <c r="Q20" i="114"/>
  <c r="R20" i="114" s="1"/>
  <c r="S20" i="114" s="1"/>
  <c r="AJ20" i="114" s="1"/>
  <c r="Q57" i="115"/>
  <c r="R57" i="115" s="1"/>
  <c r="S57" i="115" s="1"/>
  <c r="AJ57" i="115" s="1"/>
  <c r="Q15" i="119"/>
  <c r="R15" i="119" s="1"/>
  <c r="S15" i="119" s="1"/>
  <c r="AJ15" i="119" s="1"/>
  <c r="R55" i="80"/>
  <c r="S55" i="80" s="1"/>
  <c r="T55" i="80" s="1"/>
  <c r="AK55" i="80" s="1"/>
  <c r="Q57" i="116"/>
  <c r="R57" i="116" s="1"/>
  <c r="S57" i="116" s="1"/>
  <c r="AJ57" i="116" s="1"/>
  <c r="Q57" i="118"/>
  <c r="R57" i="118" s="1"/>
  <c r="S57" i="118" s="1"/>
  <c r="AJ57" i="118" s="1"/>
  <c r="Q57" i="114"/>
  <c r="R57" i="114" s="1"/>
  <c r="S57" i="114" s="1"/>
  <c r="AJ57" i="114" s="1"/>
  <c r="Q57" i="119"/>
  <c r="R57" i="119" s="1"/>
  <c r="S57" i="119" s="1"/>
  <c r="AJ57" i="119" s="1"/>
  <c r="Q57" i="117"/>
  <c r="R57" i="117" s="1"/>
  <c r="S57" i="117" s="1"/>
  <c r="AL57" i="117" s="1"/>
  <c r="J57" i="67"/>
  <c r="K57" i="67" s="1"/>
  <c r="L57" i="67" s="1"/>
  <c r="Z57" i="67" s="1"/>
  <c r="Q57" i="120"/>
  <c r="R57" i="120" s="1"/>
  <c r="S57" i="120" s="1"/>
  <c r="AJ57" i="120" s="1"/>
  <c r="Q73" i="120"/>
  <c r="R73" i="120" s="1"/>
  <c r="S73" i="120" s="1"/>
  <c r="AJ73" i="120" s="1"/>
  <c r="J73" i="67"/>
  <c r="K73" i="67" s="1"/>
  <c r="L73" i="67" s="1"/>
  <c r="Z73" i="67" s="1"/>
  <c r="Q29" i="119"/>
  <c r="R29" i="119" s="1"/>
  <c r="S29" i="119" s="1"/>
  <c r="AJ29" i="119" s="1"/>
  <c r="R27" i="80"/>
  <c r="S27" i="80" s="1"/>
  <c r="T27" i="80" s="1"/>
  <c r="AK27" i="80" s="1"/>
  <c r="Q29" i="118"/>
  <c r="R29" i="118" s="1"/>
  <c r="S29" i="118" s="1"/>
  <c r="AJ29" i="118" s="1"/>
  <c r="AB50" i="33"/>
  <c r="AC50" i="33" s="1"/>
  <c r="AD50" i="33" s="1"/>
  <c r="C49" i="72" s="1"/>
  <c r="X49" i="72" s="1"/>
  <c r="AR49" i="72" s="1"/>
  <c r="Q73" i="116"/>
  <c r="R73" i="116" s="1"/>
  <c r="S73" i="116" s="1"/>
  <c r="AJ73" i="116" s="1"/>
  <c r="Q29" i="115"/>
  <c r="R29" i="115" s="1"/>
  <c r="S29" i="115" s="1"/>
  <c r="AJ29" i="115" s="1"/>
  <c r="Q73" i="115"/>
  <c r="R73" i="115" s="1"/>
  <c r="S73" i="115" s="1"/>
  <c r="AJ73" i="115" s="1"/>
  <c r="R71" i="76"/>
  <c r="S71" i="76" s="1"/>
  <c r="T71" i="76" s="1"/>
  <c r="AK71" i="76" s="1"/>
  <c r="Q73" i="117"/>
  <c r="R73" i="117" s="1"/>
  <c r="S73" i="117" s="1"/>
  <c r="AL73" i="117" s="1"/>
  <c r="Q29" i="120"/>
  <c r="R29" i="120" s="1"/>
  <c r="S29" i="120" s="1"/>
  <c r="AJ29" i="120" s="1"/>
  <c r="J29" i="67"/>
  <c r="K29" i="67" s="1"/>
  <c r="L29" i="67" s="1"/>
  <c r="Z29" i="67" s="1"/>
  <c r="Q29" i="116"/>
  <c r="R29" i="116" s="1"/>
  <c r="S29" i="116" s="1"/>
  <c r="AJ29" i="116" s="1"/>
  <c r="Q29" i="117"/>
  <c r="R29" i="117" s="1"/>
  <c r="S29" i="117" s="1"/>
  <c r="AL29" i="117" s="1"/>
  <c r="Q29" i="114"/>
  <c r="R29" i="114" s="1"/>
  <c r="S29" i="114" s="1"/>
  <c r="AJ29" i="114" s="1"/>
  <c r="Q73" i="118"/>
  <c r="R73" i="118" s="1"/>
  <c r="S73" i="118" s="1"/>
  <c r="AJ73" i="118" s="1"/>
  <c r="Q73" i="114"/>
  <c r="R73" i="114" s="1"/>
  <c r="S73" i="114" s="1"/>
  <c r="AJ73" i="114" s="1"/>
  <c r="Q73" i="119"/>
  <c r="R73" i="119" s="1"/>
  <c r="S73" i="119" s="1"/>
  <c r="AJ73" i="119" s="1"/>
  <c r="R9" i="76"/>
  <c r="S9" i="76" s="1"/>
  <c r="T9" i="76" s="1"/>
  <c r="AK9" i="76" s="1"/>
  <c r="Q31" i="118"/>
  <c r="R31" i="118" s="1"/>
  <c r="S31" i="118" s="1"/>
  <c r="AJ31" i="118" s="1"/>
  <c r="Q11" i="119"/>
  <c r="R11" i="119" s="1"/>
  <c r="S11" i="119" s="1"/>
  <c r="AJ11" i="119" s="1"/>
  <c r="Q53" i="118"/>
  <c r="R53" i="118" s="1"/>
  <c r="S53" i="118" s="1"/>
  <c r="AJ53" i="118" s="1"/>
  <c r="Q11" i="115"/>
  <c r="R11" i="115" s="1"/>
  <c r="S11" i="115" s="1"/>
  <c r="AJ11" i="115" s="1"/>
  <c r="Q31" i="114"/>
  <c r="R31" i="114" s="1"/>
  <c r="S31" i="114" s="1"/>
  <c r="AJ31" i="114" s="1"/>
  <c r="Q21" i="120"/>
  <c r="R21" i="120" s="1"/>
  <c r="S21" i="120" s="1"/>
  <c r="AJ21" i="120" s="1"/>
  <c r="J31" i="67"/>
  <c r="K31" i="67" s="1"/>
  <c r="L31" i="67" s="1"/>
  <c r="Z31" i="67" s="1"/>
  <c r="Q53" i="114"/>
  <c r="R53" i="114" s="1"/>
  <c r="S53" i="114" s="1"/>
  <c r="AJ53" i="114" s="1"/>
  <c r="Q31" i="115"/>
  <c r="R31" i="115" s="1"/>
  <c r="S31" i="115" s="1"/>
  <c r="AJ31" i="115" s="1"/>
  <c r="Q31" i="117"/>
  <c r="R31" i="117" s="1"/>
  <c r="S31" i="117" s="1"/>
  <c r="AL31" i="117" s="1"/>
  <c r="AB69" i="33"/>
  <c r="AC69" i="33" s="1"/>
  <c r="AD69" i="33" s="1"/>
  <c r="C68" i="72" s="1"/>
  <c r="X68" i="72" s="1"/>
  <c r="AR68" i="72" s="1"/>
  <c r="R19" i="80"/>
  <c r="S19" i="80" s="1"/>
  <c r="T19" i="80" s="1"/>
  <c r="AK19" i="80" s="1"/>
  <c r="Q11" i="114"/>
  <c r="R11" i="114" s="1"/>
  <c r="S11" i="114" s="1"/>
  <c r="AJ11" i="114" s="1"/>
  <c r="Q11" i="116"/>
  <c r="R11" i="116" s="1"/>
  <c r="S11" i="116" s="1"/>
  <c r="AJ11" i="116" s="1"/>
  <c r="Q31" i="116"/>
  <c r="R31" i="116" s="1"/>
  <c r="S31" i="116" s="1"/>
  <c r="AJ31" i="116" s="1"/>
  <c r="Q45" i="117"/>
  <c r="R45" i="117" s="1"/>
  <c r="S45" i="117" s="1"/>
  <c r="AL45" i="117" s="1"/>
  <c r="Q52" i="120"/>
  <c r="R52" i="120" s="1"/>
  <c r="S52" i="120" s="1"/>
  <c r="AJ52" i="120" s="1"/>
  <c r="Q21" i="114"/>
  <c r="R21" i="114" s="1"/>
  <c r="S21" i="114" s="1"/>
  <c r="AJ21" i="114" s="1"/>
  <c r="Q45" i="116"/>
  <c r="R45" i="116" s="1"/>
  <c r="S45" i="116" s="1"/>
  <c r="AJ45" i="116" s="1"/>
  <c r="Q52" i="119"/>
  <c r="R52" i="119" s="1"/>
  <c r="S52" i="119" s="1"/>
  <c r="AJ52" i="119" s="1"/>
  <c r="Q45" i="119"/>
  <c r="R45" i="119" s="1"/>
  <c r="S45" i="119" s="1"/>
  <c r="AJ45" i="119" s="1"/>
  <c r="Q11" i="118"/>
  <c r="R11" i="118" s="1"/>
  <c r="S11" i="118" s="1"/>
  <c r="AJ11" i="118" s="1"/>
  <c r="Q11" i="120"/>
  <c r="R11" i="120" s="1"/>
  <c r="S11" i="120" s="1"/>
  <c r="AJ11" i="120" s="1"/>
  <c r="T35" i="46"/>
  <c r="U35" i="46" s="1"/>
  <c r="V35" i="46" s="1"/>
  <c r="AP35" i="46" s="1"/>
  <c r="Q52" i="115"/>
  <c r="R52" i="115" s="1"/>
  <c r="S52" i="115" s="1"/>
  <c r="AJ52" i="115" s="1"/>
  <c r="J52" i="67"/>
  <c r="K52" i="67" s="1"/>
  <c r="L52" i="67" s="1"/>
  <c r="Z52" i="67" s="1"/>
  <c r="Q53" i="117"/>
  <c r="R53" i="117" s="1"/>
  <c r="S53" i="117" s="1"/>
  <c r="AL53" i="117" s="1"/>
  <c r="Q53" i="120"/>
  <c r="R53" i="120" s="1"/>
  <c r="S53" i="120" s="1"/>
  <c r="AJ53" i="120" s="1"/>
  <c r="Q52" i="117"/>
  <c r="R52" i="117" s="1"/>
  <c r="S52" i="117" s="1"/>
  <c r="AL52" i="117" s="1"/>
  <c r="Q21" i="117"/>
  <c r="R21" i="117" s="1"/>
  <c r="S21" i="117" s="1"/>
  <c r="AL21" i="117" s="1"/>
  <c r="J21" i="67"/>
  <c r="K21" i="67" s="1"/>
  <c r="L21" i="67" s="1"/>
  <c r="Z21" i="67" s="1"/>
  <c r="R19" i="76"/>
  <c r="S19" i="76" s="1"/>
  <c r="T19" i="76" s="1"/>
  <c r="AK19" i="76" s="1"/>
  <c r="Q45" i="120"/>
  <c r="R45" i="120" s="1"/>
  <c r="S45" i="120" s="1"/>
  <c r="AJ45" i="120" s="1"/>
  <c r="Q45" i="115"/>
  <c r="R45" i="115" s="1"/>
  <c r="S45" i="115" s="1"/>
  <c r="AJ45" i="115" s="1"/>
  <c r="J11" i="67"/>
  <c r="K11" i="67" s="1"/>
  <c r="L11" i="67" s="1"/>
  <c r="Z11" i="67" s="1"/>
  <c r="Q45" i="114"/>
  <c r="R45" i="114" s="1"/>
  <c r="S45" i="114" s="1"/>
  <c r="AJ45" i="114" s="1"/>
  <c r="Q52" i="116"/>
  <c r="R52" i="116" s="1"/>
  <c r="S52" i="116" s="1"/>
  <c r="AJ52" i="116" s="1"/>
  <c r="Q31" i="119"/>
  <c r="R31" i="119" s="1"/>
  <c r="S31" i="119" s="1"/>
  <c r="AJ31" i="119" s="1"/>
  <c r="J53" i="67"/>
  <c r="K53" i="67" s="1"/>
  <c r="L53" i="67" s="1"/>
  <c r="Z53" i="67" s="1"/>
  <c r="Q52" i="114"/>
  <c r="R52" i="114" s="1"/>
  <c r="S52" i="114" s="1"/>
  <c r="AJ52" i="114" s="1"/>
  <c r="Q21" i="118"/>
  <c r="R21" i="118" s="1"/>
  <c r="S21" i="118" s="1"/>
  <c r="AJ21" i="118" s="1"/>
  <c r="R9" i="80"/>
  <c r="S9" i="80" s="1"/>
  <c r="T9" i="80" s="1"/>
  <c r="AK9" i="80" s="1"/>
  <c r="Q31" i="120"/>
  <c r="R31" i="120" s="1"/>
  <c r="S31" i="120" s="1"/>
  <c r="AJ31" i="120" s="1"/>
  <c r="Q11" i="117"/>
  <c r="R11" i="117" s="1"/>
  <c r="S11" i="117" s="1"/>
  <c r="AL11" i="117" s="1"/>
  <c r="Q52" i="118"/>
  <c r="R52" i="118" s="1"/>
  <c r="S52" i="118" s="1"/>
  <c r="AJ52" i="118" s="1"/>
  <c r="Q53" i="115"/>
  <c r="R53" i="115" s="1"/>
  <c r="S53" i="115" s="1"/>
  <c r="AJ53" i="115" s="1"/>
  <c r="Q21" i="115"/>
  <c r="R21" i="115" s="1"/>
  <c r="S21" i="115" s="1"/>
  <c r="AJ21" i="115" s="1"/>
  <c r="Q45" i="118"/>
  <c r="R45" i="118" s="1"/>
  <c r="S45" i="118" s="1"/>
  <c r="AJ45" i="118" s="1"/>
  <c r="Q21" i="119"/>
  <c r="R21" i="119" s="1"/>
  <c r="S21" i="119" s="1"/>
  <c r="AJ21" i="119" s="1"/>
  <c r="J45" i="67"/>
  <c r="K45" i="67" s="1"/>
  <c r="L45" i="67" s="1"/>
  <c r="Z45" i="67" s="1"/>
  <c r="Q21" i="116"/>
  <c r="R21" i="116" s="1"/>
  <c r="S21" i="116" s="1"/>
  <c r="AJ21" i="116" s="1"/>
  <c r="Q53" i="119"/>
  <c r="R53" i="119" s="1"/>
  <c r="S53" i="119" s="1"/>
  <c r="AJ53" i="119" s="1"/>
  <c r="Q53" i="116"/>
  <c r="R53" i="116" s="1"/>
  <c r="S53" i="116" s="1"/>
  <c r="AJ53" i="116" s="1"/>
  <c r="Q51" i="118"/>
  <c r="R51" i="118" s="1"/>
  <c r="S51" i="118" s="1"/>
  <c r="AJ51" i="118" s="1"/>
  <c r="Q10" i="120"/>
  <c r="R10" i="120" s="1"/>
  <c r="S10" i="120" s="1"/>
  <c r="AJ10" i="120" s="1"/>
  <c r="J33" i="67"/>
  <c r="K33" i="67" s="1"/>
  <c r="L33" i="67" s="1"/>
  <c r="Z33" i="67" s="1"/>
  <c r="Q58" i="119"/>
  <c r="R58" i="119" s="1"/>
  <c r="S58" i="119" s="1"/>
  <c r="AJ58" i="119" s="1"/>
  <c r="Q49" i="118"/>
  <c r="R49" i="118" s="1"/>
  <c r="S49" i="118" s="1"/>
  <c r="AJ49" i="118" s="1"/>
  <c r="J17" i="67"/>
  <c r="K17" i="67" s="1"/>
  <c r="L17" i="67" s="1"/>
  <c r="Z17" i="67" s="1"/>
  <c r="Q12" i="118"/>
  <c r="R12" i="118" s="1"/>
  <c r="S12" i="118" s="1"/>
  <c r="AJ12" i="118" s="1"/>
  <c r="R8" i="80"/>
  <c r="S8" i="80" s="1"/>
  <c r="T8" i="80" s="1"/>
  <c r="AK8" i="80" s="1"/>
  <c r="J69" i="67"/>
  <c r="K69" i="67" s="1"/>
  <c r="L69" i="67" s="1"/>
  <c r="Z69" i="67" s="1"/>
  <c r="R16" i="80"/>
  <c r="S16" i="80" s="1"/>
  <c r="T16" i="80" s="1"/>
  <c r="AK16" i="80" s="1"/>
  <c r="Q76" i="114"/>
  <c r="R76" i="114" s="1"/>
  <c r="S76" i="114" s="1"/>
  <c r="AJ76" i="114" s="1"/>
  <c r="J10" i="67"/>
  <c r="K10" i="67" s="1"/>
  <c r="L10" i="67" s="1"/>
  <c r="Z10" i="67" s="1"/>
  <c r="Q42" i="120"/>
  <c r="R42" i="120" s="1"/>
  <c r="S42" i="120" s="1"/>
  <c r="AJ42" i="120" s="1"/>
  <c r="Q55" i="118"/>
  <c r="R55" i="118" s="1"/>
  <c r="S55" i="118" s="1"/>
  <c r="AJ55" i="118" s="1"/>
  <c r="Q27" i="120"/>
  <c r="R27" i="120" s="1"/>
  <c r="S27" i="120" s="1"/>
  <c r="AJ27" i="120" s="1"/>
  <c r="Q19" i="116"/>
  <c r="R19" i="116" s="1"/>
  <c r="S19" i="116" s="1"/>
  <c r="AJ19" i="116" s="1"/>
  <c r="Q68" i="117"/>
  <c r="R68" i="117" s="1"/>
  <c r="S68" i="117" s="1"/>
  <c r="AL68" i="117" s="1"/>
  <c r="Q25" i="119"/>
  <c r="R25" i="119" s="1"/>
  <c r="S25" i="119" s="1"/>
  <c r="AJ25" i="119" s="1"/>
  <c r="R16" i="76"/>
  <c r="S16" i="76" s="1"/>
  <c r="T16" i="76" s="1"/>
  <c r="AK16" i="76" s="1"/>
  <c r="Q76" i="117"/>
  <c r="R76" i="117" s="1"/>
  <c r="S76" i="117" s="1"/>
  <c r="AL76" i="117" s="1"/>
  <c r="Q49" i="114"/>
  <c r="R49" i="114" s="1"/>
  <c r="S49" i="114" s="1"/>
  <c r="AJ49" i="114" s="1"/>
  <c r="Q22" i="117"/>
  <c r="R22" i="117" s="1"/>
  <c r="S22" i="117" s="1"/>
  <c r="AL22" i="117" s="1"/>
  <c r="Q10" i="114"/>
  <c r="R10" i="114" s="1"/>
  <c r="S10" i="114" s="1"/>
  <c r="AJ10" i="114" s="1"/>
  <c r="Q19" i="119"/>
  <c r="R19" i="119" s="1"/>
  <c r="S19" i="119" s="1"/>
  <c r="AJ19" i="119" s="1"/>
  <c r="Q36" i="114"/>
  <c r="R36" i="114" s="1"/>
  <c r="S36" i="114" s="1"/>
  <c r="AJ36" i="114" s="1"/>
  <c r="Q12" i="115"/>
  <c r="R12" i="115" s="1"/>
  <c r="S12" i="115" s="1"/>
  <c r="AJ12" i="115" s="1"/>
  <c r="R42" i="80"/>
  <c r="S42" i="80" s="1"/>
  <c r="T42" i="80" s="1"/>
  <c r="AK42" i="80" s="1"/>
  <c r="Q67" i="116"/>
  <c r="R67" i="116" s="1"/>
  <c r="S67" i="116" s="1"/>
  <c r="AJ67" i="116" s="1"/>
  <c r="R40" i="76"/>
  <c r="S40" i="76" s="1"/>
  <c r="T40" i="76" s="1"/>
  <c r="AK40" i="76" s="1"/>
  <c r="Q61" i="114"/>
  <c r="R61" i="114" s="1"/>
  <c r="S61" i="114" s="1"/>
  <c r="AJ61" i="114" s="1"/>
  <c r="Q34" i="114"/>
  <c r="R34" i="114" s="1"/>
  <c r="S34" i="114" s="1"/>
  <c r="AJ34" i="114" s="1"/>
  <c r="J74" i="67"/>
  <c r="K74" i="67" s="1"/>
  <c r="L74" i="67" s="1"/>
  <c r="Z74" i="67" s="1"/>
  <c r="Q51" i="119"/>
  <c r="R51" i="119" s="1"/>
  <c r="S51" i="119" s="1"/>
  <c r="AJ51" i="119" s="1"/>
  <c r="Q49" i="119"/>
  <c r="R49" i="119" s="1"/>
  <c r="S49" i="119" s="1"/>
  <c r="AJ49" i="119" s="1"/>
  <c r="Q61" i="116"/>
  <c r="R61" i="116" s="1"/>
  <c r="S61" i="116" s="1"/>
  <c r="AJ61" i="116" s="1"/>
  <c r="Q27" i="119"/>
  <c r="R27" i="119" s="1"/>
  <c r="S27" i="119" s="1"/>
  <c r="AJ27" i="119" s="1"/>
  <c r="R20" i="80"/>
  <c r="S20" i="80" s="1"/>
  <c r="T20" i="80" s="1"/>
  <c r="AK20" i="80" s="1"/>
  <c r="Q30" i="118"/>
  <c r="R30" i="118" s="1"/>
  <c r="S30" i="118" s="1"/>
  <c r="AJ30" i="118" s="1"/>
  <c r="Q74" i="118"/>
  <c r="R74" i="118" s="1"/>
  <c r="S74" i="118" s="1"/>
  <c r="AJ74" i="118" s="1"/>
  <c r="Q74" i="116"/>
  <c r="R74" i="116" s="1"/>
  <c r="S74" i="116" s="1"/>
  <c r="AJ74" i="116" s="1"/>
  <c r="Q44" i="115"/>
  <c r="R44" i="115" s="1"/>
  <c r="S44" i="115" s="1"/>
  <c r="AJ44" i="115" s="1"/>
  <c r="Q68" i="119"/>
  <c r="R68" i="119" s="1"/>
  <c r="S68" i="119" s="1"/>
  <c r="AJ68" i="119" s="1"/>
  <c r="Q9" i="114"/>
  <c r="R9" i="114" s="1"/>
  <c r="S9" i="114" s="1"/>
  <c r="AJ9" i="114" s="1"/>
  <c r="J36" i="67"/>
  <c r="K36" i="67" s="1"/>
  <c r="L36" i="67" s="1"/>
  <c r="Z36" i="67" s="1"/>
  <c r="Q58" i="116"/>
  <c r="R58" i="116" s="1"/>
  <c r="S58" i="116" s="1"/>
  <c r="AJ58" i="116" s="1"/>
  <c r="Q66" i="115"/>
  <c r="R66" i="115" s="1"/>
  <c r="S66" i="115" s="1"/>
  <c r="AJ66" i="115" s="1"/>
  <c r="Q69" i="116"/>
  <c r="R69" i="116" s="1"/>
  <c r="S69" i="116" s="1"/>
  <c r="AJ69" i="116" s="1"/>
  <c r="J68" i="67"/>
  <c r="K68" i="67" s="1"/>
  <c r="L68" i="67" s="1"/>
  <c r="Z68" i="67" s="1"/>
  <c r="Q12" i="119"/>
  <c r="R12" i="119" s="1"/>
  <c r="S12" i="119" s="1"/>
  <c r="AJ12" i="119" s="1"/>
  <c r="Q27" i="118"/>
  <c r="R27" i="118" s="1"/>
  <c r="S27" i="118" s="1"/>
  <c r="AJ27" i="118" s="1"/>
  <c r="Q22" i="119"/>
  <c r="R22" i="119" s="1"/>
  <c r="S22" i="119" s="1"/>
  <c r="AJ22" i="119" s="1"/>
  <c r="Q10" i="118"/>
  <c r="R10" i="118" s="1"/>
  <c r="S10" i="118" s="1"/>
  <c r="AJ10" i="118" s="1"/>
  <c r="Q74" i="117"/>
  <c r="R74" i="117" s="1"/>
  <c r="S74" i="117" s="1"/>
  <c r="AL74" i="117" s="1"/>
  <c r="J51" i="67"/>
  <c r="K51" i="67" s="1"/>
  <c r="L51" i="67" s="1"/>
  <c r="Z51" i="67" s="1"/>
  <c r="Q38" i="116"/>
  <c r="R38" i="116" s="1"/>
  <c r="S38" i="116" s="1"/>
  <c r="AJ38" i="116" s="1"/>
  <c r="R7" i="80"/>
  <c r="S7" i="80" s="1"/>
  <c r="T7" i="80" s="1"/>
  <c r="AK7" i="80" s="1"/>
  <c r="Q18" i="118"/>
  <c r="R18" i="118" s="1"/>
  <c r="S18" i="118" s="1"/>
  <c r="AJ18" i="118" s="1"/>
  <c r="Q58" i="114"/>
  <c r="R58" i="114" s="1"/>
  <c r="S58" i="114" s="1"/>
  <c r="AJ58" i="114" s="1"/>
  <c r="Q66" i="120"/>
  <c r="R66" i="120" s="1"/>
  <c r="S66" i="120" s="1"/>
  <c r="AJ66" i="120" s="1"/>
  <c r="Q34" i="119"/>
  <c r="R34" i="119" s="1"/>
  <c r="S34" i="119" s="1"/>
  <c r="AJ34" i="119" s="1"/>
  <c r="R72" i="76"/>
  <c r="S72" i="76" s="1"/>
  <c r="T72" i="76" s="1"/>
  <c r="AK72" i="76" s="1"/>
  <c r="Q17" i="118"/>
  <c r="R17" i="118" s="1"/>
  <c r="S17" i="118" s="1"/>
  <c r="AJ17" i="118" s="1"/>
  <c r="Q48" i="115"/>
  <c r="R48" i="115" s="1"/>
  <c r="S48" i="115" s="1"/>
  <c r="AJ48" i="115" s="1"/>
  <c r="Q18" i="117"/>
  <c r="R18" i="117" s="1"/>
  <c r="S18" i="117" s="1"/>
  <c r="AL18" i="117" s="1"/>
  <c r="Q69" i="120"/>
  <c r="R69" i="120" s="1"/>
  <c r="S69" i="120" s="1"/>
  <c r="AJ69" i="120" s="1"/>
  <c r="Q19" i="115"/>
  <c r="R19" i="115" s="1"/>
  <c r="S19" i="115" s="1"/>
  <c r="AJ19" i="115" s="1"/>
  <c r="Q58" i="117"/>
  <c r="R58" i="117" s="1"/>
  <c r="S58" i="117" s="1"/>
  <c r="AL58" i="117" s="1"/>
  <c r="Q49" i="115"/>
  <c r="R49" i="115" s="1"/>
  <c r="S49" i="115" s="1"/>
  <c r="AJ49" i="115" s="1"/>
  <c r="Q55" i="120"/>
  <c r="R55" i="120" s="1"/>
  <c r="S55" i="120" s="1"/>
  <c r="AJ55" i="120" s="1"/>
  <c r="Q22" i="115"/>
  <c r="R22" i="115" s="1"/>
  <c r="S22" i="115" s="1"/>
  <c r="AJ22" i="115" s="1"/>
  <c r="Q10" i="116"/>
  <c r="R10" i="116" s="1"/>
  <c r="S10" i="116" s="1"/>
  <c r="AJ10" i="116" s="1"/>
  <c r="Q44" i="117"/>
  <c r="R44" i="117" s="1"/>
  <c r="S44" i="117" s="1"/>
  <c r="AL44" i="117" s="1"/>
  <c r="R23" i="76"/>
  <c r="S23" i="76" s="1"/>
  <c r="T23" i="76" s="1"/>
  <c r="AK23" i="76" s="1"/>
  <c r="Q58" i="115"/>
  <c r="R58" i="115" s="1"/>
  <c r="S58" i="115" s="1"/>
  <c r="AJ58" i="115" s="1"/>
  <c r="Q67" i="119"/>
  <c r="R67" i="119" s="1"/>
  <c r="S67" i="119" s="1"/>
  <c r="AJ67" i="119" s="1"/>
  <c r="Q66" i="116"/>
  <c r="R66" i="116" s="1"/>
  <c r="S66" i="116" s="1"/>
  <c r="AJ66" i="116" s="1"/>
  <c r="Q76" i="115"/>
  <c r="R76" i="115" s="1"/>
  <c r="S76" i="115" s="1"/>
  <c r="AJ76" i="115" s="1"/>
  <c r="Q42" i="116"/>
  <c r="R42" i="116" s="1"/>
  <c r="S42" i="116" s="1"/>
  <c r="AJ42" i="116" s="1"/>
  <c r="R10" i="76"/>
  <c r="S10" i="76" s="1"/>
  <c r="T10" i="76" s="1"/>
  <c r="AK10" i="76" s="1"/>
  <c r="R31" i="80"/>
  <c r="S31" i="80" s="1"/>
  <c r="T31" i="80" s="1"/>
  <c r="AK31" i="80" s="1"/>
  <c r="Q55" i="114"/>
  <c r="R55" i="114" s="1"/>
  <c r="S55" i="114" s="1"/>
  <c r="AJ55" i="114" s="1"/>
  <c r="J38" i="67"/>
  <c r="K38" i="67" s="1"/>
  <c r="L38" i="67" s="1"/>
  <c r="Z38" i="67" s="1"/>
  <c r="Q30" i="114"/>
  <c r="R30" i="114" s="1"/>
  <c r="S30" i="114" s="1"/>
  <c r="AJ30" i="114" s="1"/>
  <c r="R17" i="80"/>
  <c r="S17" i="80" s="1"/>
  <c r="T17" i="80" s="1"/>
  <c r="AK17" i="80" s="1"/>
  <c r="R15" i="76"/>
  <c r="S15" i="76" s="1"/>
  <c r="T15" i="76" s="1"/>
  <c r="AK15" i="76" s="1"/>
  <c r="Q48" i="116"/>
  <c r="R48" i="116" s="1"/>
  <c r="S48" i="116" s="1"/>
  <c r="AJ48" i="116" s="1"/>
  <c r="J58" i="67"/>
  <c r="K58" i="67" s="1"/>
  <c r="L58" i="67" s="1"/>
  <c r="Z58" i="67" s="1"/>
  <c r="J48" i="67"/>
  <c r="K48" i="67" s="1"/>
  <c r="L48" i="67" s="1"/>
  <c r="Z48" i="67" s="1"/>
  <c r="Q49" i="116"/>
  <c r="R49" i="116" s="1"/>
  <c r="S49" i="116" s="1"/>
  <c r="AJ49" i="116" s="1"/>
  <c r="Q69" i="118"/>
  <c r="R69" i="118" s="1"/>
  <c r="S69" i="118" s="1"/>
  <c r="AJ69" i="118" s="1"/>
  <c r="J27" i="67"/>
  <c r="K27" i="67" s="1"/>
  <c r="L27" i="67" s="1"/>
  <c r="Z27" i="67" s="1"/>
  <c r="J49" i="67"/>
  <c r="K49" i="67" s="1"/>
  <c r="L49" i="67" s="1"/>
  <c r="Z49" i="67" s="1"/>
  <c r="Q33" i="120"/>
  <c r="R33" i="120" s="1"/>
  <c r="S33" i="120" s="1"/>
  <c r="AJ33" i="120" s="1"/>
  <c r="J44" i="67"/>
  <c r="K44" i="67" s="1"/>
  <c r="L44" i="67" s="1"/>
  <c r="Z44" i="67" s="1"/>
  <c r="Q27" i="116"/>
  <c r="R27" i="116" s="1"/>
  <c r="S27" i="116" s="1"/>
  <c r="AJ27" i="116" s="1"/>
  <c r="R32" i="76"/>
  <c r="S32" i="76" s="1"/>
  <c r="T32" i="76" s="1"/>
  <c r="AK32" i="76" s="1"/>
  <c r="Q74" i="115"/>
  <c r="R74" i="115" s="1"/>
  <c r="S74" i="115" s="1"/>
  <c r="AJ74" i="115" s="1"/>
  <c r="Q74" i="114"/>
  <c r="R74" i="114" s="1"/>
  <c r="S74" i="114" s="1"/>
  <c r="AJ74" i="114" s="1"/>
  <c r="Q17" i="117"/>
  <c r="R17" i="117" s="1"/>
  <c r="S17" i="117" s="1"/>
  <c r="AL17" i="117" s="1"/>
  <c r="Q44" i="116"/>
  <c r="R44" i="116" s="1"/>
  <c r="S44" i="116" s="1"/>
  <c r="AJ44" i="116" s="1"/>
  <c r="Q48" i="118"/>
  <c r="R48" i="118" s="1"/>
  <c r="S48" i="118" s="1"/>
  <c r="AJ48" i="118" s="1"/>
  <c r="Q38" i="119"/>
  <c r="R38" i="119" s="1"/>
  <c r="S38" i="119" s="1"/>
  <c r="AJ38" i="119" s="1"/>
  <c r="Q68" i="118"/>
  <c r="R68" i="118" s="1"/>
  <c r="S68" i="118" s="1"/>
  <c r="AJ68" i="118" s="1"/>
  <c r="Q68" i="115"/>
  <c r="R68" i="115" s="1"/>
  <c r="S68" i="115" s="1"/>
  <c r="AJ68" i="115" s="1"/>
  <c r="AB41" i="33"/>
  <c r="AC41" i="33" s="1"/>
  <c r="AD41" i="33" s="1"/>
  <c r="C40" i="72" s="1"/>
  <c r="X40" i="72" s="1"/>
  <c r="AR40" i="72" s="1"/>
  <c r="Q25" i="115"/>
  <c r="R25" i="115" s="1"/>
  <c r="S25" i="115" s="1"/>
  <c r="AJ25" i="115" s="1"/>
  <c r="J19" i="67"/>
  <c r="K19" i="67" s="1"/>
  <c r="L19" i="67" s="1"/>
  <c r="Z19" i="67" s="1"/>
  <c r="Q58" i="120"/>
  <c r="R58" i="120" s="1"/>
  <c r="S58" i="120" s="1"/>
  <c r="AJ58" i="120" s="1"/>
  <c r="Q67" i="114"/>
  <c r="R67" i="114" s="1"/>
  <c r="S67" i="114" s="1"/>
  <c r="AJ67" i="114" s="1"/>
  <c r="Q12" i="120"/>
  <c r="R12" i="120" s="1"/>
  <c r="S12" i="120" s="1"/>
  <c r="AJ12" i="120" s="1"/>
  <c r="R10" i="80"/>
  <c r="S10" i="80" s="1"/>
  <c r="T10" i="80" s="1"/>
  <c r="AK10" i="80" s="1"/>
  <c r="Q55" i="115"/>
  <c r="R55" i="115" s="1"/>
  <c r="S55" i="115" s="1"/>
  <c r="AJ55" i="115" s="1"/>
  <c r="Q61" i="120"/>
  <c r="R61" i="120" s="1"/>
  <c r="S61" i="120" s="1"/>
  <c r="AJ61" i="120" s="1"/>
  <c r="Q30" i="119"/>
  <c r="R30" i="119" s="1"/>
  <c r="S30" i="119" s="1"/>
  <c r="AJ30" i="119" s="1"/>
  <c r="Q74" i="119"/>
  <c r="R74" i="119" s="1"/>
  <c r="S74" i="119" s="1"/>
  <c r="AJ74" i="119" s="1"/>
  <c r="Q17" i="114"/>
  <c r="R17" i="114" s="1"/>
  <c r="S17" i="114" s="1"/>
  <c r="AJ17" i="114" s="1"/>
  <c r="Q36" i="117"/>
  <c r="R36" i="117" s="1"/>
  <c r="S36" i="117" s="1"/>
  <c r="AL36" i="117" s="1"/>
  <c r="Q36" i="118"/>
  <c r="R36" i="118" s="1"/>
  <c r="S36" i="118" s="1"/>
  <c r="AJ36" i="118" s="1"/>
  <c r="Q68" i="114"/>
  <c r="R68" i="114" s="1"/>
  <c r="S68" i="114" s="1"/>
  <c r="AJ68" i="114" s="1"/>
  <c r="J22" i="67"/>
  <c r="K22" i="67" s="1"/>
  <c r="L22" i="67" s="1"/>
  <c r="Z22" i="67" s="1"/>
  <c r="Q76" i="119"/>
  <c r="R76" i="119" s="1"/>
  <c r="S76" i="119" s="1"/>
  <c r="AJ76" i="119" s="1"/>
  <c r="Q33" i="117"/>
  <c r="R33" i="117" s="1"/>
  <c r="S33" i="117" s="1"/>
  <c r="AL33" i="117" s="1"/>
  <c r="Q55" i="117"/>
  <c r="R55" i="117" s="1"/>
  <c r="S55" i="117" s="1"/>
  <c r="AL55" i="117" s="1"/>
  <c r="R20" i="76"/>
  <c r="S20" i="76" s="1"/>
  <c r="T20" i="76" s="1"/>
  <c r="AK20" i="76" s="1"/>
  <c r="Q30" i="120"/>
  <c r="R30" i="120" s="1"/>
  <c r="S30" i="120" s="1"/>
  <c r="AJ30" i="120" s="1"/>
  <c r="Q10" i="119"/>
  <c r="R10" i="119" s="1"/>
  <c r="S10" i="119" s="1"/>
  <c r="AJ10" i="119" s="1"/>
  <c r="Q17" i="116"/>
  <c r="R17" i="116" s="1"/>
  <c r="S17" i="116" s="1"/>
  <c r="AJ17" i="116" s="1"/>
  <c r="J25" i="67"/>
  <c r="K25" i="67" s="1"/>
  <c r="L25" i="67" s="1"/>
  <c r="Z25" i="67" s="1"/>
  <c r="J55" i="67"/>
  <c r="K55" i="67" s="1"/>
  <c r="L55" i="67" s="1"/>
  <c r="Z55" i="67" s="1"/>
  <c r="Q38" i="120"/>
  <c r="R38" i="120" s="1"/>
  <c r="S38" i="120" s="1"/>
  <c r="AJ38" i="120" s="1"/>
  <c r="Q18" i="120"/>
  <c r="R18" i="120" s="1"/>
  <c r="S18" i="120" s="1"/>
  <c r="AJ18" i="120" s="1"/>
  <c r="Q67" i="118"/>
  <c r="R67" i="118" s="1"/>
  <c r="S67" i="118" s="1"/>
  <c r="AJ67" i="118" s="1"/>
  <c r="Q55" i="119"/>
  <c r="R55" i="119" s="1"/>
  <c r="S55" i="119" s="1"/>
  <c r="AJ55" i="119" s="1"/>
  <c r="Q27" i="115"/>
  <c r="R27" i="115" s="1"/>
  <c r="S27" i="115" s="1"/>
  <c r="AJ27" i="115" s="1"/>
  <c r="R42" i="76"/>
  <c r="S42" i="76" s="1"/>
  <c r="T42" i="76" s="1"/>
  <c r="AK42" i="76" s="1"/>
  <c r="Q9" i="116"/>
  <c r="R9" i="116" s="1"/>
  <c r="S9" i="116" s="1"/>
  <c r="AJ9" i="116" s="1"/>
  <c r="Q58" i="118"/>
  <c r="R58" i="118" s="1"/>
  <c r="S58" i="118" s="1"/>
  <c r="AJ58" i="118" s="1"/>
  <c r="Q66" i="118"/>
  <c r="R66" i="118" s="1"/>
  <c r="S66" i="118" s="1"/>
  <c r="AJ66" i="118" s="1"/>
  <c r="Q76" i="118"/>
  <c r="R76" i="118" s="1"/>
  <c r="S76" i="118" s="1"/>
  <c r="AJ76" i="118" s="1"/>
  <c r="AB56" i="33"/>
  <c r="AC56" i="33" s="1"/>
  <c r="AD56" i="33" s="1"/>
  <c r="C55" i="72" s="1"/>
  <c r="X55" i="72" s="1"/>
  <c r="AR55" i="72" s="1"/>
  <c r="Q69" i="117"/>
  <c r="R69" i="117" s="1"/>
  <c r="S69" i="117" s="1"/>
  <c r="AL69" i="117" s="1"/>
  <c r="R40" i="80"/>
  <c r="S40" i="80" s="1"/>
  <c r="T40" i="80" s="1"/>
  <c r="AK40" i="80" s="1"/>
  <c r="Q22" i="118"/>
  <c r="R22" i="118" s="1"/>
  <c r="S22" i="118" s="1"/>
  <c r="AJ22" i="118" s="1"/>
  <c r="R48" i="76"/>
  <c r="S48" i="76" s="1"/>
  <c r="T48" i="76" s="1"/>
  <c r="AK48" i="76" s="1"/>
  <c r="R72" i="80"/>
  <c r="S72" i="80" s="1"/>
  <c r="T72" i="80" s="1"/>
  <c r="AK72" i="80" s="1"/>
  <c r="Q67" i="117"/>
  <c r="R67" i="117" s="1"/>
  <c r="S67" i="117" s="1"/>
  <c r="AL67" i="117" s="1"/>
  <c r="Q51" i="117"/>
  <c r="R51" i="117" s="1"/>
  <c r="S51" i="117" s="1"/>
  <c r="AL51" i="117" s="1"/>
  <c r="J9" i="67"/>
  <c r="K9" i="67" s="1"/>
  <c r="L9" i="67" s="1"/>
  <c r="Z9" i="67" s="1"/>
  <c r="AB71" i="33"/>
  <c r="AC71" i="33" s="1"/>
  <c r="AD71" i="33" s="1"/>
  <c r="C70" i="72" s="1"/>
  <c r="X70" i="72" s="1"/>
  <c r="AR70" i="72" s="1"/>
  <c r="Q19" i="120"/>
  <c r="R19" i="120" s="1"/>
  <c r="S19" i="120" s="1"/>
  <c r="AJ19" i="120" s="1"/>
  <c r="Q17" i="115"/>
  <c r="R17" i="115" s="1"/>
  <c r="S17" i="115" s="1"/>
  <c r="AJ17" i="115" s="1"/>
  <c r="Q69" i="115"/>
  <c r="R69" i="115" s="1"/>
  <c r="S69" i="115" s="1"/>
  <c r="AJ69" i="115" s="1"/>
  <c r="AB65" i="33"/>
  <c r="AC65" i="33" s="1"/>
  <c r="AD65" i="33" s="1"/>
  <c r="C64" i="72" s="1"/>
  <c r="X64" i="72" s="1"/>
  <c r="AR64" i="72" s="1"/>
  <c r="Q42" i="119"/>
  <c r="R42" i="119" s="1"/>
  <c r="S42" i="119" s="1"/>
  <c r="AJ42" i="119" s="1"/>
  <c r="Q33" i="116"/>
  <c r="R33" i="116" s="1"/>
  <c r="S33" i="116" s="1"/>
  <c r="AJ33" i="116" s="1"/>
  <c r="Q27" i="117"/>
  <c r="R27" i="117" s="1"/>
  <c r="S27" i="117" s="1"/>
  <c r="AL27" i="117" s="1"/>
  <c r="Q19" i="114"/>
  <c r="R19" i="114" s="1"/>
  <c r="S19" i="114" s="1"/>
  <c r="AJ19" i="114" s="1"/>
  <c r="Q66" i="119"/>
  <c r="R66" i="119" s="1"/>
  <c r="S66" i="119" s="1"/>
  <c r="AJ66" i="119" s="1"/>
  <c r="J18" i="67"/>
  <c r="K18" i="67" s="1"/>
  <c r="L18" i="67" s="1"/>
  <c r="Z18" i="67" s="1"/>
  <c r="Q36" i="120"/>
  <c r="R36" i="120" s="1"/>
  <c r="S36" i="120" s="1"/>
  <c r="AJ36" i="120" s="1"/>
  <c r="R36" i="80"/>
  <c r="S36" i="80" s="1"/>
  <c r="T36" i="80" s="1"/>
  <c r="AK36" i="80" s="1"/>
  <c r="Q18" i="116"/>
  <c r="R18" i="116" s="1"/>
  <c r="S18" i="116" s="1"/>
  <c r="AJ18" i="116" s="1"/>
  <c r="Q66" i="114"/>
  <c r="R66" i="114" s="1"/>
  <c r="S66" i="114" s="1"/>
  <c r="AJ66" i="114" s="1"/>
  <c r="Q51" i="115"/>
  <c r="R51" i="115" s="1"/>
  <c r="S51" i="115" s="1"/>
  <c r="AJ51" i="115" s="1"/>
  <c r="J34" i="67"/>
  <c r="K34" i="67" s="1"/>
  <c r="L34" i="67" s="1"/>
  <c r="Z34" i="67" s="1"/>
  <c r="Q12" i="116"/>
  <c r="R12" i="116" s="1"/>
  <c r="S12" i="116" s="1"/>
  <c r="AJ12" i="116" s="1"/>
  <c r="Q34" i="117"/>
  <c r="R34" i="117" s="1"/>
  <c r="S34" i="117" s="1"/>
  <c r="AL34" i="117" s="1"/>
  <c r="J67" i="67"/>
  <c r="K67" i="67" s="1"/>
  <c r="L67" i="67" s="1"/>
  <c r="Z67" i="67" s="1"/>
  <c r="Q17" i="120"/>
  <c r="R17" i="120" s="1"/>
  <c r="S17" i="120" s="1"/>
  <c r="AJ17" i="120" s="1"/>
  <c r="Q18" i="119"/>
  <c r="R18" i="119" s="1"/>
  <c r="S18" i="119" s="1"/>
  <c r="AJ18" i="119" s="1"/>
  <c r="J76" i="67"/>
  <c r="K76" i="67" s="1"/>
  <c r="L76" i="67" s="1"/>
  <c r="Z76" i="67" s="1"/>
  <c r="R69" i="76"/>
  <c r="S69" i="76" s="1"/>
  <c r="T69" i="76" s="1"/>
  <c r="AK69" i="76" s="1"/>
  <c r="Q22" i="120"/>
  <c r="R22" i="120" s="1"/>
  <c r="S22" i="120" s="1"/>
  <c r="AJ22" i="120" s="1"/>
  <c r="Q30" i="116"/>
  <c r="R30" i="116" s="1"/>
  <c r="S30" i="116" s="1"/>
  <c r="AJ30" i="116" s="1"/>
  <c r="J42" i="67"/>
  <c r="K42" i="67" s="1"/>
  <c r="L42" i="67" s="1"/>
  <c r="Z42" i="67" s="1"/>
  <c r="Q17" i="119"/>
  <c r="R17" i="119" s="1"/>
  <c r="S17" i="119" s="1"/>
  <c r="AJ17" i="119" s="1"/>
  <c r="Q18" i="115"/>
  <c r="R18" i="115" s="1"/>
  <c r="S18" i="115" s="1"/>
  <c r="AJ18" i="115" s="1"/>
  <c r="Q76" i="116"/>
  <c r="R76" i="116" s="1"/>
  <c r="S76" i="116" s="1"/>
  <c r="AJ76" i="116" s="1"/>
  <c r="Q69" i="119"/>
  <c r="R69" i="119" s="1"/>
  <c r="S69" i="119" s="1"/>
  <c r="AJ69" i="119" s="1"/>
  <c r="Q42" i="115"/>
  <c r="R42" i="115" s="1"/>
  <c r="S42" i="115" s="1"/>
  <c r="AJ42" i="115" s="1"/>
  <c r="Q61" i="119"/>
  <c r="R61" i="119" s="1"/>
  <c r="S61" i="119" s="1"/>
  <c r="AJ61" i="119" s="1"/>
  <c r="Q30" i="117"/>
  <c r="R30" i="117" s="1"/>
  <c r="S30" i="117" s="1"/>
  <c r="AL30" i="117" s="1"/>
  <c r="Q10" i="115"/>
  <c r="R10" i="115" s="1"/>
  <c r="S10" i="115" s="1"/>
  <c r="AJ10" i="115" s="1"/>
  <c r="Q44" i="120"/>
  <c r="R44" i="120" s="1"/>
  <c r="S44" i="120" s="1"/>
  <c r="AJ44" i="120" s="1"/>
  <c r="Q38" i="117"/>
  <c r="R38" i="117" s="1"/>
  <c r="S38" i="117" s="1"/>
  <c r="AL38" i="117" s="1"/>
  <c r="Q9" i="118"/>
  <c r="R9" i="118" s="1"/>
  <c r="S9" i="118" s="1"/>
  <c r="AJ9" i="118" s="1"/>
  <c r="Q42" i="114"/>
  <c r="R42" i="114" s="1"/>
  <c r="S42" i="114" s="1"/>
  <c r="AJ42" i="114" s="1"/>
  <c r="Q51" i="116"/>
  <c r="R51" i="116" s="1"/>
  <c r="S51" i="116" s="1"/>
  <c r="AJ51" i="116" s="1"/>
  <c r="Q49" i="117"/>
  <c r="R49" i="117" s="1"/>
  <c r="S49" i="117" s="1"/>
  <c r="AL49" i="117" s="1"/>
  <c r="Q42" i="117"/>
  <c r="R42" i="117" s="1"/>
  <c r="S42" i="117" s="1"/>
  <c r="AL42" i="117" s="1"/>
  <c r="Q34" i="115"/>
  <c r="R34" i="115" s="1"/>
  <c r="S34" i="115" s="1"/>
  <c r="AJ34" i="115" s="1"/>
  <c r="Q34" i="116"/>
  <c r="R34" i="116" s="1"/>
  <c r="S34" i="116" s="1"/>
  <c r="AJ34" i="116" s="1"/>
  <c r="R28" i="80"/>
  <c r="S28" i="80" s="1"/>
  <c r="T28" i="80" s="1"/>
  <c r="AK28" i="80" s="1"/>
  <c r="R17" i="76"/>
  <c r="S17" i="76" s="1"/>
  <c r="T17" i="76" s="1"/>
  <c r="AK17" i="76" s="1"/>
  <c r="Q38" i="114"/>
  <c r="R38" i="114" s="1"/>
  <c r="S38" i="114" s="1"/>
  <c r="AJ38" i="114" s="1"/>
  <c r="R13" i="80"/>
  <c r="S13" i="80" s="1"/>
  <c r="T13" i="80" s="1"/>
  <c r="AK13" i="80" s="1"/>
  <c r="Q25" i="117"/>
  <c r="R25" i="117" s="1"/>
  <c r="S25" i="117" s="1"/>
  <c r="AL25" i="117" s="1"/>
  <c r="Q67" i="120"/>
  <c r="R67" i="120" s="1"/>
  <c r="S67" i="120" s="1"/>
  <c r="AJ67" i="120" s="1"/>
  <c r="Q49" i="120"/>
  <c r="R49" i="120" s="1"/>
  <c r="S49" i="120" s="1"/>
  <c r="AJ49" i="120" s="1"/>
  <c r="Q69" i="114"/>
  <c r="R69" i="114" s="1"/>
  <c r="S69" i="114" s="1"/>
  <c r="AJ69" i="114" s="1"/>
  <c r="Q12" i="117"/>
  <c r="R12" i="117" s="1"/>
  <c r="S12" i="117" s="1"/>
  <c r="AL12" i="117" s="1"/>
  <c r="Q33" i="118"/>
  <c r="R33" i="118" s="1"/>
  <c r="S33" i="118" s="1"/>
  <c r="AJ33" i="118" s="1"/>
  <c r="Q27" i="114"/>
  <c r="R27" i="114" s="1"/>
  <c r="S27" i="114" s="1"/>
  <c r="AJ27" i="114" s="1"/>
  <c r="Q34" i="118"/>
  <c r="R34" i="118" s="1"/>
  <c r="S34" i="118" s="1"/>
  <c r="AJ34" i="118" s="1"/>
  <c r="Q34" i="120"/>
  <c r="R34" i="120" s="1"/>
  <c r="S34" i="120" s="1"/>
  <c r="AJ34" i="120" s="1"/>
  <c r="Q30" i="115"/>
  <c r="R30" i="115" s="1"/>
  <c r="S30" i="115" s="1"/>
  <c r="AJ30" i="115" s="1"/>
  <c r="Q74" i="120"/>
  <c r="R74" i="120" s="1"/>
  <c r="S74" i="120" s="1"/>
  <c r="AJ74" i="120" s="1"/>
  <c r="Q19" i="117"/>
  <c r="R19" i="117" s="1"/>
  <c r="S19" i="117" s="1"/>
  <c r="AL19" i="117" s="1"/>
  <c r="Q44" i="114"/>
  <c r="R44" i="114" s="1"/>
  <c r="S44" i="114" s="1"/>
  <c r="AJ44" i="114" s="1"/>
  <c r="Q48" i="119"/>
  <c r="R48" i="119" s="1"/>
  <c r="S48" i="119" s="1"/>
  <c r="AJ48" i="119" s="1"/>
  <c r="Q48" i="120"/>
  <c r="R48" i="120" s="1"/>
  <c r="S48" i="120" s="1"/>
  <c r="AJ48" i="120" s="1"/>
  <c r="Q36" i="115"/>
  <c r="R36" i="115" s="1"/>
  <c r="S36" i="115" s="1"/>
  <c r="AJ36" i="115" s="1"/>
  <c r="Q36" i="119"/>
  <c r="R36" i="119" s="1"/>
  <c r="S36" i="119" s="1"/>
  <c r="AJ36" i="119" s="1"/>
  <c r="Q38" i="118"/>
  <c r="R38" i="118" s="1"/>
  <c r="S38" i="118" s="1"/>
  <c r="AJ38" i="118" s="1"/>
  <c r="Q38" i="115"/>
  <c r="R38" i="115" s="1"/>
  <c r="S38" i="115" s="1"/>
  <c r="AJ38" i="115" s="1"/>
  <c r="R23" i="80"/>
  <c r="S23" i="80" s="1"/>
  <c r="T23" i="80" s="1"/>
  <c r="AK23" i="80" s="1"/>
  <c r="Q9" i="117"/>
  <c r="R9" i="117" s="1"/>
  <c r="S9" i="117" s="1"/>
  <c r="AL9" i="117" s="1"/>
  <c r="J12" i="67"/>
  <c r="K12" i="67" s="1"/>
  <c r="L12" i="67" s="1"/>
  <c r="Z12" i="67" s="1"/>
  <c r="Q66" i="117"/>
  <c r="R66" i="117" s="1"/>
  <c r="S66" i="117" s="1"/>
  <c r="AL66" i="117" s="1"/>
  <c r="Q42" i="118"/>
  <c r="R42" i="118" s="1"/>
  <c r="S42" i="118" s="1"/>
  <c r="AJ42" i="118" s="1"/>
  <c r="Q12" i="114"/>
  <c r="R12" i="114" s="1"/>
  <c r="S12" i="114" s="1"/>
  <c r="AJ12" i="114" s="1"/>
  <c r="Q33" i="114"/>
  <c r="R33" i="114" s="1"/>
  <c r="S33" i="114" s="1"/>
  <c r="AJ33" i="114" s="1"/>
  <c r="Q33" i="119"/>
  <c r="R33" i="119" s="1"/>
  <c r="S33" i="119" s="1"/>
  <c r="AJ33" i="119" s="1"/>
  <c r="J66" i="67"/>
  <c r="K66" i="67" s="1"/>
  <c r="L66" i="67" s="1"/>
  <c r="Z66" i="67" s="1"/>
  <c r="Q61" i="117"/>
  <c r="R61" i="117" s="1"/>
  <c r="S61" i="117" s="1"/>
  <c r="AL61" i="117" s="1"/>
  <c r="R25" i="80"/>
  <c r="S25" i="80" s="1"/>
  <c r="T25" i="80" s="1"/>
  <c r="AK25" i="80" s="1"/>
  <c r="Q44" i="118"/>
  <c r="R44" i="118" s="1"/>
  <c r="S44" i="118" s="1"/>
  <c r="AJ44" i="118" s="1"/>
  <c r="R46" i="80"/>
  <c r="S46" i="80" s="1"/>
  <c r="T46" i="80" s="1"/>
  <c r="AK46" i="80" s="1"/>
  <c r="R48" i="80"/>
  <c r="S48" i="80" s="1"/>
  <c r="T48" i="80" s="1"/>
  <c r="AK48" i="80" s="1"/>
  <c r="Q36" i="116"/>
  <c r="R36" i="116" s="1"/>
  <c r="S36" i="116" s="1"/>
  <c r="AJ36" i="116" s="1"/>
  <c r="Q25" i="116"/>
  <c r="R25" i="116" s="1"/>
  <c r="S25" i="116" s="1"/>
  <c r="AJ25" i="116" s="1"/>
  <c r="Q9" i="115"/>
  <c r="R9" i="115" s="1"/>
  <c r="S9" i="115" s="1"/>
  <c r="AJ9" i="115" s="1"/>
  <c r="Q67" i="115"/>
  <c r="R67" i="115" s="1"/>
  <c r="S67" i="115" s="1"/>
  <c r="AJ67" i="115" s="1"/>
  <c r="J30" i="67"/>
  <c r="K30" i="67" s="1"/>
  <c r="L30" i="67" s="1"/>
  <c r="Z30" i="67" s="1"/>
  <c r="J61" i="67"/>
  <c r="K61" i="67" s="1"/>
  <c r="L61" i="67" s="1"/>
  <c r="Z61" i="67" s="1"/>
  <c r="Q76" i="120"/>
  <c r="R76" i="120" s="1"/>
  <c r="S76" i="120" s="1"/>
  <c r="AJ76" i="120" s="1"/>
  <c r="Q51" i="114"/>
  <c r="R51" i="114" s="1"/>
  <c r="S51" i="114" s="1"/>
  <c r="AJ51" i="114" s="1"/>
  <c r="Q51" i="120"/>
  <c r="R51" i="120" s="1"/>
  <c r="S51" i="120" s="1"/>
  <c r="AJ51" i="120" s="1"/>
  <c r="Q33" i="115"/>
  <c r="R33" i="115" s="1"/>
  <c r="S33" i="115" s="1"/>
  <c r="AJ33" i="115" s="1"/>
  <c r="Q61" i="115"/>
  <c r="R61" i="115" s="1"/>
  <c r="S61" i="115" s="1"/>
  <c r="AJ61" i="115" s="1"/>
  <c r="R25" i="76"/>
  <c r="S25" i="76" s="1"/>
  <c r="T25" i="76" s="1"/>
  <c r="AK25" i="76" s="1"/>
  <c r="R32" i="80"/>
  <c r="S32" i="80" s="1"/>
  <c r="T32" i="80" s="1"/>
  <c r="AK32" i="80" s="1"/>
  <c r="Q22" i="116"/>
  <c r="R22" i="116" s="1"/>
  <c r="S22" i="116" s="1"/>
  <c r="AJ22" i="116" s="1"/>
  <c r="R8" i="76"/>
  <c r="S8" i="76" s="1"/>
  <c r="T8" i="76" s="1"/>
  <c r="AK8" i="76" s="1"/>
  <c r="Q19" i="118"/>
  <c r="R19" i="118" s="1"/>
  <c r="S19" i="118" s="1"/>
  <c r="AJ19" i="118" s="1"/>
  <c r="Q44" i="119"/>
  <c r="R44" i="119" s="1"/>
  <c r="S44" i="119" s="1"/>
  <c r="AJ44" i="119" s="1"/>
  <c r="Q48" i="114"/>
  <c r="R48" i="114" s="1"/>
  <c r="S48" i="114" s="1"/>
  <c r="AJ48" i="114" s="1"/>
  <c r="Q48" i="117"/>
  <c r="R48" i="117" s="1"/>
  <c r="S48" i="117" s="1"/>
  <c r="AL48" i="117" s="1"/>
  <c r="Q68" i="116"/>
  <c r="R68" i="116" s="1"/>
  <c r="S68" i="116" s="1"/>
  <c r="AJ68" i="116" s="1"/>
  <c r="Q25" i="120"/>
  <c r="R25" i="120" s="1"/>
  <c r="S25" i="120" s="1"/>
  <c r="AJ25" i="120" s="1"/>
  <c r="Q25" i="114"/>
  <c r="R25" i="114" s="1"/>
  <c r="S25" i="114" s="1"/>
  <c r="AJ25" i="114" s="1"/>
  <c r="Q9" i="119"/>
  <c r="R9" i="119" s="1"/>
  <c r="S9" i="119" s="1"/>
  <c r="AJ9" i="119" s="1"/>
  <c r="Q18" i="114"/>
  <c r="R18" i="114" s="1"/>
  <c r="S18" i="114" s="1"/>
  <c r="AJ18" i="114" s="1"/>
  <c r="Q55" i="116"/>
  <c r="R55" i="116" s="1"/>
  <c r="S55" i="116" s="1"/>
  <c r="AJ55" i="116" s="1"/>
  <c r="Q61" i="118"/>
  <c r="R61" i="118" s="1"/>
  <c r="S61" i="118" s="1"/>
  <c r="AJ61" i="118" s="1"/>
  <c r="Q22" i="114"/>
  <c r="R22" i="114" s="1"/>
  <c r="S22" i="114" s="1"/>
  <c r="AJ22" i="114" s="1"/>
  <c r="Q10" i="117"/>
  <c r="R10" i="117" s="1"/>
  <c r="S10" i="117" s="1"/>
  <c r="AL10" i="117" s="1"/>
  <c r="Q68" i="120"/>
  <c r="R68" i="120" s="1"/>
  <c r="S68" i="120" s="1"/>
  <c r="AJ68" i="120" s="1"/>
  <c r="Q25" i="118"/>
  <c r="R25" i="118" s="1"/>
  <c r="S25" i="118" s="1"/>
  <c r="AJ25" i="118" s="1"/>
  <c r="Q9" i="120"/>
  <c r="R9" i="120" s="1"/>
  <c r="S9" i="120" s="1"/>
  <c r="AJ9" i="120" s="1"/>
  <c r="AB46" i="33"/>
  <c r="AC46" i="33" s="1"/>
  <c r="AD46" i="33" s="1"/>
  <c r="C45" i="72" s="1"/>
  <c r="X45" i="72" s="1"/>
  <c r="AR45" i="72" s="1"/>
  <c r="V8" i="67" l="1"/>
  <c r="V10" i="46"/>
  <c r="AB14" i="33"/>
  <c r="AC14" i="33" s="1"/>
  <c r="AD14" i="33" s="1"/>
  <c r="C13" i="72" s="1"/>
  <c r="X13" i="72" s="1"/>
  <c r="AR13" i="72" s="1"/>
  <c r="AB25" i="33"/>
  <c r="AC25" i="33" s="1"/>
  <c r="AD25" i="33" s="1"/>
  <c r="C24" i="72" s="1"/>
  <c r="X24" i="72" s="1"/>
  <c r="AR24" i="72" s="1"/>
  <c r="AB39" i="33"/>
  <c r="AC39" i="33" s="1"/>
  <c r="AD39" i="33" s="1"/>
  <c r="C38" i="72" s="1"/>
  <c r="X38" i="72" s="1"/>
  <c r="AR38" i="72" s="1"/>
  <c r="AB40" i="33"/>
  <c r="AC40" i="33" s="1"/>
  <c r="AD40" i="33" s="1"/>
  <c r="C39" i="72" s="1"/>
  <c r="X39" i="72" s="1"/>
  <c r="AR39" i="72" s="1"/>
  <c r="AB70" i="33"/>
  <c r="AC70" i="33" s="1"/>
  <c r="AD70" i="33" s="1"/>
  <c r="C69" i="72" s="1"/>
  <c r="X69" i="72" s="1"/>
  <c r="AR69" i="72" s="1"/>
  <c r="AB37" i="33"/>
  <c r="AC37" i="33" s="1"/>
  <c r="AD37" i="33" s="1"/>
  <c r="C36" i="72" s="1"/>
  <c r="X36" i="72" s="1"/>
  <c r="AR36" i="72" s="1"/>
  <c r="AB52" i="33"/>
  <c r="AC52" i="33" s="1"/>
  <c r="AD52" i="33" s="1"/>
  <c r="C51" i="72" s="1"/>
  <c r="X51" i="72" s="1"/>
  <c r="AR51" i="72" s="1"/>
  <c r="AB32" i="33"/>
  <c r="AC32" i="33" s="1"/>
  <c r="AD32" i="33" s="1"/>
  <c r="C31" i="72" s="1"/>
  <c r="X31" i="72" s="1"/>
  <c r="AR31" i="72" s="1"/>
  <c r="AB15" i="33"/>
  <c r="AC15" i="33" s="1"/>
  <c r="AD15" i="33" s="1"/>
  <c r="C14" i="72" s="1"/>
  <c r="X14" i="72" s="1"/>
  <c r="AR14" i="72" s="1"/>
  <c r="AB58" i="33"/>
  <c r="AC58" i="33" s="1"/>
  <c r="AD58" i="33" s="1"/>
  <c r="C57" i="72" s="1"/>
  <c r="X57" i="72" s="1"/>
  <c r="AR57" i="72" s="1"/>
  <c r="AB57" i="33"/>
  <c r="AC57" i="33" s="1"/>
  <c r="AD57" i="33" s="1"/>
  <c r="C56" i="72" s="1"/>
  <c r="X56" i="72" s="1"/>
  <c r="AR56" i="72" s="1"/>
  <c r="R71" i="80"/>
  <c r="S71" i="80" s="1"/>
  <c r="T71" i="80" s="1"/>
  <c r="AK71" i="80" s="1"/>
  <c r="AB74" i="33"/>
  <c r="AC74" i="33" s="1"/>
  <c r="AD74" i="33" s="1"/>
  <c r="C73" i="72" s="1"/>
  <c r="X73" i="72" s="1"/>
  <c r="AR73" i="72" s="1"/>
  <c r="AB36" i="33"/>
  <c r="AC36" i="33" s="1"/>
  <c r="AD36" i="33" s="1"/>
  <c r="C35" i="72" s="1"/>
  <c r="X35" i="72" s="1"/>
  <c r="AR35" i="72" s="1"/>
  <c r="AB29" i="33"/>
  <c r="AC29" i="33" s="1"/>
  <c r="AD29" i="33" s="1"/>
  <c r="C28" i="72" s="1"/>
  <c r="X28" i="72" s="1"/>
  <c r="AR28" i="72" s="1"/>
  <c r="AB73" i="33"/>
  <c r="AC73" i="33" s="1"/>
  <c r="AD73" i="33" s="1"/>
  <c r="C72" i="72" s="1"/>
  <c r="X72" i="72" s="1"/>
  <c r="AR72" i="72" s="1"/>
  <c r="AB20" i="33"/>
  <c r="AC20" i="33" s="1"/>
  <c r="AD20" i="33" s="1"/>
  <c r="C19" i="72" s="1"/>
  <c r="X19" i="72" s="1"/>
  <c r="AR19" i="72" s="1"/>
  <c r="AB44" i="33"/>
  <c r="AC44" i="33" s="1"/>
  <c r="AD44" i="33" s="1"/>
  <c r="C43" i="72" s="1"/>
  <c r="X43" i="72" s="1"/>
  <c r="AR43" i="72" s="1"/>
  <c r="AB31" i="33"/>
  <c r="AC31" i="33" s="1"/>
  <c r="AD31" i="33" s="1"/>
  <c r="C30" i="72" s="1"/>
  <c r="X30" i="72" s="1"/>
  <c r="AR30" i="72" s="1"/>
  <c r="AB53" i="33"/>
  <c r="AC53" i="33" s="1"/>
  <c r="AD53" i="33" s="1"/>
  <c r="C52" i="72" s="1"/>
  <c r="X52" i="72" s="1"/>
  <c r="AR52" i="72" s="1"/>
  <c r="AB45" i="33"/>
  <c r="AC45" i="33" s="1"/>
  <c r="AD45" i="33" s="1"/>
  <c r="C44" i="72" s="1"/>
  <c r="X44" i="72" s="1"/>
  <c r="AR44" i="72" s="1"/>
  <c r="AB48" i="33"/>
  <c r="AC48" i="33" s="1"/>
  <c r="AD48" i="33" s="1"/>
  <c r="C47" i="72" s="1"/>
  <c r="X47" i="72" s="1"/>
  <c r="AR47" i="72" s="1"/>
  <c r="AB9" i="33"/>
  <c r="AC9" i="33" s="1"/>
  <c r="AD9" i="33" s="1"/>
  <c r="C8" i="72" s="1"/>
  <c r="X8" i="72" s="1"/>
  <c r="AR8" i="72" s="1"/>
  <c r="AB61" i="33"/>
  <c r="AC61" i="33" s="1"/>
  <c r="AD61" i="33" s="1"/>
  <c r="C60" i="72" s="1"/>
  <c r="X60" i="72" s="1"/>
  <c r="AR60" i="72" s="1"/>
  <c r="AB30" i="33"/>
  <c r="AC30" i="33" s="1"/>
  <c r="AD30" i="33" s="1"/>
  <c r="C29" i="72" s="1"/>
  <c r="X29" i="72" s="1"/>
  <c r="AR29" i="72" s="1"/>
  <c r="AB12" i="33"/>
  <c r="AC12" i="33" s="1"/>
  <c r="AD12" i="33" s="1"/>
  <c r="C11" i="72" s="1"/>
  <c r="X11" i="72" s="1"/>
  <c r="AR11" i="72" s="1"/>
  <c r="AB49" i="33"/>
  <c r="AC49" i="33" s="1"/>
  <c r="AD49" i="33" s="1"/>
  <c r="C48" i="72" s="1"/>
  <c r="X48" i="72" s="1"/>
  <c r="AR48" i="72" s="1"/>
  <c r="AB17" i="33"/>
  <c r="AC17" i="33" s="1"/>
  <c r="AD17" i="33" s="1"/>
  <c r="C16" i="72" s="1"/>
  <c r="X16" i="72" s="1"/>
  <c r="AR16" i="72" s="1"/>
  <c r="AB18" i="33"/>
  <c r="AC18" i="33" s="1"/>
  <c r="AD18" i="33" s="1"/>
  <c r="C17" i="72" s="1"/>
  <c r="X17" i="72" s="1"/>
  <c r="AR17" i="72" s="1"/>
  <c r="AB27" i="33"/>
  <c r="AC27" i="33" s="1"/>
  <c r="AD27" i="33" s="1"/>
  <c r="C26" i="72" s="1"/>
  <c r="X26" i="72" s="1"/>
  <c r="AR26" i="72" s="1"/>
  <c r="AB76" i="33"/>
  <c r="AC76" i="33" s="1"/>
  <c r="AD76" i="33" s="1"/>
  <c r="C75" i="72" s="1"/>
  <c r="X75" i="72" s="1"/>
  <c r="AR75" i="72" s="1"/>
  <c r="AB66" i="33"/>
  <c r="AC66" i="33" s="1"/>
  <c r="AD66" i="33" s="1"/>
  <c r="C65" i="72" s="1"/>
  <c r="X65" i="72" s="1"/>
  <c r="AR65" i="72" s="1"/>
  <c r="AB67" i="33"/>
  <c r="AC67" i="33" s="1"/>
  <c r="AD67" i="33" s="1"/>
  <c r="C66" i="72" s="1"/>
  <c r="X66" i="72" s="1"/>
  <c r="AR66" i="72" s="1"/>
  <c r="AB51" i="33"/>
  <c r="AC51" i="33" s="1"/>
  <c r="AD51" i="33" s="1"/>
  <c r="C50" i="72" s="1"/>
  <c r="X50" i="72" s="1"/>
  <c r="AR50" i="72" s="1"/>
  <c r="AB38" i="33"/>
  <c r="AC38" i="33" s="1"/>
  <c r="AD38" i="33" s="1"/>
  <c r="C37" i="72" s="1"/>
  <c r="X37" i="72" s="1"/>
  <c r="AR37" i="72" s="1"/>
  <c r="AB68" i="33"/>
  <c r="AC68" i="33" s="1"/>
  <c r="AD68" i="33" s="1"/>
  <c r="C67" i="72" s="1"/>
  <c r="X67" i="72" s="1"/>
  <c r="AR67" i="72" s="1"/>
  <c r="AB55" i="33"/>
  <c r="AC55" i="33" s="1"/>
  <c r="AD55" i="33" s="1"/>
  <c r="C54" i="72" s="1"/>
  <c r="X54" i="72" s="1"/>
  <c r="AR54" i="72" s="1"/>
  <c r="AB33" i="33"/>
  <c r="AC33" i="33" s="1"/>
  <c r="AD33" i="33" s="1"/>
  <c r="C32" i="72" s="1"/>
  <c r="X32" i="72" s="1"/>
  <c r="AR32" i="72" s="1"/>
  <c r="AB34" i="33"/>
  <c r="AC34" i="33" s="1"/>
  <c r="AD34" i="33" s="1"/>
  <c r="C33" i="72" s="1"/>
  <c r="X33" i="72" s="1"/>
  <c r="AR33" i="72" s="1"/>
  <c r="AB24" i="33"/>
  <c r="AC24" i="33" s="1"/>
  <c r="AD24" i="33" s="1"/>
  <c r="C23" i="72" s="1"/>
  <c r="X23" i="72" s="1"/>
  <c r="AR23" i="72" s="1"/>
  <c r="AP10" i="46" l="1"/>
  <c r="V7" i="72"/>
  <c r="AB26" i="33"/>
  <c r="AC26" i="33" s="1"/>
  <c r="AD26" i="33" s="1"/>
  <c r="C25" i="72" s="1"/>
  <c r="X25" i="72" s="1"/>
  <c r="AR25" i="72" s="1"/>
  <c r="AB19" i="33"/>
  <c r="AC19" i="33" s="1"/>
  <c r="AD19" i="33" s="1"/>
  <c r="C18" i="72" s="1"/>
  <c r="X18" i="72" s="1"/>
  <c r="AR18" i="72" s="1"/>
  <c r="AB22" i="33"/>
  <c r="AC22" i="33" s="1"/>
  <c r="AD22" i="33" s="1"/>
  <c r="C21" i="72" s="1"/>
  <c r="X21" i="72" s="1"/>
  <c r="AR21" i="72" s="1"/>
  <c r="AB11" i="33"/>
  <c r="AC11" i="33" s="1"/>
  <c r="AD11" i="33" s="1"/>
  <c r="C10" i="72" s="1"/>
  <c r="X10" i="72" s="1"/>
  <c r="AR10" i="72" s="1"/>
  <c r="AB42" i="33"/>
  <c r="AC42" i="33" s="1"/>
  <c r="AD42" i="33" s="1"/>
  <c r="C41" i="72" s="1"/>
  <c r="X41" i="72" s="1"/>
  <c r="AR41" i="72" s="1"/>
  <c r="AB21" i="33"/>
  <c r="AC21" i="33" s="1"/>
  <c r="AD21" i="33" s="1"/>
  <c r="C20" i="72" s="1"/>
  <c r="X20" i="72" s="1"/>
  <c r="AR20" i="72" s="1"/>
  <c r="AB10" i="33"/>
  <c r="AC10" i="33" s="1"/>
  <c r="AD10" i="33" s="1"/>
  <c r="C9" i="72" s="1"/>
  <c r="X9" i="72" s="1"/>
  <c r="AR9" i="72" s="1"/>
  <c r="T17" i="46"/>
  <c r="T16" i="67"/>
  <c r="AB43" i="33"/>
  <c r="AC43" i="33" s="1"/>
  <c r="AD43" i="33" s="1"/>
  <c r="C42" i="72" s="1"/>
  <c r="X42" i="72" s="1"/>
  <c r="AR42" i="72" s="1"/>
  <c r="J8" i="67"/>
  <c r="U16" i="67" l="1"/>
  <c r="T77" i="67"/>
  <c r="U17" i="46"/>
  <c r="T18" i="46"/>
  <c r="K8" i="67"/>
  <c r="W7" i="72"/>
  <c r="Q8" i="113"/>
  <c r="R8" i="113" l="1"/>
  <c r="L8" i="67"/>
  <c r="V17" i="46"/>
  <c r="U18" i="46"/>
  <c r="V16" i="67"/>
  <c r="U77" i="67"/>
  <c r="O21" i="5"/>
  <c r="P21" i="5" s="1"/>
  <c r="O9" i="5"/>
  <c r="P9" i="5" s="1"/>
  <c r="O48" i="46"/>
  <c r="O51" i="46" s="1"/>
  <c r="J54" i="46" s="1"/>
  <c r="Q8" i="117"/>
  <c r="R6" i="76"/>
  <c r="Q8" i="119"/>
  <c r="Q8" i="114"/>
  <c r="Q8" i="128"/>
  <c r="R8" i="128" l="1"/>
  <c r="R8" i="114"/>
  <c r="S6" i="76"/>
  <c r="R8" i="117"/>
  <c r="R8" i="119"/>
  <c r="V15" i="72"/>
  <c r="V77" i="67"/>
  <c r="AP17" i="46"/>
  <c r="AP18" i="46" s="1"/>
  <c r="V18" i="46"/>
  <c r="Z8" i="67"/>
  <c r="S8" i="113"/>
  <c r="N48" i="46"/>
  <c r="N51" i="46" s="1"/>
  <c r="J53" i="46" s="1"/>
  <c r="J16" i="67"/>
  <c r="Q8" i="125"/>
  <c r="Q8" i="126"/>
  <c r="Q8" i="120"/>
  <c r="R6" i="80"/>
  <c r="AB8" i="33"/>
  <c r="Q8" i="118"/>
  <c r="Q8" i="131"/>
  <c r="Q8" i="116"/>
  <c r="Q8" i="115"/>
  <c r="Q8" i="127"/>
  <c r="R8" i="116" l="1"/>
  <c r="R8" i="125"/>
  <c r="K16" i="67"/>
  <c r="J77" i="67"/>
  <c r="R8" i="126"/>
  <c r="R8" i="127"/>
  <c r="R8" i="115"/>
  <c r="R8" i="131"/>
  <c r="R8" i="118"/>
  <c r="AC8" i="33"/>
  <c r="S6" i="80"/>
  <c r="R8" i="120"/>
  <c r="AJ8" i="113"/>
  <c r="W15" i="72"/>
  <c r="W76" i="72" s="1"/>
  <c r="V76" i="72"/>
  <c r="S8" i="119"/>
  <c r="S8" i="117"/>
  <c r="T6" i="76"/>
  <c r="S8" i="114"/>
  <c r="S8" i="128"/>
  <c r="N80" i="128"/>
  <c r="N82" i="128" s="1"/>
  <c r="N80" i="114"/>
  <c r="N82" i="114" s="1"/>
  <c r="N80" i="127"/>
  <c r="N82" i="127" s="1"/>
  <c r="N80" i="117"/>
  <c r="N82" i="117" s="1"/>
  <c r="N80" i="118"/>
  <c r="N82" i="118" s="1"/>
  <c r="N80" i="115"/>
  <c r="N82" i="115" s="1"/>
  <c r="N80" i="116"/>
  <c r="N82" i="116" s="1"/>
  <c r="N80" i="119"/>
  <c r="N82" i="119" s="1"/>
  <c r="O82" i="80"/>
  <c r="O84" i="80" s="1"/>
  <c r="N80" i="125"/>
  <c r="N82" i="125" s="1"/>
  <c r="N80" i="126"/>
  <c r="N82" i="126" s="1"/>
  <c r="N80" i="120"/>
  <c r="N82" i="120" s="1"/>
  <c r="N80" i="131"/>
  <c r="N82" i="131" s="1"/>
  <c r="N80" i="129"/>
  <c r="N82" i="129" s="1"/>
  <c r="O8" i="5" l="1"/>
  <c r="N10" i="5"/>
  <c r="O20" i="5"/>
  <c r="N22" i="5"/>
  <c r="AJ8" i="128"/>
  <c r="AJ8" i="114"/>
  <c r="AK6" i="76"/>
  <c r="AL8" i="117"/>
  <c r="AJ8" i="119"/>
  <c r="S8" i="120"/>
  <c r="T6" i="80"/>
  <c r="AD8" i="33"/>
  <c r="S8" i="118"/>
  <c r="S8" i="131"/>
  <c r="S8" i="115"/>
  <c r="S8" i="127"/>
  <c r="S8" i="126"/>
  <c r="L16" i="67"/>
  <c r="K77" i="67"/>
  <c r="S8" i="125"/>
  <c r="S8" i="116"/>
  <c r="T29" i="46"/>
  <c r="U29" i="46" s="1"/>
  <c r="V29" i="46" s="1"/>
  <c r="AP29" i="46" s="1"/>
  <c r="T28" i="46"/>
  <c r="Q16" i="113"/>
  <c r="R16" i="113" l="1"/>
  <c r="Q77" i="113"/>
  <c r="T30" i="46"/>
  <c r="T38" i="46" s="1"/>
  <c r="T44" i="46" s="1"/>
  <c r="U28" i="46"/>
  <c r="AJ8" i="116"/>
  <c r="AJ8" i="125"/>
  <c r="Z16" i="67"/>
  <c r="Z77" i="67" s="1"/>
  <c r="L77" i="67"/>
  <c r="AJ8" i="126"/>
  <c r="AJ8" i="127"/>
  <c r="AJ8" i="115"/>
  <c r="AJ8" i="131"/>
  <c r="AJ8" i="118"/>
  <c r="C7" i="72"/>
  <c r="AK6" i="80"/>
  <c r="AJ8" i="120"/>
  <c r="O22" i="5"/>
  <c r="P20" i="5"/>
  <c r="P22" i="5" s="1"/>
  <c r="O10" i="5"/>
  <c r="P8" i="5"/>
  <c r="P10" i="5" s="1"/>
  <c r="Q16" i="128"/>
  <c r="Q16" i="114"/>
  <c r="Q16" i="127"/>
  <c r="Q16" i="117"/>
  <c r="Q16" i="118"/>
  <c r="Q16" i="125"/>
  <c r="Q16" i="126"/>
  <c r="R14" i="76"/>
  <c r="Q16" i="120"/>
  <c r="Q16" i="131"/>
  <c r="Q16" i="115"/>
  <c r="Q16" i="116"/>
  <c r="Q16" i="119"/>
  <c r="R14" i="80"/>
  <c r="S14" i="80" l="1"/>
  <c r="R75" i="80"/>
  <c r="R79" i="80" s="1"/>
  <c r="R16" i="131"/>
  <c r="Q77" i="131"/>
  <c r="R16" i="120"/>
  <c r="Q77" i="120"/>
  <c r="R16" i="118"/>
  <c r="Q77" i="118"/>
  <c r="R16" i="127"/>
  <c r="Q77" i="127"/>
  <c r="R16" i="114"/>
  <c r="Q78" i="114"/>
  <c r="R16" i="128"/>
  <c r="Q77" i="128"/>
  <c r="U30" i="46"/>
  <c r="U38" i="46" s="1"/>
  <c r="V28" i="46"/>
  <c r="R16" i="119"/>
  <c r="Q77" i="119"/>
  <c r="R16" i="116"/>
  <c r="Q77" i="116"/>
  <c r="R16" i="115"/>
  <c r="Q77" i="115"/>
  <c r="S14" i="76"/>
  <c r="R75" i="76"/>
  <c r="R79" i="76" s="1"/>
  <c r="R16" i="126"/>
  <c r="Q77" i="126"/>
  <c r="R16" i="125"/>
  <c r="Q77" i="125"/>
  <c r="R16" i="117"/>
  <c r="Q77" i="117"/>
  <c r="X7" i="72"/>
  <c r="S16" i="113"/>
  <c r="R77" i="113"/>
  <c r="AB16" i="33"/>
  <c r="AP28" i="46" l="1"/>
  <c r="AP30" i="46" s="1"/>
  <c r="AP38" i="46" s="1"/>
  <c r="V30" i="46"/>
  <c r="V38" i="46" s="1"/>
  <c r="AC16" i="33"/>
  <c r="AB77" i="33"/>
  <c r="AJ16" i="113"/>
  <c r="AJ77" i="113" s="1"/>
  <c r="S77" i="113"/>
  <c r="AR7" i="72"/>
  <c r="S16" i="117"/>
  <c r="R77" i="117"/>
  <c r="S16" i="125"/>
  <c r="R77" i="125"/>
  <c r="S16" i="126"/>
  <c r="R77" i="126"/>
  <c r="T14" i="76"/>
  <c r="S75" i="76"/>
  <c r="S79" i="76" s="1"/>
  <c r="S16" i="115"/>
  <c r="R77" i="115"/>
  <c r="S16" i="116"/>
  <c r="R77" i="116"/>
  <c r="S16" i="119"/>
  <c r="R77" i="119"/>
  <c r="S16" i="128"/>
  <c r="R77" i="128"/>
  <c r="S16" i="114"/>
  <c r="R78" i="114"/>
  <c r="S16" i="127"/>
  <c r="R77" i="127"/>
  <c r="S16" i="118"/>
  <c r="R77" i="118"/>
  <c r="S16" i="120"/>
  <c r="R77" i="120"/>
  <c r="S16" i="131"/>
  <c r="R77" i="131"/>
  <c r="T14" i="80"/>
  <c r="S75" i="80"/>
  <c r="S79" i="80" s="1"/>
  <c r="AK14" i="80" l="1"/>
  <c r="AK75" i="80" s="1"/>
  <c r="AK79" i="80" s="1"/>
  <c r="T75" i="80"/>
  <c r="T79" i="80" s="1"/>
  <c r="AJ16" i="131"/>
  <c r="AJ77" i="131" s="1"/>
  <c r="S77" i="131"/>
  <c r="AJ16" i="120"/>
  <c r="AJ77" i="120" s="1"/>
  <c r="S77" i="120"/>
  <c r="AJ16" i="118"/>
  <c r="AJ77" i="118" s="1"/>
  <c r="S77" i="118"/>
  <c r="AJ16" i="127"/>
  <c r="AJ77" i="127" s="1"/>
  <c r="S77" i="127"/>
  <c r="AJ16" i="114"/>
  <c r="AJ78" i="114" s="1"/>
  <c r="S78" i="114"/>
  <c r="AJ16" i="128"/>
  <c r="AJ77" i="128" s="1"/>
  <c r="S77" i="128"/>
  <c r="AJ16" i="119"/>
  <c r="AJ77" i="119" s="1"/>
  <c r="S77" i="119"/>
  <c r="AJ16" i="116"/>
  <c r="AJ77" i="116" s="1"/>
  <c r="S77" i="116"/>
  <c r="AJ16" i="115"/>
  <c r="AJ77" i="115" s="1"/>
  <c r="S77" i="115"/>
  <c r="AK14" i="76"/>
  <c r="AK75" i="76" s="1"/>
  <c r="AK79" i="76" s="1"/>
  <c r="T75" i="76"/>
  <c r="T79" i="76" s="1"/>
  <c r="AJ16" i="126"/>
  <c r="AJ77" i="126" s="1"/>
  <c r="S77" i="126"/>
  <c r="AJ16" i="125"/>
  <c r="AJ77" i="125" s="1"/>
  <c r="S77" i="125"/>
  <c r="AL16" i="117"/>
  <c r="AL77" i="117" s="1"/>
  <c r="S77" i="117"/>
  <c r="AD16" i="33"/>
  <c r="AC77" i="33"/>
  <c r="C15" i="72" l="1"/>
  <c r="AD77" i="33"/>
  <c r="Q20" i="137" l="1"/>
  <c r="Q24" i="137" s="1"/>
  <c r="R16" i="137"/>
  <c r="X15" i="72"/>
  <c r="C76" i="72"/>
  <c r="R20" i="137" l="1"/>
  <c r="R24" i="137" s="1"/>
  <c r="S20" i="137"/>
  <c r="S24" i="137" s="1"/>
  <c r="AR15" i="72"/>
  <c r="AR76" i="72" s="1"/>
  <c r="X76" i="72"/>
</calcChain>
</file>

<file path=xl/sharedStrings.xml><?xml version="1.0" encoding="utf-8"?>
<sst xmlns="http://schemas.openxmlformats.org/spreadsheetml/2006/main" count="3590" uniqueCount="1012">
  <si>
    <t>Pay Raise
&amp; Insurance
Supplement
Amounts
from Prior
Years</t>
  </si>
  <si>
    <t>FY2006/07
Hold 
Harmless 
Amount</t>
  </si>
  <si>
    <t>School 
System</t>
  </si>
  <si>
    <t>AD VALOREM 
CONSTITUTIONAL TAX</t>
  </si>
  <si>
    <t>COMBINED 
SALES 
PERCENT</t>
  </si>
  <si>
    <t>SALES
REVENUE 
(NON-DEBT)</t>
  </si>
  <si>
    <t>SALES 
REVENUE 
(DEBT)</t>
  </si>
  <si>
    <t>PARISH 
MILL 
RATE</t>
  </si>
  <si>
    <t>DIST 
MILL 
LOW</t>
  </si>
  <si>
    <t>DIST 
MILL 
HIGH</t>
  </si>
  <si>
    <t># 
OF 
DISTS.</t>
  </si>
  <si>
    <t>DIST 
REVENUE 
AMOUNT</t>
  </si>
  <si>
    <t>PARISH 
REVENUE 
AMOUNT</t>
  </si>
  <si>
    <t>TOTAL AVG. 
MILL RATE 
(NON DEBT)</t>
  </si>
  <si>
    <t>TOTAL AVG.
MILL RATE 
(DEBT)</t>
  </si>
  <si>
    <t>REVENUE
DISTRICT 
INCL. DEBT</t>
  </si>
  <si>
    <t>REVENUE
PARISHWIDE
INCL. DEBT</t>
  </si>
  <si>
    <t>PARISHWIDE  
MILLAGE 
INCL. DEBT</t>
  </si>
  <si>
    <t>TOTAL AVG.
MILL RATE 
INCLUDING
DEBT</t>
  </si>
  <si>
    <t>DEBT 
RATE</t>
  </si>
  <si>
    <t>% 
Change</t>
  </si>
  <si>
    <t>col. 34+col.30+col. 26</t>
  </si>
  <si>
    <t>set by resolution</t>
  </si>
  <si>
    <t>col. 5 + col. 7 + col. 11</t>
  </si>
  <si>
    <t>col. 14 + col. 18</t>
  </si>
  <si>
    <t>La. Tax Commission Tables 41 &amp; 43</t>
  </si>
  <si>
    <t>(col. 26/ col. 3)*1000</t>
  </si>
  <si>
    <t>col. 30/ col 27</t>
  </si>
  <si>
    <t>col. 28/ col. 31</t>
  </si>
  <si>
    <t>col. 29/ col. 31</t>
  </si>
  <si>
    <t>City of Baker</t>
  </si>
  <si>
    <t>Foreign Language Associates</t>
  </si>
  <si>
    <t>Zachary Community</t>
  </si>
  <si>
    <t>col. 4 + col. 6 + col 13</t>
  </si>
  <si>
    <t>col. 5 + col. 7 + col 14</t>
  </si>
  <si>
    <t>col. 11 + col. 18</t>
  </si>
  <si>
    <t>(col. 19/ col. 3)*1000</t>
  </si>
  <si>
    <t>(col. 12/ col. 3)*1000</t>
  </si>
  <si>
    <t>SUMMARY OF AD VALOREM TAXES</t>
  </si>
  <si>
    <t>AFR-kpc 62220 col. 3</t>
  </si>
  <si>
    <t>AFR-kpc 62220 col. 4</t>
  </si>
  <si>
    <t>AFR-kpc 62320 col. 3</t>
  </si>
  <si>
    <t>AFR-kpc 62320 col. 4</t>
  </si>
  <si>
    <t>AFR-kpc 62320 col. 5</t>
  </si>
  <si>
    <t>AFR-kpc 62320 col. 6</t>
  </si>
  <si>
    <t>AFR-kpc 62320 col. 7</t>
  </si>
  <si>
    <t>AFR-kpc 62320 col. 8</t>
  </si>
  <si>
    <t>AFR-kpc 62620 col. 3</t>
  </si>
  <si>
    <t>AFR-kpc 62620 col. 4</t>
  </si>
  <si>
    <t>AFR-kpc 62620 col. 5</t>
  </si>
  <si>
    <t>AFR-kpc 62620 col. 6</t>
  </si>
  <si>
    <t>AFR-kpc 62620 col. 7</t>
  </si>
  <si>
    <t>AFR-kpc 62620 col. 8</t>
  </si>
  <si>
    <t>AD VALOREM RENEWABLE TAXES</t>
  </si>
  <si>
    <t>DEBT SERVICE TAXES</t>
  </si>
  <si>
    <t>TOTAL AD VALOREM TAXES         (DEBT)</t>
  </si>
  <si>
    <t>PARISH REVENUE AMOUNT</t>
  </si>
  <si>
    <t>DIST. MILL LOW</t>
  </si>
  <si>
    <t>DIST. MILL HIGH</t>
  </si>
  <si>
    <t># OF DISTS.</t>
  </si>
  <si>
    <t>("Table 7 state total col. 25" x "Tbl 7 col. 3") / 1000</t>
  </si>
  <si>
    <t>"Table 7 total col. 27" * "Tbl 7 col. 31"</t>
  </si>
  <si>
    <t>Input from SIS</t>
  </si>
  <si>
    <t>K.</t>
  </si>
  <si>
    <t>Foreign Associate Teacher Stipends</t>
  </si>
  <si>
    <t>See 
Table 2</t>
  </si>
  <si>
    <t>col.13 x Tbl 3, col.1 (Oct 1 membership)</t>
  </si>
  <si>
    <t>If col 14 &gt;col. 15 then col. 15, otherwise col. 14</t>
  </si>
  <si>
    <t>AFR-kpc 63320 col.3</t>
  </si>
  <si>
    <t>AFR kpc 63320 col.4</t>
  </si>
  <si>
    <t>Input from ASR</t>
  </si>
  <si>
    <t>SUMMARY OF SALES TAXES</t>
  </si>
  <si>
    <t>Col.31 X 5%</t>
  </si>
  <si>
    <t>Per HCR 235</t>
  </si>
  <si>
    <t>SIS</t>
  </si>
  <si>
    <t>AFR kpcs (50% of 1210, 1220) 8231, 8232, 8233, 8234, 8240, 14200, 14300, 14400</t>
  </si>
  <si>
    <t>Col.35 / Tab.3 col.1</t>
  </si>
  <si>
    <t>Sitecode</t>
  </si>
  <si>
    <t>RSD Chartered</t>
  </si>
  <si>
    <t>Total RSD Chartered</t>
  </si>
  <si>
    <t>TOTAL RSD 
(Operated + Chartered)</t>
  </si>
  <si>
    <t xml:space="preserve">Percent 
State </t>
  </si>
  <si>
    <t>O.</t>
  </si>
  <si>
    <t>Adjustments</t>
  </si>
  <si>
    <t>P.</t>
  </si>
  <si>
    <t>Total 
Stipends
for Foreign
Associate
Teachers</t>
  </si>
  <si>
    <t>See Table 2</t>
  </si>
  <si>
    <t xml:space="preserve">COMPUTED SALES
TAX BASE with GROWTH CAP OF </t>
  </si>
  <si>
    <t>STATE TOTAL</t>
  </si>
  <si>
    <t>COMPUTED SALES TAX BASE</t>
  </si>
  <si>
    <t>NON-DEBT RATE</t>
  </si>
  <si>
    <t>Hide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</si>
  <si>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</si>
  <si>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</si>
  <si>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</si>
  <si>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</si>
  <si>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</si>
  <si>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</si>
  <si>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</si>
  <si>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</si>
  <si>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</si>
  <si>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</si>
  <si>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</si>
  <si>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</si>
  <si>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</si>
  <si>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</si>
  <si>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</si>
  <si>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</si>
  <si>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</si>
  <si>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</si>
  <si>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</si>
  <si>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</si>
  <si>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</si>
  <si>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</si>
  <si>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</si>
  <si>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</si>
  <si>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</si>
  <si>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</si>
  <si>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</si>
  <si>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</si>
  <si>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</si>
  <si>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</si>
  <si>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</si>
  <si>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</si>
  <si>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</si>
  <si>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</si>
  <si>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</si>
  <si>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</si>
  <si>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</si>
  <si>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</si>
  <si>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</si>
  <si>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</si>
  <si>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</si>
  <si>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</si>
  <si>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</si>
  <si>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</si>
  <si>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</si>
  <si>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</si>
  <si>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</si>
  <si>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</si>
  <si>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</si>
  <si>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</si>
  <si>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</si>
  <si>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</si>
  <si>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</si>
  <si>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</si>
  <si>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</si>
  <si>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</si>
  <si>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</si>
  <si>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</si>
  <si>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</si>
  <si>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</si>
  <si>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</si>
  <si>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</si>
  <si>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</si>
  <si>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</si>
  <si>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</si>
  <si>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</si>
  <si>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>Level 1 Base Per Pupil Amount</t>
  </si>
  <si>
    <t>1.</t>
  </si>
  <si>
    <t>2.</t>
  </si>
  <si>
    <t>3.</t>
  </si>
  <si>
    <t>4.</t>
  </si>
  <si>
    <t>5.</t>
  </si>
  <si>
    <t>6.</t>
  </si>
  <si>
    <t>Total Level 1 State and Local Costs (A X B)</t>
  </si>
  <si>
    <t>Level 2 Eligible Local Revenue</t>
  </si>
  <si>
    <t>A.</t>
  </si>
  <si>
    <t>B.</t>
  </si>
  <si>
    <t>C.</t>
  </si>
  <si>
    <t>D.</t>
  </si>
  <si>
    <t>E.</t>
  </si>
  <si>
    <t>G.</t>
  </si>
  <si>
    <t xml:space="preserve">TOTAL </t>
  </si>
  <si>
    <t>MFP Formula Items</t>
  </si>
  <si>
    <t xml:space="preserve">Economy-of-Scale Weight Factor </t>
  </si>
  <si>
    <t>Total Local Revenues in MFP</t>
  </si>
  <si>
    <t>Average Equivalent Millage Rate</t>
  </si>
  <si>
    <t>Average Equivalent Sales Tax Rate</t>
  </si>
  <si>
    <t>Property Tax Revenue</t>
  </si>
  <si>
    <t>Sales Tax Revenue</t>
  </si>
  <si>
    <t>7.</t>
  </si>
  <si>
    <t>Other Revenues Considered</t>
  </si>
  <si>
    <t>LEA</t>
  </si>
  <si>
    <t xml:space="preserve">cols. + 2+  3 + 4 + 5 + 6 </t>
  </si>
  <si>
    <t>AFR kpc 63320 col. 5</t>
  </si>
  <si>
    <t>if col 1 is less than 7500, then 7500 less col 1, otherwise 0</t>
  </si>
  <si>
    <t>col 6a / 37,500 max of 20% (7,500/37,500)</t>
  </si>
  <si>
    <t>col. 6b x  col. 1</t>
  </si>
  <si>
    <t>col. 8 x col. 9</t>
  </si>
  <si>
    <t>col. 1 + col. 7</t>
  </si>
  <si>
    <t>School</t>
  </si>
  <si>
    <t>Mandated Cost Adjustment ($100)</t>
  </si>
  <si>
    <t>Rank</t>
  </si>
  <si>
    <t>Level 3 State Funding for Foreign Associate Teachers</t>
  </si>
  <si>
    <t>St. John the Baptist</t>
  </si>
  <si>
    <t>MFP Simulation Summary (6-11-07)</t>
  </si>
  <si>
    <t>F.</t>
  </si>
  <si>
    <t>Table 3, total of col.33</t>
  </si>
  <si>
    <t>R.S. 17:350.21 Lab School Funding</t>
  </si>
  <si>
    <t xml:space="preserve">
COMPUTED SALES 
TAX BASE
 PERCENT CHANGE</t>
  </si>
  <si>
    <t xml:space="preserve">Economy-of-Scale 
Weighted 
Add-On Units </t>
  </si>
  <si>
    <t>ELIGIBLE
 LOCAL REVENUE
 LEVEL 2</t>
  </si>
  <si>
    <t xml:space="preserve"> Local Deduction (Property, Sales &amp; Other Revenue)(continued)</t>
  </si>
  <si>
    <t>For Information Only</t>
  </si>
  <si>
    <t>Central Community</t>
  </si>
  <si>
    <t>% Change</t>
  </si>
  <si>
    <t xml:space="preserve">TOTAL
LEVEL 1
COSTS </t>
  </si>
  <si>
    <t xml:space="preserve">Local Revenue
 Limit on 
Level 2 State Support </t>
  </si>
  <si>
    <t>Projected Yield of Sales Tax Rate of</t>
  </si>
  <si>
    <t xml:space="preserve">Projected Yield of Property Tax Millage Rate of </t>
  </si>
  <si>
    <t>11a</t>
  </si>
  <si>
    <t>3a</t>
  </si>
  <si>
    <t>3b</t>
  </si>
  <si>
    <t>3c</t>
  </si>
  <si>
    <t>Hold Harmless (Total)</t>
  </si>
  <si>
    <t>TOTAL AD VALOREM TAXES
(NON DEBT)</t>
  </si>
  <si>
    <t xml:space="preserve">Rank
</t>
  </si>
  <si>
    <t>Local Revenue as Percent of Total State and Local</t>
  </si>
  <si>
    <t>Table 6:  Calculation of the Local Deduction</t>
  </si>
  <si>
    <t>Per Pupil based on February 1 Membership</t>
  </si>
  <si>
    <t>Remaining
Hold 
Harmless
(FY2007/08)</t>
  </si>
  <si>
    <t>Total Net Assessed Property (capped at 10%)</t>
  </si>
  <si>
    <t>Total Est. Sales Tax Base (capped at 15%)</t>
  </si>
  <si>
    <t xml:space="preserve">Level 2 State Support </t>
  </si>
  <si>
    <t xml:space="preserve">Weighted
Add-On 
Students
Gifted/Talented </t>
  </si>
  <si>
    <t xml:space="preserve">Total Weighted 
Add-On 
Students
and/or Units </t>
  </si>
  <si>
    <t xml:space="preserve">Total 
Weighted
Membership
and/or Units </t>
  </si>
  <si>
    <t>DIST. 
REVENUE 
AMOUNT</t>
  </si>
  <si>
    <t>Stipend for First Year Foreign Associate Teachers</t>
  </si>
  <si>
    <t>Stipend for Second and Third Year Foreign Associate Teachers</t>
  </si>
  <si>
    <t>for Livingston</t>
  </si>
  <si>
    <t>ECONOMY-
OF-SCALE 
PERCENT 
SUPPORT</t>
  </si>
  <si>
    <t>ECONOMY-OF-SCALE:
If &lt; 7500, then 
7500 less 
February
Membership</t>
  </si>
  <si>
    <t>*</t>
  </si>
  <si>
    <t>Total Revenue 
(for Use in MFP Level 1 and 2)</t>
  </si>
  <si>
    <t>Local Deduction (Property, Sales &amp; Other Revenue)</t>
  </si>
  <si>
    <t>Other Revenue</t>
  </si>
  <si>
    <t>(actual revenues using rates)</t>
  </si>
  <si>
    <t>local deduct percentage calculation</t>
  </si>
  <si>
    <r>
      <t>LSU</t>
    </r>
    <r>
      <rPr>
        <sz val="10"/>
        <rFont val="Arial"/>
        <family val="2"/>
      </rPr>
      <t xml:space="preserve">
Lab. School</t>
    </r>
  </si>
  <si>
    <r>
      <t>Southern Univ.</t>
    </r>
    <r>
      <rPr>
        <sz val="10"/>
        <rFont val="Arial"/>
        <family val="2"/>
      </rPr>
      <t xml:space="preserve">
Lab. School</t>
    </r>
  </si>
  <si>
    <t>School
System</t>
  </si>
  <si>
    <t>Adjustments Due to Student, 
CAFR/AFR and PEP Audits</t>
  </si>
  <si>
    <t>Due 
District
(+)</t>
  </si>
  <si>
    <t>Due 
State
(-)</t>
  </si>
  <si>
    <t>Per Pupil 
Amount</t>
  </si>
  <si>
    <t xml:space="preserve">Actual 
Sales and Property
Tax Revenues
(Including Debt) 
Plus Other Revenue </t>
  </si>
  <si>
    <t xml:space="preserve">Local Revenue
Over
Level 1 </t>
  </si>
  <si>
    <t xml:space="preserve">Local Revenue 
Under Level 1 </t>
  </si>
  <si>
    <t>Per Pupil
Amount</t>
  </si>
  <si>
    <t>Plus/(Minus) Prior Year Adjustments - LSU/SU Lab Schools</t>
  </si>
  <si>
    <t>Total Type 5 Charters 
East Baton Rouge Parish</t>
  </si>
  <si>
    <t>Total Type 5 Charters 
Caddo Parish</t>
  </si>
  <si>
    <t>Total RSD LA</t>
  </si>
  <si>
    <t>See
Table 2</t>
  </si>
  <si>
    <t>Total 
Local Deduction
(sales,prop,
other)</t>
  </si>
  <si>
    <t xml:space="preserve">     Prior Year Pay Raise/Insurance Supplements</t>
  </si>
  <si>
    <t xml:space="preserve">     Remaining Hold Harmless</t>
  </si>
  <si>
    <t xml:space="preserve">     Redistribution of Hold Harmless Phase-out</t>
  </si>
  <si>
    <t>Q.</t>
  </si>
  <si>
    <t>Total OPSB + RSD + DOE</t>
  </si>
  <si>
    <t>Total EBR Parish + 
RSD Charters</t>
  </si>
  <si>
    <t>Plus/(Minus) Prior Year Adjustments - RSD</t>
  </si>
  <si>
    <t>R.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</si>
  <si>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</si>
  <si>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</si>
  <si>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</si>
  <si>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</si>
  <si>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</si>
  <si>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</si>
  <si>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</si>
  <si>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</si>
  <si>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</si>
  <si>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</si>
  <si>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</si>
  <si>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</si>
  <si>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</si>
  <si>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</si>
  <si>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</si>
  <si>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</si>
  <si>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</si>
  <si>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</si>
  <si>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</si>
  <si>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</si>
  <si>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</si>
  <si>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</si>
  <si>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</si>
  <si>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</si>
  <si>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</si>
  <si>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</si>
  <si>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</si>
  <si>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</si>
  <si>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</si>
  <si>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</si>
  <si>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</si>
  <si>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</si>
  <si>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</si>
  <si>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</si>
  <si>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</si>
  <si>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</si>
  <si>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</si>
  <si>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</si>
  <si>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</si>
  <si>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</si>
  <si>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</si>
  <si>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</si>
  <si>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</si>
  <si>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</si>
  <si>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</si>
  <si>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</si>
  <si>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</si>
  <si>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TIF Revenues</t>
  </si>
  <si>
    <r>
      <t xml:space="preserve">Pelican Foundation
</t>
    </r>
    <r>
      <rPr>
        <sz val="11"/>
        <rFont val="Arial"/>
        <family val="2"/>
      </rPr>
      <t>(Kenilworth Middle)</t>
    </r>
  </si>
  <si>
    <r>
      <t xml:space="preserve">Shreveport Charter, Inc.
</t>
    </r>
    <r>
      <rPr>
        <sz val="11"/>
        <rFont val="Arial"/>
        <family val="2"/>
      </rPr>
      <t>(Linwood M iddle)</t>
    </r>
  </si>
  <si>
    <t>Office of Juvenile Justice</t>
  </si>
  <si>
    <t>SCHOOL 
SYSTEM</t>
  </si>
  <si>
    <t>Per Pupil Amount
Adjusted for
 Year-Round
School</t>
  </si>
  <si>
    <t>Per Pupil Amount
Adjusted for
 Year-Round
School and 
50% Special Ed</t>
  </si>
  <si>
    <t>MFP 
Budget Ltr</t>
  </si>
  <si>
    <t>col 2 X 1.3164</t>
  </si>
  <si>
    <t>col 3 + $1,470</t>
  </si>
  <si>
    <t>col 1 X col 4</t>
  </si>
  <si>
    <t>MFP
Budget Ltr</t>
  </si>
  <si>
    <t>Includes Continuation of FY2007/08 and FY08-09 Pay Raise</t>
  </si>
  <si>
    <t>**</t>
  </si>
  <si>
    <t>State Average is used in the calculation of students with prior residency of "Out of State" or "Unknown"</t>
  </si>
  <si>
    <t xml:space="preserve">Note:  </t>
  </si>
  <si>
    <t>The State may have to fund the local portion of students identified as being from out of the state</t>
  </si>
  <si>
    <t>(=56/177))</t>
  </si>
  <si>
    <t>Special Ed Students on 2/1/09 (state)</t>
  </si>
  <si>
    <t>base students 2/1/09 (state)</t>
  </si>
  <si>
    <t>percentage special ed students to base students (state average)</t>
  </si>
  <si>
    <t>weigted add on special ed students 2/1/09</t>
  </si>
  <si>
    <t>total weighted students 2/1/09</t>
  </si>
  <si>
    <t>percentage special ed add on students to total weighted students</t>
  </si>
  <si>
    <t>total Level 1 and Level 2 state dollars</t>
  </si>
  <si>
    <t>Total L1 &amp; L2 dollars time 14.1%</t>
  </si>
  <si>
    <t>For 14% to increase to 50%, that is a 3572% increase</t>
  </si>
  <si>
    <t>14.1% of L1 &amp; L2 dolalrs x 354%</t>
  </si>
  <si>
    <t>base students on 2/1/09</t>
  </si>
  <si>
    <t>per pupil amount of special ed funding</t>
  </si>
  <si>
    <t>minus per pupil amount of original special ed funding ($375,552,036/650,290)</t>
  </si>
  <si>
    <t>Per pupil amount to increase funding for OJJ per pupil amounts</t>
  </si>
  <si>
    <t xml:space="preserve">Increase 
Cost 
Adjustment </t>
  </si>
  <si>
    <t>Continuation of
Prior Year
Pay Raises</t>
  </si>
  <si>
    <t>Continuation of Prior Year Pay Raises</t>
  </si>
  <si>
    <t>Continuation 
of
Prior Year
Pay Raises</t>
  </si>
  <si>
    <t>Mandated Cost 
Adjustment</t>
  </si>
  <si>
    <t>Continuation 
of 
Prior Year
Pay 
Raises</t>
  </si>
  <si>
    <t>Continuation of Prior Year 
Pay Raises</t>
  </si>
  <si>
    <t>Prior Year Pay Raises (FY01-02 through FY08-09)</t>
  </si>
  <si>
    <t xml:space="preserve">
Continuation
of
Prior Year 
Pay Raises
(FY2001-02 
through
FY2008-09)
Per Pupil
Amount</t>
  </si>
  <si>
    <t>Continuation
of Prior Year 
Pay Raises
(FY2001-02 
through
FY2008-09)
Per Pupil
Amount</t>
  </si>
  <si>
    <t>Continuation
of
Prior Year 
Pay Raises
(FY2001-02 
through
FY2008-09)
Per Pupil
Amount</t>
  </si>
  <si>
    <r>
      <t xml:space="preserve">Continuation of Prior Year Pay Raises
</t>
    </r>
    <r>
      <rPr>
        <b/>
        <sz val="10"/>
        <color indexed="18"/>
        <rFont val="Arial"/>
        <family val="2"/>
      </rPr>
      <t>(2001-02 Certificated, 2002-03 Support Worker, 
2006-07 Certificated and Support Worker,
2007-08 Certificated and Support Worker, and
FY2008-09 Certificated)</t>
    </r>
  </si>
  <si>
    <r>
      <t xml:space="preserve">
Level 3 State 
Funding 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indexed="18"/>
        <rFont val="Arial"/>
        <family val="2"/>
      </rPr>
      <t>Continuation 
of Prior Year
Pay Raises</t>
    </r>
  </si>
  <si>
    <r>
      <t xml:space="preserve">
Level 3 
State 
Funding
</t>
    </r>
    <r>
      <rPr>
        <b/>
        <sz val="10"/>
        <color indexed="10"/>
        <rFont val="Arial"/>
        <family val="2"/>
      </rPr>
      <t xml:space="preserve">with 
Continuation of
 Prior Year
Pay Raises </t>
    </r>
  </si>
  <si>
    <t>State Funds 
(with Continuation of Prior Year Pay Raises)
as Percent 
of Total State
and Local</t>
  </si>
  <si>
    <t>Without Continuation of Prior Year Pay Raises</t>
  </si>
  <si>
    <t>With Continuation of Prior Year Pay Raises</t>
  </si>
  <si>
    <t>Total Students Funded through the MFP</t>
  </si>
  <si>
    <t xml:space="preserve">     LSU and Southern Lab Schools</t>
  </si>
  <si>
    <t xml:space="preserve">     Office of Juvenile Justice</t>
  </si>
  <si>
    <t>Plus/(Minus) Prior Year Adjustments - City/Parish Schools</t>
  </si>
  <si>
    <t>Total Pointe Coupee
Parish + RSD Charters</t>
  </si>
  <si>
    <t>Total Caddo Parish + RSD Charters</t>
  </si>
  <si>
    <t>Total St. Helena Parish
+ RSD LA Operated</t>
  </si>
  <si>
    <t>RSD LA Operated
St. Helena Central Middle</t>
  </si>
  <si>
    <t xml:space="preserve">LSU Lab. School </t>
  </si>
  <si>
    <r>
      <t>Southern Univ. Lab. School</t>
    </r>
    <r>
      <rPr>
        <sz val="12"/>
        <rFont val="Arial Narrow"/>
        <family val="2"/>
      </rPr>
      <t xml:space="preserve"> </t>
    </r>
  </si>
  <si>
    <t xml:space="preserve">Other Local School System Funding </t>
  </si>
  <si>
    <t>L
E
A</t>
  </si>
  <si>
    <t>Redistribution
of Hold Harmless 
Phase-out
(FY2007/08 - FY2011/12)</t>
  </si>
  <si>
    <t>LA School for Math, Science &amp; the Arts (LSMSA)</t>
  </si>
  <si>
    <t xml:space="preserve">     LA School for Math, Science and the Arts (LSMSA)</t>
  </si>
  <si>
    <t xml:space="preserve">     New Orleans Center for Creative Arts (NOCCA)</t>
  </si>
  <si>
    <t>New Orleans Center for Creative Arts (NOCCA)(full-day students)</t>
  </si>
  <si>
    <r>
      <t>RSD LA Operated
(</t>
    </r>
    <r>
      <rPr>
        <sz val="11"/>
        <rFont val="Arial"/>
        <family val="2"/>
      </rPr>
      <t>Linear Middle)</t>
    </r>
  </si>
  <si>
    <t>3960xx</t>
  </si>
  <si>
    <t>036xxx</t>
  </si>
  <si>
    <t>Per SIS</t>
  </si>
  <si>
    <t>State Admin Fee</t>
  </si>
  <si>
    <t>Admin.
Fee
to
RSD</t>
  </si>
  <si>
    <t>Admin.
Fee
to 
LDOE</t>
  </si>
  <si>
    <t>Total
Admin.  
Fee</t>
  </si>
  <si>
    <t>Site
Code</t>
  </si>
  <si>
    <t>Local Admin Fee</t>
  </si>
  <si>
    <t>RSD Operated (Orleans Only)</t>
  </si>
  <si>
    <t>orleans decreased 54,750</t>
  </si>
  <si>
    <t>V.</t>
  </si>
  <si>
    <t>* does not include First Year Non-Legacy Type 2 Charters</t>
  </si>
  <si>
    <t xml:space="preserve">     Years 1 - 4/Years 1 - 5 Reduction of Remaining Hold Harmless</t>
  </si>
  <si>
    <t xml:space="preserve">Legacy Type 2 Charter Schools </t>
  </si>
  <si>
    <t>Plus/(Minus) Prior Year Adjustments - Non-Legacy Type 2 Charters</t>
  </si>
  <si>
    <t>Calculation for Prior Year Pay Raises</t>
  </si>
  <si>
    <r>
      <t xml:space="preserve">LA Dept. of Education
</t>
    </r>
    <r>
      <rPr>
        <sz val="12"/>
        <rFont val="Arial"/>
        <family val="2"/>
      </rPr>
      <t>Administrative Fee (.25%)</t>
    </r>
  </si>
  <si>
    <r>
      <t xml:space="preserve">RSD LA
</t>
    </r>
    <r>
      <rPr>
        <sz val="12"/>
        <rFont val="Arial"/>
        <family val="2"/>
      </rPr>
      <t>Administrative Fee (1.75%)</t>
    </r>
  </si>
  <si>
    <t>N/A</t>
  </si>
  <si>
    <t>Greater Gentilly H.S.</t>
  </si>
  <si>
    <r>
      <t xml:space="preserve">Continuation
of
Prior Year
Pay 
Raises
</t>
    </r>
    <r>
      <rPr>
        <sz val="10"/>
        <color indexed="18"/>
        <rFont val="Arial"/>
        <family val="2"/>
      </rPr>
      <t>(90%)</t>
    </r>
  </si>
  <si>
    <t>Total LAVCA</t>
  </si>
  <si>
    <t>TOTAL LAVCA and
LA Dept. of Education</t>
  </si>
  <si>
    <t>LA. Dept. of Ed. Admin Fee</t>
  </si>
  <si>
    <t>TOTAL LA Connections &amp;
LA Dept. of Education</t>
  </si>
  <si>
    <t xml:space="preserve">Total LA Connections </t>
  </si>
  <si>
    <t>deduct</t>
  </si>
  <si>
    <t>for TIF</t>
  </si>
  <si>
    <t>in Livingston</t>
  </si>
  <si>
    <t>Continuation
of
Prior
Year
Pay Raises</t>
  </si>
  <si>
    <t xml:space="preserve">Local
Admin
Fee
</t>
  </si>
  <si>
    <t>W.</t>
  </si>
  <si>
    <t>X.</t>
  </si>
  <si>
    <t>State
Admin Fee
to the 
Dept. of
Education</t>
  </si>
  <si>
    <t>Y.</t>
  </si>
  <si>
    <t>Z.</t>
  </si>
  <si>
    <t>NOTE:  RSD Orleans is funded using the RSD's Differentiated Funding Formula for Special Education Students</t>
  </si>
  <si>
    <t>Allocation for Lab Schools</t>
  </si>
  <si>
    <t>321</t>
  </si>
  <si>
    <t>329</t>
  </si>
  <si>
    <t>331</t>
  </si>
  <si>
    <t>333</t>
  </si>
  <si>
    <t>336</t>
  </si>
  <si>
    <t>337</t>
  </si>
  <si>
    <t>339</t>
  </si>
  <si>
    <t>340</t>
  </si>
  <si>
    <t xml:space="preserve">  b.</t>
  </si>
  <si>
    <t xml:space="preserve">  c.</t>
  </si>
  <si>
    <t xml:space="preserve">  d.</t>
  </si>
  <si>
    <t xml:space="preserve">  e.</t>
  </si>
  <si>
    <t xml:space="preserve">  f.</t>
  </si>
  <si>
    <t xml:space="preserve">   a.</t>
  </si>
  <si>
    <t>Ouachita -5,774,612</t>
  </si>
  <si>
    <t>Ouachita + 5,774,612</t>
  </si>
  <si>
    <t>St. James - 12,147</t>
  </si>
  <si>
    <t>St. James - 17,033</t>
  </si>
  <si>
    <t>Out of State</t>
  </si>
  <si>
    <t>Plus/(Minus) Prior Year Adjustments - OJJ</t>
  </si>
  <si>
    <t>State MFP Appropriation/Executive Budget</t>
  </si>
  <si>
    <t>Estimated need in excess of MFP Appropriation/Executive Budget</t>
  </si>
  <si>
    <t xml:space="preserve">MFP State Share of Educational Cost 
</t>
  </si>
  <si>
    <r>
      <t xml:space="preserve">Lake Charles Charter Academy
(Lake Charles Charter School Assoc., Inc)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</si>
  <si>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Louisiana Connections 
Academy
(Friends of LA Connections Academy)
</t>
    </r>
    <r>
      <rPr>
        <sz val="11"/>
        <color indexed="18"/>
        <rFont val="Arial"/>
        <family val="2"/>
      </rPr>
      <t>(Virtual)
(Site Code 345001)
(Opened 11/12)
(Not in a District Bldg.)</t>
    </r>
  </si>
  <si>
    <r>
      <t xml:space="preserve">J. S. Clark Leadership Academy
(Outreach Community Development Corporation)
</t>
    </r>
    <r>
      <rPr>
        <sz val="10"/>
        <color indexed="18"/>
        <rFont val="Arial"/>
        <family val="2"/>
      </rPr>
      <t>(Site Code 349001)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(Opened 12/13)</t>
    </r>
    <r>
      <rPr>
        <b/>
        <sz val="10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(Not in a District Building)</t>
    </r>
  </si>
  <si>
    <r>
      <t xml:space="preserve">Lycee Francais de la Nouvelle Orleans
(LFNO, Inc.)
</t>
    </r>
    <r>
      <rPr>
        <sz val="11"/>
        <color indexed="18"/>
        <rFont val="Arial"/>
        <family val="2"/>
      </rPr>
      <t>(Site Code 347001)
(Opened 11/12)
(Not in a District Building)</t>
    </r>
  </si>
  <si>
    <r>
      <t xml:space="preserve">New Orleans Military/Maritime Academy
</t>
    </r>
    <r>
      <rPr>
        <sz val="11"/>
        <color indexed="18"/>
        <rFont val="Arial"/>
        <family val="2"/>
      </rPr>
      <t>(Site Code 348001)
(Opened 11/12)
(Not in a District Building)</t>
    </r>
  </si>
  <si>
    <r>
      <t xml:space="preserve">D'Arbonne Woods Charter School, Inc.
(D'Arbonne Woods Charter)
</t>
    </r>
    <r>
      <rPr>
        <sz val="11"/>
        <color indexed="18"/>
        <rFont val="Arial"/>
        <family val="2"/>
      </rPr>
      <t>(Site Code 341001)
(Opened 09/10)
(Not in a District Building)</t>
    </r>
  </si>
  <si>
    <r>
      <t xml:space="preserve">Madison Prep  Academy 
(CSAL:  Community Schools for Apprenticeship 
Learning)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</si>
  <si>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RSD Operated
</t>
    </r>
    <r>
      <rPr>
        <sz val="11"/>
        <rFont val="Arial"/>
        <family val="2"/>
      </rPr>
      <t>(Lanier Elementary )</t>
    </r>
  </si>
  <si>
    <t>RSD Operated
(Istrouma High School)</t>
  </si>
  <si>
    <r>
      <t xml:space="preserve">RSD Operated
</t>
    </r>
    <r>
      <rPr>
        <sz val="11"/>
        <rFont val="Arial"/>
        <family val="2"/>
      </rPr>
      <t>(Capitol High School)</t>
    </r>
  </si>
  <si>
    <r>
      <t xml:space="preserve">RSD Operated
</t>
    </r>
    <r>
      <rPr>
        <sz val="11"/>
        <rFont val="Arial"/>
        <family val="2"/>
      </rPr>
      <t>(Dalton Elementary)</t>
    </r>
  </si>
  <si>
    <r>
      <t xml:space="preserve">RSD Operated
</t>
    </r>
    <r>
      <rPr>
        <sz val="11"/>
        <rFont val="Arial"/>
        <family val="2"/>
      </rPr>
      <t>(Prescott Middle)</t>
    </r>
  </si>
  <si>
    <r>
      <t xml:space="preserve">RSD Operated
</t>
    </r>
    <r>
      <rPr>
        <sz val="11"/>
        <rFont val="Arial"/>
        <family val="2"/>
      </rPr>
      <t>(Glen Oaks Middle)</t>
    </r>
  </si>
  <si>
    <r>
      <t xml:space="preserve">RSD Operated
</t>
    </r>
    <r>
      <rPr>
        <sz val="11"/>
        <rFont val="Arial"/>
        <family val="2"/>
      </rPr>
      <t>(Crestworth Middle)</t>
    </r>
  </si>
  <si>
    <r>
      <t xml:space="preserve">Southwest LA Charter Academy
(Southwest LA Charter Academy Foundation, Inc.)
</t>
    </r>
    <r>
      <rPr>
        <sz val="10"/>
        <color indexed="18"/>
        <rFont val="Arial"/>
        <family val="2"/>
      </rPr>
      <t>(Site Code 328001)
(Opened 12/13)
(Not in a District Building)</t>
    </r>
  </si>
  <si>
    <t>N.</t>
  </si>
  <si>
    <t>Return 
of 
10%
Per Pupil 
Amount 
to State</t>
  </si>
  <si>
    <t>FY2012-13
Budget Letter
July 2012
Circular No. 1148</t>
  </si>
  <si>
    <r>
      <rPr>
        <b/>
        <sz val="10"/>
        <color rgb="FF000066"/>
        <rFont val="Arial"/>
        <family val="2"/>
      </rPr>
      <t>City/Parish</t>
    </r>
    <r>
      <rPr>
        <b/>
        <sz val="10"/>
        <color indexed="18"/>
        <rFont val="Arial"/>
        <family val="2"/>
      </rPr>
      <t xml:space="preserve">
Pay Raise
Continuation
Per Pupil 
Amount
</t>
    </r>
  </si>
  <si>
    <t xml:space="preserve">Local
Monthly
Payment
</t>
  </si>
  <si>
    <t xml:space="preserve">Total
State and
Local
Payment
</t>
  </si>
  <si>
    <t xml:space="preserve">Total
State and
Local
Monthly 
Payment
</t>
  </si>
  <si>
    <r>
      <t xml:space="preserve">Total Audit 
Adjustments
</t>
    </r>
    <r>
      <rPr>
        <sz val="10"/>
        <color indexed="18"/>
        <rFont val="Arial"/>
        <family val="2"/>
      </rPr>
      <t>(For City/Parish LEAs only)</t>
    </r>
  </si>
  <si>
    <t>This Table provides the State's funding to the RSD.  The RSD distributes funds to the Type 5 Charter Schools in Orleans Parish using the RSD's Differentiated Funding Formula for Special Education Students.  Refer to correspondence from the RSD for individual school allocations.</t>
  </si>
  <si>
    <t>40.24/17.33</t>
  </si>
  <si>
    <t>1.98%/.85%</t>
  </si>
  <si>
    <t>2a</t>
  </si>
  <si>
    <t>(Prior Year)
2012-13
 COMPUTED SALES TAX BASE
(Without cap)</t>
  </si>
  <si>
    <t>2013-2014
COMPUTED
 SALES TAX 
BASE</t>
  </si>
  <si>
    <t>OTHER REVENUES:  
Includes State and Federal taxes in lieu of &amp; 50% of earnings from 16th section and from other real estate
2011-2012 AFR</t>
  </si>
  <si>
    <t>2011
TOTAL ASSESSED PROPERTY VALUE</t>
  </si>
  <si>
    <t>2011
ASSESSED HOMESTEAD EXEMPTION</t>
  </si>
  <si>
    <t>2011
NET ASSESSED TAXABLE PROPERTY</t>
  </si>
  <si>
    <t xml:space="preserve">  2011 ASSESSED PROPERTY VALUE</t>
  </si>
  <si>
    <t>(Prior Year)
 2010
Net Assessed Taxable Property (Without cap)</t>
  </si>
  <si>
    <t>2011
NET ASSESSED TAXABLE PROPERTY
with Cap of</t>
  </si>
  <si>
    <t>TOTAL 
AD VALOREM 
REVENUE 
INCLUDING DEBT
(2011-2012)</t>
  </si>
  <si>
    <t>TOTAL 
SALES TAX REVENUE
(2011-2012)</t>
  </si>
  <si>
    <t>Remaining
Hold 
Harmless
(FY2013/14)</t>
  </si>
  <si>
    <t>Foreign Language 
Associates Salaries</t>
  </si>
  <si>
    <t>One-Tenth
(FY13/14)
Reduction of 
Remaining
 Hold Harmless</t>
  </si>
  <si>
    <t>Prior Year
Reduction
of Remaining
Hold Harmless
(FY07/08 thru 
FY12/13)</t>
  </si>
  <si>
    <t>2011
Ad Valorem 
Tax Revenues
(per 11-12 AFR)</t>
  </si>
  <si>
    <t>2011
Net Assessed 
Property
(with 10% Cap)</t>
  </si>
  <si>
    <t>FY2011-12
Sales Tax Revenue
(per 11-12 AFR)</t>
  </si>
  <si>
    <t>FY2011-12
Computed Sales Tax Base with 15% Cap on Growth</t>
  </si>
  <si>
    <t>Difference
FY2013-14 to FY2012-13 Total MFP Distribution</t>
  </si>
  <si>
    <t>Comparison of  
FY2012-13
Budget Letter to
FY2013-14
Simulation</t>
  </si>
  <si>
    <t>Total MFP Allocation (I+J+L+M+N+O+P+Q+R+S+T+U+V)</t>
  </si>
  <si>
    <t>MFP Allocation Including Adjustments (W + X)</t>
  </si>
  <si>
    <t>* New Charters in FY2013-14 funded based on projected student count; will be updated to actual 10/1/13 count</t>
  </si>
  <si>
    <t xml:space="preserve">Career &amp; Technical Weight </t>
  </si>
  <si>
    <t xml:space="preserve">Gifted/Talented Weight </t>
  </si>
  <si>
    <t>Level 3 Supplementary Funding</t>
  </si>
  <si>
    <t>Low Income and English Language Learner</t>
  </si>
  <si>
    <t xml:space="preserve">Hold Harmless Enhancement
</t>
  </si>
  <si>
    <r>
      <t>Total
Level 3
Funding</t>
    </r>
    <r>
      <rPr>
        <b/>
        <sz val="10"/>
        <color indexed="18"/>
        <rFont val="Arial"/>
        <family val="2"/>
      </rPr>
      <t xml:space="preserve">
(Without Continuation
of 
Prior Year
Pay Raises)</t>
    </r>
  </si>
  <si>
    <t>Total
Level 3
Funding 
with
Continuation
of Prior Year
Pay Raises</t>
  </si>
  <si>
    <t xml:space="preserve">
Add-on 
Student Units</t>
  </si>
  <si>
    <t xml:space="preserve">
 Add-On 
Student Units</t>
  </si>
  <si>
    <t xml:space="preserve">
Feb. 1, 2013
MFP Funded
Membership
(Per SIS)
</t>
  </si>
  <si>
    <t xml:space="preserve">
Feb. 1, 2013
Student Membership </t>
  </si>
  <si>
    <r>
      <t xml:space="preserve">
Feb. 1, 2013
Member-
ship 
(pe</t>
    </r>
    <r>
      <rPr>
        <sz val="10"/>
        <color indexed="18"/>
        <rFont val="Arial"/>
        <family val="2"/>
      </rPr>
      <t>r</t>
    </r>
    <r>
      <rPr>
        <b/>
        <sz val="10"/>
        <color indexed="18"/>
        <rFont val="Arial"/>
        <family val="2"/>
      </rPr>
      <t xml:space="preserve"> SIS)</t>
    </r>
  </si>
  <si>
    <r>
      <t xml:space="preserve">Number of Foreign Associate Teachers
</t>
    </r>
    <r>
      <rPr>
        <b/>
        <sz val="10"/>
        <rFont val="Arial"/>
        <family val="2"/>
      </rPr>
      <t>2.1.13</t>
    </r>
  </si>
  <si>
    <r>
      <t xml:space="preserve">
CAREER &amp; 
TECHNICAL
 ED UNITS
</t>
    </r>
    <r>
      <rPr>
        <sz val="10"/>
        <color indexed="18"/>
        <rFont val="Arial"/>
        <family val="2"/>
      </rPr>
      <t>(Per LEADS
10-1-12)</t>
    </r>
    <r>
      <rPr>
        <b/>
        <sz val="10"/>
        <color indexed="18"/>
        <rFont val="Arial"/>
        <family val="2"/>
      </rPr>
      <t xml:space="preserve">
</t>
    </r>
  </si>
  <si>
    <r>
      <t xml:space="preserve"> Student Membership Count:  </t>
    </r>
    <r>
      <rPr>
        <b/>
        <sz val="11"/>
        <rFont val="Arial Narrow"/>
        <family val="2"/>
      </rPr>
      <t>Feb. 1, 2012 /  Feb. 1, 2013</t>
    </r>
  </si>
  <si>
    <t xml:space="preserve">Special Education Weight </t>
  </si>
  <si>
    <t>State Cost Allocation (65%)</t>
  </si>
  <si>
    <t>Local Cost Allocation (35%)</t>
  </si>
  <si>
    <t>Feb. 1, 2013
MFP 
Funded
Membership
(Per SIS)</t>
  </si>
  <si>
    <t>Prior Year Audit Adjustments (Preliminary)</t>
  </si>
  <si>
    <r>
      <t>Audit
Adjustments
FY2012-13
MFP</t>
    </r>
    <r>
      <rPr>
        <sz val="10"/>
        <color indexed="18"/>
        <rFont val="Arial"/>
        <family val="2"/>
      </rPr>
      <t xml:space="preserve">
(Includes 
2/1 midyear
 from 
FY2011-12)</t>
    </r>
  </si>
  <si>
    <t>Minus
State Cost
Allocation
 for
Recovery 
School 
District</t>
  </si>
  <si>
    <t>Total
State
Cost 
Allocations
for
Other
Entities</t>
  </si>
  <si>
    <t>Total
Local Cost Allocation
 due to 
other
LEAs</t>
  </si>
  <si>
    <r>
      <t xml:space="preserve">Total MFP
Payment
Amount
</t>
    </r>
    <r>
      <rPr>
        <b/>
        <sz val="10"/>
        <color rgb="FFFF0000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Cost Allocation 
due to 
other
LEAs</t>
    </r>
  </si>
  <si>
    <r>
      <t xml:space="preserve">Total MFP
Payment
Amount
</t>
    </r>
    <r>
      <rPr>
        <b/>
        <sz val="10"/>
        <color rgb="FFFF0000"/>
        <rFont val="Arial"/>
        <family val="2"/>
      </rPr>
      <t>minus</t>
    </r>
    <r>
      <rPr>
        <b/>
        <sz val="10"/>
        <color indexed="18"/>
        <rFont val="Arial"/>
        <family val="2"/>
      </rPr>
      <t xml:space="preserve">
Local Cost Allocation 
to RSD
and 
Type 2 
Charters</t>
    </r>
  </si>
  <si>
    <t>Local Cost Allocation of 
Level 1
(DEDUCTION for Property &amp; Sales and Other Revenues)</t>
  </si>
  <si>
    <t>Local Cost Allocation
of Level 1
with 75% max Local Cost Allocation
(DEDUCTION for Property &amp; Sales and Other Revenues)</t>
  </si>
  <si>
    <t xml:space="preserve">
STATE Cost Allocation 
OF LEVEL 1</t>
  </si>
  <si>
    <t>State 
Cost Allocation
 %</t>
  </si>
  <si>
    <t>Local 
Cost Allocation
 %</t>
  </si>
  <si>
    <t>Per Pupil 
Local Cost Allocation
 of Level 1</t>
  </si>
  <si>
    <t>LOCAL Cost Allocation 
of Level 2</t>
  </si>
  <si>
    <t xml:space="preserve">
STATE Cost Allocation
OF LEVEL 2 </t>
  </si>
  <si>
    <t>MFP  
State
Cost 
Allocation</t>
  </si>
  <si>
    <t xml:space="preserve">State
and 
Local
Cost Allocation
Monthly
Payment
</t>
  </si>
  <si>
    <t xml:space="preserve">State
Cost Allocation
Monthly
Payment
</t>
  </si>
  <si>
    <t xml:space="preserve">MFP Local Cost Allocation of Educational Cost </t>
  </si>
  <si>
    <t>MFP
State 
Cost
Allocation</t>
  </si>
  <si>
    <t xml:space="preserve">Total
Local 
Cost
Allocation
</t>
  </si>
  <si>
    <t>State Cost Allocation
Per Pupil
(Levels 
1, 2  &amp; 3)
for
Orleans 
Parish</t>
  </si>
  <si>
    <t>MFP
State
Cost
Allocation</t>
  </si>
  <si>
    <t>Total
Local
Cost
Allocation</t>
  </si>
  <si>
    <t>State
Cost Allocation
Monthly
Payment</t>
  </si>
  <si>
    <t>Local
Cost Allocation
Monthly
Payment</t>
  </si>
  <si>
    <t xml:space="preserve">MFP State Cost of Educational Cost 
</t>
  </si>
  <si>
    <t>State
Cost
Allocation</t>
  </si>
  <si>
    <t>Local 
Cost 
Allocation</t>
  </si>
  <si>
    <t xml:space="preserve">Local 
Cost Allocation
Monthly
Payment
</t>
  </si>
  <si>
    <t xml:space="preserve">Total 
State 
and 
Local
Cost  Allocation
Payment
</t>
  </si>
  <si>
    <t xml:space="preserve">Total 
State 
and 
Local
Cost Allocation Payment
</t>
  </si>
  <si>
    <t xml:space="preserve">MFP State Cost  of Educational Cost 
</t>
  </si>
  <si>
    <t>State
Cost 
Allocation</t>
  </si>
  <si>
    <t xml:space="preserve">Total 
State 
and 
Local
Cost Allocation
Payment
</t>
  </si>
  <si>
    <t xml:space="preserve">Total
State and
Local
Cost Allocation
Payment
</t>
  </si>
  <si>
    <t xml:space="preserve">Total
State and
Local
Cost Allocation
Monthly 
Payment
</t>
  </si>
  <si>
    <t>State Cost
Allocation 
for OJJ
Secure Care
Students</t>
  </si>
  <si>
    <t>Local Cost 
Allocation
 for OJJ 
Secure Care
Students</t>
  </si>
  <si>
    <t>Total State and Local Cost
Allocation
 for OJJ 
Secure
Care
Students</t>
  </si>
  <si>
    <t>MFP Local Cost Allocation of Educational Cost for 
Youth in Secure Care</t>
  </si>
  <si>
    <t>Adjusted
Local
Cost Allocation
Per Pupil
including
OJJ</t>
  </si>
  <si>
    <t>Feb. 1, 2013
MFP Funded
Membership 
+ 
ADM* at OJJ</t>
  </si>
  <si>
    <t>Level 1 and 2 State Cost Allocation (C1+E1)</t>
  </si>
  <si>
    <t>FY2013-14
Total MFP
Allocation 
+/- Adjustments
minus
 State Cost Allocation to 
other LEAs</t>
  </si>
  <si>
    <t xml:space="preserve">
Levels 1 &amp; 2
STATE Cost Allocation
 </t>
  </si>
  <si>
    <t xml:space="preserve">
Levels 1, 2 &amp; 3
STATE Cost Allocation
without Continuation of Prior Year
Pay Raises</t>
  </si>
  <si>
    <t xml:space="preserve">
Levels 1 and 2
LOCAL Cost Allocation 
</t>
  </si>
  <si>
    <r>
      <t xml:space="preserve">
</t>
    </r>
    <r>
      <rPr>
        <b/>
        <sz val="10"/>
        <color indexed="10"/>
        <rFont val="Arial Narrow"/>
        <family val="2"/>
      </rPr>
      <t xml:space="preserve">TOTAL STATE </t>
    </r>
    <r>
      <rPr>
        <b/>
        <sz val="10"/>
        <color indexed="18"/>
        <rFont val="Arial Narrow"/>
        <family val="2"/>
      </rPr>
      <t xml:space="preserve">
(with Continuation
of Pay Raises)
 AND
</t>
    </r>
    <r>
      <rPr>
        <b/>
        <sz val="10"/>
        <color indexed="10"/>
        <rFont val="Arial Narrow"/>
        <family val="2"/>
      </rPr>
      <t>LOCAL</t>
    </r>
    <r>
      <rPr>
        <b/>
        <sz val="10"/>
        <color indexed="18"/>
        <rFont val="Arial Narrow"/>
        <family val="2"/>
      </rPr>
      <t xml:space="preserve"> COST ALLOCATION   
Levels 1 and 2</t>
    </r>
  </si>
  <si>
    <t>FY2012-13
STATE 
Cost Allocation LEVELS
1, 2, &amp; 3
(July 2012)
(includes 
Continuation of
 Prior Year Pay Raises)</t>
  </si>
  <si>
    <t>Difference 
Between
Simulation 
and 
FY2012-13
Simulation
STATE 
Cost Allocation  LEVELS
1, 2, &amp; 3</t>
  </si>
  <si>
    <r>
      <t xml:space="preserve">
Levels 1, 2 &amp; 3
STATE Cost Allocation
</t>
    </r>
    <r>
      <rPr>
        <b/>
        <sz val="10"/>
        <color rgb="FFFF0000"/>
        <rFont val="Arial"/>
        <family val="2"/>
      </rPr>
      <t>with 
Continuation of 
Prior Year
Pay Raises</t>
    </r>
  </si>
  <si>
    <t>(4a)</t>
  </si>
  <si>
    <t>(5a)</t>
  </si>
  <si>
    <t>(6a)</t>
  </si>
  <si>
    <t>(6b)</t>
  </si>
  <si>
    <t>FY2013-14
MFP State
Share of Levels
1, 2, and 3
with
 Continuation 
of Prior-Year
 Pay Raises</t>
  </si>
  <si>
    <t>(Table 3,  col.29)</t>
  </si>
  <si>
    <t>(Table 3, 
col. 29)</t>
  </si>
  <si>
    <r>
      <t xml:space="preserve">State Cost Allocation
Per Pupil
(Levels 
1, 2  &amp; 3)
</t>
    </r>
    <r>
      <rPr>
        <sz val="10"/>
        <color indexed="18"/>
        <rFont val="Arial"/>
        <family val="2"/>
      </rPr>
      <t>(Table 3, 
col. 29)</t>
    </r>
  </si>
  <si>
    <t>(actual 2.1.12 count is 6202)</t>
  </si>
  <si>
    <r>
      <t xml:space="preserve">
STUDENTS WITH DISABILITIES
</t>
    </r>
    <r>
      <rPr>
        <sz val="10"/>
        <color indexed="18"/>
        <rFont val="Arial"/>
        <family val="2"/>
      </rPr>
      <t>(Per SER
2-1-13)</t>
    </r>
    <r>
      <rPr>
        <b/>
        <sz val="10"/>
        <color indexed="18"/>
        <rFont val="Arial"/>
        <family val="2"/>
      </rPr>
      <t xml:space="preserve">
</t>
    </r>
  </si>
  <si>
    <r>
      <t xml:space="preserve">
GIFTED AND 
TALENTED 
STUDENTS
</t>
    </r>
    <r>
      <rPr>
        <sz val="10"/>
        <color indexed="18"/>
        <rFont val="Arial"/>
        <family val="2"/>
      </rPr>
      <t>(Per SER
2-1-13)</t>
    </r>
  </si>
  <si>
    <t>H.</t>
  </si>
  <si>
    <t>State Share Formula Allocation (City/Parish Local School System)</t>
  </si>
  <si>
    <t>February 1, 2013 MFP &amp; Other Funded Membership by School Location or Student Residence</t>
  </si>
  <si>
    <t>Prepared: 2/27/2013</t>
  </si>
  <si>
    <t>LeaGpCode 1</t>
  </si>
  <si>
    <t>LeaGpCode 5 - RSD Schools</t>
  </si>
  <si>
    <t>FY2013-14
Table 3</t>
  </si>
  <si>
    <t>LeaGpCode 2 - Lab Schools</t>
  </si>
  <si>
    <t>FY2012-13
Total
MFP
Funded</t>
  </si>
  <si>
    <t>City/Parish District MFP Funded Membership 
February 1, 2013
(Per SIS)</t>
  </si>
  <si>
    <t>RSD - LA
(Type 5 Only)</t>
  </si>
  <si>
    <t>RSD - Orleans
(Type 5 Only)</t>
  </si>
  <si>
    <t>RSD - State Operated</t>
  </si>
  <si>
    <t>3_ Legacy-321001-New Vision Learning Academy</t>
  </si>
  <si>
    <t>3_ Legacy-329001-V_ B_ Glencoe Charter School</t>
  </si>
  <si>
    <t>3_ Legacy-331001-International School of Louisiana</t>
  </si>
  <si>
    <t>3_ Legacy-333001-Avoyelles Public Charter School</t>
  </si>
  <si>
    <t>3_ Legacy-336001-Delhi Charter School</t>
  </si>
  <si>
    <t>3_ Legacy-337001-Belle Chasse Academy</t>
  </si>
  <si>
    <t>3_ Legacy-339001-Milestone SABIS Academy of New Orleans</t>
  </si>
  <si>
    <t>3_ Legacy-340001-The MAX Charter School</t>
  </si>
  <si>
    <t>3_328001-Southwest Louisiana Charter School</t>
  </si>
  <si>
    <t>3_341001-D'Arbonne Woods Charter School</t>
  </si>
  <si>
    <t>3_343001-Madison Preparatory Academy</t>
  </si>
  <si>
    <t>3_343002-Louisiana Virtual Charter Academy</t>
  </si>
  <si>
    <t>3_344001-International High School of New Orleans</t>
  </si>
  <si>
    <t>3_345001-Louisiana Connections Academy</t>
  </si>
  <si>
    <t>3_346001-Lake Charles Charter Academy</t>
  </si>
  <si>
    <t>3_347001-Lycee Francais de la Nouvelle-Orleans</t>
  </si>
  <si>
    <t>3_348001-New Orleans Military/Maritime Academy</t>
  </si>
  <si>
    <t>3_349001-JS Clark Leadership Academy</t>
  </si>
  <si>
    <t>4_302006-Louisiana School for Math Science &amp; the Arts</t>
  </si>
  <si>
    <t>4_334001-New Orleans Center for Creative Arts</t>
  </si>
  <si>
    <t>2_318001-LSU Laboratory School</t>
  </si>
  <si>
    <t>2_319001-Southern University Lab School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</si>
  <si>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</si>
  <si>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</si>
  <si>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</si>
  <si>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</si>
  <si>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</si>
  <si>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</si>
  <si>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</si>
  <si>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</si>
  <si>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</si>
  <si>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</si>
  <si>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</si>
  <si>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</si>
  <si>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</si>
  <si>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</si>
  <si>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</si>
  <si>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</si>
  <si>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</si>
  <si>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</si>
  <si>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</si>
  <si>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</si>
  <si>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</si>
  <si>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</si>
  <si>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</si>
  <si>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</si>
  <si>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</si>
  <si>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</si>
  <si>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</si>
  <si>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</si>
  <si>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</si>
  <si>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</si>
  <si>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</si>
  <si>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</si>
  <si>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</si>
  <si>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</si>
  <si>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</si>
  <si>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</si>
  <si>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</si>
  <si>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</si>
  <si>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</si>
  <si>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</si>
  <si>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</si>
  <si>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</si>
  <si>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</si>
  <si>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</si>
  <si>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</si>
  <si>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</si>
  <si>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</si>
  <si>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</si>
  <si>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</si>
  <si>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</si>
  <si>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</si>
  <si>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</si>
  <si>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</si>
  <si>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</si>
  <si>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</si>
  <si>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</si>
  <si>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</si>
  <si>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</si>
  <si>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</si>
  <si>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</si>
  <si>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</si>
  <si>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</si>
  <si>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</si>
  <si>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</si>
  <si>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</si>
  <si>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</si>
  <si>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</si>
  <si>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</si>
  <si>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</si>
  <si>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</si>
  <si>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</si>
  <si>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</si>
  <si>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</si>
  <si>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</si>
  <si>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</si>
  <si>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</si>
  <si>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</si>
  <si>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</si>
  <si>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</si>
  <si>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</si>
  <si>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</si>
  <si>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</si>
  <si>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</si>
  <si>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</si>
  <si>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</si>
  <si>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</si>
  <si>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</si>
  <si>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</si>
  <si>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</si>
  <si>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</si>
  <si>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</si>
  <si>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Out-Of-State</t>
  </si>
  <si>
    <t/>
  </si>
  <si>
    <t>Totals - MFP &amp; Funded</t>
  </si>
  <si>
    <t>2/1/13 SSEEP Students</t>
  </si>
  <si>
    <r>
      <t xml:space="preserve">
Feb. 1, 2013
MFP Funded
Membership
(Per SIS)
</t>
    </r>
    <r>
      <rPr>
        <sz val="8"/>
        <color indexed="18"/>
        <rFont val="Arial"/>
        <family val="2"/>
      </rPr>
      <t xml:space="preserve">(Includes  Recovery 
School District,
Type 5 Charters,
 and Non-Legacy
 Type 2 Charters
 (Not 1st Year),  
  </t>
    </r>
  </si>
  <si>
    <r>
      <t xml:space="preserve">Continuation 
of
 Prior Year 
Pay Raises *
</t>
    </r>
    <r>
      <rPr>
        <sz val="9"/>
        <color indexed="18"/>
        <rFont val="Arial"/>
        <family val="2"/>
      </rPr>
      <t xml:space="preserve">(Includes Type 5 Charters, and
Non-Legacy Type 2 Charters, Not 1st Year, </t>
    </r>
  </si>
  <si>
    <t>Charter Schools</t>
  </si>
  <si>
    <t>Total 
Base
Allocation</t>
  </si>
  <si>
    <t>Continuation of 
Prior Year Pay Raises</t>
  </si>
  <si>
    <t>State
Admin
Fee
to
Dept. of
Education
(.25%)</t>
  </si>
  <si>
    <r>
      <t xml:space="preserve">Continuation 
of 
Prior Year 
Pay Raises 
</t>
    </r>
    <r>
      <rPr>
        <sz val="10"/>
        <color indexed="18"/>
        <rFont val="Arial"/>
        <family val="2"/>
      </rPr>
      <t>(FY2001-02
 through 
FY2008-09)</t>
    </r>
    <r>
      <rPr>
        <b/>
        <sz val="10"/>
        <color indexed="18"/>
        <rFont val="Arial"/>
        <family val="2"/>
      </rPr>
      <t xml:space="preserve">
Per Pupil
Amount</t>
    </r>
  </si>
  <si>
    <t>Continuation
of
Prior Year
Pay 
Raises</t>
  </si>
  <si>
    <r>
      <t xml:space="preserve">New Vision Learning                                     
</t>
    </r>
    <r>
      <rPr>
        <sz val="12"/>
        <rFont val="Arial"/>
        <family val="2"/>
      </rPr>
      <t>City of Monroe 
(Not in a district bldg)</t>
    </r>
  </si>
  <si>
    <r>
      <t xml:space="preserve">Glencoe Charter School                                    
</t>
    </r>
    <r>
      <rPr>
        <sz val="12"/>
        <rFont val="Arial"/>
        <family val="2"/>
      </rPr>
      <t>St. Mary Parish 
(Not in a district bldg)</t>
    </r>
  </si>
  <si>
    <r>
      <t xml:space="preserve">International School of LA             
</t>
    </r>
    <r>
      <rPr>
        <sz val="12"/>
        <rFont val="Arial"/>
        <family val="2"/>
      </rPr>
      <t>Orleans Parish 
(In a district bldg.)</t>
    </r>
  </si>
  <si>
    <r>
      <t xml:space="preserve">Avoyelles Public Charter                   
</t>
    </r>
    <r>
      <rPr>
        <sz val="12"/>
        <rFont val="Arial"/>
        <family val="2"/>
      </rPr>
      <t>Avoyelles Parish 
(Not in a district bldg)</t>
    </r>
  </si>
  <si>
    <r>
      <t xml:space="preserve">Delhi Charter School                                    </t>
    </r>
    <r>
      <rPr>
        <sz val="12"/>
        <rFont val="Arial"/>
        <family val="2"/>
      </rPr>
      <t xml:space="preserve"> 
Richland Parish
(Not in a district bldg)</t>
    </r>
  </si>
  <si>
    <r>
      <t xml:space="preserve">Belle Chasse Academy                                 
</t>
    </r>
    <r>
      <rPr>
        <sz val="12"/>
        <rFont val="Arial"/>
        <family val="2"/>
      </rPr>
      <t>Plaquemines Parish
(Not in a district bldg)</t>
    </r>
  </si>
  <si>
    <r>
      <t xml:space="preserve">Milestone SABIS Academy
</t>
    </r>
    <r>
      <rPr>
        <sz val="12"/>
        <rFont val="Arial"/>
        <family val="2"/>
      </rPr>
      <t>Orleans Parish
(Not in a district bldg)</t>
    </r>
  </si>
  <si>
    <r>
      <t xml:space="preserve">Maxine Giardina 
</t>
    </r>
    <r>
      <rPr>
        <sz val="12"/>
        <rFont val="Arial"/>
        <family val="2"/>
      </rPr>
      <t>Lafourche Parish
(Not in a district bldg)</t>
    </r>
  </si>
  <si>
    <t>TOTAL TYPE 2 CHARTER
 SCHOOL ALLOCATION</t>
  </si>
  <si>
    <t>Department of Education
Administrative Fee</t>
  </si>
  <si>
    <t>Total</t>
  </si>
  <si>
    <r>
      <t xml:space="preserve">Source: </t>
    </r>
    <r>
      <rPr>
        <sz val="10"/>
        <rFont val="Arial"/>
        <family val="2"/>
      </rPr>
      <t xml:space="preserve"> State and Local per pupil calculation based on FY2009/10 Budget Letter; Local Revenue per FY2007-08AFR</t>
    </r>
  </si>
  <si>
    <r>
      <t xml:space="preserve">Feb. 1, 2013
MFP
Student 
Count 
</t>
    </r>
    <r>
      <rPr>
        <sz val="10"/>
        <color indexed="18"/>
        <rFont val="Arial"/>
        <family val="2"/>
      </rPr>
      <t>(per SIS)</t>
    </r>
  </si>
  <si>
    <t xml:space="preserve">Monthly
Amount
</t>
  </si>
  <si>
    <t xml:space="preserve">     First Year Non-Legacy Type 2 Charters (6)</t>
  </si>
  <si>
    <t>Total Weighted Membership of Parish/City Schools, Type 5 Charters,  Non-Legacy Type 2 Charters (Not 1st Year)</t>
  </si>
  <si>
    <t xml:space="preserve">    Parish/City Schools, Type 5 Charters, and 
    Non-Legacy Type 2 Charters (Not 1st Year),</t>
  </si>
  <si>
    <t>40.45/16.62</t>
  </si>
  <si>
    <t>1.99%/.82%</t>
  </si>
  <si>
    <t>City/Parish Totals</t>
  </si>
  <si>
    <t>International School of LA</t>
  </si>
  <si>
    <t>Lycee Francais de la N.O.</t>
  </si>
  <si>
    <t>Type 2 Charter Totals</t>
  </si>
  <si>
    <t>GRAND TOTAL STATE</t>
  </si>
  <si>
    <t>3A5001</t>
  </si>
  <si>
    <t>g.</t>
  </si>
  <si>
    <t xml:space="preserve">  Legacy Type 2 Charters</t>
  </si>
  <si>
    <t xml:space="preserve"> h.</t>
  </si>
  <si>
    <r>
      <t xml:space="preserve">LEA +
RSD Opr +
Type 5 Charters
+Type 2 in Table 3
</t>
    </r>
    <r>
      <rPr>
        <sz val="10"/>
        <color rgb="FFFF0000"/>
        <rFont val="Arial"/>
        <family val="2"/>
      </rPr>
      <t>(except for Orleans)</t>
    </r>
    <r>
      <rPr>
        <sz val="10"/>
        <rFont val="Arial"/>
        <family val="2"/>
      </rPr>
      <t xml:space="preserve">
</t>
    </r>
  </si>
  <si>
    <t>=table3</t>
  </si>
  <si>
    <r>
      <t xml:space="preserve">OPSB
</t>
    </r>
    <r>
      <rPr>
        <sz val="12"/>
        <rFont val="Futura Lt BT"/>
        <family val="2"/>
      </rPr>
      <t>Orleans Parish</t>
    </r>
    <r>
      <rPr>
        <sz val="12"/>
        <color rgb="FFFF0000"/>
        <rFont val="Futura Lt BT"/>
        <family val="2"/>
      </rPr>
      <t xml:space="preserve"> (minus SSEEP)</t>
    </r>
  </si>
  <si>
    <r>
      <t>East Baton Rouge</t>
    </r>
    <r>
      <rPr>
        <sz val="12"/>
        <color rgb="FFFF0000"/>
        <rFont val="Arial"/>
        <family val="2"/>
      </rPr>
      <t xml:space="preserve"> (minus SSEEP)</t>
    </r>
    <r>
      <rPr>
        <sz val="12"/>
        <rFont val="Arial"/>
        <family val="2"/>
      </rPr>
      <t xml:space="preserve">
Parish School Board </t>
    </r>
  </si>
  <si>
    <r>
      <t xml:space="preserve">
Caddo Parish School Board
</t>
    </r>
    <r>
      <rPr>
        <sz val="12"/>
        <color rgb="FFFF0000"/>
        <rFont val="Arial"/>
        <family val="2"/>
      </rPr>
      <t>(minus SSEEP)</t>
    </r>
  </si>
  <si>
    <r>
      <t xml:space="preserve">St. Helena Parish 
School Board </t>
    </r>
    <r>
      <rPr>
        <sz val="12"/>
        <color rgb="FFFF0000"/>
        <rFont val="Arial"/>
        <family val="2"/>
      </rPr>
      <t>(minus SSEEP)</t>
    </r>
  </si>
  <si>
    <t>Plus/(Minus) Prior Year Adjustments - Legacy Type 2 Charters</t>
  </si>
  <si>
    <t xml:space="preserve">Allocation for Legacy Type 2 Charter Schools </t>
  </si>
  <si>
    <r>
      <t xml:space="preserve">Louisiana Key Academy
</t>
    </r>
    <r>
      <rPr>
        <sz val="10"/>
        <color indexed="18"/>
        <rFont val="Arial"/>
        <family val="2"/>
      </rPr>
      <t>(Site Code 3A7001)
(Opened 13/14)
(Not in a District Building)</t>
    </r>
  </si>
  <si>
    <r>
      <t xml:space="preserve">Jefferson Chamber Foundation
</t>
    </r>
    <r>
      <rPr>
        <sz val="10"/>
        <color indexed="18"/>
        <rFont val="Arial"/>
        <family val="2"/>
      </rPr>
      <t>(Site Code 3A1001)
(Opened 13/14)
(Not in a District Building)</t>
    </r>
  </si>
  <si>
    <r>
      <t xml:space="preserve">Tallulah Charter School
</t>
    </r>
    <r>
      <rPr>
        <sz val="10"/>
        <color indexed="18"/>
        <rFont val="Arial"/>
        <family val="2"/>
      </rPr>
      <t>(Site Code 3A2001)
(Opened 13/14)
(Not in a District Building)</t>
    </r>
  </si>
  <si>
    <r>
      <t xml:space="preserve">Northshore Charter School
</t>
    </r>
    <r>
      <rPr>
        <sz val="10"/>
        <color indexed="18"/>
        <rFont val="Arial"/>
        <family val="2"/>
      </rPr>
      <t>(Site Code 3A6001)
(Opened 13/14)
(Not in a District Building)</t>
    </r>
  </si>
  <si>
    <r>
      <t xml:space="preserve">Delta Charter School
</t>
    </r>
    <r>
      <rPr>
        <sz val="10"/>
        <color indexed="18"/>
        <rFont val="Arial"/>
        <family val="2"/>
      </rPr>
      <t>(Site Code 3A4001)
(Opened 13/14)
(Not in a District Building)</t>
    </r>
  </si>
  <si>
    <r>
      <t xml:space="preserve">International High School of N. O.
(VIBE:  Voices for Int'l Business &amp; Education)
</t>
    </r>
    <r>
      <rPr>
        <sz val="11"/>
        <color indexed="18"/>
        <rFont val="Arial"/>
        <family val="2"/>
      </rPr>
      <t>(Site Code 344001)
(Opened 10/11)
(In an Orleans Parish  District Building)</t>
    </r>
    <r>
      <rPr>
        <b/>
        <sz val="11"/>
        <color indexed="18"/>
        <rFont val="Arial"/>
        <family val="2"/>
      </rPr>
      <t xml:space="preserve">
</t>
    </r>
  </si>
  <si>
    <t>Subtotal
For 
Table 3</t>
  </si>
  <si>
    <r>
      <t xml:space="preserve">FY2013-14
Table 3
</t>
    </r>
    <r>
      <rPr>
        <b/>
        <sz val="11"/>
        <color rgb="FFFF0000"/>
        <rFont val="Calibri"/>
        <family val="2"/>
      </rPr>
      <t>(without SSEEP)</t>
    </r>
  </si>
  <si>
    <r>
      <t xml:space="preserve">
Low Income
 and 
English 
Language 
Learner
</t>
    </r>
    <r>
      <rPr>
        <sz val="10"/>
        <color indexed="18"/>
        <rFont val="Arial"/>
        <family val="2"/>
      </rPr>
      <t>(Per SIS
2-1-13)</t>
    </r>
    <r>
      <rPr>
        <b/>
        <sz val="10"/>
        <color indexed="18"/>
        <rFont val="Arial"/>
        <family val="2"/>
      </rPr>
      <t xml:space="preserve">
</t>
    </r>
  </si>
  <si>
    <t xml:space="preserve">Weighted
Add-On
Students 
with
 Disabilities </t>
  </si>
  <si>
    <r>
      <t xml:space="preserve">FY11-12
Audit 
Adjustments
</t>
    </r>
    <r>
      <rPr>
        <sz val="10"/>
        <color indexed="18"/>
        <rFont val="Arial"/>
        <family val="2"/>
      </rPr>
      <t>(2/1/12 
Midyear
 Adjustment)</t>
    </r>
  </si>
  <si>
    <r>
      <t xml:space="preserve">FY12-13
Audit 
Adjustments
</t>
    </r>
    <r>
      <rPr>
        <sz val="10"/>
        <color indexed="18"/>
        <rFont val="Arial"/>
        <family val="2"/>
      </rPr>
      <t>(CAFR,
Base and 
Weighted 
Counts,
10/1/12 
Midyear)</t>
    </r>
  </si>
  <si>
    <r>
      <t xml:space="preserve">Audit
Adjust-
ments
FY2012-13
MFP
</t>
    </r>
    <r>
      <rPr>
        <sz val="9"/>
        <color indexed="18"/>
        <rFont val="Arial"/>
        <family val="2"/>
      </rPr>
      <t>(Includes 
2/1 midyear
 from 
FY2011-12)</t>
    </r>
  </si>
  <si>
    <r>
      <t>RSD Operated</t>
    </r>
    <r>
      <rPr>
        <sz val="12"/>
        <rFont val="Arial"/>
        <family val="2"/>
      </rPr>
      <t xml:space="preserve">
</t>
    </r>
    <r>
      <rPr>
        <sz val="11"/>
        <rFont val="Arial"/>
        <family val="2"/>
      </rPr>
      <t>(Pointe Coupee Central High)</t>
    </r>
  </si>
  <si>
    <r>
      <t xml:space="preserve">
</t>
    </r>
    <r>
      <rPr>
        <sz val="12"/>
        <rFont val="Arial"/>
        <family val="2"/>
      </rPr>
      <t>Pointe Coupee Parish
School Board (Minus SSEEP)</t>
    </r>
  </si>
  <si>
    <r>
      <t xml:space="preserve">FY2013-14
State &amp; Local 
Per Pupil 
</t>
    </r>
    <r>
      <rPr>
        <sz val="10"/>
        <color indexed="18"/>
        <rFont val="Arial"/>
        <family val="2"/>
      </rPr>
      <t xml:space="preserve">
</t>
    </r>
    <r>
      <rPr>
        <sz val="10"/>
        <color rgb="FFFF0000"/>
        <rFont val="Arial"/>
        <family val="2"/>
      </rPr>
      <t>Local per final per pupil for 12/13</t>
    </r>
  </si>
  <si>
    <t>Totoal
Local Cost Allocation
due to
 Other
Entities</t>
  </si>
  <si>
    <r>
      <t xml:space="preserve">MFP State Share of Educational Cost for Youth in Secure Care 
</t>
    </r>
    <r>
      <rPr>
        <b/>
        <sz val="10"/>
        <color indexed="18"/>
        <rFont val="Arial"/>
        <family val="2"/>
      </rPr>
      <t xml:space="preserve">Based on Preliminary FY2012-13 Average Daily Membership (ADM) </t>
    </r>
  </si>
  <si>
    <r>
      <t xml:space="preserve">Baton Rouge 
Charter Academy 
at Mid-City
</t>
    </r>
    <r>
      <rPr>
        <sz val="10"/>
        <color indexed="18"/>
        <rFont val="Arial"/>
        <family val="2"/>
      </rPr>
      <t>(Site Code 3A3001)
(Opened 13/14)
(Not in a District Building)</t>
    </r>
  </si>
  <si>
    <t>FY2013-14
Budget Letter
July 2013
Circular No. 1153</t>
  </si>
  <si>
    <t xml:space="preserve">FY2013-2014 MFP Budget Letter </t>
  </si>
  <si>
    <t>Number of 
First Year
Foreign Associate
Teachers in
FY2013-14</t>
  </si>
  <si>
    <t>Number of 
Second and 
Third Year
Foreign Associate
Teachers in
FY2013-14</t>
  </si>
  <si>
    <r>
      <t xml:space="preserve">Stipends 
for
Foreign 
Associate
Teachers
</t>
    </r>
    <r>
      <rPr>
        <sz val="10"/>
        <rFont val="Arial"/>
        <family val="2"/>
      </rPr>
      <t>Updated 
to
2013 in 
August</t>
    </r>
  </si>
  <si>
    <t>Mid-Year Adjustment for Students</t>
  </si>
  <si>
    <t>City/Parish LEA Only</t>
  </si>
  <si>
    <t>Other Entities in Table 3</t>
  </si>
  <si>
    <t>Total
Midyear
Adjustment
for 
Students</t>
  </si>
  <si>
    <t>International School of LA             
Orleans Parish 
(Not in a district bldg.)</t>
  </si>
  <si>
    <t>International School of LA             
Orleans Parish 
(Total Funding)</t>
  </si>
  <si>
    <t>TOTAL RSD LA including Admin Fee</t>
  </si>
  <si>
    <t xml:space="preserve">Monthly 
Payment </t>
  </si>
  <si>
    <t>Balance
Due
March 2014
through
June 2014</t>
  </si>
  <si>
    <t>YTD
State
Payments
through
February 2014</t>
  </si>
  <si>
    <t>Allocation for NOCCA and LSMSA</t>
  </si>
  <si>
    <r>
      <t xml:space="preserve">MFP
Funded Membership
</t>
    </r>
    <r>
      <rPr>
        <sz val="10"/>
        <color indexed="18"/>
        <rFont val="Arial"/>
        <family val="2"/>
      </rPr>
      <t>(Per SIS)</t>
    </r>
  </si>
  <si>
    <t>October 2013
Mid-Year
Adjustment
for Students</t>
  </si>
  <si>
    <t>February 2014
Mid-Year
Adjustment
for Students</t>
  </si>
  <si>
    <t>Total
Mid-Year
Adjustments for Students</t>
  </si>
  <si>
    <t>October
2013
Local
Mid-Year
Adjustment
for
Students</t>
  </si>
  <si>
    <t>Feb. 2014 Mid-Year
Adjustment
Change in
Funded
Student
Count
(See Col. 3 of Feb. Midyear Adj)</t>
  </si>
  <si>
    <t>October 2013
Mid-Year
Adjustment
Change in
Funded Student
Count
(See Col. 3 of Oct. Midyear Adj)</t>
  </si>
  <si>
    <t>February 2014
Local
Mid-Year
Adjustment
for
Students
(one-half the per-pupil amount)</t>
  </si>
  <si>
    <t>Total
Local
Mid-Year
Adjustment
for
Students</t>
  </si>
  <si>
    <t>Total
Local Cost Allocation
+ 
Mid-Year Adjustment
for Students</t>
  </si>
  <si>
    <t>Total
Mid-Year
Adjustment
for Students</t>
  </si>
  <si>
    <r>
      <t xml:space="preserve">Audit
Adjustments
FY2012-13
MFP
</t>
    </r>
    <r>
      <rPr>
        <sz val="9"/>
        <color indexed="18"/>
        <rFont val="Arial"/>
        <family val="2"/>
      </rPr>
      <t>(Includes 
2/1 midyear
 from 
FY2011-12)</t>
    </r>
  </si>
  <si>
    <t>Balance 
Due
March 2014
through
June 2014</t>
  </si>
  <si>
    <r>
      <t xml:space="preserve">Final
Local
Per Pupil
</t>
    </r>
    <r>
      <rPr>
        <sz val="10"/>
        <color indexed="18"/>
        <rFont val="Arial"/>
        <family val="2"/>
      </rPr>
      <t>(per charter law)</t>
    </r>
  </si>
  <si>
    <t>Total
MFP
State
Cost
Allocation 
+ Pay Raises</t>
  </si>
  <si>
    <r>
      <t xml:space="preserve">Final
Local
Per Pupil
</t>
    </r>
    <r>
      <rPr>
        <sz val="10"/>
        <color indexed="18"/>
        <rFont val="Arial"/>
        <family val="2"/>
      </rPr>
      <t>(Initial 
per pupil 
amount)</t>
    </r>
  </si>
  <si>
    <t>Total
Local Cost Allocation
+/- Mid-Year Adjustment
for Students</t>
  </si>
  <si>
    <t>Total
State Cost Allocation
+ Pay Raises
+/- Mid-Year
Adjustment
for Students</t>
  </si>
  <si>
    <t>Total
State Cost Allocation
+ Pay Raises
+/- Mid-Year
Adjustment
for Students
- Admin Fee</t>
  </si>
  <si>
    <t>Total
State Cost
Allocation
+ Pay Raises
+/- Mid-Year
Adjustment
for Students
- Admin Fee
 +/- Audit  Adjustments</t>
  </si>
  <si>
    <t>Total
Local
Cost
Allocation 
+/- Mid-Year Adjustment
for Students
- Admin Fee</t>
  </si>
  <si>
    <t>Total
Local
Cost
Allocation 
+/- Mid-Year Adjustment
for Students
- Admin Fee
 +/- Audit  Adjustments</t>
  </si>
  <si>
    <t>Total
Local Cost
Allocation
+/- Mid-Year Adjustment
for Students
- Admin Fee</t>
  </si>
  <si>
    <t>Total
Local Cost
Allocation
+/- Mid-Year Adjustment
for Students
- Admin Fee
+/- Audit
Adjustments</t>
  </si>
  <si>
    <t>YTD
Local
Payments
through
February 2014</t>
  </si>
  <si>
    <t>Local
Admin Fee
to the 
Dept. of
Education</t>
  </si>
  <si>
    <t>Total MFP
State Cost 
Allocation
+ Prior Year
Pay Raises</t>
  </si>
  <si>
    <t>MFP 
State
Average
 Per Pupil (L1,L2+L3)</t>
  </si>
  <si>
    <t>February 2014
Mid-year
Adjustment
for
Students</t>
  </si>
  <si>
    <t>October 2013
Mid-year
Adjustment
for
Students</t>
  </si>
  <si>
    <t>MFP
Funded Membership
(Per SIS)</t>
  </si>
  <si>
    <t>Audit
Adjustments
FY2012-13
MFP
(Includes 
2/1 midyear
 from 
FY2011-12)</t>
  </si>
  <si>
    <r>
      <t xml:space="preserve">LSMSA
</t>
    </r>
    <r>
      <rPr>
        <sz val="10"/>
        <rFont val="Arial"/>
        <family val="2"/>
      </rPr>
      <t>Louisiana Schools for Math,
Science and the Arts</t>
    </r>
  </si>
  <si>
    <r>
      <t xml:space="preserve">NOCCA
</t>
    </r>
    <r>
      <rPr>
        <sz val="10"/>
        <rFont val="Arial"/>
        <family val="2"/>
      </rPr>
      <t>New Orleans Center for
Creative Arts</t>
    </r>
  </si>
  <si>
    <t>Total MFP
State Cost 
Allocation
+ Prior Year
Pay Raises
+/- Midyear
Adjustments
for Students</t>
  </si>
  <si>
    <t>Total MFP
State Cost  
Allocation 
+ Prior Year 
Pay Raises 
+/- Midyear
Adjustments
for Students
+/- Audit
Adjustments</t>
  </si>
  <si>
    <t>October
2013
Mid-Year
Adjustment
Change in
Funded
Student
Count
(See Col. 3
of Oct.
Midyear Adj)</t>
  </si>
  <si>
    <t>February
2014
Mid-Year
Adjustment
Change in
Funded
Student
Count
(See Col. 3
of Feb.
Midyear Adj)</t>
  </si>
  <si>
    <t>February
2014
Local
Mid-Year
Adjustment
for
Students
(one-half the per-pupil amount)</t>
  </si>
  <si>
    <t xml:space="preserve">State
Cost
Allocation
Monthly
Payment
</t>
  </si>
  <si>
    <t>Total
State Cost
Allocation
+ Prior Year
Pay Raises
+/- Mid-Year
Adjustments
for Students
- Admin Fee
+/- Audit
Adjustments</t>
  </si>
  <si>
    <t>Total
State Cost
Allocation
+ Prior Year
Pay Raises
+/- Mid-Year
Adjustments
for Students
- Admin Fee</t>
  </si>
  <si>
    <t>Feb. 1, 2013
MFP Funded
Membership
(Per SIS)</t>
  </si>
  <si>
    <r>
      <t xml:space="preserve">FY2013-14
Levels 1, 2 &amp; 3
State Cost
Allocation
Per Pupil 
without
Pay Raise
</t>
    </r>
    <r>
      <rPr>
        <sz val="9"/>
        <color indexed="18"/>
        <rFont val="Arial"/>
        <family val="2"/>
      </rPr>
      <t>(Table 3, Col 29)</t>
    </r>
  </si>
  <si>
    <t>Continuation
of
Prior
Year
Pay Raises
Per Pupil
Amount</t>
  </si>
  <si>
    <t>Total
State Cost
Allocation
+ Prior Year
Pay Raises</t>
  </si>
  <si>
    <t>Total
State Cost
Allocation
+ Prior Year
Pay Raises
+/- Mid-Year
Adjustments
for Students</t>
  </si>
  <si>
    <t>FY2013-14
Levels 1, 2 &amp; 3
State Cost
Allocation
Per Pupil 
without
Pay Raise
(Table 3, Col 29)</t>
  </si>
  <si>
    <t>Total
State Cost
Allocation
+ Prior Year
Pay Raises
+/- Mid-Year
Adjustments
for Students
- Admin Fee
+/- Audit
Adjustments
+ Stipend for
Foreign
Teachers</t>
  </si>
  <si>
    <t xml:space="preserve">FY2013-14
Stipends for Foreign
Associate Teachers
</t>
  </si>
  <si>
    <t>Final
Local
Per Pupil
(per charter law)</t>
  </si>
  <si>
    <r>
      <t xml:space="preserve">Projected
</t>
    </r>
    <r>
      <rPr>
        <b/>
        <sz val="10"/>
        <color rgb="FF000066"/>
        <rFont val="Arial"/>
        <family val="2"/>
      </rPr>
      <t>MFP 
Membership</t>
    </r>
    <r>
      <rPr>
        <b/>
        <sz val="10"/>
        <color indexed="18"/>
        <rFont val="Arial"/>
        <family val="2"/>
      </rPr>
      <t xml:space="preserve">
</t>
    </r>
  </si>
  <si>
    <r>
      <t xml:space="preserve">FY2013-14
Levels 1, 2 &amp; 3
State Cost
Allocation
Per Pupil 
without
Pay Raise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(per Budget 
Letter)</t>
    </r>
  </si>
  <si>
    <t>Total 
State 
Cost 
Allocation
+ Prior Year
Pay Raises</t>
  </si>
  <si>
    <t>MFP State Cost of Educational Cost</t>
  </si>
  <si>
    <t>Total
State Cost Allocation
+ Prior Year
Pay Raises
+/- Mid-Year
Adjustments
for Students</t>
  </si>
  <si>
    <r>
      <t xml:space="preserve">State </t>
    </r>
    <r>
      <rPr>
        <b/>
        <sz val="10"/>
        <color indexed="18"/>
        <rFont val="Arial"/>
        <family val="2"/>
      </rPr>
      <t xml:space="preserve">
Admin Fee
to the
Dept. of
Education</t>
    </r>
  </si>
  <si>
    <t>State
Cost
Allocation
Monthly 
Payment</t>
  </si>
  <si>
    <r>
      <t xml:space="preserve">
Final
Local 
Per Pupil 
</t>
    </r>
    <r>
      <rPr>
        <sz val="10"/>
        <color indexed="18"/>
        <rFont val="Arial"/>
        <family val="2"/>
      </rPr>
      <t>(90%)</t>
    </r>
    <r>
      <rPr>
        <b/>
        <sz val="10"/>
        <color indexed="18"/>
        <rFont val="Arial"/>
        <family val="2"/>
      </rPr>
      <t xml:space="preserve">
(per Calcul-ation)</t>
    </r>
  </si>
  <si>
    <t>MFP Local Cost Allocation of Educational Cost</t>
  </si>
  <si>
    <t>Local
Cost 
Allocation</t>
  </si>
  <si>
    <t>February
2014
Local
Mid-Year
Adjustment
for
Students
(one-half the
per-pupil
amount)</t>
  </si>
  <si>
    <t>February
2014
Mid-Year
Adjustment
for Students</t>
  </si>
  <si>
    <t>October
2013
Mid-Year
Adjustment
for Students</t>
  </si>
  <si>
    <t>Total
Mid-Year
Adjustment
for
Students</t>
  </si>
  <si>
    <t>Continuation
of
Prior Year
Pay Raises
(FY2001-02
through
FY2008-09) 
90% Per Pupil
Amount</t>
  </si>
  <si>
    <r>
      <t xml:space="preserve">LA Virtual Charter Academy 
(LAVCA)
(Community School of 
Apprenticeship Learning)
(CSAL)
</t>
    </r>
    <r>
      <rPr>
        <sz val="11"/>
        <color indexed="18"/>
        <rFont val="Arial"/>
        <family val="2"/>
      </rPr>
      <t>(Site Code 343002)
(Opened 11/12)
(Not in a District Bldg.)</t>
    </r>
  </si>
  <si>
    <t>FY2013-14
Levels 1, 2 &amp; 3
State Cost
Allocation
Per Pupil 
without
Pay Raise
(90%)
(per Budget 
Letter)</t>
  </si>
  <si>
    <t>Continuation
of
Prior Year
Pay 
Raises
(90%)</t>
  </si>
  <si>
    <r>
      <t xml:space="preserve">Total 
Base
Allocation
</t>
    </r>
    <r>
      <rPr>
        <b/>
        <sz val="10"/>
        <color indexed="60"/>
        <rFont val="Arial"/>
        <family val="2"/>
      </rPr>
      <t>+</t>
    </r>
    <r>
      <rPr>
        <b/>
        <sz val="10"/>
        <color indexed="18"/>
        <rFont val="Arial"/>
        <family val="2"/>
      </rPr>
      <t>Prior Year
Pay Raises</t>
    </r>
  </si>
  <si>
    <r>
      <t>Total 
Base
Allocation</t>
    </r>
    <r>
      <rPr>
        <b/>
        <sz val="10"/>
        <color indexed="18"/>
        <rFont val="Arial"/>
        <family val="2"/>
      </rPr>
      <t xml:space="preserve">
+ Prior Year
Pay Raises
+/- Mid-Year
Adjustments
for Students
</t>
    </r>
    <r>
      <rPr>
        <b/>
        <sz val="10"/>
        <color indexed="60"/>
        <rFont val="Arial"/>
        <family val="2"/>
      </rPr>
      <t xml:space="preserve">- </t>
    </r>
    <r>
      <rPr>
        <b/>
        <sz val="10"/>
        <color indexed="18"/>
        <rFont val="Arial"/>
        <family val="2"/>
      </rPr>
      <t>Admin Fee</t>
    </r>
  </si>
  <si>
    <r>
      <t>Audit
Adjustments
FY2012-13
MFP
(Includes 
2/1 midyear
 from 
FY2011-12)</t>
    </r>
    <r>
      <rPr>
        <sz val="10"/>
        <color indexed="18"/>
        <rFont val="Arial"/>
        <family val="2"/>
      </rPr>
      <t xml:space="preserve">
</t>
    </r>
  </si>
  <si>
    <t>Total
Base
Allocation
+ Prior Year
Pay Raises
+/- Mid-Year
Adjustments
for Students</t>
  </si>
  <si>
    <r>
      <t xml:space="preserve">Total
Base 
Allocation
+ Prior Year
Pay Raises
+/- Mid-Year
Adjustments
for Students
- Admin Fee
</t>
    </r>
    <r>
      <rPr>
        <b/>
        <sz val="10"/>
        <color indexed="60"/>
        <rFont val="Arial"/>
        <family val="2"/>
      </rPr>
      <t xml:space="preserve">+/- </t>
    </r>
    <r>
      <rPr>
        <b/>
        <sz val="10"/>
        <color indexed="18"/>
        <rFont val="Arial"/>
        <family val="2"/>
      </rPr>
      <t>Audit 
Adjustments</t>
    </r>
  </si>
  <si>
    <r>
      <t xml:space="preserve">Total
Base
Allocation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Prior Year
Pay Raises
+/- Mid-Year
Adjustments
for Students
- Admin Fee
+/- Audit 
Adjustments
</t>
    </r>
    <r>
      <rPr>
        <b/>
        <sz val="10"/>
        <color indexed="60"/>
        <rFont val="Arial"/>
        <family val="2"/>
      </rPr>
      <t xml:space="preserve">+ </t>
    </r>
    <r>
      <rPr>
        <b/>
        <sz val="10"/>
        <color indexed="18"/>
        <rFont val="Arial"/>
        <family val="2"/>
      </rPr>
      <t xml:space="preserve">Foreign 
Associate
Stipends
</t>
    </r>
  </si>
  <si>
    <r>
      <t xml:space="preserve">FY2013-14
Levels 1, 2 &amp; 3
STATE Cost Allocation
Per Pupil*
</t>
    </r>
    <r>
      <rPr>
        <sz val="9"/>
        <color indexed="18"/>
        <rFont val="Arial"/>
        <family val="2"/>
      </rPr>
      <t>(Table 3, Col 33)</t>
    </r>
  </si>
  <si>
    <t>Total 
State Cost
Allocation 
+/- Mid-Year
Adjustments
for Students
+/- Audit
Adjustments</t>
  </si>
  <si>
    <t>col 10 + col 11</t>
  </si>
  <si>
    <t>col 12 - col 13</t>
  </si>
  <si>
    <t>col 14 ÷ 4</t>
  </si>
  <si>
    <t>col 1 + col 17</t>
  </si>
  <si>
    <t>FY2013-14
Levels 1 and 2
LOCAL 
Cost Allocation 
(Table 3, Col 36)</t>
  </si>
  <si>
    <t>col 16 ÷
col 18</t>
  </si>
  <si>
    <t>col 1 * col 19</t>
  </si>
  <si>
    <t>col 26 + col 27</t>
  </si>
  <si>
    <t>col 28 - col 29</t>
  </si>
  <si>
    <t>col 30 ÷ 4</t>
  </si>
  <si>
    <t>col 12 + col 28</t>
  </si>
  <si>
    <t>col 15 + col 31</t>
  </si>
  <si>
    <t>Monthly
Payments
March
2014
through
June 2014</t>
  </si>
  <si>
    <t>FY2013-14
Total MFP
Allocation 
+/- Mid-Year
Adjustments
for Students
- State Cost Allocation to 
other LEAs
+ Stipends</t>
  </si>
  <si>
    <t xml:space="preserve">
Total MFP
Distribution 
Amount minus 
Audit Adjustments and State Cost Allocation
July 2013
Table 2 </t>
  </si>
  <si>
    <t>Local Cost Allocation
due to
RSD LA
Table 5B-2</t>
  </si>
  <si>
    <t>Local Cost Allocation
due to
RSD 
Orleans
Table 5B1</t>
  </si>
  <si>
    <t>Local Cost Allocation 
due to
Madison 
Prep
(CSAL)
Table 5C1A</t>
  </si>
  <si>
    <t>Local Cost Allocation
due to
D'Arbonne
Woods
Table 5C1B</t>
  </si>
  <si>
    <t>Local Cost Allocation
due to
Int'l H. S.
(VIBE)
Table 5C1C</t>
  </si>
  <si>
    <t>Local Cost Allocation
due to
N.O.
Military/
Maritime
Table 5C1D</t>
  </si>
  <si>
    <t>Local Cost Allocation
due to
Lycee
Francais
Table 5C1E</t>
  </si>
  <si>
    <t>Local Cost Allocation
due to
Lake 
Charles Academy
Table 5C1F</t>
  </si>
  <si>
    <t>Local Cost Allocation
due to
J. S. Clark
Leader-
ship
Academy
Table 5C1G</t>
  </si>
  <si>
    <t>col 9 + 
col 14</t>
  </si>
  <si>
    <t>Local Cost Allocation
due to
Southwest
LA
Charter
Table 5C1H</t>
  </si>
  <si>
    <t>Local Cost Allocation
due to
LA Key Academy
Table 5C1I</t>
  </si>
  <si>
    <t>Local Cost Allocation
due to
Jefferson Chamber Fdtn
Table 5C1J</t>
  </si>
  <si>
    <t>Local Cost Allocation
due to
Tallulah Charter
Table 5C1K</t>
  </si>
  <si>
    <t>Local Cost Allocation
due to
Northshore Charter
Table 5C1L</t>
  </si>
  <si>
    <t>Local Cost Allocation
due to
Baton Rouge Charter Admy
Table 5C1M</t>
  </si>
  <si>
    <t>Local Cost Allocation
due to
Delta Charter
Table 5C1N</t>
  </si>
  <si>
    <t>Local Cost Allocation
due to
LAVCA
Table 5C-2</t>
  </si>
  <si>
    <t>Local Cost Allocation
due to
LA 
Connections
Table 5C-3</t>
  </si>
  <si>
    <t>Local Cost Allocation
due to
Office of
Juvenile
Justice
Table 5E</t>
  </si>
  <si>
    <t>col 28</t>
  </si>
  <si>
    <t>col 32</t>
  </si>
  <si>
    <r>
      <t xml:space="preserve">Monthly
Payments
Amount
February 2014
</t>
    </r>
    <r>
      <rPr>
        <sz val="10"/>
        <color indexed="18"/>
        <rFont val="Arial"/>
        <family val="2"/>
      </rPr>
      <t xml:space="preserve">
Table 2</t>
    </r>
  </si>
  <si>
    <t xml:space="preserve">
 Local Cost Allocation 
due to
RSD 
Orleans
RSD Allocation</t>
  </si>
  <si>
    <t>Local Cost Allocation 
due to
D'Arbonne
Woods
Table 5C1B</t>
  </si>
  <si>
    <t>Local Cost Allocation 
due to
N.O.
Military/
Maritime
Table 5C1D</t>
  </si>
  <si>
    <t>Local Cost Allocation
due to
Lake Charles Academy
Table 5C1F</t>
  </si>
  <si>
    <t>Local Cost Allocation
due to
J. S. Clark
Leadership
Academy
Table 5C1G</t>
  </si>
  <si>
    <t>Local Cost Allocation due monthly
 to the
Office of
Juvenile
Justice
Table 5E</t>
  </si>
  <si>
    <t>Minus
State Cost
Allocation
 for
LA
Connections
Table 5C3</t>
  </si>
  <si>
    <t>Minus
State Cost
Allocation
 for
LAVCA
Table 5C2</t>
  </si>
  <si>
    <t>Minus
State Cost
Allocation
 for
Southwest LA Charter
Table 5C1H</t>
  </si>
  <si>
    <t>Minus
State Cost
Allocation
 for
J.S. Clark Academy
Table 5C1G</t>
  </si>
  <si>
    <t>Minus
State Cost
Allocation
 for
Lake Charles Charter
Table 5C1F</t>
  </si>
  <si>
    <t>Minus
State Cost
Allocation
 for
Lycee Francais
Table 5C1E</t>
  </si>
  <si>
    <t>Minus
State Cost
Allocation
 for
N.O.
Military/
Maritime
Table 5C1D</t>
  </si>
  <si>
    <t>Minus
State Cost
Allocation
 for
Int'l H.S.
(VIBE)
Table 5C1C</t>
  </si>
  <si>
    <t>Minus
State Cost
Allocation
 for
D'Arbonne Woods
Table 5C1B</t>
  </si>
  <si>
    <t>Minus
State Cost
Allocation
 for
Madison Prep
(CSAL)
Table 5C1A</t>
  </si>
  <si>
    <t>col 34</t>
  </si>
  <si>
    <t>col 31</t>
  </si>
  <si>
    <t>col 36</t>
  </si>
  <si>
    <t>Local Cost Allocation
due to
RSD LA
Table 5B-2
RSD_LA</t>
  </si>
  <si>
    <t>col. 30</t>
  </si>
  <si>
    <t>col 21 + 
col 32</t>
  </si>
  <si>
    <t>YTD
Local
Payments
Through
February 2014</t>
  </si>
  <si>
    <t>October 2013
Midyear
Adjustment
for Students</t>
  </si>
  <si>
    <t>February 2014
Midyear
Adjustment
for Students</t>
  </si>
  <si>
    <t xml:space="preserve">Balance
Remaining
March  2014
</t>
  </si>
  <si>
    <t xml:space="preserve"> YTD Payments
through
February 2014</t>
  </si>
  <si>
    <t xml:space="preserve">FY2013-14
Foreign 
Language 
Assoc. 
Teacher 
Stipends
</t>
  </si>
  <si>
    <t>Total
Admin.
Fee</t>
  </si>
  <si>
    <t>Table 5A-2: FY2013-14 MFP Budget Letter (March 2014)</t>
  </si>
  <si>
    <t>Table 5A1: FY2013-14 MFP Budget Letter (March 2014)</t>
  </si>
  <si>
    <t>YTD
Local
Payments
through
January 2014</t>
  </si>
  <si>
    <t>Balance 
Due
February  2014
through
June 2014</t>
  </si>
  <si>
    <t>col 10</t>
  </si>
  <si>
    <t>col 11 + col 12</t>
  </si>
  <si>
    <t>Admin.
Fee
to 
LDE</t>
  </si>
  <si>
    <t>Admin.
Fee
to
LDE</t>
  </si>
  <si>
    <t>Total
State Cost
Allocation
+ Pay Raises
+/- Mid-Year
Adjustment
for Students
- Admin Fee</t>
  </si>
  <si>
    <t>Total
State Cost
Allocation
+ Pay Raises
+/- Mid-Year
Adjustment
for Students</t>
  </si>
  <si>
    <t>Total
Mid-Year
Adjustments
for Students</t>
  </si>
  <si>
    <t>col 25 + 
col 28</t>
  </si>
  <si>
    <t>col 27 + 
col 30</t>
  </si>
  <si>
    <t>col 26 + 
col 29</t>
  </si>
  <si>
    <t>Total
Midyear
Adjustment
for
Students
(Includes
Recovery
School District,
Type 5 Charters,
&amp; Non-Legacy
Type 2 Charters
(Not 1st Year)</t>
  </si>
  <si>
    <t>February 2014
Midyear
Adjustment
for Students
(Includes
Recovery
School District,
Type 5 Charters,
&amp; Non-Legacy
Type 2 Charters
(Not 1st Year)</t>
  </si>
  <si>
    <t>October 2013
Midyear
Adjustment
for Students
(Includes
Recovery
School District,
Type 5 Charters,
&amp; Non-Legacy
Type 2 Charters
(Not 1st Year)</t>
  </si>
  <si>
    <r>
      <t xml:space="preserve">ADM
for Youth
in
Secure Care 
</t>
    </r>
    <r>
      <rPr>
        <sz val="10"/>
        <color indexed="18"/>
        <rFont val="Arial"/>
        <family val="2"/>
      </rPr>
      <t xml:space="preserve">
(12/13
ADM Data)</t>
    </r>
    <r>
      <rPr>
        <b/>
        <sz val="10"/>
        <color indexed="56"/>
        <rFont val="Arial"/>
        <family val="2"/>
      </rPr>
      <t/>
    </r>
  </si>
  <si>
    <t xml:space="preserve">Amount
Fee Paid
July
</t>
  </si>
  <si>
    <t>Admin Fee March</t>
  </si>
  <si>
    <t>Balance Due</t>
  </si>
  <si>
    <t>Admin Fee 
March</t>
  </si>
  <si>
    <r>
      <rPr>
        <b/>
        <sz val="16"/>
        <color rgb="FFFF0000"/>
        <rFont val="Futura Lt BT"/>
        <family val="2"/>
      </rPr>
      <t>JULY</t>
    </r>
    <r>
      <rPr>
        <sz val="10"/>
        <rFont val="Futura Lt BT"/>
        <family val="2"/>
      </rPr>
      <t xml:space="preserve">
Local
Admin 
Fee to
Dept. of
Education
(.25%)</t>
    </r>
  </si>
  <si>
    <r>
      <rPr>
        <b/>
        <sz val="16"/>
        <color rgb="FFFF0000"/>
        <rFont val="Futura Lt BT"/>
      </rPr>
      <t>March</t>
    </r>
    <r>
      <rPr>
        <sz val="10"/>
        <rFont val="Futura Lt BT"/>
        <family val="2"/>
      </rPr>
      <t xml:space="preserve">
Local
Admin 
Fee to
Dept. of
Education
(.25%)</t>
    </r>
  </si>
  <si>
    <t>Paid in July:</t>
  </si>
  <si>
    <t>March Admin Fee:</t>
  </si>
  <si>
    <t>Balance Due:</t>
  </si>
  <si>
    <t>March 2013:</t>
  </si>
  <si>
    <t>EBR</t>
  </si>
  <si>
    <t>RSD</t>
  </si>
  <si>
    <t>DOE</t>
  </si>
  <si>
    <t>Paid in July</t>
  </si>
  <si>
    <t>Total RSD</t>
  </si>
  <si>
    <t>Total DOE</t>
  </si>
  <si>
    <t>N.A</t>
  </si>
  <si>
    <r>
      <t xml:space="preserve">March ONLY:
Local
Admin Fee
Payable 
to RSD
(1.75%)
RSD LA
</t>
    </r>
    <r>
      <rPr>
        <sz val="10"/>
        <color indexed="18"/>
        <rFont val="Arial"/>
        <family val="2"/>
      </rPr>
      <t>(Table 5B-2,
column 16)</t>
    </r>
  </si>
  <si>
    <r>
      <t xml:space="preserve">March ONLY:
Local
Admin Fee
Payable 
to DOE
(.25%)
RSD LA
</t>
    </r>
    <r>
      <rPr>
        <sz val="10"/>
        <color indexed="18"/>
        <rFont val="Arial"/>
        <family val="2"/>
      </rPr>
      <t>(Table 5B-2,
column 17)</t>
    </r>
  </si>
  <si>
    <r>
      <t xml:space="preserve">March ONLY:
Local
Admin Fee
Payable 
to DOE
(.25%)
RSD Orleans
</t>
    </r>
    <r>
      <rPr>
        <sz val="10"/>
        <color indexed="18"/>
        <rFont val="Arial"/>
        <family val="2"/>
      </rPr>
      <t>(Table 5B-1,
column 11)</t>
    </r>
  </si>
  <si>
    <r>
      <t xml:space="preserve">March ONLY:
Local
Admin 
Fee
Payable 
to DOE
(.25%)
Madison 
Prep
</t>
    </r>
    <r>
      <rPr>
        <sz val="10"/>
        <color indexed="18"/>
        <rFont val="Arial"/>
        <family val="2"/>
      </rPr>
      <t>(Table 5C1A,
column 16)</t>
    </r>
  </si>
  <si>
    <r>
      <t xml:space="preserve">March ONLY:
Local
Admin Fee
Payable 
to DOE
(.25%)
D'Arbonne
Woods
</t>
    </r>
    <r>
      <rPr>
        <sz val="10"/>
        <color indexed="18"/>
        <rFont val="Arial"/>
        <family val="2"/>
      </rPr>
      <t>(Table 5C1B,
column 14)</t>
    </r>
  </si>
  <si>
    <r>
      <t xml:space="preserve">March ONLY:
Local
Admin 
Fee
Payable 
to DOE
(.25%)
Int'l H. S.
</t>
    </r>
    <r>
      <rPr>
        <sz val="10"/>
        <color indexed="18"/>
        <rFont val="Arial"/>
        <family val="2"/>
      </rPr>
      <t>(Table 5C1C,
column 14)</t>
    </r>
  </si>
  <si>
    <r>
      <t xml:space="preserve">March ONLY:
Local
Admin 
Fee
Payable 
to DOE
(.25%)
N.O.
Military
</t>
    </r>
    <r>
      <rPr>
        <sz val="10"/>
        <color indexed="18"/>
        <rFont val="Arial"/>
        <family val="2"/>
      </rPr>
      <t>(Table 5C1D,
column 14)</t>
    </r>
  </si>
  <si>
    <r>
      <t xml:space="preserve">March ONLY:
Local
Admin 
Fee
Payable 
to DOE
(.25%)
Lycee Francais
</t>
    </r>
    <r>
      <rPr>
        <sz val="10"/>
        <color indexed="18"/>
        <rFont val="Arial"/>
        <family val="2"/>
      </rPr>
      <t>(Table 5C1E,
column 16)</t>
    </r>
  </si>
  <si>
    <r>
      <t xml:space="preserve">March ONLY:
Local
Admin 
Fee
Payable 
to DOE
(.25%)
Lake Charles
Academy
</t>
    </r>
    <r>
      <rPr>
        <sz val="10"/>
        <color indexed="18"/>
        <rFont val="Arial"/>
        <family val="2"/>
      </rPr>
      <t>(Table 5C1F,
column 14)</t>
    </r>
  </si>
  <si>
    <r>
      <t xml:space="preserve">March ONLY:
Local
Admin 
Fee
Payable 
to DOE
(.25%)
Clark
Leadership
</t>
    </r>
    <r>
      <rPr>
        <sz val="10"/>
        <color indexed="18"/>
        <rFont val="Arial"/>
        <family val="2"/>
      </rPr>
      <t>(Table 5C1G,
column 14)</t>
    </r>
  </si>
  <si>
    <r>
      <t xml:space="preserve">March ONLY:
Local
Admin 
Fee
Payable 
to DOE
(.25%)
Southwest
LA Charter
</t>
    </r>
    <r>
      <rPr>
        <sz val="10"/>
        <color indexed="18"/>
        <rFont val="Arial"/>
        <family val="2"/>
      </rPr>
      <t>(Table 5C1H,
column 14)</t>
    </r>
  </si>
  <si>
    <r>
      <t xml:space="preserve">March ONLY:
Local
Admin 
Fee
Payable 
to DOE
(.25%)
LA Key Admy
</t>
    </r>
    <r>
      <rPr>
        <sz val="10"/>
        <color indexed="18"/>
        <rFont val="Arial"/>
        <family val="2"/>
      </rPr>
      <t>(Table 5C1J,
column 14)</t>
    </r>
  </si>
  <si>
    <r>
      <t xml:space="preserve">March ONLY:
Local
Admin 
Fee
Payable 
to DOE
(.25%)
Jefferson Chamber Fdtn
</t>
    </r>
    <r>
      <rPr>
        <sz val="10"/>
        <color indexed="18"/>
        <rFont val="Arial"/>
        <family val="2"/>
      </rPr>
      <t>(Table 5C1K,
column 14)</t>
    </r>
  </si>
  <si>
    <r>
      <t xml:space="preserve">March ONLY:
Local
Admin 
Fee
Payable 
to DOE
(.25%)
Tallulah Charter
</t>
    </r>
    <r>
      <rPr>
        <sz val="10"/>
        <color indexed="18"/>
        <rFont val="Arial"/>
        <family val="2"/>
      </rPr>
      <t>(Table 5C1L,
column 14)</t>
    </r>
  </si>
  <si>
    <r>
      <t xml:space="preserve">March ONLY:
Local
Admin 
Fee
Payable 
to DOE
(.25%)
Northshore Charter
</t>
    </r>
    <r>
      <rPr>
        <sz val="10"/>
        <color indexed="18"/>
        <rFont val="Arial"/>
        <family val="2"/>
      </rPr>
      <t>(Table 5C1M,
column 14)</t>
    </r>
  </si>
  <si>
    <r>
      <t xml:space="preserve">March ONLY:
Local
Admin 
Fee
Payable 
to DOE
(.25%)
EBR Charter
</t>
    </r>
    <r>
      <rPr>
        <sz val="10"/>
        <color indexed="18"/>
        <rFont val="Arial"/>
        <family val="2"/>
      </rPr>
      <t>(Table 5C1N,
column 14)</t>
    </r>
  </si>
  <si>
    <r>
      <t xml:space="preserve">March ONLY:
Local
Admin 
Fee
Payable 
to DOE
(.25%)
Delta Charter
</t>
    </r>
    <r>
      <rPr>
        <sz val="10"/>
        <color indexed="18"/>
        <rFont val="Arial"/>
        <family val="2"/>
      </rPr>
      <t>(Table 5C1P,
column 14)</t>
    </r>
  </si>
  <si>
    <r>
      <t xml:space="preserve">March ONLY:
Local
Admin 
Fee
Payable 
to DOE
(.25%
LAVCA
</t>
    </r>
    <r>
      <rPr>
        <sz val="10"/>
        <color indexed="18"/>
        <rFont val="Arial"/>
        <family val="2"/>
      </rPr>
      <t>(Table 5C-2,
column 15)</t>
    </r>
  </si>
  <si>
    <r>
      <t xml:space="preserve">March ONLY:
Local
Admin 
Fee
Payable 
to DOE
(.25%)
LA Conn.
</t>
    </r>
    <r>
      <rPr>
        <sz val="10"/>
        <color indexed="18"/>
        <rFont val="Arial"/>
        <family val="2"/>
      </rPr>
      <t>(Table 5C-3,
column 15)</t>
    </r>
  </si>
  <si>
    <t>March  
2014
Payment
Amount</t>
  </si>
  <si>
    <t>Total 
Local
Cost
Allocation 
+/- Audit
Adjustments</t>
  </si>
  <si>
    <t>FY2013-14 
Final
Per Pupil
Amount</t>
  </si>
  <si>
    <t>Audit
Adjustments
FY2013-14
MFP
(Includes 
2/1 midyear
 from 
FY2012-13)</t>
  </si>
  <si>
    <r>
      <t xml:space="preserve">Audit
Adjust-
ments
FY2013-14
MFP
</t>
    </r>
    <r>
      <rPr>
        <sz val="9"/>
        <color indexed="18"/>
        <rFont val="Arial"/>
        <family val="2"/>
      </rPr>
      <t>(Includes 
2/1 midyear
 from 
FY2012-13)</t>
    </r>
  </si>
  <si>
    <t xml:space="preserve">October Mid-Year Student Adjustment - 69 School Districts </t>
  </si>
  <si>
    <t>7a.</t>
  </si>
  <si>
    <t>7b.</t>
  </si>
  <si>
    <t>7c.</t>
  </si>
  <si>
    <t>October Mid-Year Student Adjustment - RSD Operated &amp; Type 5 Charters</t>
  </si>
  <si>
    <t xml:space="preserve">October Mid-Year Student Adjustment - Legacy &amp; Non-Legacy Type 2 Charters </t>
  </si>
  <si>
    <t>October Mid-Year Student Adjustment - Labs, OJJ, LSMSA, NOCCA</t>
  </si>
  <si>
    <t>7d.</t>
  </si>
  <si>
    <t>7e.</t>
  </si>
  <si>
    <t>7f.</t>
  </si>
  <si>
    <t>7g.</t>
  </si>
  <si>
    <t xml:space="preserve">February Mid-Year Student Adjustment - 69 School Districts </t>
  </si>
  <si>
    <t>February Mid-Year Student Adjustment - RSD Operated &amp; Type 5 Charters</t>
  </si>
  <si>
    <t xml:space="preserve">February Mid-Year Student Adjustment - Legacy &amp; Non-Legacy Type 2 Charters </t>
  </si>
  <si>
    <t>February Mid-Year Student Adjustment - Labs, OJJ, LSMSA, NOCCA</t>
  </si>
  <si>
    <r>
      <t xml:space="preserve">Audit
Adjust-
ments
FY2013-14
MFP
</t>
    </r>
    <r>
      <rPr>
        <sz val="9"/>
        <color indexed="18"/>
        <rFont val="Arial"/>
        <family val="2"/>
      </rPr>
      <t xml:space="preserve">(Includes 
2/1 midyear
 from 
FY2012-13)
</t>
    </r>
    <r>
      <rPr>
        <b/>
        <sz val="9"/>
        <color indexed="18"/>
        <rFont val="Arial"/>
        <family val="2"/>
      </rPr>
      <t>CLOSING SCHOOLS</t>
    </r>
  </si>
  <si>
    <t>Audit
Adjustments
FY2013-14
MFP
(Includes 
2/1 midyear
 from 
FY2012-13)
CLOSING SCHOOLS</t>
  </si>
  <si>
    <t>10% Return for Virtual Type 2 Charters</t>
  </si>
  <si>
    <t>Non-Legacy Type 2 Charter Schools (First Year)</t>
  </si>
  <si>
    <t>2/1/13 students
minus SSEEP
times
total p/p
+audit adjust.
+midyear adj
+SSEEP</t>
  </si>
  <si>
    <t>Table 5D:  FY2013-14 MFP Budget Letter  (April 2014)</t>
  </si>
  <si>
    <t xml:space="preserve">YTD
State
Payments
through
 March
 2014
</t>
  </si>
  <si>
    <t xml:space="preserve">Balance 
Due
April 2014
through
June 2014
</t>
  </si>
  <si>
    <t>Reconciled in March</t>
  </si>
  <si>
    <t>April Admin Fee</t>
  </si>
  <si>
    <t>TABLE 1: STATE LEVEL COMPARISON (April 2014)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</si>
</sst>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&quot;$&quot;#,##0.00"/>
    <numFmt numFmtId="171" formatCode="0_);[Red]\(0\)"/>
    <numFmt numFmtId="172" formatCode="#,##0.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 Narrow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8"/>
      <name val="Arial Narrow"/>
      <family val="2"/>
    </font>
    <font>
      <sz val="12"/>
      <name val="Arial Narrow"/>
      <family val="2"/>
    </font>
    <font>
      <b/>
      <sz val="18"/>
      <name val="Arial Narrow"/>
      <family val="2"/>
    </font>
    <font>
      <b/>
      <i/>
      <sz val="18"/>
      <name val="Arial Narrow"/>
      <family val="2"/>
    </font>
    <font>
      <sz val="8"/>
      <name val="Arial"/>
      <family val="2"/>
    </font>
    <font>
      <b/>
      <sz val="20"/>
      <color indexed="20"/>
      <name val="Arial Narrow"/>
      <family val="2"/>
    </font>
    <font>
      <b/>
      <sz val="12"/>
      <color indexed="62"/>
      <name val="Arial Narrow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i/>
      <sz val="10"/>
      <color indexed="18"/>
      <name val="Arial Narrow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0"/>
      <name val="Arial"/>
      <family val="2"/>
    </font>
    <font>
      <b/>
      <sz val="16"/>
      <color indexed="20"/>
      <name val="Arial Narrow"/>
      <family val="2"/>
    </font>
    <font>
      <b/>
      <i/>
      <sz val="16"/>
      <name val="Arial"/>
      <family val="2"/>
    </font>
    <font>
      <b/>
      <i/>
      <sz val="20"/>
      <name val="Arial"/>
      <family val="2"/>
    </font>
    <font>
      <b/>
      <sz val="12"/>
      <color indexed="12"/>
      <name val="CG Omega (PCL6)"/>
      <family val="2"/>
    </font>
    <font>
      <b/>
      <i/>
      <sz val="10"/>
      <color indexed="12"/>
      <name val="Arial"/>
      <family val="2"/>
    </font>
    <font>
      <b/>
      <i/>
      <sz val="21"/>
      <name val="Arial"/>
      <family val="2"/>
    </font>
    <font>
      <b/>
      <sz val="10"/>
      <color indexed="20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9"/>
      <color indexed="8"/>
      <name val="Arial Narrow"/>
      <family val="2"/>
    </font>
    <font>
      <sz val="9"/>
      <name val="Arial"/>
      <family val="2"/>
    </font>
    <font>
      <sz val="12"/>
      <color indexed="18"/>
      <name val="Arial Narrow"/>
      <family val="2"/>
    </font>
    <font>
      <b/>
      <sz val="16"/>
      <color indexed="10"/>
      <name val="Arial"/>
      <family val="2"/>
    </font>
    <font>
      <b/>
      <sz val="10"/>
      <name val="Arial Narrow"/>
      <family val="2"/>
    </font>
    <font>
      <b/>
      <sz val="10"/>
      <color indexed="62"/>
      <name val="Arial"/>
      <family val="2"/>
    </font>
    <font>
      <sz val="10"/>
      <name val="CG Times"/>
      <family val="1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color indexed="20"/>
      <name val="Arial Narrow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8"/>
      <name val="Arial"/>
      <family val="2"/>
    </font>
    <font>
      <b/>
      <sz val="14"/>
      <color indexed="10"/>
      <name val="Arial"/>
      <family val="2"/>
    </font>
    <font>
      <b/>
      <sz val="11"/>
      <name val="Arial Narrow"/>
      <family val="2"/>
    </font>
    <font>
      <b/>
      <sz val="10"/>
      <color indexed="18"/>
      <name val="Arial Narrow"/>
      <family val="2"/>
    </font>
    <font>
      <b/>
      <sz val="14"/>
      <color indexed="18"/>
      <name val="Arial Narrow"/>
      <family val="2"/>
    </font>
    <font>
      <b/>
      <sz val="14"/>
      <color indexed="10"/>
      <name val="Arial Narrow"/>
      <family val="2"/>
    </font>
    <font>
      <sz val="10"/>
      <color indexed="12"/>
      <name val="Arial"/>
      <family val="2"/>
    </font>
    <font>
      <sz val="16"/>
      <color indexed="10"/>
      <name val="Arial"/>
      <family val="2"/>
    </font>
    <font>
      <sz val="12"/>
      <name val="Arial"/>
      <family val="2"/>
    </font>
    <font>
      <b/>
      <sz val="22"/>
      <name val="Arial Narrow"/>
      <family val="2"/>
    </font>
    <font>
      <b/>
      <sz val="10"/>
      <color indexed="17"/>
      <name val="Arial"/>
      <family val="2"/>
    </font>
    <font>
      <b/>
      <sz val="10.5"/>
      <name val="Futura Lt BT"/>
      <family val="2"/>
    </font>
    <font>
      <b/>
      <sz val="10"/>
      <name val="Arial"/>
      <family val="2"/>
    </font>
    <font>
      <b/>
      <sz val="8"/>
      <color indexed="18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b/>
      <sz val="12"/>
      <color indexed="20"/>
      <name val="Arial"/>
      <family val="2"/>
    </font>
    <font>
      <sz val="11"/>
      <name val="Arial"/>
      <family val="2"/>
    </font>
    <font>
      <b/>
      <sz val="14"/>
      <name val="Futura Lt BT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color indexed="22"/>
      <name val="Arial"/>
      <family val="2"/>
    </font>
    <font>
      <sz val="12"/>
      <name val="Futura Lt BT"/>
      <family val="2"/>
    </font>
    <font>
      <b/>
      <sz val="11"/>
      <name val="Arial"/>
      <family val="2"/>
    </font>
    <font>
      <b/>
      <sz val="10"/>
      <color indexed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10"/>
      <name val="Futura Lt BT"/>
      <family val="2"/>
    </font>
    <font>
      <b/>
      <sz val="11"/>
      <color indexed="18"/>
      <name val="Arial"/>
      <family val="2"/>
    </font>
    <font>
      <b/>
      <sz val="12"/>
      <name val="Futura Lt BT"/>
      <family val="2"/>
    </font>
    <font>
      <b/>
      <sz val="9"/>
      <name val="Futura Lt BT"/>
      <family val="2"/>
    </font>
    <font>
      <b/>
      <sz val="10"/>
      <name val="Futura Lt BT"/>
      <family val="2"/>
    </font>
    <font>
      <b/>
      <sz val="10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color indexed="18"/>
      <name val="Arial"/>
      <family val="2"/>
    </font>
    <font>
      <b/>
      <sz val="9"/>
      <name val="Arial"/>
      <family val="2"/>
    </font>
    <font>
      <b/>
      <sz val="10"/>
      <color rgb="FF000082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8"/>
      <color indexed="18"/>
      <name val="Arial"/>
      <family val="2"/>
    </font>
    <font>
      <sz val="9"/>
      <color indexed="18"/>
      <name val="Arial"/>
      <family val="2"/>
    </font>
    <font>
      <sz val="14"/>
      <name val="Arial"/>
      <family val="2"/>
    </font>
    <font>
      <b/>
      <sz val="14"/>
      <color indexed="20"/>
      <name val="Arial"/>
      <family val="2"/>
    </font>
    <font>
      <sz val="12"/>
      <color rgb="FFFF0000"/>
      <name val="Futura Lt BT"/>
      <family val="2"/>
    </font>
    <font>
      <sz val="10"/>
      <color indexed="8"/>
      <name val="Arial"/>
      <family val="2"/>
    </font>
    <font>
      <b/>
      <sz val="10"/>
      <color rgb="FF000066"/>
      <name val="Arial"/>
      <family val="2"/>
    </font>
    <font>
      <b/>
      <sz val="12"/>
      <color indexed="22"/>
      <name val="Futura Lt BT"/>
      <family val="2"/>
    </font>
    <font>
      <sz val="9"/>
      <name val="Futura Lt BT"/>
      <family val="2"/>
    </font>
    <font>
      <b/>
      <sz val="10"/>
      <color indexed="20"/>
      <name val="Futura Lt BT"/>
      <family val="2"/>
    </font>
    <font>
      <b/>
      <sz val="12"/>
      <color indexed="18"/>
      <name val="Futura Lt BT"/>
      <family val="2"/>
    </font>
    <font>
      <b/>
      <sz val="10"/>
      <color indexed="18"/>
      <name val="Futura Lt BT"/>
      <family val="2"/>
    </font>
    <font>
      <sz val="10"/>
      <color indexed="18"/>
      <name val="Futura Lt BT"/>
      <family val="2"/>
    </font>
    <font>
      <b/>
      <sz val="10"/>
      <color rgb="FF000082"/>
      <name val="Futura Lt BT"/>
      <family val="2"/>
    </font>
    <font>
      <sz val="10"/>
      <color rgb="FFFF0000"/>
      <name val="Futura Lt BT"/>
      <family val="2"/>
    </font>
    <font>
      <b/>
      <sz val="11"/>
      <name val="Futura Lt BT"/>
      <family val="2"/>
    </font>
    <font>
      <sz val="12"/>
      <color indexed="18"/>
      <name val="Futura Lt BT"/>
      <family val="2"/>
    </font>
    <font>
      <b/>
      <sz val="12"/>
      <color rgb="FFC00000"/>
      <name val="Futura Lt BT"/>
      <family val="2"/>
    </font>
    <font>
      <b/>
      <sz val="16"/>
      <color rgb="FF000066"/>
      <name val="Arial Narrow"/>
      <family val="2"/>
    </font>
    <font>
      <b/>
      <sz val="10"/>
      <color rgb="FFFF0000"/>
      <name val="Arial"/>
      <family val="2"/>
    </font>
    <font>
      <sz val="22"/>
      <name val="Arial Narrow"/>
      <family val="2"/>
    </font>
    <font>
      <sz val="24"/>
      <name val="Arial Narrow"/>
      <family val="2"/>
    </font>
    <font>
      <b/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1"/>
      <color rgb="FF000080"/>
      <name val="Calibri"/>
      <family val="2"/>
    </font>
    <font>
      <b/>
      <i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indexed="8"/>
      <name val="Calibri"/>
      <family val="2"/>
    </font>
    <font>
      <b/>
      <sz val="20"/>
      <name val="Arial"/>
      <family val="2"/>
    </font>
    <font>
      <sz val="14"/>
      <color theme="0"/>
      <name val="Arial"/>
      <family val="2"/>
    </font>
    <font>
      <b/>
      <sz val="10"/>
      <color indexed="60"/>
      <name val="Arial"/>
      <family val="2"/>
    </font>
    <font>
      <sz val="11"/>
      <color rgb="FF000000"/>
      <name val="Calibri"/>
      <family val="2"/>
      <charset val="204"/>
    </font>
    <font>
      <sz val="12"/>
      <color rgb="FFFF0000"/>
      <name val="Arial"/>
      <family val="2"/>
    </font>
    <font>
      <b/>
      <sz val="8"/>
      <color rgb="FFC00000"/>
      <name val="Calibri"/>
      <family val="2"/>
    </font>
    <font>
      <b/>
      <sz val="8"/>
      <color rgb="FFC00000"/>
      <name val="Calibri"/>
      <family val="2"/>
      <scheme val="minor"/>
    </font>
    <font>
      <b/>
      <sz val="8"/>
      <color indexed="20"/>
      <name val="Arial"/>
      <family val="2"/>
    </font>
    <font>
      <b/>
      <sz val="11"/>
      <color rgb="FFFF0000"/>
      <name val="Calibri"/>
      <family val="2"/>
    </font>
    <font>
      <b/>
      <sz val="11.5"/>
      <name val="Arial Narrow"/>
      <family val="2"/>
    </font>
    <font>
      <b/>
      <sz val="12"/>
      <color rgb="FFFF0000"/>
      <name val="Arial"/>
      <family val="2"/>
    </font>
    <font>
      <sz val="10"/>
      <name val="Arial"/>
      <family val="2"/>
    </font>
    <font>
      <sz val="10"/>
      <color rgb="FF000066"/>
      <name val="Futura Lt BT"/>
      <family val="2"/>
    </font>
    <font>
      <b/>
      <sz val="16"/>
      <color rgb="FFFF0000"/>
      <name val="Futura Lt BT"/>
      <family val="2"/>
    </font>
    <font>
      <b/>
      <sz val="16"/>
      <color rgb="FFFF0000"/>
      <name val="Futura Lt BT"/>
    </font>
    <font>
      <sz val="10"/>
      <name val="Futura Lt BT"/>
    </font>
  </fonts>
  <fills count="7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6"/>
        <bgColor indexed="9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B7DEE8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0"/>
      </patternFill>
    </fill>
    <fill>
      <patternFill patternType="solid">
        <fgColor rgb="FFFFFF99"/>
        <bgColor indexed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</fills>
  <borders count="4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8"/>
      </left>
      <right/>
      <top/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 style="double">
        <color indexed="8"/>
      </left>
      <right/>
      <top/>
      <bottom style="medium">
        <color indexed="64"/>
      </bottom>
      <diagonal/>
    </border>
    <border>
      <left style="double">
        <color indexed="8"/>
      </left>
      <right/>
      <top style="medium">
        <color indexed="64"/>
      </top>
      <bottom/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 style="thin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double">
        <color indexed="8"/>
      </right>
      <top/>
      <bottom/>
      <diagonal/>
    </border>
    <border>
      <left/>
      <right style="double">
        <color indexed="8"/>
      </right>
      <top style="medium">
        <color indexed="8"/>
      </top>
      <bottom style="thin">
        <color indexed="8"/>
      </bottom>
      <diagonal/>
    </border>
    <border>
      <left/>
      <right style="double">
        <color indexed="8"/>
      </right>
      <top/>
      <bottom style="thin">
        <color indexed="8"/>
      </bottom>
      <diagonal/>
    </border>
    <border>
      <left/>
      <right style="double">
        <color indexed="8"/>
      </right>
      <top/>
      <bottom style="medium">
        <color indexed="64"/>
      </bottom>
      <diagonal/>
    </border>
    <border>
      <left/>
      <right style="double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/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/>
      <bottom style="thin">
        <color indexed="8"/>
      </bottom>
      <diagonal/>
    </border>
    <border>
      <left style="thin">
        <color indexed="64"/>
      </left>
      <right style="double">
        <color indexed="8"/>
      </right>
      <top/>
      <bottom/>
      <diagonal/>
    </border>
    <border>
      <left/>
      <right style="double">
        <color indexed="8"/>
      </right>
      <top/>
      <bottom style="thin">
        <color indexed="22"/>
      </bottom>
      <diagonal/>
    </border>
    <border>
      <left/>
      <right style="double">
        <color indexed="8"/>
      </right>
      <top/>
      <bottom style="thin">
        <color indexed="64"/>
      </bottom>
      <diagonal/>
    </border>
    <border>
      <left/>
      <right style="double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/>
      <bottom style="double">
        <color indexed="8"/>
      </bottom>
      <diagonal/>
    </border>
    <border>
      <left/>
      <right/>
      <top style="thin">
        <color indexed="22"/>
      </top>
      <bottom/>
      <diagonal/>
    </border>
    <border>
      <left style="thin">
        <color indexed="8"/>
      </left>
      <right style="thin">
        <color indexed="8"/>
      </right>
      <top style="thin">
        <color indexed="22"/>
      </top>
      <bottom/>
      <diagonal/>
    </border>
    <border>
      <left style="thin">
        <color indexed="8"/>
      </left>
      <right style="double">
        <color indexed="8"/>
      </right>
      <top style="thin">
        <color indexed="22"/>
      </top>
      <bottom/>
      <diagonal/>
    </border>
    <border>
      <left style="double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double">
        <color indexed="8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3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/>
      <diagonal/>
    </border>
    <border>
      <left style="thin">
        <color indexed="8"/>
      </left>
      <right style="double">
        <color indexed="8"/>
      </right>
      <top/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8"/>
      </left>
      <right/>
      <top style="double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double">
        <color indexed="8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medium">
        <color indexed="8"/>
      </bottom>
      <diagonal/>
    </border>
    <border>
      <left/>
      <right style="thin">
        <color indexed="8"/>
      </right>
      <top style="double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22"/>
      </bottom>
      <diagonal/>
    </border>
    <border>
      <left/>
      <right style="thin">
        <color indexed="8"/>
      </right>
      <top style="thin">
        <color indexed="64"/>
      </top>
      <bottom style="thin">
        <color indexed="22"/>
      </bottom>
      <diagonal/>
    </border>
    <border>
      <left style="thin">
        <color indexed="8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22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22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 style="medium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thin">
        <color indexed="64"/>
      </left>
      <right style="thin">
        <color indexed="8"/>
      </right>
      <top style="medium">
        <color indexed="8"/>
      </top>
      <bottom style="medium">
        <color indexed="64"/>
      </bottom>
      <diagonal/>
    </border>
    <border>
      <left style="thin">
        <color indexed="8"/>
      </left>
      <right style="double">
        <color indexed="8"/>
      </right>
      <top style="medium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3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/>
      <diagonal/>
    </border>
    <border>
      <left style="thin">
        <color indexed="63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double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6622">
    <xf numFmtId="0" fontId="0" fillId="0" borderId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9" borderId="0" applyNumberFormat="0" applyBorder="0" applyAlignment="0" applyProtection="0"/>
    <xf numFmtId="0" fontId="84" fillId="3" borderId="0" applyNumberFormat="0" applyBorder="0" applyAlignment="0" applyProtection="0"/>
    <xf numFmtId="0" fontId="85" fillId="20" borderId="1" applyNumberFormat="0" applyAlignment="0" applyProtection="0"/>
    <xf numFmtId="0" fontId="86" fillId="21" borderId="2" applyNumberFormat="0" applyAlignment="0" applyProtection="0"/>
    <xf numFmtId="43" fontId="13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108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0" fillId="0" borderId="0" applyFont="0" applyFill="0" applyBorder="0" applyAlignment="0" applyProtection="0"/>
    <xf numFmtId="44" fontId="107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4" borderId="0" applyNumberFormat="0" applyBorder="0" applyAlignment="0" applyProtection="0"/>
    <xf numFmtId="0" fontId="89" fillId="0" borderId="3" applyNumberFormat="0" applyFill="0" applyAlignment="0" applyProtection="0"/>
    <xf numFmtId="0" fontId="90" fillId="0" borderId="4" applyNumberFormat="0" applyFill="0" applyAlignment="0" applyProtection="0"/>
    <xf numFmtId="0" fontId="91" fillId="0" borderId="5" applyNumberFormat="0" applyFill="0" applyAlignment="0" applyProtection="0"/>
    <xf numFmtId="0" fontId="91" fillId="0" borderId="0" applyNumberFormat="0" applyFill="0" applyBorder="0" applyAlignment="0" applyProtection="0"/>
    <xf numFmtId="0" fontId="92" fillId="7" borderId="1" applyNumberFormat="0" applyAlignment="0" applyProtection="0"/>
    <xf numFmtId="0" fontId="93" fillId="0" borderId="6" applyNumberFormat="0" applyFill="0" applyAlignment="0" applyProtection="0"/>
    <xf numFmtId="0" fontId="94" fillId="22" borderId="0" applyNumberFormat="0" applyBorder="0" applyAlignment="0" applyProtection="0"/>
    <xf numFmtId="0" fontId="15" fillId="0" borderId="0"/>
    <xf numFmtId="0" fontId="50" fillId="0" borderId="0"/>
    <xf numFmtId="0" fontId="15" fillId="23" borderId="7" applyNumberFormat="0" applyFont="0" applyAlignment="0" applyProtection="0"/>
    <xf numFmtId="0" fontId="95" fillId="20" borderId="8" applyNumberFormat="0" applyAlignment="0" applyProtection="0"/>
    <xf numFmtId="9" fontId="13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9" applyNumberFormat="0" applyFill="0" applyAlignment="0" applyProtection="0"/>
    <xf numFmtId="0" fontId="98" fillId="0" borderId="0" applyNumberForma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43" fontId="9" fillId="0" borderId="0" applyFont="0" applyFill="0" applyBorder="0" applyAlignment="0" applyProtection="0"/>
    <xf numFmtId="0" fontId="119" fillId="0" borderId="0"/>
    <xf numFmtId="0" fontId="13" fillId="0" borderId="0"/>
    <xf numFmtId="43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8" fillId="0" borderId="0"/>
    <xf numFmtId="0" fontId="50" fillId="0" borderId="0"/>
    <xf numFmtId="0" fontId="50" fillId="0" borderId="0"/>
    <xf numFmtId="43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3" fillId="0" borderId="0"/>
    <xf numFmtId="0" fontId="145" fillId="0" borderId="0"/>
    <xf numFmtId="43" fontId="6" fillId="0" borderId="0" applyFont="0" applyFill="0" applyBorder="0" applyAlignment="0" applyProtection="0"/>
    <xf numFmtId="0" fontId="92" fillId="7" borderId="255" applyNumberFormat="0" applyAlignment="0" applyProtection="0"/>
    <xf numFmtId="0" fontId="13" fillId="23" borderId="273" applyNumberFormat="0" applyFont="0" applyAlignment="0" applyProtection="0"/>
    <xf numFmtId="0" fontId="13" fillId="23" borderId="241" applyNumberFormat="0" applyFont="0" applyAlignment="0" applyProtection="0"/>
    <xf numFmtId="0" fontId="85" fillId="20" borderId="229" applyNumberFormat="0" applyAlignment="0" applyProtection="0"/>
    <xf numFmtId="0" fontId="97" fillId="0" borderId="243" applyNumberFormat="0" applyFill="0" applyAlignment="0" applyProtection="0"/>
    <xf numFmtId="0" fontId="85" fillId="20" borderId="255" applyNumberFormat="0" applyAlignment="0" applyProtection="0"/>
    <xf numFmtId="0" fontId="95" fillId="20" borderId="315" applyNumberFormat="0" applyAlignment="0" applyProtection="0"/>
    <xf numFmtId="0" fontId="95" fillId="20" borderId="292" applyNumberFormat="0" applyAlignment="0" applyProtection="0"/>
    <xf numFmtId="0" fontId="85" fillId="20" borderId="268" applyNumberFormat="0" applyAlignment="0" applyProtection="0"/>
    <xf numFmtId="0" fontId="92" fillId="7" borderId="234" applyNumberFormat="0" applyAlignment="0" applyProtection="0"/>
    <xf numFmtId="0" fontId="13" fillId="23" borderId="256" applyNumberFormat="0" applyFont="0" applyAlignment="0" applyProtection="0"/>
    <xf numFmtId="0" fontId="95" fillId="20" borderId="270" applyNumberFormat="0" applyAlignment="0" applyProtection="0"/>
    <xf numFmtId="0" fontId="13" fillId="23" borderId="235" applyNumberFormat="0" applyFont="0" applyAlignment="0" applyProtection="0"/>
    <xf numFmtId="0" fontId="95" fillId="20" borderId="236" applyNumberFormat="0" applyAlignment="0" applyProtection="0"/>
    <xf numFmtId="0" fontId="85" fillId="20" borderId="220" applyNumberFormat="0" applyAlignment="0" applyProtection="0"/>
    <xf numFmtId="0" fontId="97" fillId="0" borderId="237" applyNumberFormat="0" applyFill="0" applyAlignment="0" applyProtection="0"/>
    <xf numFmtId="0" fontId="85" fillId="20" borderId="272" applyNumberFormat="0" applyAlignment="0" applyProtection="0"/>
    <xf numFmtId="0" fontId="97" fillId="0" borderId="258" applyNumberFormat="0" applyFill="0" applyAlignment="0" applyProtection="0"/>
    <xf numFmtId="43" fontId="13" fillId="0" borderId="0" applyFont="0" applyFill="0" applyBorder="0" applyAlignment="0" applyProtection="0"/>
    <xf numFmtId="0" fontId="95" fillId="20" borderId="242" applyNumberFormat="0" applyAlignment="0" applyProtection="0"/>
    <xf numFmtId="0" fontId="92" fillId="7" borderId="220" applyNumberFormat="0" applyAlignment="0" applyProtection="0"/>
    <xf numFmtId="0" fontId="13" fillId="23" borderId="221" applyNumberFormat="0" applyFont="0" applyAlignment="0" applyProtection="0"/>
    <xf numFmtId="0" fontId="95" fillId="20" borderId="222" applyNumberFormat="0" applyAlignment="0" applyProtection="0"/>
    <xf numFmtId="0" fontId="97" fillId="0" borderId="2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13" fillId="23" borderId="265" applyNumberFormat="0" applyFont="0" applyAlignment="0" applyProtection="0"/>
    <xf numFmtId="0" fontId="92" fillId="7" borderId="229" applyNumberFormat="0" applyAlignment="0" applyProtection="0"/>
    <xf numFmtId="0" fontId="85" fillId="20" borderId="240" applyNumberFormat="0" applyAlignment="0" applyProtection="0"/>
    <xf numFmtId="0" fontId="95" fillId="20" borderId="266" applyNumberFormat="0" applyAlignment="0" applyProtection="0"/>
    <xf numFmtId="0" fontId="92" fillId="7" borderId="272" applyNumberFormat="0" applyAlignment="0" applyProtection="0"/>
    <xf numFmtId="0" fontId="13" fillId="23" borderId="230" applyNumberFormat="0" applyFont="0" applyAlignment="0" applyProtection="0"/>
    <xf numFmtId="0" fontId="95" fillId="20" borderId="231" applyNumberFormat="0" applyAlignment="0" applyProtection="0"/>
    <xf numFmtId="0" fontId="97" fillId="0" borderId="232" applyNumberFormat="0" applyFill="0" applyAlignment="0" applyProtection="0"/>
    <xf numFmtId="0" fontId="97" fillId="0" borderId="267" applyNumberFormat="0" applyFill="0" applyAlignment="0" applyProtection="0"/>
    <xf numFmtId="0" fontId="95" fillId="20" borderId="257" applyNumberFormat="0" applyAlignment="0" applyProtection="0"/>
    <xf numFmtId="0" fontId="85" fillId="20" borderId="313" applyNumberFormat="0" applyAlignment="0" applyProtection="0"/>
    <xf numFmtId="0" fontId="92" fillId="7" borderId="240" applyNumberFormat="0" applyAlignment="0" applyProtection="0"/>
    <xf numFmtId="0" fontId="97" fillId="0" borderId="275" applyNumberFormat="0" applyFill="0" applyAlignment="0" applyProtection="0"/>
    <xf numFmtId="0" fontId="85" fillId="20" borderId="234" applyNumberFormat="0" applyAlignment="0" applyProtection="0"/>
    <xf numFmtId="0" fontId="92" fillId="7" borderId="268" applyNumberFormat="0" applyAlignment="0" applyProtection="0"/>
    <xf numFmtId="0" fontId="95" fillId="20" borderId="274" applyNumberFormat="0" applyAlignment="0" applyProtection="0"/>
    <xf numFmtId="0" fontId="85" fillId="20" borderId="285" applyNumberFormat="0" applyAlignment="0" applyProtection="0"/>
    <xf numFmtId="0" fontId="85" fillId="20" borderId="264" applyNumberFormat="0" applyAlignment="0" applyProtection="0"/>
    <xf numFmtId="0" fontId="92" fillId="7" borderId="290" applyNumberFormat="0" applyAlignment="0" applyProtection="0"/>
    <xf numFmtId="0" fontId="92" fillId="7" borderId="264" applyNumberFormat="0" applyAlignment="0" applyProtection="0"/>
    <xf numFmtId="0" fontId="97" fillId="0" borderId="335" applyNumberFormat="0" applyFill="0" applyAlignment="0" applyProtection="0"/>
    <xf numFmtId="0" fontId="97" fillId="0" borderId="293" applyNumberFormat="0" applyFill="0" applyAlignment="0" applyProtection="0"/>
    <xf numFmtId="0" fontId="13" fillId="23" borderId="269" applyNumberFormat="0" applyFont="0" applyAlignment="0" applyProtection="0"/>
    <xf numFmtId="0" fontId="97" fillId="0" borderId="271" applyNumberFormat="0" applyFill="0" applyAlignment="0" applyProtection="0"/>
    <xf numFmtId="0" fontId="85" fillId="20" borderId="328" applyNumberFormat="0" applyAlignment="0" applyProtection="0"/>
    <xf numFmtId="0" fontId="13" fillId="23" borderId="333" applyNumberFormat="0" applyFont="0" applyAlignment="0" applyProtection="0"/>
    <xf numFmtId="0" fontId="92" fillId="7" borderId="285" applyNumberFormat="0" applyAlignment="0" applyProtection="0"/>
    <xf numFmtId="0" fontId="13" fillId="23" borderId="291" applyNumberFormat="0" applyFont="0" applyAlignment="0" applyProtection="0"/>
    <xf numFmtId="0" fontId="13" fillId="23" borderId="286" applyNumberFormat="0" applyFont="0" applyAlignment="0" applyProtection="0"/>
    <xf numFmtId="0" fontId="95" fillId="20" borderId="287" applyNumberFormat="0" applyAlignment="0" applyProtection="0"/>
    <xf numFmtId="0" fontId="97" fillId="0" borderId="288" applyNumberFormat="0" applyFill="0" applyAlignment="0" applyProtection="0"/>
    <xf numFmtId="0" fontId="92" fillId="7" borderId="348" applyNumberFormat="0" applyAlignment="0" applyProtection="0"/>
    <xf numFmtId="0" fontId="92" fillId="7" borderId="313" applyNumberFormat="0" applyAlignment="0" applyProtection="0"/>
    <xf numFmtId="0" fontId="97" fillId="0" borderId="339" applyNumberFormat="0" applyFill="0" applyAlignment="0" applyProtection="0"/>
    <xf numFmtId="0" fontId="85" fillId="20" borderId="290" applyNumberFormat="0" applyAlignment="0" applyProtection="0"/>
    <xf numFmtId="0" fontId="13" fillId="23" borderId="314" applyNumberFormat="0" applyFont="0" applyAlignment="0" applyProtection="0"/>
    <xf numFmtId="0" fontId="97" fillId="0" borderId="316" applyNumberFormat="0" applyFill="0" applyAlignment="0" applyProtection="0"/>
    <xf numFmtId="0" fontId="95" fillId="20" borderId="334" applyNumberFormat="0" applyAlignment="0" applyProtection="0"/>
    <xf numFmtId="0" fontId="13" fillId="23" borderId="337" applyNumberFormat="0" applyFont="0" applyAlignment="0" applyProtection="0"/>
    <xf numFmtId="0" fontId="85" fillId="20" borderId="336" applyNumberFormat="0" applyAlignment="0" applyProtection="0"/>
    <xf numFmtId="0" fontId="92" fillId="7" borderId="328" applyNumberFormat="0" applyAlignment="0" applyProtection="0"/>
    <xf numFmtId="0" fontId="92" fillId="7" borderId="340" applyNumberFormat="0" applyAlignment="0" applyProtection="0"/>
    <xf numFmtId="0" fontId="13" fillId="23" borderId="329" applyNumberFormat="0" applyFont="0" applyAlignment="0" applyProtection="0"/>
    <xf numFmtId="0" fontId="95" fillId="20" borderId="330" applyNumberFormat="0" applyAlignment="0" applyProtection="0"/>
    <xf numFmtId="0" fontId="97" fillId="0" borderId="331" applyNumberFormat="0" applyFill="0" applyAlignment="0" applyProtection="0"/>
    <xf numFmtId="0" fontId="95" fillId="20" borderId="338" applyNumberFormat="0" applyAlignment="0" applyProtection="0"/>
    <xf numFmtId="0" fontId="85" fillId="20" borderId="332" applyNumberFormat="0" applyAlignment="0" applyProtection="0"/>
    <xf numFmtId="0" fontId="13" fillId="23" borderId="349" applyNumberFormat="0" applyFont="0" applyAlignment="0" applyProtection="0"/>
    <xf numFmtId="0" fontId="85" fillId="20" borderId="340" applyNumberFormat="0" applyAlignment="0" applyProtection="0"/>
    <xf numFmtId="0" fontId="97" fillId="0" borderId="351" applyNumberFormat="0" applyFill="0" applyAlignment="0" applyProtection="0"/>
    <xf numFmtId="0" fontId="95" fillId="20" borderId="350" applyNumberFormat="0" applyAlignment="0" applyProtection="0"/>
    <xf numFmtId="0" fontId="92" fillId="7" borderId="332" applyNumberFormat="0" applyAlignment="0" applyProtection="0"/>
    <xf numFmtId="0" fontId="97" fillId="0" borderId="343" applyNumberFormat="0" applyFill="0" applyAlignment="0" applyProtection="0"/>
    <xf numFmtId="0" fontId="92" fillId="7" borderId="336" applyNumberFormat="0" applyAlignment="0" applyProtection="0"/>
    <xf numFmtId="0" fontId="13" fillId="23" borderId="341" applyNumberFormat="0" applyFont="0" applyAlignment="0" applyProtection="0"/>
    <xf numFmtId="0" fontId="95" fillId="20" borderId="342" applyNumberFormat="0" applyAlignment="0" applyProtection="0"/>
    <xf numFmtId="0" fontId="85" fillId="20" borderId="348" applyNumberFormat="0" applyAlignment="0" applyProtection="0"/>
    <xf numFmtId="0" fontId="92" fillId="7" borderId="378" applyNumberFormat="0" applyAlignment="0" applyProtection="0"/>
    <xf numFmtId="0" fontId="95" fillId="20" borderId="372" applyNumberFormat="0" applyAlignment="0" applyProtection="0"/>
    <xf numFmtId="0" fontId="92" fillId="7" borderId="366" applyNumberFormat="0" applyAlignment="0" applyProtection="0"/>
    <xf numFmtId="0" fontId="85" fillId="20" borderId="360" applyNumberFormat="0" applyAlignment="0" applyProtection="0"/>
    <xf numFmtId="0" fontId="92" fillId="7" borderId="370" applyNumberFormat="0" applyAlignment="0" applyProtection="0"/>
    <xf numFmtId="0" fontId="92" fillId="7" borderId="360" applyNumberFormat="0" applyAlignment="0" applyProtection="0"/>
    <xf numFmtId="0" fontId="13" fillId="23" borderId="371" applyNumberFormat="0" applyFont="0" applyAlignment="0" applyProtection="0"/>
    <xf numFmtId="0" fontId="13" fillId="23" borderId="361" applyNumberFormat="0" applyFont="0" applyAlignment="0" applyProtection="0"/>
    <xf numFmtId="0" fontId="95" fillId="20" borderId="362" applyNumberFormat="0" applyAlignment="0" applyProtection="0"/>
    <xf numFmtId="0" fontId="97" fillId="0" borderId="363" applyNumberFormat="0" applyFill="0" applyAlignment="0" applyProtection="0"/>
    <xf numFmtId="0" fontId="97" fillId="0" borderId="373" applyNumberFormat="0" applyFill="0" applyAlignment="0" applyProtection="0"/>
    <xf numFmtId="0" fontId="85" fillId="20" borderId="378" applyNumberFormat="0" applyAlignment="0" applyProtection="0"/>
    <xf numFmtId="0" fontId="85" fillId="20" borderId="366" applyNumberFormat="0" applyAlignment="0" applyProtection="0"/>
    <xf numFmtId="0" fontId="85" fillId="20" borderId="370" applyNumberFormat="0" applyAlignment="0" applyProtection="0"/>
    <xf numFmtId="0" fontId="13" fillId="23" borderId="379" applyNumberFormat="0" applyFont="0" applyAlignment="0" applyProtection="0"/>
    <xf numFmtId="0" fontId="95" fillId="20" borderId="380" applyNumberFormat="0" applyAlignment="0" applyProtection="0"/>
    <xf numFmtId="0" fontId="97" fillId="0" borderId="381" applyNumberFormat="0" applyFill="0" applyAlignment="0" applyProtection="0"/>
    <xf numFmtId="0" fontId="92" fillId="7" borderId="422" applyNumberFormat="0" applyAlignment="0" applyProtection="0"/>
    <xf numFmtId="0" fontId="95" fillId="20" borderId="396" applyNumberFormat="0" applyAlignment="0" applyProtection="0"/>
    <xf numFmtId="0" fontId="92" fillId="7" borderId="418" applyNumberFormat="0" applyAlignment="0" applyProtection="0"/>
    <xf numFmtId="0" fontId="13" fillId="23" borderId="395" applyNumberFormat="0" applyFont="0" applyAlignment="0" applyProtection="0"/>
    <xf numFmtId="0" fontId="97" fillId="0" borderId="432" applyNumberFormat="0" applyFill="0" applyAlignment="0" applyProtection="0"/>
    <xf numFmtId="0" fontId="13" fillId="23" borderId="387" applyNumberFormat="0" applyFont="0" applyAlignment="0" applyProtection="0"/>
    <xf numFmtId="0" fontId="97" fillId="0" borderId="413" applyNumberFormat="0" applyFill="0" applyAlignment="0" applyProtection="0"/>
    <xf numFmtId="0" fontId="92" fillId="7" borderId="386" applyNumberFormat="0" applyAlignment="0" applyProtection="0"/>
    <xf numFmtId="0" fontId="95" fillId="20" borderId="420" applyNumberFormat="0" applyAlignment="0" applyProtection="0"/>
    <xf numFmtId="0" fontId="85" fillId="20" borderId="418" applyNumberFormat="0" applyAlignment="0" applyProtection="0"/>
    <xf numFmtId="0" fontId="97" fillId="0" borderId="421" applyNumberFormat="0" applyFill="0" applyAlignment="0" applyProtection="0"/>
    <xf numFmtId="0" fontId="92" fillId="7" borderId="429" applyNumberFormat="0" applyAlignment="0" applyProtection="0"/>
    <xf numFmtId="0" fontId="92" fillId="7" borderId="406" applyNumberFormat="0" applyAlignment="0" applyProtection="0"/>
    <xf numFmtId="0" fontId="85" fillId="20" borderId="390" applyNumberFormat="0" applyAlignment="0" applyProtection="0"/>
    <xf numFmtId="0" fontId="95" fillId="20" borderId="404" applyNumberFormat="0" applyAlignment="0" applyProtection="0"/>
    <xf numFmtId="0" fontId="13" fillId="23" borderId="407" applyNumberFormat="0" applyFont="0" applyAlignment="0" applyProtection="0"/>
    <xf numFmtId="0" fontId="97" fillId="0" borderId="397" applyNumberFormat="0" applyFill="0" applyAlignment="0" applyProtection="0"/>
    <xf numFmtId="0" fontId="97" fillId="0" borderId="385" applyNumberFormat="0" applyFill="0" applyAlignment="0" applyProtection="0"/>
    <xf numFmtId="0" fontId="13" fillId="23" borderId="415" applyNumberFormat="0" applyFont="0" applyAlignment="0" applyProtection="0"/>
    <xf numFmtId="0" fontId="95" fillId="20" borderId="384" applyNumberFormat="0" applyAlignment="0" applyProtection="0"/>
    <xf numFmtId="0" fontId="13" fillId="23" borderId="383" applyNumberFormat="0" applyFont="0" applyAlignment="0" applyProtection="0"/>
    <xf numFmtId="0" fontId="92" fillId="7" borderId="394" applyNumberFormat="0" applyAlignment="0" applyProtection="0"/>
    <xf numFmtId="0" fontId="92" fillId="7" borderId="382" applyNumberFormat="0" applyAlignment="0" applyProtection="0"/>
    <xf numFmtId="0" fontId="13" fillId="23" borderId="430" applyNumberFormat="0" applyFont="0" applyAlignment="0" applyProtection="0"/>
    <xf numFmtId="0" fontId="97" fillId="0" borderId="405" applyNumberFormat="0" applyFill="0" applyAlignment="0" applyProtection="0"/>
    <xf numFmtId="0" fontId="13" fillId="23" borderId="403" applyNumberFormat="0" applyFont="0" applyAlignment="0" applyProtection="0"/>
    <xf numFmtId="0" fontId="95" fillId="20" borderId="412" applyNumberFormat="0" applyAlignment="0" applyProtection="0"/>
    <xf numFmtId="0" fontId="95" fillId="20" borderId="388" applyNumberFormat="0" applyAlignment="0" applyProtection="0"/>
    <xf numFmtId="0" fontId="85" fillId="20" borderId="382" applyNumberFormat="0" applyAlignment="0" applyProtection="0"/>
    <xf numFmtId="0" fontId="97" fillId="0" borderId="389" applyNumberFormat="0" applyFill="0" applyAlignment="0" applyProtection="0"/>
    <xf numFmtId="0" fontId="13" fillId="23" borderId="411" applyNumberFormat="0" applyFont="0" applyAlignment="0" applyProtection="0"/>
    <xf numFmtId="0" fontId="13" fillId="23" borderId="391" applyNumberFormat="0" applyFont="0" applyAlignment="0" applyProtection="0"/>
    <xf numFmtId="0" fontId="97" fillId="0" borderId="417" applyNumberFormat="0" applyFill="0" applyAlignment="0" applyProtection="0"/>
    <xf numFmtId="0" fontId="97" fillId="0" borderId="393" applyNumberFormat="0" applyFill="0" applyAlignment="0" applyProtection="0"/>
    <xf numFmtId="0" fontId="85" fillId="20" borderId="386" applyNumberFormat="0" applyAlignment="0" applyProtection="0"/>
    <xf numFmtId="0" fontId="85" fillId="20" borderId="406" applyNumberFormat="0" applyAlignment="0" applyProtection="0"/>
    <xf numFmtId="0" fontId="95" fillId="20" borderId="416" applyNumberFormat="0" applyAlignment="0" applyProtection="0"/>
    <xf numFmtId="0" fontId="92" fillId="7" borderId="398" applyNumberFormat="0" applyAlignment="0" applyProtection="0"/>
    <xf numFmtId="0" fontId="95" fillId="20" borderId="431" applyNumberFormat="0" applyAlignment="0" applyProtection="0"/>
    <xf numFmtId="0" fontId="92" fillId="7" borderId="390" applyNumberFormat="0" applyAlignment="0" applyProtection="0"/>
    <xf numFmtId="0" fontId="85" fillId="20" borderId="402" applyNumberFormat="0" applyAlignment="0" applyProtection="0"/>
    <xf numFmtId="9" fontId="6" fillId="0" borderId="0" applyFont="0" applyFill="0" applyBorder="0" applyAlignment="0" applyProtection="0"/>
    <xf numFmtId="0" fontId="6" fillId="0" borderId="0"/>
    <xf numFmtId="0" fontId="85" fillId="20" borderId="425" applyNumberFormat="0" applyAlignment="0" applyProtection="0"/>
    <xf numFmtId="0" fontId="85" fillId="20" borderId="398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5" fillId="20" borderId="394" applyNumberFormat="0" applyAlignment="0" applyProtection="0"/>
    <xf numFmtId="0" fontId="95" fillId="20" borderId="392" applyNumberFormat="0" applyAlignment="0" applyProtection="0"/>
    <xf numFmtId="0" fontId="85" fillId="20" borderId="429" applyNumberFormat="0" applyAlignment="0" applyProtection="0"/>
    <xf numFmtId="0" fontId="13" fillId="23" borderId="426" applyNumberFormat="0" applyFont="0" applyAlignment="0" applyProtection="0"/>
    <xf numFmtId="0" fontId="95" fillId="20" borderId="408" applyNumberFormat="0" applyAlignment="0" applyProtection="0"/>
    <xf numFmtId="0" fontId="92" fillId="7" borderId="414" applyNumberFormat="0" applyAlignment="0" applyProtection="0"/>
    <xf numFmtId="0" fontId="92" fillId="7" borderId="402" applyNumberFormat="0" applyAlignment="0" applyProtection="0"/>
    <xf numFmtId="0" fontId="92" fillId="7" borderId="410" applyNumberFormat="0" applyAlignment="0" applyProtection="0"/>
    <xf numFmtId="0" fontId="13" fillId="23" borderId="399" applyNumberFormat="0" applyFont="0" applyAlignment="0" applyProtection="0"/>
    <xf numFmtId="0" fontId="95" fillId="20" borderId="400" applyNumberFormat="0" applyAlignment="0" applyProtection="0"/>
    <xf numFmtId="0" fontId="97" fillId="0" borderId="401" applyNumberFormat="0" applyFill="0" applyAlignment="0" applyProtection="0"/>
    <xf numFmtId="0" fontId="13" fillId="23" borderId="419" applyNumberFormat="0" applyFont="0" applyAlignment="0" applyProtection="0"/>
    <xf numFmtId="0" fontId="85" fillId="20" borderId="414" applyNumberFormat="0" applyAlignment="0" applyProtection="0"/>
    <xf numFmtId="0" fontId="92" fillId="7" borderId="425" applyNumberFormat="0" applyAlignment="0" applyProtection="0"/>
    <xf numFmtId="0" fontId="97" fillId="0" borderId="424" applyNumberFormat="0" applyFill="0" applyAlignment="0" applyProtection="0"/>
    <xf numFmtId="0" fontId="85" fillId="20" borderId="410" applyNumberFormat="0" applyAlignment="0" applyProtection="0"/>
    <xf numFmtId="0" fontId="85" fillId="20" borderId="422" applyNumberFormat="0" applyAlignment="0" applyProtection="0"/>
    <xf numFmtId="0" fontId="97" fillId="0" borderId="409" applyNumberFormat="0" applyFill="0" applyAlignment="0" applyProtection="0"/>
    <xf numFmtId="0" fontId="95" fillId="20" borderId="427" applyNumberFormat="0" applyAlignment="0" applyProtection="0"/>
    <xf numFmtId="0" fontId="13" fillId="23" borderId="423" applyNumberFormat="0" applyFont="0" applyAlignment="0" applyProtection="0"/>
    <xf numFmtId="0" fontId="97" fillId="0" borderId="428" applyNumberFormat="0" applyFill="0" applyAlignment="0" applyProtection="0"/>
    <xf numFmtId="0" fontId="5" fillId="0" borderId="0"/>
    <xf numFmtId="0" fontId="13" fillId="0" borderId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9" borderId="0" applyNumberFormat="0" applyBorder="0" applyAlignment="0" applyProtection="0"/>
    <xf numFmtId="0" fontId="84" fillId="3" borderId="0" applyNumberFormat="0" applyBorder="0" applyAlignment="0" applyProtection="0"/>
    <xf numFmtId="0" fontId="85" fillId="20" borderId="429" applyNumberFormat="0" applyAlignment="0" applyProtection="0"/>
    <xf numFmtId="0" fontId="86" fillId="21" borderId="2" applyNumberFormat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4" borderId="0" applyNumberFormat="0" applyBorder="0" applyAlignment="0" applyProtection="0"/>
    <xf numFmtId="0" fontId="89" fillId="0" borderId="3" applyNumberFormat="0" applyFill="0" applyAlignment="0" applyProtection="0"/>
    <xf numFmtId="0" fontId="90" fillId="0" borderId="4" applyNumberFormat="0" applyFill="0" applyAlignment="0" applyProtection="0"/>
    <xf numFmtId="0" fontId="91" fillId="0" borderId="5" applyNumberFormat="0" applyFill="0" applyAlignment="0" applyProtection="0"/>
    <xf numFmtId="0" fontId="91" fillId="0" borderId="0" applyNumberFormat="0" applyFill="0" applyBorder="0" applyAlignment="0" applyProtection="0"/>
    <xf numFmtId="0" fontId="92" fillId="7" borderId="429" applyNumberFormat="0" applyAlignment="0" applyProtection="0"/>
    <xf numFmtId="0" fontId="93" fillId="0" borderId="6" applyNumberFormat="0" applyFill="0" applyAlignment="0" applyProtection="0"/>
    <xf numFmtId="0" fontId="94" fillId="22" borderId="0" applyNumberFormat="0" applyBorder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9" fontId="13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432" applyNumberFormat="0" applyFill="0" applyAlignment="0" applyProtection="0"/>
    <xf numFmtId="0" fontId="98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13" fillId="23" borderId="430" applyNumberFormat="0" applyFon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95" fillId="20" borderId="431" applyNumberForma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13" fillId="23" borderId="430" applyNumberFormat="0" applyFont="0" applyAlignment="0" applyProtection="0"/>
    <xf numFmtId="0" fontId="92" fillId="7" borderId="429" applyNumberFormat="0" applyAlignment="0" applyProtection="0"/>
    <xf numFmtId="0" fontId="85" fillId="20" borderId="429" applyNumberForma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13" fillId="23" borderId="430" applyNumberFormat="0" applyFon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13" fillId="23" borderId="430" applyNumberFormat="0" applyFon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85" fillId="20" borderId="429" applyNumberFormat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85" fillId="20" borderId="429" applyNumberFormat="0" applyAlignment="0" applyProtection="0"/>
    <xf numFmtId="9" fontId="5" fillId="0" borderId="0" applyFont="0" applyFill="0" applyBorder="0" applyAlignment="0" applyProtection="0"/>
    <xf numFmtId="0" fontId="5" fillId="0" borderId="0"/>
    <xf numFmtId="0" fontId="85" fillId="20" borderId="429" applyNumberFormat="0" applyAlignment="0" applyProtection="0"/>
    <xf numFmtId="0" fontId="85" fillId="20" borderId="429" applyNumberForma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5" fillId="20" borderId="429" applyNumberFormat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13" fillId="23" borderId="430" applyNumberFormat="0" applyFon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95" fillId="20" borderId="431" applyNumberForma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92" fillId="7" borderId="429" applyNumberFormat="0" applyAlignment="0" applyProtection="0"/>
    <xf numFmtId="0" fontId="85" fillId="20" borderId="429" applyNumberForma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13" fillId="23" borderId="430" applyNumberFormat="0" applyFon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13" fillId="23" borderId="430" applyNumberFormat="0" applyFon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85" fillId="20" borderId="429" applyNumberFormat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95" fillId="20" borderId="431" applyNumberFormat="0" applyAlignment="0" applyProtection="0"/>
    <xf numFmtId="0" fontId="85" fillId="20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92" fillId="7" borderId="429" applyNumberFormat="0" applyAlignment="0" applyProtection="0"/>
    <xf numFmtId="0" fontId="13" fillId="23" borderId="430" applyNumberFormat="0" applyFont="0" applyAlignment="0" applyProtection="0"/>
    <xf numFmtId="0" fontId="95" fillId="20" borderId="431" applyNumberFormat="0" applyAlignment="0" applyProtection="0"/>
    <xf numFmtId="0" fontId="97" fillId="0" borderId="432" applyNumberFormat="0" applyFill="0" applyAlignment="0" applyProtection="0"/>
    <xf numFmtId="0" fontId="13" fillId="23" borderId="430" applyNumberFormat="0" applyFont="0" applyAlignment="0" applyProtection="0"/>
    <xf numFmtId="0" fontId="85" fillId="20" borderId="429" applyNumberFormat="0" applyAlignment="0" applyProtection="0"/>
    <xf numFmtId="0" fontId="92" fillId="7" borderId="429" applyNumberFormat="0" applyAlignment="0" applyProtection="0"/>
    <xf numFmtId="0" fontId="97" fillId="0" borderId="432" applyNumberFormat="0" applyFill="0" applyAlignment="0" applyProtection="0"/>
    <xf numFmtId="0" fontId="85" fillId="20" borderId="429" applyNumberFormat="0" applyAlignment="0" applyProtection="0"/>
    <xf numFmtId="0" fontId="85" fillId="20" borderId="429" applyNumberFormat="0" applyAlignment="0" applyProtection="0"/>
    <xf numFmtId="0" fontId="97" fillId="0" borderId="432" applyNumberFormat="0" applyFill="0" applyAlignment="0" applyProtection="0"/>
    <xf numFmtId="0" fontId="95" fillId="20" borderId="431" applyNumberFormat="0" applyAlignment="0" applyProtection="0"/>
    <xf numFmtId="0" fontId="13" fillId="23" borderId="430" applyNumberFormat="0" applyFont="0" applyAlignment="0" applyProtection="0"/>
    <xf numFmtId="0" fontId="97" fillId="0" borderId="432" applyNumberFormat="0" applyFill="0" applyAlignment="0" applyProtection="0"/>
    <xf numFmtId="0" fontId="97" fillId="0" borderId="441" applyNumberFormat="0" applyFill="0" applyAlignment="0" applyProtection="0"/>
    <xf numFmtId="0" fontId="95" fillId="20" borderId="440" applyNumberFormat="0" applyAlignment="0" applyProtection="0"/>
    <xf numFmtId="0" fontId="13" fillId="23" borderId="439" applyNumberFormat="0" applyFont="0" applyAlignment="0" applyProtection="0"/>
    <xf numFmtId="0" fontId="92" fillId="7" borderId="438" applyNumberFormat="0" applyAlignment="0" applyProtection="0"/>
    <xf numFmtId="0" fontId="85" fillId="20" borderId="438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3" fillId="0" borderId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9" borderId="0" applyNumberFormat="0" applyBorder="0" applyAlignment="0" applyProtection="0"/>
    <xf numFmtId="0" fontId="84" fillId="3" borderId="0" applyNumberFormat="0" applyBorder="0" applyAlignment="0" applyProtection="0"/>
    <xf numFmtId="0" fontId="85" fillId="20" borderId="442" applyNumberFormat="0" applyAlignment="0" applyProtection="0"/>
    <xf numFmtId="0" fontId="86" fillId="21" borderId="2" applyNumberFormat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4" borderId="0" applyNumberFormat="0" applyBorder="0" applyAlignment="0" applyProtection="0"/>
    <xf numFmtId="0" fontId="89" fillId="0" borderId="3" applyNumberFormat="0" applyFill="0" applyAlignment="0" applyProtection="0"/>
    <xf numFmtId="0" fontId="90" fillId="0" borderId="4" applyNumberFormat="0" applyFill="0" applyAlignment="0" applyProtection="0"/>
    <xf numFmtId="0" fontId="91" fillId="0" borderId="5" applyNumberFormat="0" applyFill="0" applyAlignment="0" applyProtection="0"/>
    <xf numFmtId="0" fontId="91" fillId="0" borderId="0" applyNumberFormat="0" applyFill="0" applyBorder="0" applyAlignment="0" applyProtection="0"/>
    <xf numFmtId="0" fontId="92" fillId="7" borderId="442" applyNumberFormat="0" applyAlignment="0" applyProtection="0"/>
    <xf numFmtId="0" fontId="93" fillId="0" borderId="6" applyNumberFormat="0" applyFill="0" applyAlignment="0" applyProtection="0"/>
    <xf numFmtId="0" fontId="94" fillId="22" borderId="0" applyNumberFormat="0" applyBorder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9" fontId="13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444" applyNumberFormat="0" applyFill="0" applyAlignment="0" applyProtection="0"/>
    <xf numFmtId="0" fontId="98" fillId="0" borderId="0" applyNumberFormat="0" applyFill="0" applyBorder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9" fontId="4" fillId="0" borderId="0" applyFont="0" applyFill="0" applyBorder="0" applyAlignment="0" applyProtection="0"/>
    <xf numFmtId="0" fontId="4" fillId="0" borderId="0"/>
    <xf numFmtId="0" fontId="85" fillId="20" borderId="442" applyNumberFormat="0" applyAlignment="0" applyProtection="0"/>
    <xf numFmtId="0" fontId="85" fillId="20" borderId="442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4" fillId="0" borderId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9" fontId="4" fillId="0" borderId="0" applyFont="0" applyFill="0" applyBorder="0" applyAlignment="0" applyProtection="0"/>
    <xf numFmtId="0" fontId="4" fillId="0" borderId="0"/>
    <xf numFmtId="0" fontId="85" fillId="20" borderId="442" applyNumberFormat="0" applyAlignment="0" applyProtection="0"/>
    <xf numFmtId="0" fontId="85" fillId="20" borderId="442" applyNumberFormat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31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31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31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3" fillId="0" borderId="0"/>
    <xf numFmtId="0" fontId="95" fillId="20" borderId="44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3" fillId="0" borderId="0"/>
    <xf numFmtId="0" fontId="95" fillId="20" borderId="44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13" fillId="0" borderId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5" fillId="20" borderId="440" applyNumberFormat="0" applyAlignment="0" applyProtection="0"/>
    <xf numFmtId="0" fontId="85" fillId="20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13" fillId="23" borderId="443" applyNumberFormat="0" applyFon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7" fillId="0" borderId="444" applyNumberFormat="0" applyFill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5" fillId="20" borderId="440" applyNumberFormat="0" applyAlignment="0" applyProtection="0"/>
    <xf numFmtId="0" fontId="13" fillId="23" borderId="443" applyNumberFormat="0" applyFont="0" applyAlignment="0" applyProtection="0"/>
    <xf numFmtId="0" fontId="92" fillId="7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85" fillId="20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92" fillId="7" borderId="442" applyNumberFormat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13" fillId="23" borderId="443" applyNumberFormat="0" applyFon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5" fillId="20" borderId="440" applyNumberFormat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97" fillId="0" borderId="444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9" fontId="2" fillId="0" borderId="0" applyFont="0" applyFill="0" applyBorder="0" applyAlignment="0" applyProtection="0"/>
    <xf numFmtId="0" fontId="85" fillId="20" borderId="450" applyNumberFormat="0" applyAlignment="0" applyProtection="0"/>
    <xf numFmtId="0" fontId="2" fillId="0" borderId="0"/>
    <xf numFmtId="0" fontId="85" fillId="20" borderId="450" applyNumberFormat="0" applyAlignment="0" applyProtection="0"/>
    <xf numFmtId="0" fontId="85" fillId="20" borderId="450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9" fontId="2" fillId="0" borderId="0" applyFont="0" applyFill="0" applyBorder="0" applyAlignment="0" applyProtection="0"/>
    <xf numFmtId="0" fontId="2" fillId="0" borderId="0"/>
    <xf numFmtId="0" fontId="85" fillId="20" borderId="450" applyNumberFormat="0" applyAlignment="0" applyProtection="0"/>
    <xf numFmtId="0" fontId="85" fillId="20" borderId="450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2" fillId="0" borderId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9" fontId="2" fillId="0" borderId="0" applyFont="0" applyFill="0" applyBorder="0" applyAlignment="0" applyProtection="0"/>
    <xf numFmtId="0" fontId="2" fillId="0" borderId="0"/>
    <xf numFmtId="0" fontId="85" fillId="20" borderId="450" applyNumberFormat="0" applyAlignment="0" applyProtection="0"/>
    <xf numFmtId="0" fontId="85" fillId="20" borderId="450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9" fontId="2" fillId="0" borderId="0" applyFont="0" applyFill="0" applyBorder="0" applyAlignment="0" applyProtection="0"/>
    <xf numFmtId="0" fontId="2" fillId="0" borderId="0"/>
    <xf numFmtId="0" fontId="85" fillId="20" borderId="450" applyNumberFormat="0" applyAlignment="0" applyProtection="0"/>
    <xf numFmtId="0" fontId="85" fillId="20" borderId="450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2" fillId="0" borderId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9" fontId="2" fillId="0" borderId="0" applyFont="0" applyFill="0" applyBorder="0" applyAlignment="0" applyProtection="0"/>
    <xf numFmtId="0" fontId="2" fillId="0" borderId="0"/>
    <xf numFmtId="0" fontId="85" fillId="20" borderId="450" applyNumberFormat="0" applyAlignment="0" applyProtection="0"/>
    <xf numFmtId="0" fontId="85" fillId="20" borderId="450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2" fillId="0" borderId="0"/>
    <xf numFmtId="0" fontId="95" fillId="20" borderId="452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2" fillId="0" borderId="0"/>
    <xf numFmtId="0" fontId="95" fillId="20" borderId="452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5" fillId="20" borderId="452" applyNumberFormat="0" applyAlignment="0" applyProtection="0"/>
    <xf numFmtId="0" fontId="85" fillId="20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7" fillId="0" borderId="453" applyNumberFormat="0" applyFill="0" applyAlignment="0" applyProtection="0"/>
    <xf numFmtId="0" fontId="13" fillId="23" borderId="451" applyNumberFormat="0" applyFon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7" fillId="0" borderId="453" applyNumberFormat="0" applyFill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7" fillId="0" borderId="453" applyNumberFormat="0" applyFill="0" applyAlignment="0" applyProtection="0"/>
    <xf numFmtId="0" fontId="97" fillId="0" borderId="453" applyNumberFormat="0" applyFill="0" applyAlignment="0" applyProtection="0"/>
    <xf numFmtId="0" fontId="95" fillId="20" borderId="452" applyNumberFormat="0" applyAlignment="0" applyProtection="0"/>
    <xf numFmtId="0" fontId="13" fillId="23" borderId="451" applyNumberFormat="0" applyFont="0" applyAlignment="0" applyProtection="0"/>
    <xf numFmtId="0" fontId="92" fillId="7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85" fillId="20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92" fillId="7" borderId="450" applyNumberForma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13" fillId="23" borderId="451" applyNumberFormat="0" applyFon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95" fillId="20" borderId="452" applyNumberFormat="0" applyAlignment="0" applyProtection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" fillId="0" borderId="0"/>
    <xf numFmtId="0" fontId="153" fillId="0" borderId="0"/>
    <xf numFmtId="0" fontId="82" fillId="2" borderId="0" applyNumberFormat="0" applyBorder="0" applyAlignment="0" applyProtection="0"/>
    <xf numFmtId="0" fontId="82" fillId="3" borderId="0" applyNumberFormat="0" applyBorder="0" applyAlignment="0" applyProtection="0"/>
    <xf numFmtId="0" fontId="82" fillId="4" borderId="0" applyNumberFormat="0" applyBorder="0" applyAlignment="0" applyProtection="0"/>
    <xf numFmtId="0" fontId="82" fillId="5" borderId="0" applyNumberFormat="0" applyBorder="0" applyAlignment="0" applyProtection="0"/>
    <xf numFmtId="0" fontId="82" fillId="6" borderId="0" applyNumberFormat="0" applyBorder="0" applyAlignment="0" applyProtection="0"/>
    <xf numFmtId="0" fontId="82" fillId="7" borderId="0" applyNumberFormat="0" applyBorder="0" applyAlignment="0" applyProtection="0"/>
    <xf numFmtId="0" fontId="82" fillId="8" borderId="0" applyNumberFormat="0" applyBorder="0" applyAlignment="0" applyProtection="0"/>
    <xf numFmtId="0" fontId="82" fillId="9" borderId="0" applyNumberFormat="0" applyBorder="0" applyAlignment="0" applyProtection="0"/>
    <xf numFmtId="0" fontId="82" fillId="10" borderId="0" applyNumberFormat="0" applyBorder="0" applyAlignment="0" applyProtection="0"/>
    <xf numFmtId="0" fontId="82" fillId="5" borderId="0" applyNumberFormat="0" applyBorder="0" applyAlignment="0" applyProtection="0"/>
    <xf numFmtId="0" fontId="82" fillId="8" borderId="0" applyNumberFormat="0" applyBorder="0" applyAlignment="0" applyProtection="0"/>
    <xf numFmtId="0" fontId="82" fillId="11" borderId="0" applyNumberFormat="0" applyBorder="0" applyAlignment="0" applyProtection="0"/>
    <xf numFmtId="0" fontId="83" fillId="12" borderId="0" applyNumberFormat="0" applyBorder="0" applyAlignment="0" applyProtection="0"/>
    <xf numFmtId="0" fontId="83" fillId="9" borderId="0" applyNumberFormat="0" applyBorder="0" applyAlignment="0" applyProtection="0"/>
    <xf numFmtId="0" fontId="83" fillId="10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5" borderId="0" applyNumberFormat="0" applyBorder="0" applyAlignment="0" applyProtection="0"/>
    <xf numFmtId="0" fontId="83" fillId="16" borderId="0" applyNumberFormat="0" applyBorder="0" applyAlignment="0" applyProtection="0"/>
    <xf numFmtId="0" fontId="83" fillId="17" borderId="0" applyNumberFormat="0" applyBorder="0" applyAlignment="0" applyProtection="0"/>
    <xf numFmtId="0" fontId="83" fillId="18" borderId="0" applyNumberFormat="0" applyBorder="0" applyAlignment="0" applyProtection="0"/>
    <xf numFmtId="0" fontId="83" fillId="13" borderId="0" applyNumberFormat="0" applyBorder="0" applyAlignment="0" applyProtection="0"/>
    <xf numFmtId="0" fontId="83" fillId="14" borderId="0" applyNumberFormat="0" applyBorder="0" applyAlignment="0" applyProtection="0"/>
    <xf numFmtId="0" fontId="83" fillId="19" borderId="0" applyNumberFormat="0" applyBorder="0" applyAlignment="0" applyProtection="0"/>
    <xf numFmtId="0" fontId="84" fillId="3" borderId="0" applyNumberFormat="0" applyBorder="0" applyAlignment="0" applyProtection="0"/>
    <xf numFmtId="0" fontId="85" fillId="20" borderId="454" applyNumberFormat="0" applyAlignment="0" applyProtection="0"/>
    <xf numFmtId="0" fontId="86" fillId="21" borderId="2" applyNumberFormat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4" borderId="0" applyNumberFormat="0" applyBorder="0" applyAlignment="0" applyProtection="0"/>
    <xf numFmtId="0" fontId="89" fillId="0" borderId="3" applyNumberFormat="0" applyFill="0" applyAlignment="0" applyProtection="0"/>
    <xf numFmtId="0" fontId="90" fillId="0" borderId="4" applyNumberFormat="0" applyFill="0" applyAlignment="0" applyProtection="0"/>
    <xf numFmtId="0" fontId="91" fillId="0" borderId="5" applyNumberFormat="0" applyFill="0" applyAlignment="0" applyProtection="0"/>
    <xf numFmtId="0" fontId="91" fillId="0" borderId="0" applyNumberFormat="0" applyFill="0" applyBorder="0" applyAlignment="0" applyProtection="0"/>
    <xf numFmtId="0" fontId="92" fillId="7" borderId="454" applyNumberFormat="0" applyAlignment="0" applyProtection="0"/>
    <xf numFmtId="0" fontId="93" fillId="0" borderId="6" applyNumberFormat="0" applyFill="0" applyAlignment="0" applyProtection="0"/>
    <xf numFmtId="0" fontId="94" fillId="22" borderId="0" applyNumberFormat="0" applyBorder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9" fontId="13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457" applyNumberFormat="0" applyFill="0" applyAlignment="0" applyProtection="0"/>
    <xf numFmtId="0" fontId="9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3" fillId="0" borderId="0"/>
    <xf numFmtId="0" fontId="153" fillId="0" borderId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53" fillId="0" borderId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5" fillId="20" borderId="456" applyNumberFormat="0" applyAlignment="0" applyProtection="0"/>
    <xf numFmtId="0" fontId="85" fillId="20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92" fillId="7" borderId="454" applyNumberFormat="0" applyAlignment="0" applyProtection="0"/>
    <xf numFmtId="0" fontId="13" fillId="23" borderId="455" applyNumberFormat="0" applyFont="0" applyAlignment="0" applyProtection="0"/>
    <xf numFmtId="0" fontId="95" fillId="20" borderId="456" applyNumberFormat="0" applyAlignment="0" applyProtection="0"/>
    <xf numFmtId="0" fontId="97" fillId="0" borderId="457" applyNumberFormat="0" applyFill="0" applyAlignment="0" applyProtection="0"/>
    <xf numFmtId="0" fontId="13" fillId="23" borderId="455" applyNumberFormat="0" applyFont="0" applyAlignment="0" applyProtection="0"/>
    <xf numFmtId="0" fontId="85" fillId="20" borderId="454" applyNumberFormat="0" applyAlignment="0" applyProtection="0"/>
    <xf numFmtId="0" fontId="92" fillId="7" borderId="454" applyNumberFormat="0" applyAlignment="0" applyProtection="0"/>
    <xf numFmtId="0" fontId="97" fillId="0" borderId="457" applyNumberFormat="0" applyFill="0" applyAlignment="0" applyProtection="0"/>
    <xf numFmtId="0" fontId="85" fillId="20" borderId="454" applyNumberFormat="0" applyAlignment="0" applyProtection="0"/>
    <xf numFmtId="0" fontId="85" fillId="20" borderId="454" applyNumberFormat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7" fillId="0" borderId="457" applyNumberFormat="0" applyFill="0" applyAlignment="0" applyProtection="0"/>
    <xf numFmtId="0" fontId="97" fillId="0" borderId="457" applyNumberFormat="0" applyFill="0" applyAlignment="0" applyProtection="0"/>
    <xf numFmtId="0" fontId="95" fillId="20" borderId="456" applyNumberFormat="0" applyAlignment="0" applyProtection="0"/>
    <xf numFmtId="0" fontId="13" fillId="23" borderId="455" applyNumberFormat="0" applyFont="0" applyAlignment="0" applyProtection="0"/>
    <xf numFmtId="0" fontId="92" fillId="7" borderId="454" applyNumberFormat="0" applyAlignment="0" applyProtection="0"/>
    <xf numFmtId="0" fontId="85" fillId="20" borderId="454" applyNumberFormat="0" applyAlignment="0" applyProtection="0"/>
    <xf numFmtId="0" fontId="153" fillId="0" borderId="0"/>
    <xf numFmtId="0" fontId="13" fillId="0" borderId="0"/>
    <xf numFmtId="0" fontId="13" fillId="0" borderId="0"/>
  </cellStyleXfs>
  <cellXfs count="2534">
    <xf numFmtId="0" fontId="0" fillId="0" borderId="0" xfId="0"/>
    <xf numFmtId="0" fontId="15" fillId="0" borderId="0" xfId="0" applyFont="1" applyAlignment="1">
      <alignment horizontal="center"/>
    </xf>
    <xf numFmtId="0" fontId="15" fillId="0" borderId="0" xfId="0" applyFont="1"/>
    <xf numFmtId="165" fontId="15" fillId="0" borderId="0" xfId="28" applyNumberFormat="1" applyFont="1"/>
    <xf numFmtId="167" fontId="15" fillId="0" borderId="0" xfId="0" applyNumberFormat="1" applyFont="1"/>
    <xf numFmtId="3" fontId="15" fillId="0" borderId="0" xfId="0" applyNumberFormat="1" applyFont="1"/>
    <xf numFmtId="6" fontId="15" fillId="0" borderId="0" xfId="0" applyNumberFormat="1" applyFont="1"/>
    <xf numFmtId="0" fontId="16" fillId="0" borderId="0" xfId="0" applyFont="1" applyAlignment="1">
      <alignment horizontal="center"/>
    </xf>
    <xf numFmtId="0" fontId="17" fillId="0" borderId="0" xfId="0" applyFont="1"/>
    <xf numFmtId="0" fontId="15" fillId="0" borderId="10" xfId="0" applyFont="1" applyBorder="1" applyAlignment="1">
      <alignment horizontal="center"/>
    </xf>
    <xf numFmtId="0" fontId="15" fillId="0" borderId="10" xfId="0" applyFont="1" applyBorder="1"/>
    <xf numFmtId="0" fontId="15" fillId="0" borderId="11" xfId="0" applyFont="1" applyBorder="1"/>
    <xf numFmtId="3" fontId="15" fillId="0" borderId="11" xfId="0" applyNumberFormat="1" applyFont="1" applyBorder="1" applyAlignment="1">
      <alignment horizontal="center"/>
    </xf>
    <xf numFmtId="3" fontId="15" fillId="0" borderId="11" xfId="0" applyNumberFormat="1" applyFont="1" applyBorder="1"/>
    <xf numFmtId="166" fontId="15" fillId="0" borderId="11" xfId="0" applyNumberFormat="1" applyFont="1" applyBorder="1"/>
    <xf numFmtId="3" fontId="15" fillId="0" borderId="11" xfId="28" applyNumberFormat="1" applyFont="1" applyBorder="1"/>
    <xf numFmtId="10" fontId="15" fillId="0" borderId="11" xfId="48" applyNumberFormat="1" applyFont="1" applyBorder="1"/>
    <xf numFmtId="0" fontId="15" fillId="0" borderId="12" xfId="0" applyFont="1" applyBorder="1" applyAlignment="1">
      <alignment horizontal="center"/>
    </xf>
    <xf numFmtId="3" fontId="15" fillId="0" borderId="13" xfId="0" applyNumberFormat="1" applyFont="1" applyBorder="1" applyAlignment="1">
      <alignment horizontal="center"/>
    </xf>
    <xf numFmtId="3" fontId="15" fillId="0" borderId="13" xfId="0" applyNumberFormat="1" applyFont="1" applyBorder="1"/>
    <xf numFmtId="166" fontId="15" fillId="0" borderId="13" xfId="0" applyNumberFormat="1" applyFont="1" applyBorder="1"/>
    <xf numFmtId="3" fontId="15" fillId="0" borderId="14" xfId="0" applyNumberFormat="1" applyFont="1" applyBorder="1"/>
    <xf numFmtId="0" fontId="16" fillId="0" borderId="0" xfId="0" applyFont="1"/>
    <xf numFmtId="5" fontId="15" fillId="0" borderId="0" xfId="0" applyNumberFormat="1" applyFont="1"/>
    <xf numFmtId="0" fontId="18" fillId="0" borderId="15" xfId="0" applyFont="1" applyFill="1" applyBorder="1"/>
    <xf numFmtId="0" fontId="18" fillId="0" borderId="16" xfId="0" applyFont="1" applyFill="1" applyBorder="1"/>
    <xf numFmtId="0" fontId="19" fillId="0" borderId="17" xfId="0" applyFont="1" applyFill="1" applyBorder="1"/>
    <xf numFmtId="0" fontId="18" fillId="0" borderId="18" xfId="0" applyFont="1" applyFill="1" applyBorder="1" applyAlignment="1">
      <alignment horizontal="left"/>
    </xf>
    <xf numFmtId="5" fontId="20" fillId="0" borderId="19" xfId="0" applyNumberFormat="1" applyFont="1" applyFill="1" applyBorder="1" applyProtection="1"/>
    <xf numFmtId="0" fontId="18" fillId="0" borderId="20" xfId="0" applyFont="1" applyFill="1" applyBorder="1" applyAlignment="1">
      <alignment horizontal="left"/>
    </xf>
    <xf numFmtId="0" fontId="18" fillId="0" borderId="21" xfId="0" applyFont="1" applyFill="1" applyBorder="1" applyAlignment="1">
      <alignment horizontal="center"/>
    </xf>
    <xf numFmtId="0" fontId="18" fillId="0" borderId="18" xfId="0" applyFont="1" applyFill="1" applyBorder="1"/>
    <xf numFmtId="0" fontId="20" fillId="0" borderId="18" xfId="0" applyFont="1" applyFill="1" applyBorder="1"/>
    <xf numFmtId="0" fontId="18" fillId="0" borderId="18" xfId="0" applyFont="1" applyFill="1" applyBorder="1" applyAlignment="1">
      <alignment horizontal="center"/>
    </xf>
    <xf numFmtId="7" fontId="16" fillId="0" borderId="0" xfId="32" applyNumberFormat="1" applyFont="1"/>
    <xf numFmtId="0" fontId="0" fillId="0" borderId="0" xfId="0" applyBorder="1"/>
    <xf numFmtId="3" fontId="15" fillId="0" borderId="10" xfId="0" applyNumberFormat="1" applyFont="1" applyBorder="1"/>
    <xf numFmtId="0" fontId="17" fillId="24" borderId="0" xfId="0" applyFont="1" applyFill="1" applyBorder="1" applyProtection="1"/>
    <xf numFmtId="0" fontId="17" fillId="24" borderId="0" xfId="0" applyFont="1" applyFill="1" applyBorder="1" applyAlignment="1" applyProtection="1">
      <alignment horizontal="center"/>
    </xf>
    <xf numFmtId="0" fontId="25" fillId="0" borderId="17" xfId="0" applyFont="1" applyFill="1" applyBorder="1" applyAlignment="1">
      <alignment horizontal="left"/>
    </xf>
    <xf numFmtId="5" fontId="25" fillId="0" borderId="23" xfId="0" applyNumberFormat="1" applyFont="1" applyFill="1" applyBorder="1" applyProtection="1"/>
    <xf numFmtId="0" fontId="28" fillId="0" borderId="24" xfId="0" applyFont="1" applyFill="1" applyBorder="1" applyAlignment="1">
      <alignment horizontal="center"/>
    </xf>
    <xf numFmtId="0" fontId="30" fillId="0" borderId="25" xfId="0" applyFont="1" applyFill="1" applyBorder="1" applyAlignment="1">
      <alignment horizontal="center"/>
    </xf>
    <xf numFmtId="0" fontId="32" fillId="0" borderId="12" xfId="0" applyFont="1" applyBorder="1"/>
    <xf numFmtId="6" fontId="32" fillId="0" borderId="12" xfId="0" applyNumberFormat="1" applyFont="1" applyBorder="1"/>
    <xf numFmtId="8" fontId="32" fillId="0" borderId="12" xfId="0" applyNumberFormat="1" applyFont="1" applyBorder="1"/>
    <xf numFmtId="0" fontId="32" fillId="25" borderId="2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5" fillId="0" borderId="0" xfId="0" applyFont="1" applyBorder="1" applyAlignment="1">
      <alignment horizontal="center" vertical="center"/>
    </xf>
    <xf numFmtId="6" fontId="0" fillId="0" borderId="0" xfId="0" applyNumberFormat="1"/>
    <xf numFmtId="0" fontId="18" fillId="0" borderId="0" xfId="0" applyFont="1" applyFill="1" applyBorder="1" applyAlignment="1">
      <alignment horizontal="left" vertical="top"/>
    </xf>
    <xf numFmtId="0" fontId="18" fillId="0" borderId="25" xfId="0" applyFont="1" applyFill="1" applyBorder="1" applyAlignment="1">
      <alignment horizontal="left" vertical="top"/>
    </xf>
    <xf numFmtId="0" fontId="18" fillId="0" borderId="28" xfId="0" applyFont="1" applyFill="1" applyBorder="1" applyAlignment="1">
      <alignment horizontal="center"/>
    </xf>
    <xf numFmtId="0" fontId="18" fillId="0" borderId="28" xfId="0" applyFont="1" applyFill="1" applyBorder="1" applyAlignment="1">
      <alignment horizontal="left"/>
    </xf>
    <xf numFmtId="5" fontId="20" fillId="0" borderId="30" xfId="0" applyNumberFormat="1" applyFont="1" applyFill="1" applyBorder="1" applyProtection="1"/>
    <xf numFmtId="0" fontId="18" fillId="0" borderId="31" xfId="0" applyFont="1" applyFill="1" applyBorder="1" applyAlignment="1">
      <alignment horizontal="center"/>
    </xf>
    <xf numFmtId="0" fontId="18" fillId="0" borderId="31" xfId="0" applyFont="1" applyFill="1" applyBorder="1" applyAlignment="1">
      <alignment horizontal="left"/>
    </xf>
    <xf numFmtId="5" fontId="20" fillId="0" borderId="32" xfId="0" applyNumberFormat="1" applyFont="1" applyFill="1" applyBorder="1" applyProtection="1"/>
    <xf numFmtId="6" fontId="0" fillId="0" borderId="13" xfId="0" applyNumberFormat="1" applyBorder="1"/>
    <xf numFmtId="5" fontId="0" fillId="0" borderId="0" xfId="0" applyNumberFormat="1"/>
    <xf numFmtId="10" fontId="16" fillId="0" borderId="0" xfId="48" applyNumberFormat="1" applyFont="1"/>
    <xf numFmtId="164" fontId="15" fillId="0" borderId="0" xfId="28" applyNumberFormat="1" applyFont="1"/>
    <xf numFmtId="0" fontId="0" fillId="0" borderId="0" xfId="0" applyAlignment="1">
      <alignment horizontal="right"/>
    </xf>
    <xf numFmtId="165" fontId="15" fillId="26" borderId="26" xfId="28" applyNumberFormat="1" applyFont="1" applyFill="1" applyBorder="1" applyAlignment="1">
      <alignment horizontal="center"/>
    </xf>
    <xf numFmtId="0" fontId="15" fillId="0" borderId="0" xfId="0" applyFont="1" applyBorder="1"/>
    <xf numFmtId="169" fontId="15" fillId="0" borderId="11" xfId="48" applyNumberFormat="1" applyFont="1" applyBorder="1"/>
    <xf numFmtId="169" fontId="15" fillId="0" borderId="13" xfId="48" applyNumberFormat="1" applyFont="1" applyBorder="1"/>
    <xf numFmtId="0" fontId="32" fillId="25" borderId="10" xfId="0" applyFont="1" applyFill="1" applyBorder="1" applyAlignment="1">
      <alignment horizontal="center" vertical="center" wrapText="1"/>
    </xf>
    <xf numFmtId="0" fontId="15" fillId="0" borderId="33" xfId="0" applyFont="1" applyBorder="1"/>
    <xf numFmtId="3" fontId="15" fillId="0" borderId="34" xfId="0" applyNumberFormat="1" applyFont="1" applyBorder="1"/>
    <xf numFmtId="3" fontId="15" fillId="0" borderId="35" xfId="0" applyNumberFormat="1" applyFont="1" applyBorder="1"/>
    <xf numFmtId="165" fontId="15" fillId="26" borderId="36" xfId="28" applyNumberFormat="1" applyFont="1" applyFill="1" applyBorder="1" applyAlignment="1">
      <alignment horizontal="center"/>
    </xf>
    <xf numFmtId="0" fontId="20" fillId="0" borderId="18" xfId="0" applyFont="1" applyFill="1" applyBorder="1" applyAlignment="1">
      <alignment horizontal="left"/>
    </xf>
    <xf numFmtId="0" fontId="41" fillId="0" borderId="0" xfId="0" applyFont="1" applyAlignment="1">
      <alignment horizontal="center" wrapText="1"/>
    </xf>
    <xf numFmtId="0" fontId="41" fillId="0" borderId="0" xfId="0" quotePrefix="1" applyFont="1" applyAlignment="1">
      <alignment horizontal="center" wrapText="1"/>
    </xf>
    <xf numFmtId="0" fontId="0" fillId="0" borderId="0" xfId="0" applyFill="1"/>
    <xf numFmtId="37" fontId="32" fillId="0" borderId="12" xfId="28" applyNumberFormat="1" applyFont="1" applyBorder="1"/>
    <xf numFmtId="166" fontId="15" fillId="0" borderId="11" xfId="0" applyNumberFormat="1" applyFont="1" applyFill="1" applyBorder="1"/>
    <xf numFmtId="166" fontId="15" fillId="0" borderId="13" xfId="0" applyNumberFormat="1" applyFont="1" applyFill="1" applyBorder="1"/>
    <xf numFmtId="5" fontId="20" fillId="0" borderId="22" xfId="0" applyNumberFormat="1" applyFont="1" applyFill="1" applyBorder="1" applyAlignment="1" applyProtection="1">
      <alignment vertical="center"/>
    </xf>
    <xf numFmtId="0" fontId="15" fillId="0" borderId="0" xfId="0" applyFont="1" applyBorder="1" applyAlignment="1" applyProtection="1">
      <alignment horizontal="center"/>
    </xf>
    <xf numFmtId="3" fontId="15" fillId="0" borderId="11" xfId="0" applyNumberFormat="1" applyFont="1" applyFill="1" applyBorder="1"/>
    <xf numFmtId="3" fontId="15" fillId="0" borderId="13" xfId="0" applyNumberFormat="1" applyFont="1" applyFill="1" applyBorder="1"/>
    <xf numFmtId="0" fontId="28" fillId="0" borderId="18" xfId="0" applyFont="1" applyFill="1" applyBorder="1" applyAlignment="1">
      <alignment horizontal="center"/>
    </xf>
    <xf numFmtId="0" fontId="28" fillId="0" borderId="18" xfId="0" applyFont="1" applyFill="1" applyBorder="1" applyAlignment="1">
      <alignment horizontal="left"/>
    </xf>
    <xf numFmtId="5" fontId="28" fillId="0" borderId="19" xfId="0" applyNumberFormat="1" applyFont="1" applyFill="1" applyBorder="1" applyProtection="1"/>
    <xf numFmtId="0" fontId="28" fillId="0" borderId="18" xfId="0" applyFont="1" applyFill="1" applyBorder="1"/>
    <xf numFmtId="0" fontId="28" fillId="0" borderId="37" xfId="0" quotePrefix="1" applyFont="1" applyFill="1" applyBorder="1" applyAlignment="1">
      <alignment horizontal="left" vertical="center"/>
    </xf>
    <xf numFmtId="0" fontId="28" fillId="0" borderId="37" xfId="0" applyFont="1" applyFill="1" applyBorder="1" applyAlignment="1">
      <alignment horizontal="left" vertical="center"/>
    </xf>
    <xf numFmtId="5" fontId="28" fillId="0" borderId="38" xfId="0" applyNumberFormat="1" applyFont="1" applyFill="1" applyBorder="1" applyAlignment="1" applyProtection="1">
      <alignment vertical="center"/>
    </xf>
    <xf numFmtId="0" fontId="28" fillId="27" borderId="28" xfId="0" applyFont="1" applyFill="1" applyBorder="1" applyAlignment="1">
      <alignment horizontal="left"/>
    </xf>
    <xf numFmtId="0" fontId="45" fillId="27" borderId="28" xfId="0" applyFont="1" applyFill="1" applyBorder="1"/>
    <xf numFmtId="5" fontId="28" fillId="27" borderId="38" xfId="0" applyNumberFormat="1" applyFont="1" applyFill="1" applyBorder="1" applyAlignment="1" applyProtection="1">
      <alignment vertical="center"/>
    </xf>
    <xf numFmtId="0" fontId="28" fillId="27" borderId="37" xfId="0" applyFont="1" applyFill="1" applyBorder="1" applyAlignment="1">
      <alignment horizontal="left" vertical="center"/>
    </xf>
    <xf numFmtId="0" fontId="32" fillId="0" borderId="0" xfId="0" applyFont="1" applyBorder="1"/>
    <xf numFmtId="37" fontId="32" fillId="0" borderId="0" xfId="28" applyNumberFormat="1" applyFont="1" applyBorder="1"/>
    <xf numFmtId="8" fontId="32" fillId="0" borderId="0" xfId="0" applyNumberFormat="1" applyFont="1" applyBorder="1"/>
    <xf numFmtId="6" fontId="32" fillId="0" borderId="0" xfId="0" applyNumberFormat="1" applyFont="1" applyBorder="1"/>
    <xf numFmtId="0" fontId="28" fillId="27" borderId="37" xfId="0" quotePrefix="1" applyFont="1" applyFill="1" applyBorder="1" applyAlignment="1">
      <alignment horizontal="left" vertical="center"/>
    </xf>
    <xf numFmtId="0" fontId="15" fillId="0" borderId="39" xfId="0" applyFont="1" applyFill="1" applyBorder="1" applyProtection="1"/>
    <xf numFmtId="0" fontId="15" fillId="0" borderId="40" xfId="0" applyFont="1" applyFill="1" applyBorder="1" applyProtection="1"/>
    <xf numFmtId="3" fontId="15" fillId="0" borderId="11" xfId="0" applyNumberFormat="1" applyFont="1" applyFill="1" applyBorder="1" applyAlignment="1">
      <alignment horizontal="center"/>
    </xf>
    <xf numFmtId="3" fontId="15" fillId="0" borderId="13" xfId="0" applyNumberFormat="1" applyFont="1" applyFill="1" applyBorder="1" applyAlignment="1">
      <alignment horizontal="center"/>
    </xf>
    <xf numFmtId="0" fontId="15" fillId="0" borderId="12" xfId="0" applyFont="1" applyFill="1" applyBorder="1" applyAlignment="1">
      <alignment horizontal="center"/>
    </xf>
    <xf numFmtId="0" fontId="32" fillId="0" borderId="12" xfId="0" applyFont="1" applyFill="1" applyBorder="1"/>
    <xf numFmtId="3" fontId="32" fillId="0" borderId="12" xfId="0" applyNumberFormat="1" applyFont="1" applyFill="1" applyBorder="1"/>
    <xf numFmtId="0" fontId="15" fillId="0" borderId="0" xfId="0" applyFont="1" applyFill="1" applyAlignment="1">
      <alignment horizontal="center"/>
    </xf>
    <xf numFmtId="0" fontId="15" fillId="0" borderId="0" xfId="0" applyFont="1" applyFill="1"/>
    <xf numFmtId="165" fontId="15" fillId="0" borderId="0" xfId="28" applyNumberFormat="1" applyFont="1" applyFill="1"/>
    <xf numFmtId="7" fontId="16" fillId="0" borderId="0" xfId="32" applyNumberFormat="1" applyFont="1" applyFill="1" applyAlignment="1">
      <alignment horizontal="center"/>
    </xf>
    <xf numFmtId="7" fontId="16" fillId="0" borderId="0" xfId="32" applyNumberFormat="1" applyFont="1" applyFill="1"/>
    <xf numFmtId="0" fontId="28" fillId="0" borderId="41" xfId="0" applyFont="1" applyFill="1" applyBorder="1" applyAlignment="1">
      <alignment horizontal="center"/>
    </xf>
    <xf numFmtId="0" fontId="41" fillId="0" borderId="42" xfId="0" applyFont="1" applyBorder="1" applyAlignment="1">
      <alignment horizontal="center" vertical="center" wrapText="1"/>
    </xf>
    <xf numFmtId="0" fontId="41" fillId="0" borderId="26" xfId="0" quotePrefix="1" applyFont="1" applyBorder="1" applyAlignment="1">
      <alignment horizontal="center" vertical="center" wrapText="1"/>
    </xf>
    <xf numFmtId="0" fontId="0" fillId="26" borderId="26" xfId="0" applyFill="1" applyBorder="1"/>
    <xf numFmtId="0" fontId="0" fillId="0" borderId="11" xfId="0" applyBorder="1"/>
    <xf numFmtId="0" fontId="17" fillId="0" borderId="0" xfId="0" applyFont="1" applyBorder="1"/>
    <xf numFmtId="0" fontId="15" fillId="0" borderId="43" xfId="0" applyFont="1" applyBorder="1"/>
    <xf numFmtId="0" fontId="41" fillId="0" borderId="10" xfId="0" quotePrefix="1" applyFont="1" applyBorder="1" applyAlignment="1">
      <alignment horizontal="center" vertical="center" wrapText="1"/>
    </xf>
    <xf numFmtId="0" fontId="41" fillId="0" borderId="44" xfId="0" quotePrefix="1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/>
    </xf>
    <xf numFmtId="0" fontId="41" fillId="0" borderId="0" xfId="0" applyFont="1" applyBorder="1" applyAlignment="1">
      <alignment horizontal="center" wrapText="1"/>
    </xf>
    <xf numFmtId="38" fontId="15" fillId="0" borderId="11" xfId="0" applyNumberFormat="1" applyFont="1" applyBorder="1"/>
    <xf numFmtId="0" fontId="41" fillId="0" borderId="26" xfId="0" quotePrefix="1" applyFont="1" applyFill="1" applyBorder="1" applyAlignment="1">
      <alignment horizontal="center" vertical="center"/>
    </xf>
    <xf numFmtId="0" fontId="43" fillId="0" borderId="10" xfId="0" quotePrefix="1" applyFont="1" applyBorder="1" applyAlignment="1">
      <alignment horizontal="center" vertical="center" wrapText="1"/>
    </xf>
    <xf numFmtId="0" fontId="17" fillId="0" borderId="45" xfId="0" applyFont="1" applyBorder="1" applyAlignment="1" applyProtection="1">
      <alignment horizontal="center"/>
    </xf>
    <xf numFmtId="0" fontId="41" fillId="0" borderId="0" xfId="0" applyFont="1" applyBorder="1" applyAlignment="1">
      <alignment horizontal="center" vertical="center" wrapText="1"/>
    </xf>
    <xf numFmtId="40" fontId="15" fillId="0" borderId="11" xfId="0" applyNumberFormat="1" applyFont="1" applyFill="1" applyBorder="1"/>
    <xf numFmtId="40" fontId="15" fillId="0" borderId="13" xfId="0" applyNumberFormat="1" applyFont="1" applyFill="1" applyBorder="1"/>
    <xf numFmtId="10" fontId="15" fillId="0" borderId="11" xfId="48" applyNumberFormat="1" applyFont="1" applyFill="1" applyBorder="1"/>
    <xf numFmtId="10" fontId="15" fillId="0" borderId="13" xfId="48" applyNumberFormat="1" applyFont="1" applyFill="1" applyBorder="1"/>
    <xf numFmtId="0" fontId="19" fillId="0" borderId="26" xfId="0" applyFont="1" applyBorder="1" applyAlignment="1">
      <alignment horizontal="center" wrapText="1"/>
    </xf>
    <xf numFmtId="0" fontId="15" fillId="0" borderId="10" xfId="0" applyFont="1" applyFill="1" applyBorder="1"/>
    <xf numFmtId="0" fontId="15" fillId="0" borderId="46" xfId="0" applyFont="1" applyBorder="1"/>
    <xf numFmtId="0" fontId="15" fillId="0" borderId="47" xfId="0" applyFont="1" applyFill="1" applyBorder="1" applyProtection="1"/>
    <xf numFmtId="5" fontId="15" fillId="0" borderId="0" xfId="0" applyNumberFormat="1" applyFont="1" applyBorder="1"/>
    <xf numFmtId="10" fontId="20" fillId="0" borderId="19" xfId="48" applyNumberFormat="1" applyFont="1" applyFill="1" applyBorder="1" applyProtection="1"/>
    <xf numFmtId="43" fontId="20" fillId="0" borderId="19" xfId="28" applyFont="1" applyFill="1" applyBorder="1" applyProtection="1"/>
    <xf numFmtId="0" fontId="15" fillId="0" borderId="0" xfId="0" applyFont="1" applyFill="1" applyBorder="1"/>
    <xf numFmtId="165" fontId="20" fillId="0" borderId="19" xfId="28" applyNumberFormat="1" applyFont="1" applyFill="1" applyBorder="1" applyProtection="1"/>
    <xf numFmtId="3" fontId="15" fillId="0" borderId="11" xfId="0" applyNumberFormat="1" applyFont="1" applyFill="1" applyBorder="1" applyAlignment="1">
      <alignment horizontal="left"/>
    </xf>
    <xf numFmtId="8" fontId="15" fillId="0" borderId="0" xfId="0" applyNumberFormat="1" applyFont="1"/>
    <xf numFmtId="0" fontId="17" fillId="0" borderId="0" xfId="0" applyFont="1" applyFill="1" applyBorder="1" applyAlignment="1">
      <alignment horizontal="center"/>
    </xf>
    <xf numFmtId="0" fontId="15" fillId="0" borderId="0" xfId="0" quotePrefix="1" applyFont="1" applyBorder="1"/>
    <xf numFmtId="0" fontId="49" fillId="0" borderId="0" xfId="0" quotePrefix="1" applyFont="1" applyBorder="1" applyAlignment="1">
      <alignment horizontal="left"/>
    </xf>
    <xf numFmtId="2" fontId="15" fillId="0" borderId="11" xfId="0" applyNumberFormat="1" applyFont="1" applyBorder="1"/>
    <xf numFmtId="4" fontId="15" fillId="0" borderId="11" xfId="28" applyNumberFormat="1" applyFont="1" applyBorder="1"/>
    <xf numFmtId="4" fontId="15" fillId="0" borderId="34" xfId="28" applyNumberFormat="1" applyFont="1" applyBorder="1"/>
    <xf numFmtId="2" fontId="15" fillId="0" borderId="13" xfId="0" applyNumberFormat="1" applyFont="1" applyBorder="1"/>
    <xf numFmtId="4" fontId="15" fillId="0" borderId="13" xfId="28" applyNumberFormat="1" applyFont="1" applyBorder="1"/>
    <xf numFmtId="4" fontId="15" fillId="0" borderId="35" xfId="28" applyNumberFormat="1" applyFont="1" applyBorder="1"/>
    <xf numFmtId="0" fontId="41" fillId="0" borderId="0" xfId="0" quotePrefix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10" fontId="15" fillId="0" borderId="11" xfId="0" applyNumberFormat="1" applyFont="1" applyFill="1" applyBorder="1"/>
    <xf numFmtId="10" fontId="15" fillId="0" borderId="13" xfId="0" applyNumberFormat="1" applyFont="1" applyFill="1" applyBorder="1"/>
    <xf numFmtId="5" fontId="32" fillId="0" borderId="12" xfId="32" applyNumberFormat="1" applyFont="1" applyBorder="1" applyAlignment="1">
      <alignment horizontal="right"/>
    </xf>
    <xf numFmtId="3" fontId="15" fillId="0" borderId="34" xfId="0" applyNumberFormat="1" applyFont="1" applyFill="1" applyBorder="1"/>
    <xf numFmtId="2" fontId="15" fillId="0" borderId="11" xfId="0" applyNumberFormat="1" applyFont="1" applyFill="1" applyBorder="1"/>
    <xf numFmtId="4" fontId="15" fillId="0" borderId="11" xfId="28" applyNumberFormat="1" applyFont="1" applyFill="1" applyBorder="1"/>
    <xf numFmtId="4" fontId="15" fillId="0" borderId="34" xfId="28" applyNumberFormat="1" applyFont="1" applyFill="1" applyBorder="1"/>
    <xf numFmtId="3" fontId="0" fillId="0" borderId="0" xfId="0" applyNumberFormat="1"/>
    <xf numFmtId="166" fontId="15" fillId="0" borderId="34" xfId="0" applyNumberFormat="1" applyFont="1" applyFill="1" applyBorder="1"/>
    <xf numFmtId="166" fontId="15" fillId="0" borderId="35" xfId="0" applyNumberFormat="1" applyFont="1" applyFill="1" applyBorder="1"/>
    <xf numFmtId="0" fontId="19" fillId="0" borderId="26" xfId="0" applyFont="1" applyBorder="1"/>
    <xf numFmtId="0" fontId="18" fillId="0" borderId="48" xfId="0" applyFont="1" applyFill="1" applyBorder="1" applyAlignment="1">
      <alignment horizontal="left" vertical="center" wrapText="1"/>
    </xf>
    <xf numFmtId="7" fontId="27" fillId="0" borderId="0" xfId="32" quotePrefix="1" applyNumberFormat="1" applyFont="1" applyFill="1" applyAlignment="1">
      <alignment horizontal="center"/>
    </xf>
    <xf numFmtId="3" fontId="15" fillId="0" borderId="0" xfId="0" applyNumberFormat="1" applyFont="1" applyFill="1" applyBorder="1"/>
    <xf numFmtId="3" fontId="15" fillId="0" borderId="0" xfId="0" applyNumberFormat="1" applyFont="1" applyFill="1"/>
    <xf numFmtId="0" fontId="18" fillId="0" borderId="0" xfId="0" applyFont="1" applyFill="1" applyBorder="1" applyAlignment="1">
      <alignment horizontal="left"/>
    </xf>
    <xf numFmtId="0" fontId="28" fillId="0" borderId="14" xfId="0" applyFont="1" applyFill="1" applyBorder="1" applyAlignment="1">
      <alignment horizontal="left"/>
    </xf>
    <xf numFmtId="5" fontId="28" fillId="0" borderId="0" xfId="0" applyNumberFormat="1" applyFont="1" applyFill="1" applyBorder="1" applyProtection="1"/>
    <xf numFmtId="0" fontId="18" fillId="0" borderId="51" xfId="0" applyFont="1" applyFill="1" applyBorder="1" applyAlignment="1">
      <alignment horizontal="left"/>
    </xf>
    <xf numFmtId="0" fontId="18" fillId="0" borderId="0" xfId="0" applyFont="1" applyFill="1" applyBorder="1"/>
    <xf numFmtId="0" fontId="46" fillId="0" borderId="0" xfId="0" applyFont="1" applyBorder="1"/>
    <xf numFmtId="0" fontId="0" fillId="0" borderId="0" xfId="0" applyFill="1" applyBorder="1"/>
    <xf numFmtId="0" fontId="18" fillId="0" borderId="0" xfId="0" quotePrefix="1" applyFont="1" applyFill="1" applyBorder="1" applyAlignment="1">
      <alignment horizontal="center"/>
    </xf>
    <xf numFmtId="0" fontId="28" fillId="0" borderId="51" xfId="0" applyFont="1" applyFill="1" applyBorder="1" applyAlignment="1">
      <alignment horizontal="left"/>
    </xf>
    <xf numFmtId="0" fontId="19" fillId="0" borderId="0" xfId="0" applyFont="1" applyBorder="1" applyAlignment="1">
      <alignment horizontal="center"/>
    </xf>
    <xf numFmtId="0" fontId="18" fillId="0" borderId="52" xfId="0" applyFont="1" applyFill="1" applyBorder="1"/>
    <xf numFmtId="0" fontId="19" fillId="0" borderId="53" xfId="0" applyFont="1" applyFill="1" applyBorder="1"/>
    <xf numFmtId="0" fontId="18" fillId="0" borderId="52" xfId="0" applyFont="1" applyFill="1" applyBorder="1" applyAlignment="1">
      <alignment horizontal="center" vertical="top"/>
    </xf>
    <xf numFmtId="0" fontId="18" fillId="0" borderId="52" xfId="0" applyFont="1" applyFill="1" applyBorder="1" applyAlignment="1">
      <alignment horizontal="center"/>
    </xf>
    <xf numFmtId="0" fontId="18" fillId="0" borderId="54" xfId="0" applyFont="1" applyFill="1" applyBorder="1" applyAlignment="1">
      <alignment horizontal="center"/>
    </xf>
    <xf numFmtId="0" fontId="18" fillId="0" borderId="55" xfId="0" applyFont="1" applyFill="1" applyBorder="1" applyAlignment="1">
      <alignment horizontal="center"/>
    </xf>
    <xf numFmtId="0" fontId="18" fillId="0" borderId="56" xfId="0" applyFont="1" applyFill="1" applyBorder="1" applyAlignment="1">
      <alignment horizontal="center"/>
    </xf>
    <xf numFmtId="0" fontId="28" fillId="0" borderId="57" xfId="0" applyFont="1" applyFill="1" applyBorder="1" applyAlignment="1">
      <alignment horizontal="center" vertical="center"/>
    </xf>
    <xf numFmtId="0" fontId="28" fillId="0" borderId="55" xfId="0" applyFont="1" applyFill="1" applyBorder="1" applyAlignment="1">
      <alignment horizontal="center" vertical="center"/>
    </xf>
    <xf numFmtId="0" fontId="18" fillId="0" borderId="52" xfId="0" applyFont="1" applyFill="1" applyBorder="1" applyAlignment="1">
      <alignment horizontal="center" vertical="center"/>
    </xf>
    <xf numFmtId="0" fontId="45" fillId="27" borderId="54" xfId="0" applyFont="1" applyFill="1" applyBorder="1"/>
    <xf numFmtId="0" fontId="0" fillId="0" borderId="52" xfId="0" applyBorder="1"/>
    <xf numFmtId="0" fontId="20" fillId="0" borderId="52" xfId="0" applyFont="1" applyFill="1" applyBorder="1"/>
    <xf numFmtId="0" fontId="28" fillId="27" borderId="57" xfId="0" applyFont="1" applyFill="1" applyBorder="1" applyAlignment="1">
      <alignment horizontal="center" vertical="center"/>
    </xf>
    <xf numFmtId="0" fontId="28" fillId="0" borderId="52" xfId="0" applyFont="1" applyFill="1" applyBorder="1" applyAlignment="1">
      <alignment horizontal="center"/>
    </xf>
    <xf numFmtId="7" fontId="16" fillId="0" borderId="0" xfId="32" applyNumberFormat="1" applyFont="1" applyFill="1" applyBorder="1"/>
    <xf numFmtId="6" fontId="15" fillId="0" borderId="0" xfId="0" applyNumberFormat="1" applyFont="1" applyFill="1" applyBorder="1"/>
    <xf numFmtId="0" fontId="15" fillId="0" borderId="0" xfId="0" applyFont="1" applyFill="1" applyAlignment="1">
      <alignment wrapText="1"/>
    </xf>
    <xf numFmtId="0" fontId="18" fillId="0" borderId="18" xfId="0" quotePrefix="1" applyFont="1" applyFill="1" applyBorder="1" applyAlignment="1">
      <alignment horizontal="center"/>
    </xf>
    <xf numFmtId="10" fontId="15" fillId="0" borderId="0" xfId="48" applyNumberFormat="1" applyFont="1" applyFill="1"/>
    <xf numFmtId="43" fontId="15" fillId="0" borderId="0" xfId="28" applyNumberFormat="1" applyFont="1" applyFill="1"/>
    <xf numFmtId="10" fontId="15" fillId="0" borderId="0" xfId="48" applyNumberFormat="1" applyFont="1" applyFill="1" applyBorder="1"/>
    <xf numFmtId="0" fontId="18" fillId="0" borderId="14" xfId="0" applyFont="1" applyFill="1" applyBorder="1" applyAlignment="1">
      <alignment horizontal="left" vertical="center" wrapText="1"/>
    </xf>
    <xf numFmtId="5" fontId="20" fillId="0" borderId="59" xfId="0" applyNumberFormat="1" applyFont="1" applyFill="1" applyBorder="1" applyAlignment="1" applyProtection="1">
      <alignment vertical="center"/>
    </xf>
    <xf numFmtId="5" fontId="20" fillId="0" borderId="58" xfId="0" applyNumberFormat="1" applyFont="1" applyFill="1" applyBorder="1" applyAlignment="1" applyProtection="1">
      <alignment vertical="center"/>
    </xf>
    <xf numFmtId="165" fontId="18" fillId="0" borderId="19" xfId="28" applyNumberFormat="1" applyFont="1" applyFill="1" applyBorder="1" applyProtection="1"/>
    <xf numFmtId="0" fontId="26" fillId="0" borderId="0" xfId="0" applyFont="1" applyAlignment="1">
      <alignment horizontal="right"/>
    </xf>
    <xf numFmtId="10" fontId="17" fillId="0" borderId="12" xfId="48" applyNumberFormat="1" applyFont="1" applyBorder="1"/>
    <xf numFmtId="0" fontId="18" fillId="0" borderId="21" xfId="0" quotePrefix="1" applyFont="1" applyFill="1" applyBorder="1" applyAlignment="1">
      <alignment horizontal="center"/>
    </xf>
    <xf numFmtId="0" fontId="40" fillId="0" borderId="0" xfId="0" applyFont="1" applyAlignment="1">
      <alignment horizontal="right"/>
    </xf>
    <xf numFmtId="1" fontId="15" fillId="0" borderId="0" xfId="0" applyNumberFormat="1" applyFont="1"/>
    <xf numFmtId="1" fontId="15" fillId="26" borderId="26" xfId="28" applyNumberFormat="1" applyFont="1" applyFill="1" applyBorder="1" applyAlignment="1">
      <alignment horizontal="center"/>
    </xf>
    <xf numFmtId="1" fontId="26" fillId="26" borderId="26" xfId="28" quotePrefix="1" applyNumberFormat="1" applyFont="1" applyFill="1" applyBorder="1" applyAlignment="1">
      <alignment horizontal="center"/>
    </xf>
    <xf numFmtId="1" fontId="26" fillId="26" borderId="26" xfId="28" applyNumberFormat="1" applyFont="1" applyFill="1" applyBorder="1" applyAlignment="1">
      <alignment horizontal="center"/>
    </xf>
    <xf numFmtId="1" fontId="15" fillId="0" borderId="0" xfId="28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16" fillId="0" borderId="0" xfId="0" applyFont="1" applyFill="1" applyAlignment="1">
      <alignment horizontal="center"/>
    </xf>
    <xf numFmtId="5" fontId="20" fillId="0" borderId="50" xfId="0" applyNumberFormat="1" applyFont="1" applyFill="1" applyBorder="1" applyAlignment="1" applyProtection="1">
      <alignment vertical="top"/>
    </xf>
    <xf numFmtId="0" fontId="41" fillId="0" borderId="10" xfId="0" applyFont="1" applyBorder="1" applyAlignment="1">
      <alignment horizontal="center" vertical="center" wrapText="1"/>
    </xf>
    <xf numFmtId="6" fontId="16" fillId="0" borderId="10" xfId="0" applyNumberFormat="1" applyFont="1" applyFill="1" applyBorder="1" applyAlignment="1">
      <alignment horizontal="center" vertical="center" wrapText="1"/>
    </xf>
    <xf numFmtId="1" fontId="15" fillId="26" borderId="60" xfId="0" applyNumberFormat="1" applyFont="1" applyFill="1" applyBorder="1" applyProtection="1"/>
    <xf numFmtId="1" fontId="26" fillId="26" borderId="26" xfId="0" quotePrefix="1" applyNumberFormat="1" applyFont="1" applyFill="1" applyBorder="1" applyAlignment="1">
      <alignment horizontal="center"/>
    </xf>
    <xf numFmtId="3" fontId="0" fillId="0" borderId="13" xfId="0" applyNumberFormat="1" applyFill="1" applyBorder="1"/>
    <xf numFmtId="0" fontId="17" fillId="0" borderId="13" xfId="0" applyFont="1" applyBorder="1" applyAlignment="1">
      <alignment wrapText="1"/>
    </xf>
    <xf numFmtId="0" fontId="17" fillId="0" borderId="11" xfId="0" applyFont="1" applyBorder="1" applyAlignment="1">
      <alignment horizontal="left" wrapText="1"/>
    </xf>
    <xf numFmtId="1" fontId="26" fillId="26" borderId="36" xfId="28" quotePrefix="1" applyNumberFormat="1" applyFont="1" applyFill="1" applyBorder="1" applyAlignment="1">
      <alignment horizontal="center"/>
    </xf>
    <xf numFmtId="0" fontId="26" fillId="26" borderId="26" xfId="28" quotePrefix="1" applyNumberFormat="1" applyFont="1" applyFill="1" applyBorder="1" applyAlignment="1">
      <alignment horizontal="center"/>
    </xf>
    <xf numFmtId="0" fontId="57" fillId="0" borderId="0" xfId="0" applyFont="1" applyBorder="1" applyAlignment="1">
      <alignment horizontal="left"/>
    </xf>
    <xf numFmtId="0" fontId="31" fillId="0" borderId="0" xfId="0" quotePrefix="1" applyFont="1" applyBorder="1" applyAlignment="1">
      <alignment horizontal="left" wrapText="1"/>
    </xf>
    <xf numFmtId="0" fontId="31" fillId="0" borderId="0" xfId="0" applyFont="1" applyAlignment="1">
      <alignment horizontal="left" wrapText="1"/>
    </xf>
    <xf numFmtId="166" fontId="15" fillId="0" borderId="0" xfId="0" applyNumberFormat="1" applyFont="1" applyFill="1" applyBorder="1"/>
    <xf numFmtId="0" fontId="58" fillId="0" borderId="0" xfId="0" applyFont="1"/>
    <xf numFmtId="0" fontId="54" fillId="0" borderId="0" xfId="0" applyFont="1"/>
    <xf numFmtId="0" fontId="16" fillId="0" borderId="36" xfId="0" quotePrefix="1" applyFont="1" applyFill="1" applyBorder="1" applyAlignment="1">
      <alignment horizontal="center" vertical="center"/>
    </xf>
    <xf numFmtId="166" fontId="15" fillId="0" borderId="34" xfId="0" applyNumberFormat="1" applyFont="1" applyBorder="1"/>
    <xf numFmtId="166" fontId="15" fillId="0" borderId="35" xfId="0" applyNumberFormat="1" applyFont="1" applyBorder="1"/>
    <xf numFmtId="0" fontId="31" fillId="0" borderId="0" xfId="0" quotePrefix="1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4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/>
    <xf numFmtId="0" fontId="15" fillId="0" borderId="0" xfId="0" applyFont="1" applyFill="1" applyBorder="1" applyAlignment="1"/>
    <xf numFmtId="0" fontId="41" fillId="0" borderId="0" xfId="0" applyFont="1" applyFill="1" applyBorder="1" applyAlignment="1">
      <alignment horizontal="center" vertical="center" wrapText="1"/>
    </xf>
    <xf numFmtId="0" fontId="41" fillId="0" borderId="0" xfId="0" quotePrefix="1" applyFont="1" applyFill="1" applyBorder="1" applyAlignment="1">
      <alignment horizontal="center" vertical="center" wrapText="1"/>
    </xf>
    <xf numFmtId="0" fontId="42" fillId="0" borderId="0" xfId="0" applyFont="1" applyFill="1" applyBorder="1"/>
    <xf numFmtId="167" fontId="15" fillId="0" borderId="0" xfId="0" applyNumberFormat="1" applyFont="1" applyFill="1" applyBorder="1"/>
    <xf numFmtId="10" fontId="15" fillId="0" borderId="0" xfId="0" applyNumberFormat="1" applyFont="1" applyFill="1" applyBorder="1"/>
    <xf numFmtId="0" fontId="18" fillId="0" borderId="0" xfId="0" applyFont="1" applyFill="1" applyBorder="1" applyAlignment="1">
      <alignment horizontal="center" vertical="center" wrapText="1"/>
    </xf>
    <xf numFmtId="9" fontId="59" fillId="0" borderId="0" xfId="0" applyNumberFormat="1" applyFont="1" applyFill="1" applyBorder="1" applyAlignment="1">
      <alignment horizontal="center"/>
    </xf>
    <xf numFmtId="0" fontId="59" fillId="0" borderId="0" xfId="0" applyFont="1" applyFill="1" applyBorder="1" applyAlignment="1"/>
    <xf numFmtId="38" fontId="16" fillId="0" borderId="0" xfId="0" applyNumberFormat="1" applyFont="1"/>
    <xf numFmtId="166" fontId="16" fillId="0" borderId="0" xfId="0" applyNumberFormat="1" applyFont="1"/>
    <xf numFmtId="0" fontId="16" fillId="0" borderId="0" xfId="0" applyFont="1" applyBorder="1"/>
    <xf numFmtId="7" fontId="16" fillId="0" borderId="61" xfId="32" applyNumberFormat="1" applyFont="1" applyBorder="1"/>
    <xf numFmtId="0" fontId="16" fillId="0" borderId="62" xfId="0" applyFont="1" applyBorder="1"/>
    <xf numFmtId="0" fontId="16" fillId="0" borderId="63" xfId="0" applyFont="1" applyBorder="1"/>
    <xf numFmtId="10" fontId="16" fillId="0" borderId="64" xfId="0" applyNumberFormat="1" applyFont="1" applyBorder="1"/>
    <xf numFmtId="6" fontId="15" fillId="0" borderId="43" xfId="0" applyNumberFormat="1" applyFont="1" applyBorder="1"/>
    <xf numFmtId="0" fontId="16" fillId="0" borderId="64" xfId="0" applyFont="1" applyBorder="1"/>
    <xf numFmtId="0" fontId="15" fillId="0" borderId="65" xfId="0" applyFont="1" applyBorder="1"/>
    <xf numFmtId="167" fontId="15" fillId="0" borderId="28" xfId="0" applyNumberFormat="1" applyFont="1" applyFill="1" applyBorder="1"/>
    <xf numFmtId="167" fontId="15" fillId="0" borderId="66" xfId="0" applyNumberFormat="1" applyFont="1" applyFill="1" applyBorder="1"/>
    <xf numFmtId="5" fontId="32" fillId="0" borderId="0" xfId="0" applyNumberFormat="1" applyFont="1" applyFill="1" applyBorder="1" applyProtection="1"/>
    <xf numFmtId="0" fontId="60" fillId="25" borderId="10" xfId="0" applyFont="1" applyFill="1" applyBorder="1" applyAlignment="1">
      <alignment horizontal="center" vertical="center" wrapText="1"/>
    </xf>
    <xf numFmtId="0" fontId="47" fillId="25" borderId="44" xfId="0" applyFont="1" applyFill="1" applyBorder="1" applyAlignment="1">
      <alignment horizontal="center" vertical="center" wrapText="1"/>
    </xf>
    <xf numFmtId="0" fontId="47" fillId="27" borderId="10" xfId="0" applyFont="1" applyFill="1" applyBorder="1" applyAlignment="1">
      <alignment horizontal="center" vertical="center" wrapText="1"/>
    </xf>
    <xf numFmtId="1" fontId="26" fillId="26" borderId="36" xfId="28" applyNumberFormat="1" applyFont="1" applyFill="1" applyBorder="1" applyAlignment="1">
      <alignment horizontal="center"/>
    </xf>
    <xf numFmtId="6" fontId="32" fillId="0" borderId="67" xfId="0" applyNumberFormat="1" applyFont="1" applyBorder="1"/>
    <xf numFmtId="0" fontId="53" fillId="0" borderId="0" xfId="0" applyFont="1"/>
    <xf numFmtId="0" fontId="15" fillId="0" borderId="33" xfId="0" applyFont="1" applyFill="1" applyBorder="1"/>
    <xf numFmtId="0" fontId="32" fillId="28" borderId="26" xfId="0" applyFont="1" applyFill="1" applyBorder="1" applyAlignment="1">
      <alignment horizontal="center" vertical="center" wrapText="1"/>
    </xf>
    <xf numFmtId="0" fontId="0" fillId="0" borderId="14" xfId="0" applyBorder="1"/>
    <xf numFmtId="4" fontId="15" fillId="0" borderId="0" xfId="0" applyNumberFormat="1" applyFont="1" applyBorder="1"/>
    <xf numFmtId="10" fontId="15" fillId="0" borderId="13" xfId="48" applyNumberFormat="1" applyFont="1" applyBorder="1"/>
    <xf numFmtId="0" fontId="15" fillId="0" borderId="11" xfId="0" applyFont="1" applyFill="1" applyBorder="1"/>
    <xf numFmtId="0" fontId="15" fillId="0" borderId="34" xfId="0" applyFont="1" applyFill="1" applyBorder="1"/>
    <xf numFmtId="9" fontId="23" fillId="0" borderId="11" xfId="0" applyNumberFormat="1" applyFont="1" applyFill="1" applyBorder="1"/>
    <xf numFmtId="9" fontId="15" fillId="0" borderId="34" xfId="0" applyNumberFormat="1" applyFont="1" applyFill="1" applyBorder="1"/>
    <xf numFmtId="9" fontId="15" fillId="0" borderId="11" xfId="0" applyNumberFormat="1" applyFont="1" applyFill="1" applyBorder="1"/>
    <xf numFmtId="6" fontId="15" fillId="0" borderId="11" xfId="0" applyNumberFormat="1" applyFont="1" applyBorder="1"/>
    <xf numFmtId="6" fontId="15" fillId="0" borderId="13" xfId="0" applyNumberFormat="1" applyFont="1" applyBorder="1"/>
    <xf numFmtId="6" fontId="15" fillId="0" borderId="11" xfId="0" applyNumberFormat="1" applyFont="1" applyFill="1" applyBorder="1"/>
    <xf numFmtId="6" fontId="15" fillId="0" borderId="13" xfId="0" applyNumberFormat="1" applyFont="1" applyFill="1" applyBorder="1"/>
    <xf numFmtId="10" fontId="0" fillId="0" borderId="0" xfId="48" applyNumberFormat="1" applyFont="1"/>
    <xf numFmtId="9" fontId="16" fillId="0" borderId="11" xfId="0" applyNumberFormat="1" applyFont="1" applyFill="1" applyBorder="1" applyAlignment="1">
      <alignment horizontal="center"/>
    </xf>
    <xf numFmtId="0" fontId="64" fillId="0" borderId="0" xfId="0" applyFont="1" applyFill="1" applyBorder="1"/>
    <xf numFmtId="0" fontId="18" fillId="0" borderId="21" xfId="0" quotePrefix="1" applyFont="1" applyFill="1" applyBorder="1" applyAlignment="1">
      <alignment horizontal="center" vertical="center" wrapText="1"/>
    </xf>
    <xf numFmtId="0" fontId="15" fillId="0" borderId="14" xfId="0" applyFont="1" applyFill="1" applyBorder="1"/>
    <xf numFmtId="0" fontId="19" fillId="0" borderId="44" xfId="0" applyFont="1" applyBorder="1" applyAlignment="1">
      <alignment horizontal="center"/>
    </xf>
    <xf numFmtId="0" fontId="54" fillId="0" borderId="34" xfId="0" applyFont="1" applyFill="1" applyBorder="1"/>
    <xf numFmtId="0" fontId="15" fillId="0" borderId="0" xfId="0" applyFont="1" applyFill="1" applyBorder="1" applyAlignment="1">
      <alignment horizontal="center"/>
    </xf>
    <xf numFmtId="0" fontId="56" fillId="0" borderId="0" xfId="0" applyFont="1" applyFill="1" applyBorder="1" applyAlignment="1">
      <alignment horizontal="center"/>
    </xf>
    <xf numFmtId="9" fontId="0" fillId="0" borderId="0" xfId="0" applyNumberFormat="1"/>
    <xf numFmtId="0" fontId="15" fillId="0" borderId="26" xfId="0" applyFont="1" applyBorder="1" applyAlignment="1">
      <alignment horizontal="center"/>
    </xf>
    <xf numFmtId="0" fontId="15" fillId="0" borderId="26" xfId="0" applyFont="1" applyBorder="1"/>
    <xf numFmtId="15" fontId="15" fillId="29" borderId="26" xfId="0" applyNumberFormat="1" applyFont="1" applyFill="1" applyBorder="1" applyAlignment="1">
      <alignment horizontal="center"/>
    </xf>
    <xf numFmtId="0" fontId="17" fillId="30" borderId="26" xfId="0" applyFont="1" applyFill="1" applyBorder="1" applyAlignment="1">
      <alignment horizontal="center"/>
    </xf>
    <xf numFmtId="165" fontId="17" fillId="30" borderId="26" xfId="28" applyNumberFormat="1" applyFont="1" applyFill="1" applyBorder="1" applyAlignment="1">
      <alignment horizontal="center"/>
    </xf>
    <xf numFmtId="165" fontId="15" fillId="30" borderId="26" xfId="28" applyNumberFormat="1" applyFont="1" applyFill="1" applyBorder="1" applyAlignment="1">
      <alignment horizontal="center"/>
    </xf>
    <xf numFmtId="0" fontId="15" fillId="0" borderId="26" xfId="0" applyFont="1" applyFill="1" applyBorder="1"/>
    <xf numFmtId="1" fontId="17" fillId="26" borderId="68" xfId="0" applyNumberFormat="1" applyFont="1" applyFill="1" applyBorder="1" applyProtection="1"/>
    <xf numFmtId="0" fontId="15" fillId="0" borderId="69" xfId="0" applyFont="1" applyFill="1" applyBorder="1" applyProtection="1"/>
    <xf numFmtId="0" fontId="15" fillId="0" borderId="70" xfId="0" applyFont="1" applyFill="1" applyBorder="1" applyProtection="1"/>
    <xf numFmtId="0" fontId="15" fillId="0" borderId="71" xfId="0" applyFont="1" applyFill="1" applyBorder="1" applyProtection="1"/>
    <xf numFmtId="3" fontId="15" fillId="0" borderId="34" xfId="0" applyNumberFormat="1" applyFont="1" applyFill="1" applyBorder="1" applyAlignment="1">
      <alignment horizontal="left"/>
    </xf>
    <xf numFmtId="5" fontId="17" fillId="0" borderId="0" xfId="0" applyNumberFormat="1" applyFont="1" applyBorder="1" applyProtection="1"/>
    <xf numFmtId="6" fontId="26" fillId="25" borderId="26" xfId="0" applyNumberFormat="1" applyFont="1" applyFill="1" applyBorder="1" applyAlignment="1">
      <alignment horizontal="center" wrapText="1"/>
    </xf>
    <xf numFmtId="8" fontId="26" fillId="25" borderId="26" xfId="0" applyNumberFormat="1" applyFont="1" applyFill="1" applyBorder="1" applyAlignment="1">
      <alignment horizontal="center" wrapText="1"/>
    </xf>
    <xf numFmtId="1" fontId="26" fillId="26" borderId="72" xfId="0" applyNumberFormat="1" applyFont="1" applyFill="1" applyBorder="1" applyAlignment="1" applyProtection="1">
      <alignment horizontal="center"/>
    </xf>
    <xf numFmtId="1" fontId="26" fillId="26" borderId="73" xfId="0" quotePrefix="1" applyNumberFormat="1" applyFont="1" applyFill="1" applyBorder="1" applyAlignment="1" applyProtection="1">
      <alignment horizontal="center"/>
    </xf>
    <xf numFmtId="5" fontId="15" fillId="0" borderId="11" xfId="0" applyNumberFormat="1" applyFont="1" applyFill="1" applyBorder="1" applyProtection="1"/>
    <xf numFmtId="5" fontId="17" fillId="0" borderId="74" xfId="0" applyNumberFormat="1" applyFont="1" applyFill="1" applyBorder="1" applyProtection="1"/>
    <xf numFmtId="5" fontId="15" fillId="0" borderId="74" xfId="0" applyNumberFormat="1" applyFont="1" applyFill="1" applyBorder="1" applyProtection="1"/>
    <xf numFmtId="5" fontId="17" fillId="0" borderId="11" xfId="0" applyNumberFormat="1" applyFont="1" applyFill="1" applyBorder="1" applyProtection="1"/>
    <xf numFmtId="38" fontId="15" fillId="0" borderId="11" xfId="0" applyNumberFormat="1" applyFont="1" applyFill="1" applyBorder="1" applyProtection="1"/>
    <xf numFmtId="165" fontId="17" fillId="0" borderId="11" xfId="28" applyNumberFormat="1" applyFont="1" applyFill="1" applyBorder="1" applyProtection="1"/>
    <xf numFmtId="166" fontId="15" fillId="0" borderId="11" xfId="28" applyNumberFormat="1" applyFont="1" applyFill="1" applyBorder="1" applyProtection="1"/>
    <xf numFmtId="6" fontId="17" fillId="0" borderId="11" xfId="0" applyNumberFormat="1" applyFont="1" applyFill="1" applyBorder="1" applyProtection="1"/>
    <xf numFmtId="5" fontId="15" fillId="0" borderId="72" xfId="0" applyNumberFormat="1" applyFont="1" applyFill="1" applyBorder="1" applyProtection="1"/>
    <xf numFmtId="5" fontId="17" fillId="0" borderId="72" xfId="0" applyNumberFormat="1" applyFont="1" applyFill="1" applyBorder="1" applyProtection="1"/>
    <xf numFmtId="38" fontId="15" fillId="0" borderId="72" xfId="0" applyNumberFormat="1" applyFont="1" applyFill="1" applyBorder="1" applyProtection="1"/>
    <xf numFmtId="165" fontId="17" fillId="0" borderId="72" xfId="28" applyNumberFormat="1" applyFont="1" applyFill="1" applyBorder="1" applyProtection="1"/>
    <xf numFmtId="166" fontId="15" fillId="0" borderId="72" xfId="28" applyNumberFormat="1" applyFont="1" applyFill="1" applyBorder="1" applyProtection="1"/>
    <xf numFmtId="6" fontId="17" fillId="0" borderId="72" xfId="0" applyNumberFormat="1" applyFont="1" applyFill="1" applyBorder="1" applyProtection="1"/>
    <xf numFmtId="166" fontId="15" fillId="0" borderId="13" xfId="28" applyNumberFormat="1" applyFont="1" applyFill="1" applyBorder="1" applyProtection="1"/>
    <xf numFmtId="165" fontId="17" fillId="0" borderId="74" xfId="28" applyNumberFormat="1" applyFont="1" applyFill="1" applyBorder="1" applyProtection="1"/>
    <xf numFmtId="166" fontId="15" fillId="0" borderId="74" xfId="28" applyNumberFormat="1" applyFont="1" applyFill="1" applyBorder="1" applyProtection="1"/>
    <xf numFmtId="6" fontId="17" fillId="0" borderId="74" xfId="0" applyNumberFormat="1" applyFont="1" applyFill="1" applyBorder="1" applyProtection="1"/>
    <xf numFmtId="0" fontId="47" fillId="25" borderId="10" xfId="0" applyFont="1" applyFill="1" applyBorder="1" applyAlignment="1">
      <alignment horizontal="center" vertical="center" wrapText="1"/>
    </xf>
    <xf numFmtId="0" fontId="60" fillId="29" borderId="10" xfId="0" applyFont="1" applyFill="1" applyBorder="1" applyAlignment="1">
      <alignment horizontal="center" vertical="center" wrapText="1"/>
    </xf>
    <xf numFmtId="0" fontId="47" fillId="29" borderId="44" xfId="0" applyFont="1" applyFill="1" applyBorder="1" applyAlignment="1">
      <alignment horizontal="center" vertical="center" wrapText="1"/>
    </xf>
    <xf numFmtId="0" fontId="47" fillId="29" borderId="10" xfId="0" applyFont="1" applyFill="1" applyBorder="1" applyAlignment="1">
      <alignment horizontal="center" vertical="center" wrapText="1"/>
    </xf>
    <xf numFmtId="0" fontId="32" fillId="27" borderId="10" xfId="0" applyFont="1" applyFill="1" applyBorder="1" applyAlignment="1">
      <alignment horizontal="center" vertical="center" wrapText="1"/>
    </xf>
    <xf numFmtId="2" fontId="0" fillId="0" borderId="0" xfId="0" applyNumberFormat="1"/>
    <xf numFmtId="5" fontId="28" fillId="27" borderId="30" xfId="0" applyNumberFormat="1" applyFont="1" applyFill="1" applyBorder="1" applyProtection="1"/>
    <xf numFmtId="0" fontId="15" fillId="0" borderId="14" xfId="0" applyFont="1" applyFill="1" applyBorder="1" applyAlignment="1">
      <alignment horizontal="center"/>
    </xf>
    <xf numFmtId="0" fontId="15" fillId="0" borderId="14" xfId="0" applyFont="1" applyBorder="1"/>
    <xf numFmtId="0" fontId="0" fillId="0" borderId="14" xfId="0" applyFill="1" applyBorder="1"/>
    <xf numFmtId="0" fontId="15" fillId="0" borderId="14" xfId="0" applyFont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166" fontId="67" fillId="0" borderId="11" xfId="0" applyNumberFormat="1" applyFont="1" applyFill="1" applyBorder="1"/>
    <xf numFmtId="6" fontId="15" fillId="0" borderId="0" xfId="0" applyNumberFormat="1" applyFont="1" applyFill="1" applyBorder="1" applyAlignment="1">
      <alignment horizontal="right"/>
    </xf>
    <xf numFmtId="166" fontId="15" fillId="0" borderId="0" xfId="0" applyNumberFormat="1" applyFont="1" applyFill="1" applyBorder="1" applyAlignment="1">
      <alignment horizontal="right"/>
    </xf>
    <xf numFmtId="0" fontId="24" fillId="0" borderId="0" xfId="0" applyFont="1" applyFill="1" applyAlignment="1">
      <alignment vertical="center"/>
    </xf>
    <xf numFmtId="10" fontId="15" fillId="0" borderId="10" xfId="0" applyNumberFormat="1" applyFont="1" applyFill="1" applyBorder="1"/>
    <xf numFmtId="1" fontId="15" fillId="26" borderId="60" xfId="0" applyNumberFormat="1" applyFont="1" applyFill="1" applyBorder="1" applyAlignment="1" applyProtection="1">
      <alignment horizontal="center"/>
    </xf>
    <xf numFmtId="1" fontId="17" fillId="26" borderId="68" xfId="0" applyNumberFormat="1" applyFont="1" applyFill="1" applyBorder="1" applyAlignment="1" applyProtection="1">
      <alignment horizontal="center"/>
    </xf>
    <xf numFmtId="6" fontId="15" fillId="0" borderId="0" xfId="0" applyNumberFormat="1" applyFont="1" applyBorder="1"/>
    <xf numFmtId="0" fontId="28" fillId="27" borderId="75" xfId="0" applyFont="1" applyFill="1" applyBorder="1" applyAlignment="1">
      <alignment horizontal="left"/>
    </xf>
    <xf numFmtId="0" fontId="45" fillId="27" borderId="75" xfId="0" applyFont="1" applyFill="1" applyBorder="1"/>
    <xf numFmtId="3" fontId="15" fillId="0" borderId="11" xfId="0" applyNumberFormat="1" applyFont="1" applyFill="1" applyBorder="1" applyAlignment="1">
      <alignment horizontal="right"/>
    </xf>
    <xf numFmtId="0" fontId="0" fillId="0" borderId="10" xfId="0" applyBorder="1"/>
    <xf numFmtId="38" fontId="15" fillId="0" borderId="10" xfId="0" applyNumberFormat="1" applyFont="1" applyBorder="1"/>
    <xf numFmtId="0" fontId="15" fillId="0" borderId="44" xfId="0" applyFont="1" applyFill="1" applyBorder="1"/>
    <xf numFmtId="0" fontId="32" fillId="25" borderId="13" xfId="0" applyFont="1" applyFill="1" applyBorder="1" applyAlignment="1">
      <alignment horizontal="center" vertical="center" wrapText="1"/>
    </xf>
    <xf numFmtId="6" fontId="15" fillId="0" borderId="11" xfId="0" applyNumberFormat="1" applyFont="1" applyFill="1" applyBorder="1" applyProtection="1"/>
    <xf numFmtId="6" fontId="15" fillId="0" borderId="72" xfId="0" applyNumberFormat="1" applyFont="1" applyFill="1" applyBorder="1" applyProtection="1"/>
    <xf numFmtId="6" fontId="15" fillId="0" borderId="74" xfId="0" applyNumberFormat="1" applyFont="1" applyFill="1" applyBorder="1" applyProtection="1"/>
    <xf numFmtId="0" fontId="18" fillId="0" borderId="0" xfId="0" applyFont="1" applyFill="1" applyBorder="1" applyAlignment="1">
      <alignment horizontal="left" wrapText="1"/>
    </xf>
    <xf numFmtId="165" fontId="27" fillId="27" borderId="77" xfId="28" applyNumberFormat="1" applyFont="1" applyFill="1" applyBorder="1" applyAlignment="1">
      <alignment horizontal="right"/>
    </xf>
    <xf numFmtId="165" fontId="27" fillId="27" borderId="76" xfId="28" applyNumberFormat="1" applyFont="1" applyFill="1" applyBorder="1" applyAlignment="1">
      <alignment horizontal="right"/>
    </xf>
    <xf numFmtId="166" fontId="27" fillId="27" borderId="77" xfId="28" applyNumberFormat="1" applyFont="1" applyFill="1" applyBorder="1" applyAlignment="1">
      <alignment horizontal="right"/>
    </xf>
    <xf numFmtId="9" fontId="27" fillId="27" borderId="77" xfId="28" applyNumberFormat="1" applyFont="1" applyFill="1" applyBorder="1" applyAlignment="1">
      <alignment horizontal="right"/>
    </xf>
    <xf numFmtId="9" fontId="27" fillId="27" borderId="77" xfId="0" applyNumberFormat="1" applyFont="1" applyFill="1" applyBorder="1" applyAlignment="1">
      <alignment horizontal="center"/>
    </xf>
    <xf numFmtId="39" fontId="27" fillId="27" borderId="77" xfId="28" applyNumberFormat="1" applyFont="1" applyFill="1" applyBorder="1" applyAlignment="1">
      <alignment horizontal="center"/>
    </xf>
    <xf numFmtId="0" fontId="70" fillId="25" borderId="13" xfId="0" applyFont="1" applyFill="1" applyBorder="1" applyAlignment="1">
      <alignment horizontal="center" vertical="center" wrapText="1"/>
    </xf>
    <xf numFmtId="167" fontId="32" fillId="25" borderId="13" xfId="0" applyNumberFormat="1" applyFont="1" applyFill="1" applyBorder="1" applyAlignment="1">
      <alignment horizontal="center" vertical="center" wrapText="1"/>
    </xf>
    <xf numFmtId="0" fontId="60" fillId="25" borderId="11" xfId="0" applyFont="1" applyFill="1" applyBorder="1" applyAlignment="1">
      <alignment horizontal="center" vertical="center" wrapText="1"/>
    </xf>
    <xf numFmtId="0" fontId="60" fillId="27" borderId="11" xfId="0" applyFont="1" applyFill="1" applyBorder="1" applyAlignment="1">
      <alignment horizontal="center" vertical="center" wrapText="1"/>
    </xf>
    <xf numFmtId="0" fontId="60" fillId="25" borderId="26" xfId="0" applyFont="1" applyFill="1" applyBorder="1" applyAlignment="1">
      <alignment horizontal="center" vertical="center" wrapText="1"/>
    </xf>
    <xf numFmtId="2" fontId="26" fillId="27" borderId="26" xfId="0" applyNumberFormat="1" applyFont="1" applyFill="1" applyBorder="1" applyAlignment="1">
      <alignment horizontal="center" wrapText="1"/>
    </xf>
    <xf numFmtId="0" fontId="48" fillId="25" borderId="10" xfId="0" applyFont="1" applyFill="1" applyBorder="1" applyAlignment="1">
      <alignment horizontal="center" vertical="center" wrapText="1"/>
    </xf>
    <xf numFmtId="0" fontId="15" fillId="0" borderId="12" xfId="0" applyFont="1" applyBorder="1" applyAlignment="1">
      <alignment horizontal="right"/>
    </xf>
    <xf numFmtId="0" fontId="32" fillId="0" borderId="67" xfId="0" applyFont="1" applyBorder="1" applyAlignment="1">
      <alignment horizontal="right"/>
    </xf>
    <xf numFmtId="5" fontId="32" fillId="0" borderId="78" xfId="32" applyNumberFormat="1" applyFont="1" applyBorder="1" applyAlignment="1">
      <alignment horizontal="right"/>
    </xf>
    <xf numFmtId="2" fontId="32" fillId="0" borderId="78" xfId="0" applyNumberFormat="1" applyFont="1" applyBorder="1" applyAlignment="1">
      <alignment horizontal="right"/>
    </xf>
    <xf numFmtId="0" fontId="32" fillId="0" borderId="12" xfId="0" applyFont="1" applyBorder="1" applyAlignment="1">
      <alignment horizontal="right"/>
    </xf>
    <xf numFmtId="43" fontId="32" fillId="0" borderId="12" xfId="28" applyNumberFormat="1" applyFont="1" applyBorder="1" applyAlignment="1">
      <alignment horizontal="right"/>
    </xf>
    <xf numFmtId="43" fontId="32" fillId="0" borderId="12" xfId="28" applyFont="1" applyBorder="1" applyAlignment="1">
      <alignment horizontal="right"/>
    </xf>
    <xf numFmtId="10" fontId="32" fillId="0" borderId="12" xfId="0" applyNumberFormat="1" applyFont="1" applyBorder="1" applyAlignment="1">
      <alignment horizontal="right"/>
    </xf>
    <xf numFmtId="166" fontId="15" fillId="0" borderId="45" xfId="0" applyNumberFormat="1" applyFont="1" applyBorder="1"/>
    <xf numFmtId="166" fontId="15" fillId="27" borderId="45" xfId="0" applyNumberFormat="1" applyFont="1" applyFill="1" applyBorder="1"/>
    <xf numFmtId="10" fontId="15" fillId="0" borderId="45" xfId="0" applyNumberFormat="1" applyFont="1" applyBorder="1"/>
    <xf numFmtId="6" fontId="15" fillId="0" borderId="45" xfId="32" applyNumberFormat="1" applyFont="1" applyBorder="1"/>
    <xf numFmtId="166" fontId="15" fillId="27" borderId="11" xfId="0" applyNumberFormat="1" applyFont="1" applyFill="1" applyBorder="1"/>
    <xf numFmtId="165" fontId="15" fillId="0" borderId="11" xfId="28" applyNumberFormat="1" applyFont="1" applyBorder="1"/>
    <xf numFmtId="6" fontId="15" fillId="0" borderId="11" xfId="28" applyNumberFormat="1" applyFont="1" applyBorder="1"/>
    <xf numFmtId="166" fontId="15" fillId="0" borderId="79" xfId="0" applyNumberFormat="1" applyFont="1" applyBorder="1"/>
    <xf numFmtId="166" fontId="15" fillId="27" borderId="79" xfId="0" applyNumberFormat="1" applyFont="1" applyFill="1" applyBorder="1"/>
    <xf numFmtId="10" fontId="15" fillId="0" borderId="13" xfId="0" applyNumberFormat="1" applyFont="1" applyBorder="1"/>
    <xf numFmtId="10" fontId="15" fillId="0" borderId="79" xfId="0" applyNumberFormat="1" applyFont="1" applyBorder="1"/>
    <xf numFmtId="6" fontId="15" fillId="0" borderId="79" xfId="32" applyNumberFormat="1" applyFont="1" applyBorder="1"/>
    <xf numFmtId="166" fontId="15" fillId="27" borderId="13" xfId="0" applyNumberFormat="1" applyFont="1" applyFill="1" applyBorder="1"/>
    <xf numFmtId="165" fontId="15" fillId="0" borderId="13" xfId="28" applyNumberFormat="1" applyFont="1" applyBorder="1"/>
    <xf numFmtId="6" fontId="15" fillId="0" borderId="13" xfId="28" applyNumberFormat="1" applyFont="1" applyBorder="1"/>
    <xf numFmtId="166" fontId="15" fillId="27" borderId="11" xfId="0" applyNumberFormat="1" applyFont="1" applyFill="1" applyBorder="1" applyAlignment="1"/>
    <xf numFmtId="6" fontId="17" fillId="0" borderId="80" xfId="0" applyNumberFormat="1" applyFont="1" applyBorder="1"/>
    <xf numFmtId="6" fontId="17" fillId="0" borderId="12" xfId="0" applyNumberFormat="1" applyFont="1" applyBorder="1"/>
    <xf numFmtId="6" fontId="17" fillId="27" borderId="12" xfId="0" applyNumberFormat="1" applyFont="1" applyFill="1" applyBorder="1"/>
    <xf numFmtId="10" fontId="17" fillId="27" borderId="12" xfId="0" applyNumberFormat="1" applyFont="1" applyFill="1" applyBorder="1"/>
    <xf numFmtId="10" fontId="17" fillId="27" borderId="78" xfId="0" applyNumberFormat="1" applyFont="1" applyFill="1" applyBorder="1"/>
    <xf numFmtId="6" fontId="17" fillId="0" borderId="12" xfId="32" applyNumberFormat="1" applyFont="1" applyBorder="1"/>
    <xf numFmtId="38" fontId="17" fillId="0" borderId="12" xfId="0" applyNumberFormat="1" applyFont="1" applyBorder="1"/>
    <xf numFmtId="38" fontId="17" fillId="27" borderId="12" xfId="0" applyNumberFormat="1" applyFont="1" applyFill="1" applyBorder="1"/>
    <xf numFmtId="166" fontId="17" fillId="0" borderId="12" xfId="0" applyNumberFormat="1" applyFont="1" applyBorder="1"/>
    <xf numFmtId="166" fontId="17" fillId="0" borderId="78" xfId="0" applyNumberFormat="1" applyFont="1" applyBorder="1"/>
    <xf numFmtId="166" fontId="17" fillId="27" borderId="12" xfId="0" applyNumberFormat="1" applyFont="1" applyFill="1" applyBorder="1"/>
    <xf numFmtId="10" fontId="17" fillId="0" borderId="78" xfId="48" applyNumberFormat="1" applyFont="1" applyBorder="1"/>
    <xf numFmtId="166" fontId="15" fillId="0" borderId="0" xfId="0" applyNumberFormat="1" applyFont="1"/>
    <xf numFmtId="5" fontId="32" fillId="0" borderId="12" xfId="32" applyNumberFormat="1" applyFont="1" applyFill="1" applyBorder="1" applyAlignment="1">
      <alignment horizontal="right"/>
    </xf>
    <xf numFmtId="0" fontId="17" fillId="0" borderId="81" xfId="0" applyFont="1" applyFill="1" applyBorder="1" applyProtection="1"/>
    <xf numFmtId="0" fontId="32" fillId="0" borderId="82" xfId="0" applyFont="1" applyFill="1" applyBorder="1" applyAlignment="1" applyProtection="1">
      <alignment horizontal="center"/>
    </xf>
    <xf numFmtId="6" fontId="32" fillId="0" borderId="83" xfId="28" applyNumberFormat="1" applyFont="1" applyFill="1" applyBorder="1" applyProtection="1"/>
    <xf numFmtId="6" fontId="32" fillId="0" borderId="83" xfId="0" applyNumberFormat="1" applyFont="1" applyBorder="1"/>
    <xf numFmtId="165" fontId="32" fillId="0" borderId="83" xfId="28" applyNumberFormat="1" applyFont="1" applyFill="1" applyBorder="1" applyProtection="1"/>
    <xf numFmtId="5" fontId="32" fillId="0" borderId="83" xfId="0" applyNumberFormat="1" applyFont="1" applyFill="1" applyBorder="1" applyProtection="1"/>
    <xf numFmtId="6" fontId="32" fillId="27" borderId="84" xfId="28" applyNumberFormat="1" applyFont="1" applyFill="1" applyBorder="1" applyProtection="1"/>
    <xf numFmtId="0" fontId="17" fillId="0" borderId="0" xfId="0" applyFont="1" applyFill="1" applyBorder="1" applyProtection="1"/>
    <xf numFmtId="6" fontId="32" fillId="0" borderId="84" xfId="28" applyNumberFormat="1" applyFont="1" applyFill="1" applyBorder="1" applyProtection="1"/>
    <xf numFmtId="6" fontId="51" fillId="0" borderId="72" xfId="0" applyNumberFormat="1" applyFont="1" applyFill="1" applyBorder="1" applyProtection="1"/>
    <xf numFmtId="0" fontId="32" fillId="0" borderId="0" xfId="0" applyFont="1" applyFill="1" applyBorder="1" applyAlignment="1" applyProtection="1">
      <alignment horizontal="center"/>
    </xf>
    <xf numFmtId="6" fontId="15" fillId="0" borderId="0" xfId="28" applyNumberFormat="1" applyFont="1" applyBorder="1"/>
    <xf numFmtId="0" fontId="0" fillId="0" borderId="0" xfId="0" applyAlignment="1">
      <alignment vertical="center"/>
    </xf>
    <xf numFmtId="0" fontId="17" fillId="0" borderId="0" xfId="0" applyFont="1" applyAlignment="1">
      <alignment horizontal="right" vertical="center"/>
    </xf>
    <xf numFmtId="0" fontId="32" fillId="27" borderId="13" xfId="0" applyFont="1" applyFill="1" applyBorder="1" applyAlignment="1">
      <alignment horizontal="center" vertical="center" wrapText="1"/>
    </xf>
    <xf numFmtId="168" fontId="56" fillId="0" borderId="0" xfId="48" applyNumberFormat="1" applyFont="1" applyFill="1" applyBorder="1"/>
    <xf numFmtId="168" fontId="0" fillId="0" borderId="0" xfId="0" applyNumberFormat="1" applyBorder="1"/>
    <xf numFmtId="170" fontId="0" fillId="0" borderId="0" xfId="0" applyNumberFormat="1" applyBorder="1"/>
    <xf numFmtId="166" fontId="0" fillId="0" borderId="0" xfId="0" applyNumberFormat="1" applyBorder="1"/>
    <xf numFmtId="0" fontId="0" fillId="0" borderId="0" xfId="0" applyBorder="1" applyAlignment="1">
      <alignment vertical="center"/>
    </xf>
    <xf numFmtId="10" fontId="0" fillId="0" borderId="0" xfId="0" applyNumberFormat="1"/>
    <xf numFmtId="0" fontId="79" fillId="0" borderId="26" xfId="0" applyFont="1" applyFill="1" applyBorder="1" applyAlignment="1">
      <alignment horizontal="left" wrapText="1"/>
    </xf>
    <xf numFmtId="6" fontId="26" fillId="0" borderId="0" xfId="0" applyNumberFormat="1" applyFont="1" applyAlignment="1">
      <alignment horizontal="right"/>
    </xf>
    <xf numFmtId="0" fontId="25" fillId="27" borderId="87" xfId="0" applyFont="1" applyFill="1" applyBorder="1" applyAlignment="1">
      <alignment horizontal="center" vertical="center" wrapText="1"/>
    </xf>
    <xf numFmtId="0" fontId="53" fillId="0" borderId="35" xfId="0" applyFont="1" applyBorder="1" applyAlignment="1">
      <alignment horizontal="right" wrapText="1"/>
    </xf>
    <xf numFmtId="166" fontId="27" fillId="0" borderId="14" xfId="28" applyNumberFormat="1" applyFont="1" applyFill="1" applyBorder="1" applyAlignment="1">
      <alignment horizontal="center"/>
    </xf>
    <xf numFmtId="6" fontId="17" fillId="0" borderId="34" xfId="0" applyNumberFormat="1" applyFont="1" applyFill="1" applyBorder="1" applyProtection="1"/>
    <xf numFmtId="3" fontId="65" fillId="0" borderId="13" xfId="0" applyNumberFormat="1" applyFont="1" applyFill="1" applyBorder="1" applyAlignment="1">
      <alignment horizontal="right"/>
    </xf>
    <xf numFmtId="6" fontId="65" fillId="0" borderId="13" xfId="0" applyNumberFormat="1" applyFont="1" applyBorder="1" applyAlignment="1">
      <alignment horizontal="right"/>
    </xf>
    <xf numFmtId="6" fontId="0" fillId="0" borderId="0" xfId="0" applyNumberFormat="1" applyBorder="1" applyAlignment="1">
      <alignment horizontal="right"/>
    </xf>
    <xf numFmtId="3" fontId="15" fillId="0" borderId="0" xfId="0" applyNumberFormat="1" applyFont="1" applyFill="1" applyBorder="1" applyAlignment="1">
      <alignment horizontal="center"/>
    </xf>
    <xf numFmtId="0" fontId="18" fillId="0" borderId="89" xfId="0" quotePrefix="1" applyFont="1" applyFill="1" applyBorder="1" applyAlignment="1">
      <alignment horizontal="center"/>
    </xf>
    <xf numFmtId="0" fontId="18" fillId="0" borderId="89" xfId="0" applyFont="1" applyFill="1" applyBorder="1" applyAlignment="1">
      <alignment horizontal="left"/>
    </xf>
    <xf numFmtId="5" fontId="20" fillId="0" borderId="90" xfId="0" applyNumberFormat="1" applyFont="1" applyFill="1" applyBorder="1" applyProtection="1"/>
    <xf numFmtId="5" fontId="20" fillId="0" borderId="59" xfId="0" applyNumberFormat="1" applyFont="1" applyFill="1" applyBorder="1" applyProtection="1"/>
    <xf numFmtId="0" fontId="63" fillId="0" borderId="0" xfId="0" applyFont="1" applyAlignment="1">
      <alignment horizontal="center"/>
    </xf>
    <xf numFmtId="3" fontId="15" fillId="0" borderId="0" xfId="0" applyNumberFormat="1" applyFont="1" applyFill="1" applyBorder="1" applyAlignment="1">
      <alignment horizontal="left"/>
    </xf>
    <xf numFmtId="3" fontId="44" fillId="0" borderId="0" xfId="0" applyNumberFormat="1" applyFont="1" applyFill="1" applyBorder="1" applyAlignment="1">
      <alignment horizontal="left"/>
    </xf>
    <xf numFmtId="9" fontId="27" fillId="0" borderId="92" xfId="0" applyNumberFormat="1" applyFont="1" applyFill="1" applyBorder="1" applyAlignment="1">
      <alignment horizontal="center"/>
    </xf>
    <xf numFmtId="0" fontId="18" fillId="0" borderId="18" xfId="0" quotePrefix="1" applyFont="1" applyFill="1" applyBorder="1" applyAlignment="1">
      <alignment horizontal="center" vertical="center" wrapText="1"/>
    </xf>
    <xf numFmtId="0" fontId="18" fillId="0" borderId="0" xfId="0" quotePrefix="1" applyFont="1" applyFill="1" applyBorder="1" applyAlignment="1">
      <alignment horizontal="center" vertical="center" wrapText="1"/>
    </xf>
    <xf numFmtId="6" fontId="65" fillId="0" borderId="35" xfId="0" applyNumberFormat="1" applyFont="1" applyBorder="1" applyAlignment="1">
      <alignment horizontal="right"/>
    </xf>
    <xf numFmtId="5" fontId="28" fillId="0" borderId="93" xfId="0" applyNumberFormat="1" applyFont="1" applyFill="1" applyBorder="1" applyAlignment="1" applyProtection="1">
      <alignment vertical="center"/>
    </xf>
    <xf numFmtId="167" fontId="15" fillId="0" borderId="0" xfId="0" applyNumberFormat="1" applyFont="1" applyBorder="1"/>
    <xf numFmtId="16" fontId="15" fillId="0" borderId="0" xfId="0" applyNumberFormat="1" applyFont="1" applyFill="1" applyBorder="1"/>
    <xf numFmtId="0" fontId="15" fillId="0" borderId="0" xfId="0" applyFont="1" applyBorder="1" applyAlignment="1">
      <alignment horizontal="center"/>
    </xf>
    <xf numFmtId="167" fontId="15" fillId="0" borderId="0" xfId="0" applyNumberFormat="1" applyFont="1" applyBorder="1" applyAlignment="1">
      <alignment horizontal="center"/>
    </xf>
    <xf numFmtId="167" fontId="15" fillId="0" borderId="0" xfId="0" applyNumberFormat="1" applyFont="1" applyFill="1" applyBorder="1" applyAlignment="1">
      <alignment horizontal="center"/>
    </xf>
    <xf numFmtId="5" fontId="99" fillId="0" borderId="83" xfId="0" applyNumberFormat="1" applyFont="1" applyFill="1" applyBorder="1" applyProtection="1"/>
    <xf numFmtId="6" fontId="99" fillId="0" borderId="83" xfId="0" applyNumberFormat="1" applyFont="1" applyFill="1" applyBorder="1" applyProtection="1"/>
    <xf numFmtId="165" fontId="99" fillId="0" borderId="83" xfId="28" applyNumberFormat="1" applyFont="1" applyFill="1" applyBorder="1" applyProtection="1"/>
    <xf numFmtId="0" fontId="43" fillId="0" borderId="0" xfId="0" quotePrefix="1" applyFont="1" applyBorder="1" applyAlignment="1">
      <alignment horizontal="center" vertical="center" wrapText="1"/>
    </xf>
    <xf numFmtId="10" fontId="32" fillId="0" borderId="78" xfId="32" applyNumberFormat="1" applyFont="1" applyFill="1" applyBorder="1" applyAlignment="1">
      <alignment horizontal="right"/>
    </xf>
    <xf numFmtId="0" fontId="50" fillId="0" borderId="11" xfId="45" applyFont="1" applyFill="1" applyBorder="1" applyAlignment="1">
      <alignment horizontal="right" wrapText="1"/>
    </xf>
    <xf numFmtId="166" fontId="50" fillId="0" borderId="11" xfId="45" applyNumberFormat="1" applyFont="1" applyFill="1" applyBorder="1" applyAlignment="1">
      <alignment horizontal="right" wrapText="1"/>
    </xf>
    <xf numFmtId="0" fontId="50" fillId="0" borderId="13" xfId="45" applyFont="1" applyFill="1" applyBorder="1" applyAlignment="1">
      <alignment horizontal="right" wrapText="1"/>
    </xf>
    <xf numFmtId="166" fontId="50" fillId="0" borderId="13" xfId="45" applyNumberFormat="1" applyFont="1" applyFill="1" applyBorder="1" applyAlignment="1">
      <alignment horizontal="right" wrapText="1"/>
    </xf>
    <xf numFmtId="0" fontId="0" fillId="0" borderId="11" xfId="0" applyFill="1" applyBorder="1"/>
    <xf numFmtId="166" fontId="0" fillId="0" borderId="11" xfId="0" applyNumberFormat="1" applyFill="1" applyBorder="1"/>
    <xf numFmtId="1" fontId="15" fillId="0" borderId="11" xfId="0" applyNumberFormat="1" applyFont="1" applyFill="1" applyBorder="1"/>
    <xf numFmtId="166" fontId="15" fillId="32" borderId="11" xfId="0" applyNumberFormat="1" applyFont="1" applyFill="1" applyBorder="1"/>
    <xf numFmtId="4" fontId="15" fillId="32" borderId="11" xfId="28" applyNumberFormat="1" applyFont="1" applyFill="1" applyBorder="1"/>
    <xf numFmtId="4" fontId="15" fillId="32" borderId="34" xfId="28" applyNumberFormat="1" applyFont="1" applyFill="1" applyBorder="1"/>
    <xf numFmtId="40" fontId="15" fillId="32" borderId="11" xfId="0" applyNumberFormat="1" applyFont="1" applyFill="1" applyBorder="1"/>
    <xf numFmtId="168" fontId="15" fillId="0" borderId="11" xfId="48" applyNumberFormat="1" applyFont="1" applyFill="1" applyBorder="1"/>
    <xf numFmtId="168" fontId="15" fillId="0" borderId="13" xfId="48" applyNumberFormat="1" applyFont="1" applyFill="1" applyBorder="1"/>
    <xf numFmtId="0" fontId="32" fillId="0" borderId="12" xfId="0" applyFont="1" applyFill="1" applyBorder="1" applyAlignment="1">
      <alignment horizontal="right"/>
    </xf>
    <xf numFmtId="3" fontId="15" fillId="31" borderId="11" xfId="0" applyNumberFormat="1" applyFont="1" applyFill="1" applyBorder="1"/>
    <xf numFmtId="168" fontId="15" fillId="25" borderId="11" xfId="48" applyNumberFormat="1" applyFont="1" applyFill="1" applyBorder="1"/>
    <xf numFmtId="166" fontId="15" fillId="25" borderId="45" xfId="0" applyNumberFormat="1" applyFont="1" applyFill="1" applyBorder="1"/>
    <xf numFmtId="2" fontId="50" fillId="0" borderId="11" xfId="45" applyNumberFormat="1" applyFont="1" applyFill="1" applyBorder="1" applyAlignment="1">
      <alignment horizontal="right" wrapText="1"/>
    </xf>
    <xf numFmtId="2" fontId="50" fillId="0" borderId="13" xfId="45" applyNumberFormat="1" applyFont="1" applyFill="1" applyBorder="1" applyAlignment="1">
      <alignment horizontal="right" wrapText="1"/>
    </xf>
    <xf numFmtId="2" fontId="0" fillId="0" borderId="11" xfId="0" applyNumberFormat="1" applyFill="1" applyBorder="1"/>
    <xf numFmtId="0" fontId="53" fillId="28" borderId="35" xfId="0" applyFont="1" applyFill="1" applyBorder="1" applyAlignment="1">
      <alignment horizontal="center" wrapText="1"/>
    </xf>
    <xf numFmtId="0" fontId="78" fillId="28" borderId="35" xfId="0" applyFont="1" applyFill="1" applyBorder="1" applyAlignment="1">
      <alignment horizontal="right" wrapText="1"/>
    </xf>
    <xf numFmtId="0" fontId="78" fillId="28" borderId="35" xfId="0" applyFont="1" applyFill="1" applyBorder="1" applyAlignment="1">
      <alignment horizontal="left" wrapText="1"/>
    </xf>
    <xf numFmtId="0" fontId="78" fillId="28" borderId="13" xfId="0" applyFont="1" applyFill="1" applyBorder="1" applyAlignment="1">
      <alignment horizontal="right" wrapText="1"/>
    </xf>
    <xf numFmtId="3" fontId="53" fillId="0" borderId="35" xfId="0" applyNumberFormat="1" applyFont="1" applyFill="1" applyBorder="1" applyAlignment="1">
      <alignment horizontal="right"/>
    </xf>
    <xf numFmtId="6" fontId="53" fillId="0" borderId="35" xfId="0" applyNumberFormat="1" applyFont="1" applyBorder="1" applyAlignment="1">
      <alignment horizontal="right"/>
    </xf>
    <xf numFmtId="6" fontId="53" fillId="0" borderId="13" xfId="0" applyNumberFormat="1" applyFont="1" applyBorder="1" applyAlignment="1">
      <alignment horizontal="right"/>
    </xf>
    <xf numFmtId="0" fontId="53" fillId="33" borderId="35" xfId="0" applyFont="1" applyFill="1" applyBorder="1" applyAlignment="1">
      <alignment horizontal="right" wrapText="1"/>
    </xf>
    <xf numFmtId="3" fontId="77" fillId="33" borderId="14" xfId="0" applyNumberFormat="1" applyFont="1" applyFill="1" applyBorder="1" applyAlignment="1">
      <alignment horizontal="right"/>
    </xf>
    <xf numFmtId="6" fontId="65" fillId="33" borderId="14" xfId="0" applyNumberFormat="1" applyFont="1" applyFill="1" applyBorder="1" applyAlignment="1">
      <alignment horizontal="right"/>
    </xf>
    <xf numFmtId="0" fontId="100" fillId="0" borderId="0" xfId="0" applyFont="1" applyFill="1"/>
    <xf numFmtId="0" fontId="77" fillId="0" borderId="13" xfId="0" applyFont="1" applyFill="1" applyBorder="1" applyAlignment="1">
      <alignment horizontal="center" wrapText="1"/>
    </xf>
    <xf numFmtId="6" fontId="77" fillId="0" borderId="13" xfId="0" applyNumberFormat="1" applyFont="1" applyBorder="1" applyAlignment="1">
      <alignment horizontal="right"/>
    </xf>
    <xf numFmtId="6" fontId="77" fillId="0" borderId="35" xfId="0" applyNumberFormat="1" applyFont="1" applyBorder="1" applyAlignment="1">
      <alignment horizontal="right"/>
    </xf>
    <xf numFmtId="3" fontId="53" fillId="0" borderId="26" xfId="0" applyNumberFormat="1" applyFont="1" applyFill="1" applyBorder="1" applyAlignment="1">
      <alignment horizontal="right"/>
    </xf>
    <xf numFmtId="166" fontId="15" fillId="27" borderId="11" xfId="28" applyNumberFormat="1" applyFont="1" applyFill="1" applyBorder="1"/>
    <xf numFmtId="166" fontId="15" fillId="0" borderId="11" xfId="28" applyNumberFormat="1" applyFont="1" applyBorder="1"/>
    <xf numFmtId="166" fontId="15" fillId="27" borderId="13" xfId="28" applyNumberFormat="1" applyFont="1" applyFill="1" applyBorder="1"/>
    <xf numFmtId="166" fontId="15" fillId="0" borderId="13" xfId="28" applyNumberFormat="1" applyFont="1" applyBorder="1"/>
    <xf numFmtId="10" fontId="20" fillId="0" borderId="94" xfId="0" applyNumberFormat="1" applyFont="1" applyFill="1" applyBorder="1" applyAlignment="1" applyProtection="1">
      <alignment vertical="top"/>
    </xf>
    <xf numFmtId="10" fontId="20" fillId="0" borderId="95" xfId="0" applyNumberFormat="1" applyFont="1" applyFill="1" applyBorder="1" applyProtection="1"/>
    <xf numFmtId="10" fontId="20" fillId="0" borderId="96" xfId="0" applyNumberFormat="1" applyFont="1" applyFill="1" applyBorder="1" applyProtection="1"/>
    <xf numFmtId="10" fontId="18" fillId="0" borderId="96" xfId="0" applyNumberFormat="1" applyFont="1" applyFill="1" applyBorder="1" applyProtection="1"/>
    <xf numFmtId="10" fontId="20" fillId="0" borderId="97" xfId="0" applyNumberFormat="1" applyFont="1" applyFill="1" applyBorder="1" applyProtection="1"/>
    <xf numFmtId="10" fontId="28" fillId="0" borderId="96" xfId="0" applyNumberFormat="1" applyFont="1" applyFill="1" applyBorder="1" applyProtection="1"/>
    <xf numFmtId="10" fontId="20" fillId="0" borderId="98" xfId="0" applyNumberFormat="1" applyFont="1" applyFill="1" applyBorder="1" applyProtection="1"/>
    <xf numFmtId="10" fontId="28" fillId="0" borderId="99" xfId="0" applyNumberFormat="1" applyFont="1" applyFill="1" applyBorder="1" applyProtection="1"/>
    <xf numFmtId="10" fontId="28" fillId="0" borderId="100" xfId="0" applyNumberFormat="1" applyFont="1" applyFill="1" applyBorder="1" applyProtection="1"/>
    <xf numFmtId="10" fontId="20" fillId="0" borderId="101" xfId="0" applyNumberFormat="1" applyFont="1" applyFill="1" applyBorder="1" applyProtection="1"/>
    <xf numFmtId="10" fontId="45" fillId="27" borderId="99" xfId="0" applyNumberFormat="1" applyFont="1" applyFill="1" applyBorder="1" applyProtection="1"/>
    <xf numFmtId="10" fontId="45" fillId="0" borderId="102" xfId="0" applyNumberFormat="1" applyFont="1" applyFill="1" applyBorder="1" applyProtection="1"/>
    <xf numFmtId="10" fontId="20" fillId="0" borderId="103" xfId="0" applyNumberFormat="1" applyFont="1" applyFill="1" applyBorder="1" applyProtection="1"/>
    <xf numFmtId="10" fontId="20" fillId="0" borderId="104" xfId="0" applyNumberFormat="1" applyFont="1" applyFill="1" applyBorder="1" applyProtection="1"/>
    <xf numFmtId="10" fontId="28" fillId="27" borderId="105" xfId="0" applyNumberFormat="1" applyFont="1" applyFill="1" applyBorder="1" applyAlignment="1" applyProtection="1">
      <alignment vertical="center"/>
    </xf>
    <xf numFmtId="10" fontId="45" fillId="0" borderId="96" xfId="0" applyNumberFormat="1" applyFont="1" applyFill="1" applyBorder="1" applyProtection="1"/>
    <xf numFmtId="10" fontId="20" fillId="0" borderId="106" xfId="0" applyNumberFormat="1" applyFont="1" applyFill="1" applyBorder="1" applyProtection="1"/>
    <xf numFmtId="0" fontId="18" fillId="0" borderId="107" xfId="0" applyFont="1" applyFill="1" applyBorder="1" applyAlignment="1">
      <alignment horizontal="left" vertical="center" wrapText="1"/>
    </xf>
    <xf numFmtId="5" fontId="20" fillId="0" borderId="108" xfId="0" applyNumberFormat="1" applyFont="1" applyFill="1" applyBorder="1" applyAlignment="1" applyProtection="1">
      <alignment vertical="center"/>
    </xf>
    <xf numFmtId="10" fontId="20" fillId="0" borderId="109" xfId="0" applyNumberFormat="1" applyFont="1" applyFill="1" applyBorder="1" applyProtection="1"/>
    <xf numFmtId="0" fontId="28" fillId="27" borderId="110" xfId="0" applyFont="1" applyFill="1" applyBorder="1" applyAlignment="1">
      <alignment horizontal="center" vertical="center"/>
    </xf>
    <xf numFmtId="5" fontId="28" fillId="27" borderId="111" xfId="0" applyNumberFormat="1" applyFont="1" applyFill="1" applyBorder="1" applyAlignment="1" applyProtection="1">
      <alignment vertical="center"/>
    </xf>
    <xf numFmtId="0" fontId="18" fillId="0" borderId="85" xfId="0" applyFont="1" applyFill="1" applyBorder="1" applyAlignment="1">
      <alignment horizontal="left" vertical="center" wrapText="1"/>
    </xf>
    <xf numFmtId="5" fontId="20" fillId="0" borderId="91" xfId="0" applyNumberFormat="1" applyFont="1" applyFill="1" applyBorder="1" applyAlignment="1" applyProtection="1">
      <alignment vertical="center"/>
    </xf>
    <xf numFmtId="10" fontId="20" fillId="0" borderId="112" xfId="0" applyNumberFormat="1" applyFont="1" applyFill="1" applyBorder="1" applyProtection="1"/>
    <xf numFmtId="0" fontId="101" fillId="0" borderId="0" xfId="0" applyFont="1" applyBorder="1"/>
    <xf numFmtId="0" fontId="101" fillId="26" borderId="13" xfId="0" applyFont="1" applyFill="1" applyBorder="1" applyAlignment="1">
      <alignment horizontal="center" vertical="center"/>
    </xf>
    <xf numFmtId="0" fontId="101" fillId="26" borderId="26" xfId="0" applyFont="1" applyFill="1" applyBorder="1" applyAlignment="1">
      <alignment horizontal="center" vertical="center"/>
    </xf>
    <xf numFmtId="0" fontId="101" fillId="26" borderId="26" xfId="0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/>
    </xf>
    <xf numFmtId="0" fontId="79" fillId="0" borderId="0" xfId="0" applyFont="1" applyBorder="1"/>
    <xf numFmtId="0" fontId="104" fillId="0" borderId="0" xfId="0" quotePrefix="1" applyFont="1" applyFill="1" applyBorder="1" applyAlignment="1">
      <alignment horizontal="left" wrapText="1"/>
    </xf>
    <xf numFmtId="6" fontId="105" fillId="0" borderId="0" xfId="0" applyNumberFormat="1" applyFont="1" applyBorder="1" applyAlignment="1">
      <alignment horizontal="right"/>
    </xf>
    <xf numFmtId="38" fontId="105" fillId="0" borderId="0" xfId="0" applyNumberFormat="1" applyFont="1" applyBorder="1" applyAlignment="1">
      <alignment horizontal="right"/>
    </xf>
    <xf numFmtId="6" fontId="101" fillId="0" borderId="0" xfId="0" applyNumberFormat="1" applyFont="1" applyBorder="1"/>
    <xf numFmtId="0" fontId="105" fillId="0" borderId="0" xfId="0" applyFont="1" applyBorder="1"/>
    <xf numFmtId="5" fontId="15" fillId="27" borderId="11" xfId="0" applyNumberFormat="1" applyFont="1" applyFill="1" applyBorder="1" applyProtection="1"/>
    <xf numFmtId="5" fontId="15" fillId="27" borderId="72" xfId="0" applyNumberFormat="1" applyFont="1" applyFill="1" applyBorder="1" applyProtection="1"/>
    <xf numFmtId="5" fontId="15" fillId="27" borderId="74" xfId="0" applyNumberFormat="1" applyFont="1" applyFill="1" applyBorder="1" applyProtection="1"/>
    <xf numFmtId="6" fontId="15" fillId="27" borderId="11" xfId="0" applyNumberFormat="1" applyFont="1" applyFill="1" applyBorder="1" applyProtection="1"/>
    <xf numFmtId="6" fontId="15" fillId="27" borderId="72" xfId="0" applyNumberFormat="1" applyFont="1" applyFill="1" applyBorder="1" applyProtection="1"/>
    <xf numFmtId="0" fontId="0" fillId="0" borderId="0" xfId="0" applyBorder="1" applyAlignment="1">
      <alignment wrapText="1"/>
    </xf>
    <xf numFmtId="0" fontId="68" fillId="28" borderId="36" xfId="0" applyFont="1" applyFill="1" applyBorder="1" applyAlignment="1">
      <alignment horizontal="left" wrapText="1"/>
    </xf>
    <xf numFmtId="6" fontId="77" fillId="27" borderId="13" xfId="0" applyNumberFormat="1" applyFont="1" applyFill="1" applyBorder="1" applyAlignment="1">
      <alignment horizontal="right"/>
    </xf>
    <xf numFmtId="6" fontId="65" fillId="27" borderId="13" xfId="0" applyNumberFormat="1" applyFont="1" applyFill="1" applyBorder="1" applyAlignment="1">
      <alignment horizontal="right"/>
    </xf>
    <xf numFmtId="6" fontId="53" fillId="27" borderId="13" xfId="0" applyNumberFormat="1" applyFont="1" applyFill="1" applyBorder="1" applyAlignment="1">
      <alignment horizontal="right"/>
    </xf>
    <xf numFmtId="0" fontId="78" fillId="27" borderId="13" xfId="0" applyFont="1" applyFill="1" applyBorder="1" applyAlignment="1">
      <alignment horizontal="right" wrapText="1"/>
    </xf>
    <xf numFmtId="38" fontId="65" fillId="33" borderId="14" xfId="0" applyNumberFormat="1" applyFont="1" applyFill="1" applyBorder="1" applyAlignment="1">
      <alignment horizontal="right"/>
    </xf>
    <xf numFmtId="38" fontId="53" fillId="0" borderId="26" xfId="0" applyNumberFormat="1" applyFont="1" applyBorder="1" applyAlignment="1">
      <alignment horizontal="left"/>
    </xf>
    <xf numFmtId="6" fontId="53" fillId="0" borderId="26" xfId="0" applyNumberFormat="1" applyFont="1" applyFill="1" applyBorder="1" applyAlignment="1">
      <alignment horizontal="right"/>
    </xf>
    <xf numFmtId="6" fontId="53" fillId="27" borderId="26" xfId="0" applyNumberFormat="1" applyFont="1" applyFill="1" applyBorder="1" applyAlignment="1">
      <alignment horizontal="right"/>
    </xf>
    <xf numFmtId="0" fontId="75" fillId="0" borderId="0" xfId="0" applyFont="1" applyFill="1" applyBorder="1" applyAlignment="1">
      <alignment horizontal="left" vertical="center" wrapText="1"/>
    </xf>
    <xf numFmtId="6" fontId="0" fillId="27" borderId="13" xfId="0" applyNumberFormat="1" applyFill="1" applyBorder="1"/>
    <xf numFmtId="6" fontId="32" fillId="27" borderId="12" xfId="0" applyNumberFormat="1" applyFont="1" applyFill="1" applyBorder="1"/>
    <xf numFmtId="0" fontId="29" fillId="25" borderId="13" xfId="0" applyFont="1" applyFill="1" applyBorder="1" applyAlignment="1">
      <alignment horizontal="center" wrapText="1"/>
    </xf>
    <xf numFmtId="10" fontId="15" fillId="0" borderId="0" xfId="0" applyNumberFormat="1" applyFont="1" applyBorder="1"/>
    <xf numFmtId="0" fontId="0" fillId="0" borderId="0" xfId="0" applyAlignment="1"/>
    <xf numFmtId="0" fontId="15" fillId="0" borderId="0" xfId="0" applyFont="1" applyAlignment="1"/>
    <xf numFmtId="3" fontId="15" fillId="40" borderId="11" xfId="0" applyNumberFormat="1" applyFont="1" applyFill="1" applyBorder="1"/>
    <xf numFmtId="10" fontId="15" fillId="41" borderId="11" xfId="48" applyNumberFormat="1" applyFont="1" applyFill="1" applyBorder="1"/>
    <xf numFmtId="6" fontId="15" fillId="41" borderId="11" xfId="32" applyNumberFormat="1" applyFont="1" applyFill="1" applyBorder="1"/>
    <xf numFmtId="10" fontId="15" fillId="39" borderId="11" xfId="48" applyNumberFormat="1" applyFont="1" applyFill="1" applyBorder="1"/>
    <xf numFmtId="6" fontId="15" fillId="39" borderId="11" xfId="32" applyNumberFormat="1" applyFont="1" applyFill="1" applyBorder="1"/>
    <xf numFmtId="10" fontId="15" fillId="39" borderId="13" xfId="48" applyNumberFormat="1" applyFont="1" applyFill="1" applyBorder="1"/>
    <xf numFmtId="6" fontId="15" fillId="39" borderId="13" xfId="32" applyNumberFormat="1" applyFont="1" applyFill="1" applyBorder="1"/>
    <xf numFmtId="1" fontId="50" fillId="0" borderId="11" xfId="45" applyNumberFormat="1" applyFont="1" applyFill="1" applyBorder="1" applyAlignment="1">
      <alignment horizontal="right" wrapText="1"/>
    </xf>
    <xf numFmtId="10" fontId="15" fillId="41" borderId="11" xfId="0" applyNumberFormat="1" applyFont="1" applyFill="1" applyBorder="1"/>
    <xf numFmtId="10" fontId="15" fillId="41" borderId="13" xfId="0" applyNumberFormat="1" applyFont="1" applyFill="1" applyBorder="1"/>
    <xf numFmtId="10" fontId="15" fillId="39" borderId="11" xfId="0" applyNumberFormat="1" applyFont="1" applyFill="1" applyBorder="1"/>
    <xf numFmtId="166" fontId="15" fillId="41" borderId="11" xfId="0" applyNumberFormat="1" applyFont="1" applyFill="1" applyBorder="1"/>
    <xf numFmtId="166" fontId="15" fillId="41" borderId="13" xfId="0" applyNumberFormat="1" applyFont="1" applyFill="1" applyBorder="1"/>
    <xf numFmtId="166" fontId="15" fillId="39" borderId="11" xfId="0" applyNumberFormat="1" applyFont="1" applyFill="1" applyBorder="1"/>
    <xf numFmtId="9" fontId="26" fillId="27" borderId="26" xfId="0" applyNumberFormat="1" applyFont="1" applyFill="1" applyBorder="1" applyAlignment="1">
      <alignment horizontal="center" vertical="center" wrapText="1"/>
    </xf>
    <xf numFmtId="0" fontId="56" fillId="0" borderId="0" xfId="0" applyFont="1" applyAlignment="1">
      <alignment horizontal="center"/>
    </xf>
    <xf numFmtId="168" fontId="56" fillId="0" borderId="0" xfId="0" applyNumberFormat="1" applyFont="1" applyAlignment="1">
      <alignment horizontal="center"/>
    </xf>
    <xf numFmtId="0" fontId="56" fillId="0" borderId="0" xfId="0" applyFont="1" applyFill="1" applyBorder="1" applyAlignment="1">
      <alignment horizontal="center" vertical="center"/>
    </xf>
    <xf numFmtId="3" fontId="15" fillId="41" borderId="11" xfId="0" applyNumberFormat="1" applyFont="1" applyFill="1" applyBorder="1"/>
    <xf numFmtId="0" fontId="65" fillId="0" borderId="35" xfId="0" applyFont="1" applyBorder="1" applyAlignment="1">
      <alignment horizontal="left" wrapText="1"/>
    </xf>
    <xf numFmtId="0" fontId="65" fillId="0" borderId="26" xfId="0" applyFont="1" applyBorder="1" applyAlignment="1">
      <alignment horizontal="left" wrapText="1"/>
    </xf>
    <xf numFmtId="0" fontId="65" fillId="0" borderId="35" xfId="0" applyFont="1" applyFill="1" applyBorder="1" applyAlignment="1">
      <alignment horizontal="left" wrapText="1"/>
    </xf>
    <xf numFmtId="38" fontId="15" fillId="0" borderId="74" xfId="0" applyNumberFormat="1" applyFont="1" applyFill="1" applyBorder="1" applyProtection="1"/>
    <xf numFmtId="49" fontId="71" fillId="41" borderId="34" xfId="0" applyNumberFormat="1" applyFont="1" applyFill="1" applyBorder="1" applyAlignment="1">
      <alignment horizontal="center" vertical="center" wrapText="1"/>
    </xf>
    <xf numFmtId="49" fontId="71" fillId="41" borderId="0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49" fontId="32" fillId="42" borderId="26" xfId="0" applyNumberFormat="1" applyFont="1" applyFill="1" applyBorder="1" applyAlignment="1">
      <alignment horizontal="center" vertical="center" wrapText="1"/>
    </xf>
    <xf numFmtId="49" fontId="32" fillId="41" borderId="34" xfId="0" applyNumberFormat="1" applyFont="1" applyFill="1" applyBorder="1" applyAlignment="1">
      <alignment horizontal="center" vertical="center" wrapText="1"/>
    </xf>
    <xf numFmtId="49" fontId="32" fillId="41" borderId="0" xfId="0" applyNumberFormat="1" applyFont="1" applyFill="1" applyBorder="1" applyAlignment="1">
      <alignment horizontal="center" vertical="center" wrapText="1"/>
    </xf>
    <xf numFmtId="10" fontId="32" fillId="42" borderId="26" xfId="49" applyNumberFormat="1" applyFont="1" applyFill="1" applyBorder="1" applyAlignment="1">
      <alignment horizontal="center" vertical="center" wrapText="1"/>
    </xf>
    <xf numFmtId="6" fontId="32" fillId="42" borderId="26" xfId="49" applyNumberFormat="1" applyFont="1" applyFill="1" applyBorder="1" applyAlignment="1">
      <alignment horizontal="center" vertical="center" wrapText="1"/>
    </xf>
    <xf numFmtId="1" fontId="15" fillId="26" borderId="11" xfId="0" applyNumberFormat="1" applyFont="1" applyFill="1" applyBorder="1" applyAlignment="1" applyProtection="1">
      <alignment horizontal="center"/>
    </xf>
    <xf numFmtId="1" fontId="17" fillId="26" borderId="11" xfId="0" applyNumberFormat="1" applyFont="1" applyFill="1" applyBorder="1" applyAlignment="1" applyProtection="1">
      <alignment horizontal="center"/>
    </xf>
    <xf numFmtId="1" fontId="26" fillId="26" borderId="10" xfId="0" quotePrefix="1" applyNumberFormat="1" applyFont="1" applyFill="1" applyBorder="1" applyAlignment="1" applyProtection="1">
      <alignment horizontal="center"/>
    </xf>
    <xf numFmtId="1" fontId="15" fillId="0" borderId="0" xfId="0" applyNumberFormat="1" applyFont="1" applyAlignment="1">
      <alignment horizontal="center"/>
    </xf>
    <xf numFmtId="1" fontId="15" fillId="26" borderId="26" xfId="0" applyNumberFormat="1" applyFont="1" applyFill="1" applyBorder="1" applyAlignment="1" applyProtection="1">
      <alignment horizontal="center"/>
    </xf>
    <xf numFmtId="1" fontId="17" fillId="26" borderId="26" xfId="0" applyNumberFormat="1" applyFont="1" applyFill="1" applyBorder="1" applyAlignment="1" applyProtection="1">
      <alignment horizontal="center"/>
    </xf>
    <xf numFmtId="1" fontId="26" fillId="26" borderId="26" xfId="0" applyNumberFormat="1" applyFont="1" applyFill="1" applyBorder="1" applyAlignment="1" applyProtection="1">
      <alignment horizontal="center"/>
    </xf>
    <xf numFmtId="1" fontId="26" fillId="26" borderId="26" xfId="0" applyNumberFormat="1" applyFont="1" applyFill="1" applyBorder="1" applyAlignment="1" applyProtection="1">
      <alignment horizontal="center" wrapText="1"/>
    </xf>
    <xf numFmtId="1" fontId="26" fillId="41" borderId="34" xfId="0" applyNumberFormat="1" applyFont="1" applyFill="1" applyBorder="1" applyAlignment="1" applyProtection="1">
      <alignment horizontal="center"/>
    </xf>
    <xf numFmtId="1" fontId="26" fillId="41" borderId="0" xfId="0" applyNumberFormat="1" applyFont="1" applyFill="1" applyBorder="1" applyAlignment="1" applyProtection="1">
      <alignment horizontal="center"/>
    </xf>
    <xf numFmtId="1" fontId="26" fillId="26" borderId="42" xfId="0" applyNumberFormat="1" applyFont="1" applyFill="1" applyBorder="1" applyAlignment="1" applyProtection="1">
      <alignment horizontal="center" wrapText="1"/>
    </xf>
    <xf numFmtId="1" fontId="15" fillId="0" borderId="26" xfId="0" applyNumberFormat="1" applyFont="1" applyBorder="1" applyAlignment="1">
      <alignment horizontal="center"/>
    </xf>
    <xf numFmtId="0" fontId="15" fillId="0" borderId="113" xfId="0" applyFont="1" applyFill="1" applyBorder="1" applyProtection="1"/>
    <xf numFmtId="0" fontId="15" fillId="0" borderId="114" xfId="0" applyFont="1" applyFill="1" applyBorder="1" applyProtection="1"/>
    <xf numFmtId="172" fontId="15" fillId="41" borderId="114" xfId="30" applyNumberFormat="1" applyFont="1" applyFill="1" applyBorder="1" applyAlignment="1" applyProtection="1">
      <alignment horizontal="right"/>
    </xf>
    <xf numFmtId="166" fontId="15" fillId="0" borderId="115" xfId="30" applyNumberFormat="1" applyFont="1" applyFill="1" applyBorder="1" applyAlignment="1" applyProtection="1">
      <alignment horizontal="right"/>
    </xf>
    <xf numFmtId="166" fontId="15" fillId="42" borderId="115" xfId="30" applyNumberFormat="1" applyFont="1" applyFill="1" applyBorder="1" applyAlignment="1" applyProtection="1">
      <alignment horizontal="right"/>
    </xf>
    <xf numFmtId="166" fontId="15" fillId="41" borderId="69" xfId="30" applyNumberFormat="1" applyFont="1" applyFill="1" applyBorder="1" applyAlignment="1" applyProtection="1">
      <alignment horizontal="right"/>
    </xf>
    <xf numFmtId="166" fontId="15" fillId="41" borderId="0" xfId="30" applyNumberFormat="1" applyFont="1" applyFill="1" applyBorder="1" applyAlignment="1" applyProtection="1">
      <alignment horizontal="right"/>
    </xf>
    <xf numFmtId="166" fontId="15" fillId="0" borderId="116" xfId="0" applyNumberFormat="1" applyFont="1" applyFill="1" applyBorder="1" applyAlignment="1" applyProtection="1">
      <alignment horizontal="right"/>
    </xf>
    <xf numFmtId="3" fontId="15" fillId="41" borderId="114" xfId="30" applyNumberFormat="1" applyFont="1" applyFill="1" applyBorder="1" applyAlignment="1" applyProtection="1">
      <alignment horizontal="right"/>
    </xf>
    <xf numFmtId="166" fontId="15" fillId="0" borderId="114" xfId="0" applyNumberFormat="1" applyFont="1" applyFill="1" applyBorder="1" applyAlignment="1" applyProtection="1">
      <alignment horizontal="right"/>
    </xf>
    <xf numFmtId="166" fontId="15" fillId="43" borderId="114" xfId="0" applyNumberFormat="1" applyFont="1" applyFill="1" applyBorder="1" applyAlignment="1" applyProtection="1">
      <alignment horizontal="right"/>
    </xf>
    <xf numFmtId="166" fontId="15" fillId="44" borderId="114" xfId="0" applyNumberFormat="1" applyFont="1" applyFill="1" applyBorder="1" applyAlignment="1" applyProtection="1">
      <alignment horizontal="right"/>
    </xf>
    <xf numFmtId="0" fontId="15" fillId="0" borderId="117" xfId="0" applyFont="1" applyFill="1" applyBorder="1" applyProtection="1"/>
    <xf numFmtId="0" fontId="15" fillId="0" borderId="118" xfId="0" applyFont="1" applyFill="1" applyBorder="1" applyProtection="1"/>
    <xf numFmtId="172" fontId="15" fillId="41" borderId="118" xfId="30" applyNumberFormat="1" applyFont="1" applyFill="1" applyBorder="1" applyAlignment="1" applyProtection="1">
      <alignment horizontal="right"/>
    </xf>
    <xf numFmtId="166" fontId="15" fillId="0" borderId="119" xfId="30" applyNumberFormat="1" applyFont="1" applyFill="1" applyBorder="1" applyAlignment="1" applyProtection="1">
      <alignment horizontal="right"/>
    </xf>
    <xf numFmtId="166" fontId="15" fillId="42" borderId="119" xfId="30" applyNumberFormat="1" applyFont="1" applyFill="1" applyBorder="1" applyAlignment="1" applyProtection="1">
      <alignment horizontal="right"/>
    </xf>
    <xf numFmtId="3" fontId="15" fillId="41" borderId="118" xfId="30" applyNumberFormat="1" applyFont="1" applyFill="1" applyBorder="1" applyAlignment="1" applyProtection="1">
      <alignment horizontal="right"/>
    </xf>
    <xf numFmtId="166" fontId="15" fillId="0" borderId="118" xfId="0" applyNumberFormat="1" applyFont="1" applyFill="1" applyBorder="1" applyAlignment="1" applyProtection="1">
      <alignment horizontal="right"/>
    </xf>
    <xf numFmtId="166" fontId="15" fillId="43" borderId="118" xfId="0" applyNumberFormat="1" applyFont="1" applyFill="1" applyBorder="1" applyAlignment="1" applyProtection="1">
      <alignment horizontal="right"/>
    </xf>
    <xf numFmtId="166" fontId="15" fillId="44" borderId="118" xfId="0" applyNumberFormat="1" applyFont="1" applyFill="1" applyBorder="1" applyAlignment="1" applyProtection="1">
      <alignment horizontal="right"/>
    </xf>
    <xf numFmtId="166" fontId="15" fillId="41" borderId="69" xfId="30" applyNumberFormat="1" applyFont="1" applyFill="1" applyBorder="1" applyAlignment="1" applyProtection="1">
      <alignment horizontal="right" wrapText="1"/>
    </xf>
    <xf numFmtId="0" fontId="15" fillId="41" borderId="0" xfId="0" applyFont="1" applyFill="1" applyBorder="1" applyAlignment="1">
      <alignment horizontal="center"/>
    </xf>
    <xf numFmtId="0" fontId="15" fillId="0" borderId="120" xfId="0" applyFont="1" applyFill="1" applyBorder="1" applyProtection="1"/>
    <xf numFmtId="0" fontId="15" fillId="0" borderId="121" xfId="0" applyFont="1" applyFill="1" applyBorder="1" applyProtection="1"/>
    <xf numFmtId="172" fontId="15" fillId="41" borderId="121" xfId="30" applyNumberFormat="1" applyFont="1" applyFill="1" applyBorder="1" applyAlignment="1" applyProtection="1">
      <alignment horizontal="right"/>
    </xf>
    <xf numFmtId="166" fontId="15" fillId="0" borderId="122" xfId="30" applyNumberFormat="1" applyFont="1" applyFill="1" applyBorder="1" applyAlignment="1" applyProtection="1">
      <alignment horizontal="right"/>
    </xf>
    <xf numFmtId="166" fontId="15" fillId="42" borderId="122" xfId="30" applyNumberFormat="1" applyFont="1" applyFill="1" applyBorder="1" applyAlignment="1" applyProtection="1">
      <alignment horizontal="right"/>
    </xf>
    <xf numFmtId="166" fontId="15" fillId="41" borderId="0" xfId="30" applyNumberFormat="1" applyFont="1" applyFill="1" applyBorder="1" applyAlignment="1" applyProtection="1"/>
    <xf numFmtId="166" fontId="15" fillId="0" borderId="123" xfId="0" applyNumberFormat="1" applyFont="1" applyFill="1" applyBorder="1" applyAlignment="1" applyProtection="1">
      <alignment horizontal="right"/>
    </xf>
    <xf numFmtId="3" fontId="15" fillId="41" borderId="121" xfId="30" applyNumberFormat="1" applyFont="1" applyFill="1" applyBorder="1" applyAlignment="1" applyProtection="1">
      <alignment horizontal="right"/>
    </xf>
    <xf numFmtId="166" fontId="15" fillId="0" borderId="121" xfId="0" applyNumberFormat="1" applyFont="1" applyFill="1" applyBorder="1" applyAlignment="1" applyProtection="1">
      <alignment horizontal="right"/>
    </xf>
    <xf numFmtId="166" fontId="15" fillId="43" borderId="121" xfId="0" applyNumberFormat="1" applyFont="1" applyFill="1" applyBorder="1" applyAlignment="1" applyProtection="1">
      <alignment horizontal="right"/>
    </xf>
    <xf numFmtId="166" fontId="15" fillId="44" borderId="121" xfId="0" applyNumberFormat="1" applyFont="1" applyFill="1" applyBorder="1" applyAlignment="1" applyProtection="1">
      <alignment horizontal="right"/>
    </xf>
    <xf numFmtId="166" fontId="15" fillId="41" borderId="0" xfId="30" applyNumberFormat="1" applyFont="1" applyFill="1" applyBorder="1" applyAlignment="1" applyProtection="1">
      <alignment horizontal="left"/>
    </xf>
    <xf numFmtId="172" fontId="15" fillId="41" borderId="118" xfId="0" applyNumberFormat="1" applyFont="1" applyFill="1" applyBorder="1" applyAlignment="1" applyProtection="1">
      <alignment horizontal="right"/>
    </xf>
    <xf numFmtId="166" fontId="15" fillId="0" borderId="119" xfId="0" applyNumberFormat="1" applyFont="1" applyFill="1" applyBorder="1" applyAlignment="1" applyProtection="1">
      <alignment horizontal="right"/>
    </xf>
    <xf numFmtId="166" fontId="15" fillId="42" borderId="119" xfId="0" applyNumberFormat="1" applyFont="1" applyFill="1" applyBorder="1" applyAlignment="1" applyProtection="1">
      <alignment horizontal="right"/>
    </xf>
    <xf numFmtId="166" fontId="15" fillId="41" borderId="69" xfId="0" applyNumberFormat="1" applyFont="1" applyFill="1" applyBorder="1" applyAlignment="1" applyProtection="1">
      <alignment horizontal="right"/>
    </xf>
    <xf numFmtId="166" fontId="15" fillId="41" borderId="0" xfId="0" applyNumberFormat="1" applyFont="1" applyFill="1" applyBorder="1" applyAlignment="1" applyProtection="1">
      <alignment horizontal="right"/>
    </xf>
    <xf numFmtId="3" fontId="15" fillId="41" borderId="118" xfId="0" applyNumberFormat="1" applyFont="1" applyFill="1" applyBorder="1" applyAlignment="1" applyProtection="1">
      <alignment horizontal="right"/>
    </xf>
    <xf numFmtId="172" fontId="15" fillId="41" borderId="121" xfId="0" applyNumberFormat="1" applyFont="1" applyFill="1" applyBorder="1" applyAlignment="1" applyProtection="1">
      <alignment horizontal="right"/>
    </xf>
    <xf numFmtId="166" fontId="15" fillId="0" borderId="122" xfId="0" applyNumberFormat="1" applyFont="1" applyFill="1" applyBorder="1" applyAlignment="1" applyProtection="1">
      <alignment horizontal="right"/>
    </xf>
    <xf numFmtId="166" fontId="15" fillId="42" borderId="122" xfId="0" applyNumberFormat="1" applyFont="1" applyFill="1" applyBorder="1" applyAlignment="1" applyProtection="1">
      <alignment horizontal="right"/>
    </xf>
    <xf numFmtId="3" fontId="15" fillId="41" borderId="121" xfId="0" applyNumberFormat="1" applyFont="1" applyFill="1" applyBorder="1" applyAlignment="1" applyProtection="1">
      <alignment horizontal="right"/>
    </xf>
    <xf numFmtId="172" fontId="15" fillId="41" borderId="114" xfId="0" applyNumberFormat="1" applyFont="1" applyFill="1" applyBorder="1" applyAlignment="1" applyProtection="1">
      <alignment horizontal="right"/>
    </xf>
    <xf numFmtId="166" fontId="15" fillId="0" borderId="115" xfId="0" applyNumberFormat="1" applyFont="1" applyFill="1" applyBorder="1" applyAlignment="1" applyProtection="1">
      <alignment horizontal="right"/>
    </xf>
    <xf numFmtId="166" fontId="15" fillId="42" borderId="115" xfId="0" applyNumberFormat="1" applyFont="1" applyFill="1" applyBorder="1" applyAlignment="1" applyProtection="1">
      <alignment horizontal="right"/>
    </xf>
    <xf numFmtId="3" fontId="15" fillId="41" borderId="114" xfId="0" applyNumberFormat="1" applyFont="1" applyFill="1" applyBorder="1" applyAlignment="1" applyProtection="1">
      <alignment horizontal="right"/>
    </xf>
    <xf numFmtId="0" fontId="15" fillId="0" borderId="124" xfId="0" applyFont="1" applyFill="1" applyBorder="1" applyProtection="1"/>
    <xf numFmtId="0" fontId="15" fillId="0" borderId="125" xfId="0" applyFont="1" applyFill="1" applyBorder="1" applyProtection="1"/>
    <xf numFmtId="172" fontId="15" fillId="41" borderId="125" xfId="0" applyNumberFormat="1" applyFont="1" applyFill="1" applyBorder="1" applyAlignment="1" applyProtection="1">
      <alignment horizontal="right"/>
    </xf>
    <xf numFmtId="166" fontId="15" fillId="0" borderId="126" xfId="0" applyNumberFormat="1" applyFont="1" applyFill="1" applyBorder="1" applyAlignment="1" applyProtection="1">
      <alignment horizontal="right"/>
    </xf>
    <xf numFmtId="166" fontId="15" fillId="42" borderId="126" xfId="0" applyNumberFormat="1" applyFont="1" applyFill="1" applyBorder="1" applyAlignment="1" applyProtection="1">
      <alignment horizontal="right"/>
    </xf>
    <xf numFmtId="3" fontId="15" fillId="41" borderId="125" xfId="0" applyNumberFormat="1" applyFont="1" applyFill="1" applyBorder="1" applyAlignment="1" applyProtection="1">
      <alignment horizontal="right"/>
    </xf>
    <xf numFmtId="166" fontId="15" fillId="0" borderId="125" xfId="0" applyNumberFormat="1" applyFont="1" applyFill="1" applyBorder="1" applyAlignment="1" applyProtection="1">
      <alignment horizontal="right"/>
    </xf>
    <xf numFmtId="166" fontId="15" fillId="43" borderId="125" xfId="0" applyNumberFormat="1" applyFont="1" applyFill="1" applyBorder="1" applyAlignment="1" applyProtection="1">
      <alignment horizontal="right"/>
    </xf>
    <xf numFmtId="166" fontId="15" fillId="44" borderId="125" xfId="0" applyNumberFormat="1" applyFont="1" applyFill="1" applyBorder="1" applyAlignment="1" applyProtection="1">
      <alignment horizontal="right"/>
    </xf>
    <xf numFmtId="0" fontId="17" fillId="0" borderId="127" xfId="0" applyFont="1" applyFill="1" applyBorder="1" applyProtection="1"/>
    <xf numFmtId="0" fontId="32" fillId="0" borderId="81" xfId="0" applyFont="1" applyFill="1" applyBorder="1" applyAlignment="1" applyProtection="1">
      <alignment horizontal="center"/>
    </xf>
    <xf numFmtId="172" fontId="32" fillId="41" borderId="81" xfId="30" applyNumberFormat="1" applyFont="1" applyFill="1" applyBorder="1" applyAlignment="1" applyProtection="1">
      <alignment horizontal="right"/>
    </xf>
    <xf numFmtId="166" fontId="32" fillId="0" borderId="82" xfId="30" applyNumberFormat="1" applyFont="1" applyFill="1" applyBorder="1" applyAlignment="1" applyProtection="1">
      <alignment horizontal="right"/>
    </xf>
    <xf numFmtId="166" fontId="32" fillId="42" borderId="82" xfId="30" applyNumberFormat="1" applyFont="1" applyFill="1" applyBorder="1" applyAlignment="1" applyProtection="1">
      <alignment horizontal="right"/>
    </xf>
    <xf numFmtId="166" fontId="32" fillId="41" borderId="0" xfId="30" applyNumberFormat="1" applyFont="1" applyFill="1" applyBorder="1" applyAlignment="1" applyProtection="1">
      <alignment horizontal="right"/>
    </xf>
    <xf numFmtId="166" fontId="17" fillId="0" borderId="128" xfId="0" applyNumberFormat="1" applyFont="1" applyFill="1" applyBorder="1" applyAlignment="1" applyProtection="1">
      <alignment horizontal="right"/>
    </xf>
    <xf numFmtId="3" fontId="32" fillId="41" borderId="81" xfId="30" applyNumberFormat="1" applyFont="1" applyFill="1" applyBorder="1" applyAlignment="1" applyProtection="1">
      <alignment horizontal="right"/>
    </xf>
    <xf numFmtId="166" fontId="32" fillId="43" borderId="81" xfId="30" applyNumberFormat="1" applyFont="1" applyFill="1" applyBorder="1" applyAlignment="1" applyProtection="1">
      <alignment horizontal="right"/>
    </xf>
    <xf numFmtId="166" fontId="32" fillId="44" borderId="81" xfId="30" applyNumberFormat="1" applyFont="1" applyFill="1" applyBorder="1" applyAlignment="1" applyProtection="1">
      <alignment horizontal="right"/>
    </xf>
    <xf numFmtId="0" fontId="17" fillId="0" borderId="0" xfId="0" applyFont="1" applyFill="1" applyBorder="1" applyAlignment="1" applyProtection="1"/>
    <xf numFmtId="38" fontId="32" fillId="0" borderId="0" xfId="30" applyNumberFormat="1" applyFont="1" applyFill="1" applyBorder="1" applyAlignment="1" applyProtection="1">
      <alignment horizontal="center"/>
    </xf>
    <xf numFmtId="0" fontId="17" fillId="41" borderId="0" xfId="0" applyFont="1" applyFill="1" applyBorder="1"/>
    <xf numFmtId="6" fontId="32" fillId="0" borderId="0" xfId="30" applyNumberFormat="1" applyFont="1" applyFill="1" applyBorder="1" applyAlignment="1" applyProtection="1">
      <alignment horizontal="center"/>
    </xf>
    <xf numFmtId="6" fontId="32" fillId="41" borderId="0" xfId="30" applyNumberFormat="1" applyFont="1" applyFill="1" applyBorder="1" applyAlignment="1" applyProtection="1">
      <alignment horizontal="center"/>
    </xf>
    <xf numFmtId="0" fontId="14" fillId="0" borderId="0" xfId="0" applyFont="1" applyFill="1" applyBorder="1" applyAlignment="1" applyProtection="1">
      <alignment horizontal="right" vertical="center"/>
    </xf>
    <xf numFmtId="0" fontId="15" fillId="0" borderId="0" xfId="0" applyFont="1" applyFill="1" applyBorder="1" applyAlignment="1" applyProtection="1"/>
    <xf numFmtId="0" fontId="15" fillId="0" borderId="0" xfId="0" quotePrefix="1" applyFont="1" applyAlignment="1">
      <alignment horizontal="center"/>
    </xf>
    <xf numFmtId="0" fontId="15" fillId="41" borderId="0" xfId="0" quotePrefix="1" applyFont="1" applyFill="1" applyBorder="1" applyAlignment="1">
      <alignment horizontal="center"/>
    </xf>
    <xf numFmtId="165" fontId="15" fillId="0" borderId="0" xfId="30" applyNumberFormat="1" applyFont="1" applyAlignment="1"/>
    <xf numFmtId="0" fontId="15" fillId="0" borderId="0" xfId="0" applyFont="1" applyAlignment="1">
      <alignment horizontal="left"/>
    </xf>
    <xf numFmtId="10" fontId="15" fillId="0" borderId="0" xfId="49" applyNumberFormat="1" applyFont="1" applyAlignment="1"/>
    <xf numFmtId="5" fontId="15" fillId="0" borderId="0" xfId="34" applyNumberFormat="1" applyFont="1" applyAlignment="1">
      <alignment horizontal="right"/>
    </xf>
    <xf numFmtId="10" fontId="15" fillId="0" borderId="14" xfId="0" applyNumberFormat="1" applyFont="1" applyBorder="1" applyAlignment="1">
      <alignment horizontal="right"/>
    </xf>
    <xf numFmtId="166" fontId="15" fillId="0" borderId="0" xfId="0" applyNumberFormat="1" applyFont="1" applyAlignment="1">
      <alignment horizontal="right"/>
    </xf>
    <xf numFmtId="169" fontId="15" fillId="0" borderId="14" xfId="0" applyNumberFormat="1" applyFont="1" applyBorder="1" applyAlignment="1">
      <alignment horizontal="right"/>
    </xf>
    <xf numFmtId="0" fontId="15" fillId="0" borderId="0" xfId="0" quotePrefix="1" applyFont="1" applyAlignment="1"/>
    <xf numFmtId="165" fontId="15" fillId="0" borderId="14" xfId="0" applyNumberFormat="1" applyFont="1" applyBorder="1" applyAlignment="1">
      <alignment horizontal="right"/>
    </xf>
    <xf numFmtId="6" fontId="15" fillId="0" borderId="14" xfId="0" applyNumberFormat="1" applyFont="1" applyBorder="1" applyAlignment="1">
      <alignment horizontal="right"/>
    </xf>
    <xf numFmtId="6" fontId="15" fillId="0" borderId="0" xfId="0" applyNumberFormat="1" applyFont="1" applyAlignment="1">
      <alignment horizontal="right"/>
    </xf>
    <xf numFmtId="5" fontId="34" fillId="41" borderId="0" xfId="0" applyNumberFormat="1" applyFont="1" applyFill="1" applyBorder="1" applyAlignment="1" applyProtection="1"/>
    <xf numFmtId="5" fontId="0" fillId="0" borderId="0" xfId="0" applyNumberFormat="1" applyBorder="1"/>
    <xf numFmtId="0" fontId="0" fillId="41" borderId="0" xfId="0" applyFill="1"/>
    <xf numFmtId="0" fontId="71" fillId="45" borderId="14" xfId="0" applyFont="1" applyFill="1" applyBorder="1" applyAlignment="1" applyProtection="1">
      <alignment vertical="center" wrapText="1"/>
    </xf>
    <xf numFmtId="0" fontId="41" fillId="0" borderId="14" xfId="0" quotePrefix="1" applyFont="1" applyBorder="1" applyAlignment="1">
      <alignment horizontal="center" wrapText="1"/>
    </xf>
    <xf numFmtId="5" fontId="77" fillId="41" borderId="13" xfId="0" applyNumberFormat="1" applyFont="1" applyFill="1" applyBorder="1" applyAlignment="1">
      <alignment horizontal="right" wrapText="1"/>
    </xf>
    <xf numFmtId="0" fontId="78" fillId="41" borderId="13" xfId="0" applyFont="1" applyFill="1" applyBorder="1" applyAlignment="1">
      <alignment horizontal="right" wrapText="1"/>
    </xf>
    <xf numFmtId="6" fontId="53" fillId="41" borderId="13" xfId="0" applyNumberFormat="1" applyFont="1" applyFill="1" applyBorder="1" applyAlignment="1">
      <alignment horizontal="right"/>
    </xf>
    <xf numFmtId="0" fontId="53" fillId="47" borderId="35" xfId="0" applyFont="1" applyFill="1" applyBorder="1" applyAlignment="1">
      <alignment horizontal="right" wrapText="1"/>
    </xf>
    <xf numFmtId="3" fontId="77" fillId="47" borderId="14" xfId="0" applyNumberFormat="1" applyFont="1" applyFill="1" applyBorder="1" applyAlignment="1">
      <alignment horizontal="right"/>
    </xf>
    <xf numFmtId="38" fontId="65" fillId="47" borderId="14" xfId="0" applyNumberFormat="1" applyFont="1" applyFill="1" applyBorder="1" applyAlignment="1">
      <alignment horizontal="right"/>
    </xf>
    <xf numFmtId="6" fontId="65" fillId="47" borderId="14" xfId="0" applyNumberFormat="1" applyFont="1" applyFill="1" applyBorder="1" applyAlignment="1">
      <alignment horizontal="right"/>
    </xf>
    <xf numFmtId="0" fontId="53" fillId="0" borderId="35" xfId="0" applyFont="1" applyFill="1" applyBorder="1" applyAlignment="1">
      <alignment horizontal="left" wrapText="1"/>
    </xf>
    <xf numFmtId="6" fontId="0" fillId="0" borderId="0" xfId="0" applyNumberFormat="1" applyAlignment="1"/>
    <xf numFmtId="5" fontId="28" fillId="27" borderId="88" xfId="0" applyNumberFormat="1" applyFont="1" applyFill="1" applyBorder="1" applyProtection="1"/>
    <xf numFmtId="10" fontId="45" fillId="27" borderId="129" xfId="0" applyNumberFormat="1" applyFont="1" applyFill="1" applyBorder="1" applyProtection="1"/>
    <xf numFmtId="0" fontId="28" fillId="27" borderId="87" xfId="0" applyFont="1" applyFill="1" applyBorder="1" applyAlignment="1">
      <alignment horizontal="center"/>
    </xf>
    <xf numFmtId="0" fontId="57" fillId="48" borderId="0" xfId="0" applyFont="1" applyFill="1"/>
    <xf numFmtId="0" fontId="57" fillId="48" borderId="0" xfId="0" applyFont="1" applyFill="1" applyAlignment="1">
      <alignment horizontal="center"/>
    </xf>
    <xf numFmtId="0" fontId="0" fillId="0" borderId="0" xfId="0" applyBorder="1" applyAlignment="1">
      <alignment horizontal="left" wrapText="1"/>
    </xf>
    <xf numFmtId="5" fontId="0" fillId="0" borderId="0" xfId="0" applyNumberFormat="1" applyAlignment="1">
      <alignment horizontal="center"/>
    </xf>
    <xf numFmtId="1" fontId="15" fillId="26" borderId="60" xfId="0" applyNumberFormat="1" applyFont="1" applyFill="1" applyBorder="1" applyAlignment="1" applyProtection="1">
      <alignment horizontal="center" vertical="center"/>
    </xf>
    <xf numFmtId="1" fontId="17" fillId="26" borderId="68" xfId="0" applyNumberFormat="1" applyFont="1" applyFill="1" applyBorder="1" applyAlignment="1" applyProtection="1">
      <alignment horizontal="center" vertical="center"/>
    </xf>
    <xf numFmtId="1" fontId="26" fillId="26" borderId="72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6" fontId="15" fillId="43" borderId="11" xfId="0" applyNumberFormat="1" applyFont="1" applyFill="1" applyBorder="1" applyProtection="1"/>
    <xf numFmtId="6" fontId="15" fillId="43" borderId="72" xfId="0" applyNumberFormat="1" applyFont="1" applyFill="1" applyBorder="1" applyProtection="1"/>
    <xf numFmtId="0" fontId="0" fillId="0" borderId="0" xfId="0" applyBorder="1" applyAlignment="1">
      <alignment horizontal="center" wrapText="1"/>
    </xf>
    <xf numFmtId="6" fontId="15" fillId="43" borderId="74" xfId="0" applyNumberFormat="1" applyFont="1" applyFill="1" applyBorder="1" applyProtection="1"/>
    <xf numFmtId="6" fontId="32" fillId="0" borderId="84" xfId="31" applyNumberFormat="1" applyFont="1" applyFill="1" applyBorder="1" applyProtection="1"/>
    <xf numFmtId="6" fontId="32" fillId="43" borderId="84" xfId="31" applyNumberFormat="1" applyFont="1" applyFill="1" applyBorder="1" applyProtection="1"/>
    <xf numFmtId="10" fontId="56" fillId="0" borderId="0" xfId="48" applyNumberFormat="1" applyFont="1" applyFill="1" applyBorder="1"/>
    <xf numFmtId="6" fontId="32" fillId="0" borderId="78" xfId="32" applyNumberFormat="1" applyFont="1" applyBorder="1" applyAlignment="1">
      <alignment horizontal="right"/>
    </xf>
    <xf numFmtId="0" fontId="47" fillId="50" borderId="26" xfId="0" applyFont="1" applyFill="1" applyBorder="1" applyAlignment="1">
      <alignment horizontal="center" vertical="center" wrapText="1"/>
    </xf>
    <xf numFmtId="171" fontId="0" fillId="0" borderId="0" xfId="0" applyNumberFormat="1"/>
    <xf numFmtId="10" fontId="15" fillId="39" borderId="13" xfId="0" applyNumberFormat="1" applyFont="1" applyFill="1" applyBorder="1"/>
    <xf numFmtId="166" fontId="15" fillId="39" borderId="13" xfId="0" applyNumberFormat="1" applyFont="1" applyFill="1" applyBorder="1"/>
    <xf numFmtId="10" fontId="15" fillId="41" borderId="13" xfId="48" applyNumberFormat="1" applyFont="1" applyFill="1" applyBorder="1"/>
    <xf numFmtId="6" fontId="15" fillId="41" borderId="13" xfId="32" applyNumberFormat="1" applyFont="1" applyFill="1" applyBorder="1"/>
    <xf numFmtId="10" fontId="15" fillId="41" borderId="34" xfId="48" applyNumberFormat="1" applyFont="1" applyFill="1" applyBorder="1"/>
    <xf numFmtId="43" fontId="32" fillId="0" borderId="67" xfId="28" applyNumberFormat="1" applyFont="1" applyBorder="1" applyAlignment="1">
      <alignment horizontal="right"/>
    </xf>
    <xf numFmtId="0" fontId="102" fillId="0" borderId="0" xfId="0" applyFont="1" applyBorder="1" applyAlignment="1">
      <alignment wrapText="1"/>
    </xf>
    <xf numFmtId="0" fontId="80" fillId="0" borderId="0" xfId="0" applyFont="1" applyAlignment="1">
      <alignment horizontal="right" vertical="top"/>
    </xf>
    <xf numFmtId="166" fontId="15" fillId="41" borderId="79" xfId="0" applyNumberFormat="1" applyFont="1" applyFill="1" applyBorder="1"/>
    <xf numFmtId="10" fontId="32" fillId="54" borderId="26" xfId="0" applyNumberFormat="1" applyFont="1" applyFill="1" applyBorder="1" applyAlignment="1">
      <alignment horizontal="center" vertical="center" wrapText="1"/>
    </xf>
    <xf numFmtId="0" fontId="53" fillId="41" borderId="0" xfId="0" applyFont="1" applyFill="1" applyBorder="1" applyAlignment="1">
      <alignment horizontal="center" vertical="center"/>
    </xf>
    <xf numFmtId="6" fontId="77" fillId="41" borderId="13" xfId="0" applyNumberFormat="1" applyFont="1" applyFill="1" applyBorder="1" applyAlignment="1">
      <alignment horizontal="right"/>
    </xf>
    <xf numFmtId="6" fontId="65" fillId="41" borderId="13" xfId="0" applyNumberFormat="1" applyFont="1" applyFill="1" applyBorder="1" applyAlignment="1">
      <alignment horizontal="right"/>
    </xf>
    <xf numFmtId="6" fontId="53" fillId="41" borderId="26" xfId="0" applyNumberFormat="1" applyFont="1" applyFill="1" applyBorder="1" applyAlignment="1">
      <alignment horizontal="right"/>
    </xf>
    <xf numFmtId="6" fontId="65" fillId="27" borderId="13" xfId="0" applyNumberFormat="1" applyFont="1" applyFill="1" applyBorder="1" applyAlignment="1"/>
    <xf numFmtId="0" fontId="77" fillId="55" borderId="13" xfId="0" applyFont="1" applyFill="1" applyBorder="1" applyAlignment="1">
      <alignment horizontal="center" wrapText="1"/>
    </xf>
    <xf numFmtId="6" fontId="65" fillId="55" borderId="13" xfId="0" applyNumberFormat="1" applyFont="1" applyFill="1" applyBorder="1" applyAlignment="1">
      <alignment horizontal="right"/>
    </xf>
    <xf numFmtId="6" fontId="53" fillId="55" borderId="13" xfId="0" applyNumberFormat="1" applyFont="1" applyFill="1" applyBorder="1" applyAlignment="1">
      <alignment horizontal="right"/>
    </xf>
    <xf numFmtId="6" fontId="53" fillId="55" borderId="26" xfId="0" applyNumberFormat="1" applyFont="1" applyFill="1" applyBorder="1" applyAlignment="1">
      <alignment horizontal="right"/>
    </xf>
    <xf numFmtId="0" fontId="101" fillId="0" borderId="26" xfId="0" applyFont="1" applyFill="1" applyBorder="1" applyAlignment="1">
      <alignment horizontal="left" wrapText="1"/>
    </xf>
    <xf numFmtId="0" fontId="105" fillId="28" borderId="36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wrapText="1"/>
    </xf>
    <xf numFmtId="3" fontId="15" fillId="41" borderId="13" xfId="0" applyNumberFormat="1" applyFont="1" applyFill="1" applyBorder="1"/>
    <xf numFmtId="0" fontId="23" fillId="0" borderId="0" xfId="0" applyFont="1"/>
    <xf numFmtId="5" fontId="23" fillId="0" borderId="0" xfId="0" applyNumberFormat="1" applyFont="1"/>
    <xf numFmtId="10" fontId="23" fillId="0" borderId="0" xfId="0" applyNumberFormat="1" applyFont="1"/>
    <xf numFmtId="5" fontId="99" fillId="0" borderId="0" xfId="0" applyNumberFormat="1" applyFont="1" applyFill="1" applyBorder="1" applyProtection="1"/>
    <xf numFmtId="6" fontId="99" fillId="0" borderId="0" xfId="0" applyNumberFormat="1" applyFont="1" applyFill="1" applyBorder="1" applyProtection="1"/>
    <xf numFmtId="165" fontId="99" fillId="0" borderId="0" xfId="28" applyNumberFormat="1" applyFont="1" applyFill="1" applyBorder="1" applyProtection="1"/>
    <xf numFmtId="165" fontId="32" fillId="0" borderId="0" xfId="28" applyNumberFormat="1" applyFont="1" applyFill="1" applyBorder="1" applyProtection="1"/>
    <xf numFmtId="6" fontId="32" fillId="0" borderId="0" xfId="28" applyNumberFormat="1" applyFont="1" applyFill="1" applyBorder="1" applyProtection="1"/>
    <xf numFmtId="0" fontId="0" fillId="41" borderId="0" xfId="0" applyFill="1" applyBorder="1"/>
    <xf numFmtId="0" fontId="18" fillId="0" borderId="87" xfId="0" applyFont="1" applyFill="1" applyBorder="1" applyAlignment="1">
      <alignment horizontal="center" vertical="top"/>
    </xf>
    <xf numFmtId="0" fontId="53" fillId="49" borderId="26" xfId="0" applyFont="1" applyFill="1" applyBorder="1" applyAlignment="1">
      <alignment horizontal="right" wrapText="1"/>
    </xf>
    <xf numFmtId="3" fontId="53" fillId="49" borderId="13" xfId="0" applyNumberFormat="1" applyFont="1" applyFill="1" applyBorder="1" applyAlignment="1">
      <alignment horizontal="right"/>
    </xf>
    <xf numFmtId="6" fontId="53" fillId="49" borderId="13" xfId="0" applyNumberFormat="1" applyFont="1" applyFill="1" applyBorder="1" applyAlignment="1">
      <alignment horizontal="right"/>
    </xf>
    <xf numFmtId="38" fontId="53" fillId="49" borderId="13" xfId="0" applyNumberFormat="1" applyFont="1" applyFill="1" applyBorder="1" applyAlignment="1">
      <alignment horizontal="right"/>
    </xf>
    <xf numFmtId="0" fontId="53" fillId="49" borderId="35" xfId="0" applyFont="1" applyFill="1" applyBorder="1" applyAlignment="1">
      <alignment horizontal="right" wrapText="1"/>
    </xf>
    <xf numFmtId="3" fontId="53" fillId="49" borderId="14" xfId="0" applyNumberFormat="1" applyFont="1" applyFill="1" applyBorder="1" applyAlignment="1">
      <alignment horizontal="right"/>
    </xf>
    <xf numFmtId="6" fontId="53" fillId="49" borderId="14" xfId="0" applyNumberFormat="1" applyFont="1" applyFill="1" applyBorder="1" applyAlignment="1">
      <alignment horizontal="right"/>
    </xf>
    <xf numFmtId="0" fontId="65" fillId="0" borderId="13" xfId="0" applyFont="1" applyFill="1" applyBorder="1" applyAlignment="1">
      <alignment horizontal="center" wrapText="1"/>
    </xf>
    <xf numFmtId="6" fontId="13" fillId="0" borderId="0" xfId="0" applyNumberFormat="1" applyFont="1" applyBorder="1" applyAlignment="1">
      <alignment horizontal="right"/>
    </xf>
    <xf numFmtId="0" fontId="65" fillId="54" borderId="26" xfId="0" applyFont="1" applyFill="1" applyBorder="1" applyAlignment="1">
      <alignment horizontal="left" wrapText="1"/>
    </xf>
    <xf numFmtId="0" fontId="65" fillId="54" borderId="35" xfId="0" applyFont="1" applyFill="1" applyBorder="1" applyAlignment="1">
      <alignment horizontal="left" wrapText="1"/>
    </xf>
    <xf numFmtId="0" fontId="13" fillId="0" borderId="0" xfId="0" applyFont="1"/>
    <xf numFmtId="3" fontId="17" fillId="0" borderId="11" xfId="0" applyNumberFormat="1" applyFont="1" applyFill="1" applyBorder="1"/>
    <xf numFmtId="3" fontId="17" fillId="0" borderId="13" xfId="0" applyNumberFormat="1" applyFont="1" applyFill="1" applyBorder="1"/>
    <xf numFmtId="0" fontId="103" fillId="41" borderId="10" xfId="0" applyFont="1" applyFill="1" applyBorder="1" applyAlignment="1">
      <alignment horizontal="right" wrapText="1"/>
    </xf>
    <xf numFmtId="0" fontId="79" fillId="0" borderId="51" xfId="0" applyFont="1" applyBorder="1"/>
    <xf numFmtId="0" fontId="103" fillId="41" borderId="13" xfId="0" applyFont="1" applyFill="1" applyBorder="1" applyAlignment="1">
      <alignment horizontal="right" wrapText="1"/>
    </xf>
    <xf numFmtId="0" fontId="103" fillId="28" borderId="36" xfId="0" quotePrefix="1" applyFont="1" applyFill="1" applyBorder="1" applyAlignment="1">
      <alignment horizontal="right" wrapText="1"/>
    </xf>
    <xf numFmtId="0" fontId="79" fillId="0" borderId="26" xfId="0" applyFont="1" applyBorder="1"/>
    <xf numFmtId="0" fontId="103" fillId="0" borderId="42" xfId="0" applyFont="1" applyBorder="1"/>
    <xf numFmtId="0" fontId="103" fillId="0" borderId="0" xfId="0" applyFont="1" applyBorder="1"/>
    <xf numFmtId="0" fontId="103" fillId="0" borderId="26" xfId="0" applyFont="1" applyBorder="1" applyAlignment="1">
      <alignment horizontal="center"/>
    </xf>
    <xf numFmtId="0" fontId="103" fillId="0" borderId="0" xfId="0" applyFont="1" applyBorder="1" applyAlignment="1">
      <alignment horizontal="center"/>
    </xf>
    <xf numFmtId="0" fontId="79" fillId="41" borderId="26" xfId="0" applyFont="1" applyFill="1" applyBorder="1" applyAlignment="1">
      <alignment horizontal="right" wrapText="1"/>
    </xf>
    <xf numFmtId="6" fontId="77" fillId="0" borderId="13" xfId="0" applyNumberFormat="1" applyFont="1" applyFill="1" applyBorder="1" applyAlignment="1">
      <alignment horizontal="center" wrapText="1"/>
    </xf>
    <xf numFmtId="0" fontId="13" fillId="0" borderId="0" xfId="0" quotePrefix="1" applyFont="1"/>
    <xf numFmtId="0" fontId="25" fillId="0" borderId="53" xfId="0" applyFont="1" applyFill="1" applyBorder="1" applyAlignment="1">
      <alignment horizontal="center"/>
    </xf>
    <xf numFmtId="0" fontId="74" fillId="0" borderId="0" xfId="0" applyFont="1"/>
    <xf numFmtId="5" fontId="20" fillId="0" borderId="147" xfId="0" applyNumberFormat="1" applyFont="1" applyFill="1" applyBorder="1" applyAlignment="1" applyProtection="1">
      <alignment vertical="top"/>
    </xf>
    <xf numFmtId="5" fontId="20" fillId="0" borderId="148" xfId="0" applyNumberFormat="1" applyFont="1" applyFill="1" applyBorder="1" applyAlignment="1" applyProtection="1">
      <alignment vertical="top"/>
    </xf>
    <xf numFmtId="165" fontId="20" fillId="0" borderId="150" xfId="28" applyNumberFormat="1" applyFont="1" applyFill="1" applyBorder="1" applyAlignment="1" applyProtection="1"/>
    <xf numFmtId="165" fontId="20" fillId="0" borderId="20" xfId="28" applyNumberFormat="1" applyFont="1" applyFill="1" applyBorder="1" applyAlignment="1" applyProtection="1"/>
    <xf numFmtId="0" fontId="18" fillId="0" borderId="154" xfId="0" applyFont="1" applyFill="1" applyBorder="1" applyAlignment="1">
      <alignment horizontal="left"/>
    </xf>
    <xf numFmtId="165" fontId="20" fillId="0" borderId="155" xfId="28" applyNumberFormat="1" applyFont="1" applyFill="1" applyBorder="1" applyAlignment="1" applyProtection="1"/>
    <xf numFmtId="165" fontId="20" fillId="0" borderId="154" xfId="28" applyNumberFormat="1" applyFont="1" applyFill="1" applyBorder="1" applyAlignment="1" applyProtection="1"/>
    <xf numFmtId="165" fontId="20" fillId="0" borderId="32" xfId="28" applyNumberFormat="1" applyFont="1" applyFill="1" applyBorder="1" applyProtection="1"/>
    <xf numFmtId="43" fontId="20" fillId="0" borderId="150" xfId="28" applyFont="1" applyFill="1" applyBorder="1" applyAlignment="1" applyProtection="1">
      <alignment horizontal="right"/>
    </xf>
    <xf numFmtId="10" fontId="20" fillId="0" borderId="150" xfId="48" applyNumberFormat="1" applyFont="1" applyFill="1" applyBorder="1" applyAlignment="1" applyProtection="1">
      <alignment horizontal="right"/>
    </xf>
    <xf numFmtId="5" fontId="28" fillId="0" borderId="152" xfId="0" applyNumberFormat="1" applyFont="1" applyFill="1" applyBorder="1" applyAlignment="1" applyProtection="1"/>
    <xf numFmtId="5" fontId="28" fillId="0" borderId="153" xfId="0" applyNumberFormat="1" applyFont="1" applyFill="1" applyBorder="1" applyAlignment="1" applyProtection="1"/>
    <xf numFmtId="5" fontId="28" fillId="27" borderId="166" xfId="0" applyNumberFormat="1" applyFont="1" applyFill="1" applyBorder="1" applyAlignment="1" applyProtection="1"/>
    <xf numFmtId="5" fontId="28" fillId="27" borderId="29" xfId="0" applyNumberFormat="1" applyFont="1" applyFill="1" applyBorder="1" applyAlignment="1" applyProtection="1"/>
    <xf numFmtId="5" fontId="20" fillId="0" borderId="167" xfId="0" applyNumberFormat="1" applyFont="1" applyFill="1" applyBorder="1" applyAlignment="1" applyProtection="1"/>
    <xf numFmtId="5" fontId="20" fillId="0" borderId="168" xfId="0" applyNumberFormat="1" applyFont="1" applyFill="1" applyBorder="1" applyAlignment="1" applyProtection="1"/>
    <xf numFmtId="5" fontId="20" fillId="0" borderId="169" xfId="0" applyNumberFormat="1" applyFont="1" applyFill="1" applyBorder="1" applyProtection="1"/>
    <xf numFmtId="5" fontId="28" fillId="0" borderId="153" xfId="0" applyNumberFormat="1" applyFont="1" applyFill="1" applyBorder="1" applyProtection="1"/>
    <xf numFmtId="5" fontId="28" fillId="27" borderId="157" xfId="0" applyNumberFormat="1" applyFont="1" applyFill="1" applyBorder="1" applyAlignment="1" applyProtection="1">
      <alignment vertical="center"/>
    </xf>
    <xf numFmtId="5" fontId="20" fillId="0" borderId="153" xfId="0" applyNumberFormat="1" applyFont="1" applyFill="1" applyBorder="1" applyProtection="1"/>
    <xf numFmtId="5" fontId="25" fillId="0" borderId="146" xfId="0" applyNumberFormat="1" applyFont="1" applyFill="1" applyBorder="1" applyProtection="1"/>
    <xf numFmtId="5" fontId="20" fillId="0" borderId="151" xfId="0" applyNumberFormat="1" applyFont="1" applyFill="1" applyBorder="1" applyAlignment="1" applyProtection="1"/>
    <xf numFmtId="5" fontId="20" fillId="0" borderId="133" xfId="0" applyNumberFormat="1" applyFont="1" applyFill="1" applyBorder="1" applyAlignment="1" applyProtection="1"/>
    <xf numFmtId="5" fontId="28" fillId="0" borderId="150" xfId="0" applyNumberFormat="1" applyFont="1" applyFill="1" applyBorder="1" applyAlignment="1" applyProtection="1"/>
    <xf numFmtId="5" fontId="28" fillId="0" borderId="20" xfId="0" applyNumberFormat="1" applyFont="1" applyFill="1" applyBorder="1" applyAlignment="1" applyProtection="1"/>
    <xf numFmtId="5" fontId="20" fillId="0" borderId="155" xfId="0" applyNumberFormat="1" applyFont="1" applyFill="1" applyBorder="1" applyAlignment="1" applyProtection="1"/>
    <xf numFmtId="5" fontId="20" fillId="0" borderId="154" xfId="0" applyNumberFormat="1" applyFont="1" applyFill="1" applyBorder="1" applyAlignment="1" applyProtection="1"/>
    <xf numFmtId="5" fontId="20" fillId="0" borderId="150" xfId="0" applyNumberFormat="1" applyFont="1" applyFill="1" applyBorder="1" applyAlignment="1" applyProtection="1"/>
    <xf numFmtId="5" fontId="20" fillId="0" borderId="20" xfId="0" applyNumberFormat="1" applyFont="1" applyFill="1" applyBorder="1" applyAlignment="1" applyProtection="1"/>
    <xf numFmtId="43" fontId="20" fillId="0" borderId="20" xfId="28" applyFont="1" applyFill="1" applyBorder="1" applyAlignment="1" applyProtection="1"/>
    <xf numFmtId="10" fontId="20" fillId="0" borderId="20" xfId="48" applyNumberFormat="1" applyFont="1" applyFill="1" applyBorder="1" applyAlignment="1" applyProtection="1"/>
    <xf numFmtId="5" fontId="28" fillId="0" borderId="155" xfId="0" applyNumberFormat="1" applyFont="1" applyFill="1" applyBorder="1" applyAlignment="1" applyProtection="1"/>
    <xf numFmtId="5" fontId="28" fillId="0" borderId="154" xfId="0" applyNumberFormat="1" applyFont="1" applyFill="1" applyBorder="1" applyAlignment="1" applyProtection="1"/>
    <xf numFmtId="5" fontId="28" fillId="0" borderId="156" xfId="0" applyNumberFormat="1" applyFont="1" applyFill="1" applyBorder="1" applyAlignment="1" applyProtection="1">
      <alignment vertical="center"/>
    </xf>
    <xf numFmtId="5" fontId="28" fillId="0" borderId="157" xfId="0" applyNumberFormat="1" applyFont="1" applyFill="1" applyBorder="1" applyAlignment="1" applyProtection="1">
      <alignment vertical="center"/>
    </xf>
    <xf numFmtId="5" fontId="28" fillId="0" borderId="151" xfId="0" applyNumberFormat="1" applyFont="1" applyFill="1" applyBorder="1" applyAlignment="1" applyProtection="1">
      <alignment vertical="center"/>
    </xf>
    <xf numFmtId="5" fontId="28" fillId="0" borderId="133" xfId="0" applyNumberFormat="1" applyFont="1" applyFill="1" applyBorder="1" applyAlignment="1" applyProtection="1">
      <alignment vertical="center"/>
    </xf>
    <xf numFmtId="5" fontId="20" fillId="0" borderId="150" xfId="0" applyNumberFormat="1" applyFont="1" applyFill="1" applyBorder="1" applyAlignment="1" applyProtection="1">
      <alignment vertical="center"/>
    </xf>
    <xf numFmtId="5" fontId="20" fillId="0" borderId="20" xfId="0" applyNumberFormat="1" applyFont="1" applyFill="1" applyBorder="1" applyAlignment="1" applyProtection="1">
      <alignment vertical="center"/>
    </xf>
    <xf numFmtId="5" fontId="20" fillId="0" borderId="158" xfId="0" applyNumberFormat="1" applyFont="1" applyFill="1" applyBorder="1" applyAlignment="1" applyProtection="1">
      <alignment vertical="center"/>
    </xf>
    <xf numFmtId="5" fontId="20" fillId="0" borderId="48" xfId="0" applyNumberFormat="1" applyFont="1" applyFill="1" applyBorder="1" applyAlignment="1" applyProtection="1">
      <alignment vertical="center"/>
    </xf>
    <xf numFmtId="5" fontId="20" fillId="0" borderId="159" xfId="0" applyNumberFormat="1" applyFont="1" applyFill="1" applyBorder="1" applyAlignment="1" applyProtection="1">
      <alignment vertical="center"/>
    </xf>
    <xf numFmtId="5" fontId="20" fillId="0" borderId="49" xfId="0" applyNumberFormat="1" applyFont="1" applyFill="1" applyBorder="1" applyAlignment="1" applyProtection="1">
      <alignment vertical="center"/>
    </xf>
    <xf numFmtId="5" fontId="20" fillId="0" borderId="160" xfId="0" applyNumberFormat="1" applyFont="1" applyFill="1" applyBorder="1" applyAlignment="1" applyProtection="1">
      <alignment vertical="center"/>
    </xf>
    <xf numFmtId="5" fontId="20" fillId="0" borderId="161" xfId="0" applyNumberFormat="1" applyFont="1" applyFill="1" applyBorder="1" applyAlignment="1" applyProtection="1">
      <alignment vertical="center"/>
    </xf>
    <xf numFmtId="5" fontId="20" fillId="0" borderId="162" xfId="0" applyNumberFormat="1" applyFont="1" applyFill="1" applyBorder="1" applyAlignment="1" applyProtection="1">
      <alignment vertical="center"/>
    </xf>
    <xf numFmtId="5" fontId="20" fillId="0" borderId="163" xfId="0" applyNumberFormat="1" applyFont="1" applyFill="1" applyBorder="1" applyAlignment="1" applyProtection="1">
      <alignment vertical="center"/>
    </xf>
    <xf numFmtId="5" fontId="28" fillId="27" borderId="164" xfId="0" applyNumberFormat="1" applyFont="1" applyFill="1" applyBorder="1" applyAlignment="1" applyProtection="1"/>
    <xf numFmtId="5" fontId="28" fillId="27" borderId="165" xfId="0" applyNumberFormat="1" applyFont="1" applyFill="1" applyBorder="1" applyAlignment="1" applyProtection="1"/>
    <xf numFmtId="5" fontId="20" fillId="0" borderId="171" xfId="0" applyNumberFormat="1" applyFont="1" applyFill="1" applyBorder="1" applyProtection="1"/>
    <xf numFmtId="5" fontId="28" fillId="0" borderId="152" xfId="0" applyNumberFormat="1" applyFont="1" applyFill="1" applyBorder="1" applyProtection="1"/>
    <xf numFmtId="5" fontId="28" fillId="0" borderId="171" xfId="0" applyNumberFormat="1" applyFont="1" applyFill="1" applyBorder="1" applyProtection="1"/>
    <xf numFmtId="5" fontId="28" fillId="0" borderId="159" xfId="0" applyNumberFormat="1" applyFont="1" applyFill="1" applyBorder="1" applyProtection="1"/>
    <xf numFmtId="5" fontId="28" fillId="27" borderId="156" xfId="0" applyNumberFormat="1" applyFont="1" applyFill="1" applyBorder="1" applyAlignment="1" applyProtection="1">
      <alignment vertical="center"/>
    </xf>
    <xf numFmtId="5" fontId="20" fillId="0" borderId="152" xfId="0" applyNumberFormat="1" applyFont="1" applyFill="1" applyBorder="1" applyProtection="1"/>
    <xf numFmtId="5" fontId="20" fillId="0" borderId="173" xfId="0" applyNumberFormat="1" applyFont="1" applyFill="1" applyBorder="1" applyProtection="1"/>
    <xf numFmtId="5" fontId="28" fillId="0" borderId="174" xfId="0" applyNumberFormat="1" applyFont="1" applyFill="1" applyBorder="1" applyProtection="1"/>
    <xf numFmtId="5" fontId="28" fillId="27" borderId="175" xfId="0" applyNumberFormat="1" applyFont="1" applyFill="1" applyBorder="1" applyAlignment="1" applyProtection="1">
      <alignment vertical="center"/>
    </xf>
    <xf numFmtId="5" fontId="20" fillId="0" borderId="174" xfId="0" applyNumberFormat="1" applyFont="1" applyFill="1" applyBorder="1" applyProtection="1"/>
    <xf numFmtId="5" fontId="20" fillId="0" borderId="45" xfId="0" applyNumberFormat="1" applyFont="1" applyFill="1" applyBorder="1" applyProtection="1"/>
    <xf numFmtId="165" fontId="52" fillId="27" borderId="176" xfId="0" applyNumberFormat="1" applyFont="1" applyFill="1" applyBorder="1" applyAlignment="1" applyProtection="1">
      <alignment vertical="center"/>
    </xf>
    <xf numFmtId="5" fontId="28" fillId="0" borderId="42" xfId="0" applyNumberFormat="1" applyFont="1" applyFill="1" applyBorder="1" applyProtection="1"/>
    <xf numFmtId="5" fontId="25" fillId="0" borderId="177" xfId="0" applyNumberFormat="1" applyFont="1" applyFill="1" applyBorder="1" applyAlignment="1" applyProtection="1">
      <alignment horizontal="left"/>
    </xf>
    <xf numFmtId="5" fontId="25" fillId="0" borderId="145" xfId="0" applyNumberFormat="1" applyFont="1" applyFill="1" applyBorder="1" applyAlignment="1" applyProtection="1"/>
    <xf numFmtId="10" fontId="32" fillId="41" borderId="78" xfId="48" applyNumberFormat="1" applyFont="1" applyFill="1" applyBorder="1" applyAlignment="1">
      <alignment horizontal="right"/>
    </xf>
    <xf numFmtId="6" fontId="32" fillId="41" borderId="12" xfId="32" applyNumberFormat="1" applyFont="1" applyFill="1" applyBorder="1" applyAlignment="1">
      <alignment horizontal="right"/>
    </xf>
    <xf numFmtId="6" fontId="56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/>
    <xf numFmtId="10" fontId="32" fillId="41" borderId="78" xfId="32" applyNumberFormat="1" applyFont="1" applyFill="1" applyBorder="1" applyAlignment="1">
      <alignment horizontal="right"/>
    </xf>
    <xf numFmtId="0" fontId="0" fillId="0" borderId="0" xfId="0" applyAlignment="1">
      <alignment horizontal="center" vertical="top" wrapText="1"/>
    </xf>
    <xf numFmtId="0" fontId="74" fillId="0" borderId="0" xfId="0" applyFont="1" applyAlignment="1">
      <alignment horizontal="right" vertical="top"/>
    </xf>
    <xf numFmtId="43" fontId="15" fillId="0" borderId="0" xfId="0" applyNumberFormat="1" applyFont="1"/>
    <xf numFmtId="10" fontId="15" fillId="0" borderId="0" xfId="0" applyNumberFormat="1" applyFont="1"/>
    <xf numFmtId="38" fontId="15" fillId="0" borderId="11" xfId="0" applyNumberFormat="1" applyFont="1" applyFill="1" applyBorder="1"/>
    <xf numFmtId="38" fontId="15" fillId="0" borderId="13" xfId="0" applyNumberFormat="1" applyFont="1" applyFill="1" applyBorder="1"/>
    <xf numFmtId="38" fontId="15" fillId="40" borderId="11" xfId="0" applyNumberFormat="1" applyFont="1" applyFill="1" applyBorder="1"/>
    <xf numFmtId="38" fontId="15" fillId="31" borderId="11" xfId="0" applyNumberFormat="1" applyFont="1" applyFill="1" applyBorder="1"/>
    <xf numFmtId="38" fontId="15" fillId="0" borderId="11" xfId="0" applyNumberFormat="1" applyFont="1" applyFill="1" applyBorder="1" applyAlignment="1">
      <alignment horizontal="right"/>
    </xf>
    <xf numFmtId="38" fontId="0" fillId="0" borderId="0" xfId="0" applyNumberFormat="1"/>
    <xf numFmtId="1" fontId="13" fillId="26" borderId="11" xfId="53" applyNumberFormat="1" applyFont="1" applyFill="1" applyBorder="1" applyAlignment="1" applyProtection="1">
      <alignment horizontal="center"/>
    </xf>
    <xf numFmtId="1" fontId="17" fillId="26" borderId="11" xfId="53" applyNumberFormat="1" applyFont="1" applyFill="1" applyBorder="1" applyAlignment="1" applyProtection="1">
      <alignment horizontal="center"/>
    </xf>
    <xf numFmtId="1" fontId="26" fillId="26" borderId="10" xfId="53" quotePrefix="1" applyNumberFormat="1" applyFont="1" applyFill="1" applyBorder="1" applyAlignment="1" applyProtection="1">
      <alignment horizontal="center"/>
    </xf>
    <xf numFmtId="0" fontId="13" fillId="0" borderId="113" xfId="53" applyFont="1" applyFill="1" applyBorder="1" applyProtection="1"/>
    <xf numFmtId="0" fontId="13" fillId="0" borderId="114" xfId="53" applyFont="1" applyFill="1" applyBorder="1" applyProtection="1"/>
    <xf numFmtId="166" fontId="13" fillId="0" borderId="115" xfId="54" applyNumberFormat="1" applyFont="1" applyFill="1" applyBorder="1" applyAlignment="1" applyProtection="1">
      <alignment horizontal="right"/>
    </xf>
    <xf numFmtId="166" fontId="13" fillId="42" borderId="115" xfId="54" applyNumberFormat="1" applyFont="1" applyFill="1" applyBorder="1" applyAlignment="1" applyProtection="1">
      <alignment horizontal="right"/>
    </xf>
    <xf numFmtId="166" fontId="13" fillId="43" borderId="114" xfId="53" applyNumberFormat="1" applyFont="1" applyFill="1" applyBorder="1" applyAlignment="1" applyProtection="1">
      <alignment horizontal="right"/>
    </xf>
    <xf numFmtId="166" fontId="13" fillId="44" borderId="114" xfId="53" applyNumberFormat="1" applyFont="1" applyFill="1" applyBorder="1" applyAlignment="1" applyProtection="1">
      <alignment horizontal="right"/>
    </xf>
    <xf numFmtId="0" fontId="13" fillId="0" borderId="117" xfId="53" applyFont="1" applyFill="1" applyBorder="1" applyProtection="1"/>
    <xf numFmtId="0" fontId="13" fillId="0" borderId="118" xfId="53" applyFont="1" applyFill="1" applyBorder="1" applyProtection="1"/>
    <xf numFmtId="166" fontId="13" fillId="0" borderId="119" xfId="54" applyNumberFormat="1" applyFont="1" applyFill="1" applyBorder="1" applyAlignment="1" applyProtection="1">
      <alignment horizontal="right"/>
    </xf>
    <xf numFmtId="0" fontId="13" fillId="0" borderId="120" xfId="53" applyFont="1" applyFill="1" applyBorder="1" applyProtection="1"/>
    <xf numFmtId="0" fontId="13" fillId="0" borderId="121" xfId="53" applyFont="1" applyFill="1" applyBorder="1" applyProtection="1"/>
    <xf numFmtId="166" fontId="13" fillId="0" borderId="122" xfId="54" applyNumberFormat="1" applyFont="1" applyFill="1" applyBorder="1" applyAlignment="1" applyProtection="1">
      <alignment horizontal="right"/>
    </xf>
    <xf numFmtId="166" fontId="13" fillId="0" borderId="119" xfId="53" applyNumberFormat="1" applyFont="1" applyFill="1" applyBorder="1" applyAlignment="1" applyProtection="1">
      <alignment horizontal="right"/>
    </xf>
    <xf numFmtId="166" fontId="13" fillId="0" borderId="122" xfId="53" applyNumberFormat="1" applyFont="1" applyFill="1" applyBorder="1" applyAlignment="1" applyProtection="1">
      <alignment horizontal="right"/>
    </xf>
    <xf numFmtId="166" fontId="13" fillId="0" borderId="115" xfId="53" applyNumberFormat="1" applyFont="1" applyFill="1" applyBorder="1" applyAlignment="1" applyProtection="1">
      <alignment horizontal="right"/>
    </xf>
    <xf numFmtId="0" fontId="13" fillId="0" borderId="124" xfId="53" applyFont="1" applyFill="1" applyBorder="1" applyProtection="1"/>
    <xf numFmtId="0" fontId="13" fillId="0" borderId="125" xfId="53" applyFont="1" applyFill="1" applyBorder="1" applyProtection="1"/>
    <xf numFmtId="166" fontId="13" fillId="0" borderId="126" xfId="53" applyNumberFormat="1" applyFont="1" applyFill="1" applyBorder="1" applyAlignment="1" applyProtection="1">
      <alignment horizontal="right"/>
    </xf>
    <xf numFmtId="0" fontId="17" fillId="0" borderId="127" xfId="53" applyFont="1" applyFill="1" applyBorder="1" applyProtection="1"/>
    <xf numFmtId="0" fontId="32" fillId="0" borderId="81" xfId="53" applyFont="1" applyFill="1" applyBorder="1" applyAlignment="1" applyProtection="1">
      <alignment horizontal="center"/>
    </xf>
    <xf numFmtId="172" fontId="32" fillId="41" borderId="81" xfId="54" applyNumberFormat="1" applyFont="1" applyFill="1" applyBorder="1" applyAlignment="1" applyProtection="1">
      <alignment horizontal="right"/>
    </xf>
    <xf numFmtId="166" fontId="32" fillId="0" borderId="82" xfId="54" applyNumberFormat="1" applyFont="1" applyFill="1" applyBorder="1" applyAlignment="1" applyProtection="1">
      <alignment horizontal="right"/>
    </xf>
    <xf numFmtId="166" fontId="32" fillId="42" borderId="82" xfId="54" applyNumberFormat="1" applyFont="1" applyFill="1" applyBorder="1" applyAlignment="1" applyProtection="1">
      <alignment horizontal="right"/>
    </xf>
    <xf numFmtId="166" fontId="32" fillId="43" borderId="81" xfId="54" applyNumberFormat="1" applyFont="1" applyFill="1" applyBorder="1" applyAlignment="1" applyProtection="1">
      <alignment horizontal="right"/>
    </xf>
    <xf numFmtId="166" fontId="32" fillId="44" borderId="81" xfId="54" applyNumberFormat="1" applyFont="1" applyFill="1" applyBorder="1" applyAlignment="1" applyProtection="1">
      <alignment horizontal="right"/>
    </xf>
    <xf numFmtId="1" fontId="42" fillId="26" borderId="26" xfId="53" applyNumberFormat="1" applyFont="1" applyFill="1" applyBorder="1" applyAlignment="1" applyProtection="1">
      <alignment horizontal="center"/>
    </xf>
    <xf numFmtId="1" fontId="110" fillId="26" borderId="26" xfId="53" applyNumberFormat="1" applyFont="1" applyFill="1" applyBorder="1" applyAlignment="1" applyProtection="1">
      <alignment horizontal="center"/>
    </xf>
    <xf numFmtId="166" fontId="13" fillId="0" borderId="116" xfId="53" applyNumberFormat="1" applyFont="1" applyFill="1" applyBorder="1" applyAlignment="1" applyProtection="1">
      <alignment horizontal="right"/>
    </xf>
    <xf numFmtId="166" fontId="13" fillId="42" borderId="119" xfId="54" applyNumberFormat="1" applyFont="1" applyFill="1" applyBorder="1" applyAlignment="1" applyProtection="1">
      <alignment horizontal="right"/>
    </xf>
    <xf numFmtId="166" fontId="13" fillId="43" borderId="118" xfId="53" applyNumberFormat="1" applyFont="1" applyFill="1" applyBorder="1" applyAlignment="1" applyProtection="1">
      <alignment horizontal="right"/>
    </xf>
    <xf numFmtId="166" fontId="13" fillId="44" borderId="118" xfId="53" applyNumberFormat="1" applyFont="1" applyFill="1" applyBorder="1" applyAlignment="1" applyProtection="1">
      <alignment horizontal="right"/>
    </xf>
    <xf numFmtId="166" fontId="13" fillId="42" borderId="122" xfId="54" applyNumberFormat="1" applyFont="1" applyFill="1" applyBorder="1" applyAlignment="1" applyProtection="1">
      <alignment horizontal="right"/>
    </xf>
    <xf numFmtId="166" fontId="13" fillId="0" borderId="123" xfId="53" applyNumberFormat="1" applyFont="1" applyFill="1" applyBorder="1" applyAlignment="1" applyProtection="1">
      <alignment horizontal="right"/>
    </xf>
    <xf numFmtId="166" fontId="13" fillId="43" borderId="121" xfId="53" applyNumberFormat="1" applyFont="1" applyFill="1" applyBorder="1" applyAlignment="1" applyProtection="1">
      <alignment horizontal="right"/>
    </xf>
    <xf numFmtId="166" fontId="13" fillId="44" borderId="121" xfId="53" applyNumberFormat="1" applyFont="1" applyFill="1" applyBorder="1" applyAlignment="1" applyProtection="1">
      <alignment horizontal="right"/>
    </xf>
    <xf numFmtId="166" fontId="13" fillId="42" borderId="119" xfId="53" applyNumberFormat="1" applyFont="1" applyFill="1" applyBorder="1" applyAlignment="1" applyProtection="1">
      <alignment horizontal="right"/>
    </xf>
    <xf numFmtId="166" fontId="13" fillId="42" borderId="122" xfId="53" applyNumberFormat="1" applyFont="1" applyFill="1" applyBorder="1" applyAlignment="1" applyProtection="1">
      <alignment horizontal="right"/>
    </xf>
    <xf numFmtId="166" fontId="13" fillId="42" borderId="115" xfId="53" applyNumberFormat="1" applyFont="1" applyFill="1" applyBorder="1" applyAlignment="1" applyProtection="1">
      <alignment horizontal="right"/>
    </xf>
    <xf numFmtId="166" fontId="13" fillId="42" borderId="126" xfId="53" applyNumberFormat="1" applyFont="1" applyFill="1" applyBorder="1" applyAlignment="1" applyProtection="1">
      <alignment horizontal="right"/>
    </xf>
    <xf numFmtId="166" fontId="13" fillId="43" borderId="125" xfId="53" applyNumberFormat="1" applyFont="1" applyFill="1" applyBorder="1" applyAlignment="1" applyProtection="1">
      <alignment horizontal="right"/>
    </xf>
    <xf numFmtId="166" fontId="13" fillId="44" borderId="125" xfId="53" applyNumberFormat="1" applyFont="1" applyFill="1" applyBorder="1" applyAlignment="1" applyProtection="1">
      <alignment horizontal="right"/>
    </xf>
    <xf numFmtId="166" fontId="17" fillId="0" borderId="128" xfId="53" applyNumberFormat="1" applyFont="1" applyFill="1" applyBorder="1" applyAlignment="1" applyProtection="1">
      <alignment horizontal="right"/>
    </xf>
    <xf numFmtId="0" fontId="101" fillId="49" borderId="13" xfId="0" applyFont="1" applyFill="1" applyBorder="1" applyAlignment="1">
      <alignment horizontal="left" wrapText="1"/>
    </xf>
    <xf numFmtId="0" fontId="79" fillId="49" borderId="13" xfId="0" applyFont="1" applyFill="1" applyBorder="1" applyAlignment="1">
      <alignment horizontal="left" wrapText="1"/>
    </xf>
    <xf numFmtId="3" fontId="65" fillId="41" borderId="35" xfId="0" applyNumberFormat="1" applyFont="1" applyFill="1" applyBorder="1" applyAlignment="1">
      <alignment horizontal="right" wrapText="1"/>
    </xf>
    <xf numFmtId="6" fontId="13" fillId="0" borderId="11" xfId="0" applyNumberFormat="1" applyFont="1" applyFill="1" applyBorder="1" applyProtection="1"/>
    <xf numFmtId="5" fontId="25" fillId="27" borderId="45" xfId="0" applyNumberFormat="1" applyFont="1" applyFill="1" applyBorder="1" applyAlignment="1" applyProtection="1">
      <alignment vertical="center"/>
    </xf>
    <xf numFmtId="0" fontId="0" fillId="0" borderId="0" xfId="0" applyAlignment="1">
      <alignment horizontal="center" vertical="top" wrapText="1"/>
    </xf>
    <xf numFmtId="166" fontId="13" fillId="41" borderId="115" xfId="54" applyNumberFormat="1" applyFont="1" applyFill="1" applyBorder="1" applyAlignment="1" applyProtection="1">
      <alignment horizontal="right"/>
    </xf>
    <xf numFmtId="166" fontId="13" fillId="41" borderId="119" xfId="54" applyNumberFormat="1" applyFont="1" applyFill="1" applyBorder="1" applyAlignment="1" applyProtection="1">
      <alignment horizontal="right"/>
    </xf>
    <xf numFmtId="166" fontId="13" fillId="41" borderId="122" xfId="54" applyNumberFormat="1" applyFont="1" applyFill="1" applyBorder="1" applyAlignment="1" applyProtection="1">
      <alignment horizontal="right"/>
    </xf>
    <xf numFmtId="166" fontId="13" fillId="41" borderId="119" xfId="53" applyNumberFormat="1" applyFont="1" applyFill="1" applyBorder="1" applyAlignment="1" applyProtection="1">
      <alignment horizontal="right"/>
    </xf>
    <xf numFmtId="166" fontId="13" fillId="41" borderId="122" xfId="53" applyNumberFormat="1" applyFont="1" applyFill="1" applyBorder="1" applyAlignment="1" applyProtection="1">
      <alignment horizontal="right"/>
    </xf>
    <xf numFmtId="166" fontId="13" fillId="41" borderId="115" xfId="53" applyNumberFormat="1" applyFont="1" applyFill="1" applyBorder="1" applyAlignment="1" applyProtection="1">
      <alignment horizontal="right"/>
    </xf>
    <xf numFmtId="166" fontId="13" fillId="41" borderId="126" xfId="53" applyNumberFormat="1" applyFont="1" applyFill="1" applyBorder="1" applyAlignment="1" applyProtection="1">
      <alignment horizontal="right"/>
    </xf>
    <xf numFmtId="166" fontId="32" fillId="41" borderId="82" xfId="54" applyNumberFormat="1" applyFont="1" applyFill="1" applyBorder="1" applyAlignment="1" applyProtection="1">
      <alignment horizontal="right"/>
    </xf>
    <xf numFmtId="10" fontId="32" fillId="60" borderId="13" xfId="48" applyNumberFormat="1" applyFont="1" applyFill="1" applyBorder="1" applyAlignment="1">
      <alignment horizontal="center" vertical="center" wrapText="1"/>
    </xf>
    <xf numFmtId="10" fontId="32" fillId="43" borderId="13" xfId="48" applyNumberFormat="1" applyFont="1" applyFill="1" applyBorder="1" applyAlignment="1">
      <alignment horizontal="center" vertical="center" wrapText="1"/>
    </xf>
    <xf numFmtId="6" fontId="13" fillId="41" borderId="115" xfId="54" applyNumberFormat="1" applyFont="1" applyFill="1" applyBorder="1" applyAlignment="1" applyProtection="1">
      <alignment horizontal="right"/>
    </xf>
    <xf numFmtId="6" fontId="13" fillId="41" borderId="119" xfId="54" applyNumberFormat="1" applyFont="1" applyFill="1" applyBorder="1" applyAlignment="1" applyProtection="1">
      <alignment horizontal="right"/>
    </xf>
    <xf numFmtId="6" fontId="13" fillId="41" borderId="122" xfId="54" applyNumberFormat="1" applyFont="1" applyFill="1" applyBorder="1" applyAlignment="1" applyProtection="1">
      <alignment horizontal="right"/>
    </xf>
    <xf numFmtId="6" fontId="13" fillId="41" borderId="119" xfId="53" applyNumberFormat="1" applyFont="1" applyFill="1" applyBorder="1" applyAlignment="1" applyProtection="1">
      <alignment horizontal="right"/>
    </xf>
    <xf numFmtId="6" fontId="13" fillId="41" borderId="122" xfId="53" applyNumberFormat="1" applyFont="1" applyFill="1" applyBorder="1" applyAlignment="1" applyProtection="1">
      <alignment horizontal="right"/>
    </xf>
    <xf numFmtId="6" fontId="13" fillId="41" borderId="115" xfId="53" applyNumberFormat="1" applyFont="1" applyFill="1" applyBorder="1" applyAlignment="1" applyProtection="1">
      <alignment horizontal="right"/>
    </xf>
    <xf numFmtId="6" fontId="13" fillId="41" borderId="126" xfId="53" applyNumberFormat="1" applyFont="1" applyFill="1" applyBorder="1" applyAlignment="1" applyProtection="1">
      <alignment horizontal="right"/>
    </xf>
    <xf numFmtId="6" fontId="32" fillId="41" borderId="82" xfId="54" applyNumberFormat="1" applyFont="1" applyFill="1" applyBorder="1" applyAlignment="1" applyProtection="1">
      <alignment horizontal="right"/>
    </xf>
    <xf numFmtId="6" fontId="13" fillId="41" borderId="114" xfId="53" applyNumberFormat="1" applyFont="1" applyFill="1" applyBorder="1" applyAlignment="1" applyProtection="1">
      <alignment horizontal="right"/>
    </xf>
    <xf numFmtId="6" fontId="13" fillId="41" borderId="118" xfId="53" applyNumberFormat="1" applyFont="1" applyFill="1" applyBorder="1" applyAlignment="1" applyProtection="1">
      <alignment horizontal="right"/>
    </xf>
    <xf numFmtId="6" fontId="13" fillId="41" borderId="121" xfId="53" applyNumberFormat="1" applyFont="1" applyFill="1" applyBorder="1" applyAlignment="1" applyProtection="1">
      <alignment horizontal="right"/>
    </xf>
    <xf numFmtId="6" fontId="13" fillId="41" borderId="125" xfId="53" applyNumberFormat="1" applyFont="1" applyFill="1" applyBorder="1" applyAlignment="1" applyProtection="1">
      <alignment horizontal="right"/>
    </xf>
    <xf numFmtId="6" fontId="32" fillId="41" borderId="81" xfId="54" applyNumberFormat="1" applyFont="1" applyFill="1" applyBorder="1" applyAlignment="1" applyProtection="1">
      <alignment horizontal="right"/>
    </xf>
    <xf numFmtId="6" fontId="13" fillId="0" borderId="0" xfId="53" applyNumberFormat="1" applyFont="1" applyBorder="1" applyAlignment="1">
      <alignment horizontal="right"/>
    </xf>
    <xf numFmtId="0" fontId="0" fillId="0" borderId="0" xfId="0" applyBorder="1" applyAlignment="1">
      <alignment horizontal="left" wrapText="1"/>
    </xf>
    <xf numFmtId="5" fontId="25" fillId="27" borderId="178" xfId="0" applyNumberFormat="1" applyFont="1" applyFill="1" applyBorder="1" applyAlignment="1" applyProtection="1">
      <alignment vertical="center"/>
    </xf>
    <xf numFmtId="10" fontId="20" fillId="27" borderId="179" xfId="0" applyNumberFormat="1" applyFont="1" applyFill="1" applyBorder="1" applyAlignment="1" applyProtection="1">
      <alignment vertical="center"/>
    </xf>
    <xf numFmtId="0" fontId="18" fillId="0" borderId="180" xfId="0" quotePrefix="1" applyFont="1" applyFill="1" applyBorder="1" applyAlignment="1">
      <alignment horizontal="center"/>
    </xf>
    <xf numFmtId="6" fontId="113" fillId="41" borderId="11" xfId="0" applyNumberFormat="1" applyFont="1" applyFill="1" applyBorder="1" applyProtection="1"/>
    <xf numFmtId="0" fontId="28" fillId="41" borderId="52" xfId="0" applyFont="1" applyFill="1" applyBorder="1" applyAlignment="1">
      <alignment horizontal="center"/>
    </xf>
    <xf numFmtId="0" fontId="28" fillId="41" borderId="51" xfId="0" applyFont="1" applyFill="1" applyBorder="1" applyAlignment="1">
      <alignment horizontal="left"/>
    </xf>
    <xf numFmtId="0" fontId="18" fillId="41" borderId="51" xfId="0" applyFont="1" applyFill="1" applyBorder="1" applyAlignment="1">
      <alignment horizontal="left"/>
    </xf>
    <xf numFmtId="5" fontId="28" fillId="41" borderId="19" xfId="0" applyNumberFormat="1" applyFont="1" applyFill="1" applyBorder="1" applyProtection="1"/>
    <xf numFmtId="5" fontId="28" fillId="41" borderId="152" xfId="0" applyNumberFormat="1" applyFont="1" applyFill="1" applyBorder="1" applyProtection="1"/>
    <xf numFmtId="5" fontId="28" fillId="41" borderId="174" xfId="0" applyNumberFormat="1" applyFont="1" applyFill="1" applyBorder="1" applyProtection="1"/>
    <xf numFmtId="5" fontId="28" fillId="41" borderId="153" xfId="0" applyNumberFormat="1" applyFont="1" applyFill="1" applyBorder="1" applyProtection="1"/>
    <xf numFmtId="10" fontId="28" fillId="41" borderId="96" xfId="0" applyNumberFormat="1" applyFont="1" applyFill="1" applyBorder="1" applyProtection="1"/>
    <xf numFmtId="0" fontId="18" fillId="0" borderId="51" xfId="0" applyFont="1" applyFill="1" applyBorder="1" applyAlignment="1">
      <alignment horizontal="left" wrapText="1"/>
    </xf>
    <xf numFmtId="5" fontId="28" fillId="0" borderId="182" xfId="0" applyNumberFormat="1" applyFont="1" applyFill="1" applyBorder="1" applyProtection="1"/>
    <xf numFmtId="5" fontId="20" fillId="0" borderId="183" xfId="0" applyNumberFormat="1" applyFont="1" applyFill="1" applyBorder="1" applyProtection="1"/>
    <xf numFmtId="5" fontId="20" fillId="0" borderId="184" xfId="0" applyNumberFormat="1" applyFont="1" applyFill="1" applyBorder="1" applyProtection="1"/>
    <xf numFmtId="5" fontId="20" fillId="0" borderId="185" xfId="0" applyNumberFormat="1" applyFont="1" applyFill="1" applyBorder="1" applyProtection="1"/>
    <xf numFmtId="0" fontId="18" fillId="0" borderId="21" xfId="0" applyFont="1" applyFill="1" applyBorder="1" applyAlignment="1">
      <alignment horizontal="right"/>
    </xf>
    <xf numFmtId="165" fontId="18" fillId="0" borderId="150" xfId="28" applyNumberFormat="1" applyFont="1" applyFill="1" applyBorder="1" applyAlignment="1" applyProtection="1"/>
    <xf numFmtId="165" fontId="18" fillId="0" borderId="20" xfId="28" applyNumberFormat="1" applyFont="1" applyFill="1" applyBorder="1" applyAlignment="1" applyProtection="1"/>
    <xf numFmtId="165" fontId="18" fillId="0" borderId="149" xfId="28" applyNumberFormat="1" applyFont="1" applyFill="1" applyBorder="1" applyAlignment="1" applyProtection="1"/>
    <xf numFmtId="165" fontId="18" fillId="0" borderId="139" xfId="28" applyNumberFormat="1" applyFont="1" applyFill="1" applyBorder="1" applyAlignment="1" applyProtection="1"/>
    <xf numFmtId="165" fontId="18" fillId="0" borderId="27" xfId="28" applyNumberFormat="1" applyFont="1" applyFill="1" applyBorder="1" applyProtection="1"/>
    <xf numFmtId="0" fontId="18" fillId="0" borderId="21" xfId="0" applyFont="1" applyFill="1" applyBorder="1" applyAlignment="1">
      <alignment horizontal="right" vertical="top"/>
    </xf>
    <xf numFmtId="0" fontId="18" fillId="0" borderId="20" xfId="0" applyFont="1" applyFill="1" applyBorder="1" applyAlignment="1">
      <alignment horizontal="left" vertical="top" wrapText="1"/>
    </xf>
    <xf numFmtId="0" fontId="13" fillId="0" borderId="0" xfId="53"/>
    <xf numFmtId="3" fontId="13" fillId="41" borderId="118" xfId="54" applyNumberFormat="1" applyFont="1" applyFill="1" applyBorder="1" applyAlignment="1" applyProtection="1">
      <alignment horizontal="right"/>
    </xf>
    <xf numFmtId="3" fontId="13" fillId="41" borderId="121" xfId="54" applyNumberFormat="1" applyFont="1" applyFill="1" applyBorder="1" applyAlignment="1" applyProtection="1">
      <alignment horizontal="right"/>
    </xf>
    <xf numFmtId="3" fontId="13" fillId="41" borderId="114" xfId="54" applyNumberFormat="1" applyFont="1" applyFill="1" applyBorder="1" applyAlignment="1" applyProtection="1">
      <alignment horizontal="right"/>
    </xf>
    <xf numFmtId="3" fontId="13" fillId="41" borderId="118" xfId="53" applyNumberFormat="1" applyFont="1" applyFill="1" applyBorder="1" applyAlignment="1" applyProtection="1">
      <alignment horizontal="right"/>
    </xf>
    <xf numFmtId="3" fontId="13" fillId="41" borderId="121" xfId="53" applyNumberFormat="1" applyFont="1" applyFill="1" applyBorder="1" applyAlignment="1" applyProtection="1">
      <alignment horizontal="right"/>
    </xf>
    <xf numFmtId="3" fontId="13" fillId="41" borderId="114" xfId="53" applyNumberFormat="1" applyFont="1" applyFill="1" applyBorder="1" applyAlignment="1" applyProtection="1">
      <alignment horizontal="right"/>
    </xf>
    <xf numFmtId="3" fontId="13" fillId="41" borderId="125" xfId="53" applyNumberFormat="1" applyFont="1" applyFill="1" applyBorder="1" applyAlignment="1" applyProtection="1">
      <alignment horizontal="right"/>
    </xf>
    <xf numFmtId="0" fontId="13" fillId="0" borderId="0" xfId="0" applyFont="1" applyAlignment="1">
      <alignment wrapText="1"/>
    </xf>
    <xf numFmtId="0" fontId="15" fillId="0" borderId="0" xfId="0" applyFont="1" applyAlignment="1">
      <alignment horizontal="center"/>
    </xf>
    <xf numFmtId="166" fontId="13" fillId="42" borderId="115" xfId="30" applyNumberFormat="1" applyFont="1" applyFill="1" applyBorder="1" applyAlignment="1" applyProtection="1">
      <alignment horizontal="right"/>
    </xf>
    <xf numFmtId="6" fontId="32" fillId="43" borderId="81" xfId="30" applyNumberFormat="1" applyFont="1" applyFill="1" applyBorder="1" applyAlignment="1" applyProtection="1">
      <alignment horizontal="right"/>
    </xf>
    <xf numFmtId="0" fontId="13" fillId="0" borderId="186" xfId="53" applyFont="1" applyFill="1" applyBorder="1" applyProtection="1"/>
    <xf numFmtId="0" fontId="13" fillId="0" borderId="39" xfId="53" applyFont="1" applyFill="1" applyBorder="1" applyProtection="1"/>
    <xf numFmtId="5" fontId="20" fillId="0" borderId="187" xfId="0" applyNumberFormat="1" applyFont="1" applyFill="1" applyBorder="1" applyProtection="1"/>
    <xf numFmtId="0" fontId="0" fillId="0" borderId="0" xfId="0" applyAlignment="1">
      <alignment vertical="top" wrapText="1"/>
    </xf>
    <xf numFmtId="49" fontId="32" fillId="42" borderId="10" xfId="53" applyNumberFormat="1" applyFont="1" applyFill="1" applyBorder="1" applyAlignment="1">
      <alignment horizontal="center" vertical="center" wrapText="1"/>
    </xf>
    <xf numFmtId="49" fontId="32" fillId="43" borderId="13" xfId="53" applyNumberFormat="1" applyFont="1" applyFill="1" applyBorder="1" applyAlignment="1">
      <alignment horizontal="center" vertical="center" wrapText="1"/>
    </xf>
    <xf numFmtId="49" fontId="32" fillId="43" borderId="10" xfId="53" applyNumberFormat="1" applyFont="1" applyFill="1" applyBorder="1" applyAlignment="1">
      <alignment horizontal="center" vertical="center" wrapText="1"/>
    </xf>
    <xf numFmtId="6" fontId="15" fillId="0" borderId="13" xfId="0" applyNumberFormat="1" applyFont="1" applyFill="1" applyBorder="1" applyProtection="1"/>
    <xf numFmtId="3" fontId="13" fillId="41" borderId="39" xfId="53" applyNumberFormat="1" applyFont="1" applyFill="1" applyBorder="1" applyAlignment="1" applyProtection="1">
      <alignment horizontal="right"/>
    </xf>
    <xf numFmtId="0" fontId="13" fillId="0" borderId="189" xfId="53" applyFont="1" applyFill="1" applyBorder="1" applyProtection="1"/>
    <xf numFmtId="0" fontId="13" fillId="0" borderId="190" xfId="53" applyFont="1" applyFill="1" applyBorder="1" applyProtection="1"/>
    <xf numFmtId="3" fontId="13" fillId="41" borderId="190" xfId="53" applyNumberFormat="1" applyFont="1" applyFill="1" applyBorder="1" applyAlignment="1" applyProtection="1">
      <alignment horizontal="right"/>
    </xf>
    <xf numFmtId="166" fontId="13" fillId="0" borderId="191" xfId="53" applyNumberFormat="1" applyFont="1" applyFill="1" applyBorder="1" applyAlignment="1" applyProtection="1">
      <alignment horizontal="right"/>
    </xf>
    <xf numFmtId="166" fontId="13" fillId="41" borderId="188" xfId="53" applyNumberFormat="1" applyFont="1" applyFill="1" applyBorder="1" applyAlignment="1" applyProtection="1">
      <alignment horizontal="right"/>
    </xf>
    <xf numFmtId="6" fontId="13" fillId="41" borderId="188" xfId="53" applyNumberFormat="1" applyFont="1" applyFill="1" applyBorder="1" applyAlignment="1" applyProtection="1">
      <alignment horizontal="right"/>
    </xf>
    <xf numFmtId="166" fontId="13" fillId="42" borderId="191" xfId="53" applyNumberFormat="1" applyFont="1" applyFill="1" applyBorder="1" applyAlignment="1" applyProtection="1">
      <alignment horizontal="right"/>
    </xf>
    <xf numFmtId="6" fontId="13" fillId="42" borderId="115" xfId="53" applyNumberFormat="1" applyFont="1" applyFill="1" applyBorder="1" applyAlignment="1" applyProtection="1">
      <alignment horizontal="right"/>
    </xf>
    <xf numFmtId="6" fontId="32" fillId="42" borderId="82" xfId="54" applyNumberFormat="1" applyFont="1" applyFill="1" applyBorder="1" applyAlignment="1" applyProtection="1">
      <alignment horizontal="right"/>
    </xf>
    <xf numFmtId="6" fontId="13" fillId="42" borderId="115" xfId="54" applyNumberFormat="1" applyFont="1" applyFill="1" applyBorder="1" applyAlignment="1" applyProtection="1">
      <alignment horizontal="right"/>
    </xf>
    <xf numFmtId="6" fontId="13" fillId="43" borderId="114" xfId="53" applyNumberFormat="1" applyFont="1" applyFill="1" applyBorder="1" applyAlignment="1" applyProtection="1">
      <alignment horizontal="right"/>
    </xf>
    <xf numFmtId="6" fontId="32" fillId="43" borderId="81" xfId="54" applyNumberFormat="1" applyFont="1" applyFill="1" applyBorder="1" applyAlignment="1" applyProtection="1">
      <alignment horizontal="right"/>
    </xf>
    <xf numFmtId="5" fontId="20" fillId="0" borderId="79" xfId="0" applyNumberFormat="1" applyFont="1" applyFill="1" applyBorder="1" applyProtection="1"/>
    <xf numFmtId="6" fontId="0" fillId="0" borderId="74" xfId="0" applyNumberFormat="1" applyBorder="1"/>
    <xf numFmtId="6" fontId="0" fillId="0" borderId="0" xfId="0" applyNumberFormat="1" applyAlignment="1">
      <alignment vertical="top" wrapText="1"/>
    </xf>
    <xf numFmtId="6" fontId="0" fillId="0" borderId="0" xfId="0" applyNumberFormat="1" applyAlignment="1">
      <alignment horizontal="center" vertical="top" wrapText="1"/>
    </xf>
    <xf numFmtId="0" fontId="65" fillId="39" borderId="35" xfId="0" applyFont="1" applyFill="1" applyBorder="1" applyAlignment="1">
      <alignment horizontal="left" wrapText="1"/>
    </xf>
    <xf numFmtId="3" fontId="79" fillId="41" borderId="13" xfId="0" applyNumberFormat="1" applyFont="1" applyFill="1" applyBorder="1"/>
    <xf numFmtId="0" fontId="101" fillId="0" borderId="26" xfId="0" applyFont="1" applyBorder="1" applyAlignment="1">
      <alignment horizontal="left" wrapText="1"/>
    </xf>
    <xf numFmtId="0" fontId="103" fillId="0" borderId="26" xfId="0" applyFont="1" applyBorder="1" applyAlignment="1">
      <alignment horizontal="left" wrapText="1"/>
    </xf>
    <xf numFmtId="3" fontId="79" fillId="0" borderId="13" xfId="0" applyNumberFormat="1" applyFont="1" applyFill="1" applyBorder="1"/>
    <xf numFmtId="6" fontId="79" fillId="0" borderId="13" xfId="0" applyNumberFormat="1" applyFont="1" applyBorder="1"/>
    <xf numFmtId="6" fontId="79" fillId="27" borderId="13" xfId="0" applyNumberFormat="1" applyFont="1" applyFill="1" applyBorder="1"/>
    <xf numFmtId="0" fontId="101" fillId="49" borderId="42" xfId="0" applyFont="1" applyFill="1" applyBorder="1" applyAlignment="1">
      <alignment horizontal="right"/>
    </xf>
    <xf numFmtId="0" fontId="101" fillId="0" borderId="13" xfId="0" applyFont="1" applyBorder="1" applyAlignment="1">
      <alignment wrapText="1"/>
    </xf>
    <xf numFmtId="0" fontId="79" fillId="0" borderId="13" xfId="0" applyFont="1" applyBorder="1" applyAlignment="1">
      <alignment wrapText="1"/>
    </xf>
    <xf numFmtId="0" fontId="101" fillId="0" borderId="0" xfId="0" applyFont="1"/>
    <xf numFmtId="0" fontId="122" fillId="0" borderId="0" xfId="0" applyFont="1" applyAlignment="1">
      <alignment horizontal="center" wrapText="1"/>
    </xf>
    <xf numFmtId="0" fontId="101" fillId="0" borderId="0" xfId="0" applyFont="1" applyFill="1"/>
    <xf numFmtId="0" fontId="122" fillId="0" borderId="0" xfId="0" quotePrefix="1" applyFont="1" applyFill="1" applyAlignment="1">
      <alignment horizontal="center" wrapText="1"/>
    </xf>
    <xf numFmtId="0" fontId="122" fillId="0" borderId="0" xfId="0" quotePrefix="1" applyFont="1" applyAlignment="1">
      <alignment horizontal="center" wrapText="1"/>
    </xf>
    <xf numFmtId="0" fontId="125" fillId="53" borderId="10" xfId="0" applyFont="1" applyFill="1" applyBorder="1" applyAlignment="1">
      <alignment horizontal="center" vertical="center" wrapText="1"/>
    </xf>
    <xf numFmtId="0" fontId="126" fillId="25" borderId="13" xfId="0" applyFont="1" applyFill="1" applyBorder="1" applyAlignment="1">
      <alignment horizontal="center" vertical="center" wrapText="1"/>
    </xf>
    <xf numFmtId="10" fontId="125" fillId="43" borderId="26" xfId="0" applyNumberFormat="1" applyFont="1" applyFill="1" applyBorder="1" applyAlignment="1">
      <alignment horizontal="center" vertical="center" wrapText="1"/>
    </xf>
    <xf numFmtId="0" fontId="101" fillId="26" borderId="26" xfId="0" applyFont="1" applyFill="1" applyBorder="1"/>
    <xf numFmtId="1" fontId="123" fillId="26" borderId="26" xfId="0" quotePrefix="1" applyNumberFormat="1" applyFont="1" applyFill="1" applyBorder="1" applyAlignment="1">
      <alignment horizontal="center"/>
    </xf>
    <xf numFmtId="0" fontId="121" fillId="28" borderId="51" xfId="0" applyFont="1" applyFill="1" applyBorder="1" applyAlignment="1">
      <alignment horizontal="center" wrapText="1"/>
    </xf>
    <xf numFmtId="6" fontId="79" fillId="41" borderId="13" xfId="0" applyNumberFormat="1" applyFont="1" applyFill="1" applyBorder="1"/>
    <xf numFmtId="0" fontId="101" fillId="49" borderId="42" xfId="0" applyFont="1" applyFill="1" applyBorder="1"/>
    <xf numFmtId="0" fontId="105" fillId="0" borderId="13" xfId="0" applyFont="1" applyBorder="1" applyAlignment="1">
      <alignment wrapText="1"/>
    </xf>
    <xf numFmtId="0" fontId="103" fillId="0" borderId="13" xfId="0" applyFont="1" applyBorder="1" applyAlignment="1">
      <alignment wrapText="1"/>
    </xf>
    <xf numFmtId="6" fontId="79" fillId="0" borderId="26" xfId="0" applyNumberFormat="1" applyFont="1" applyBorder="1"/>
    <xf numFmtId="6" fontId="79" fillId="41" borderId="26" xfId="0" applyNumberFormat="1" applyFont="1" applyFill="1" applyBorder="1"/>
    <xf numFmtId="6" fontId="79" fillId="27" borderId="26" xfId="0" applyNumberFormat="1" applyFont="1" applyFill="1" applyBorder="1"/>
    <xf numFmtId="0" fontId="101" fillId="49" borderId="0" xfId="0" applyFont="1" applyFill="1"/>
    <xf numFmtId="3" fontId="103" fillId="0" borderId="13" xfId="0" applyNumberFormat="1" applyFont="1" applyFill="1" applyBorder="1"/>
    <xf numFmtId="6" fontId="103" fillId="0" borderId="13" xfId="0" applyNumberFormat="1" applyFont="1" applyBorder="1"/>
    <xf numFmtId="6" fontId="103" fillId="0" borderId="13" xfId="0" applyNumberFormat="1" applyFont="1" applyFill="1" applyBorder="1"/>
    <xf numFmtId="6" fontId="103" fillId="41" borderId="26" xfId="0" applyNumberFormat="1" applyFont="1" applyFill="1" applyBorder="1"/>
    <xf numFmtId="6" fontId="103" fillId="27" borderId="26" xfId="0" applyNumberFormat="1" applyFont="1" applyFill="1" applyBorder="1"/>
    <xf numFmtId="0" fontId="105" fillId="0" borderId="0" xfId="0" applyFont="1"/>
    <xf numFmtId="6" fontId="103" fillId="0" borderId="26" xfId="0" applyNumberFormat="1" applyFont="1" applyBorder="1"/>
    <xf numFmtId="165" fontId="103" fillId="28" borderId="51" xfId="28" applyNumberFormat="1" applyFont="1" applyFill="1" applyBorder="1"/>
    <xf numFmtId="6" fontId="79" fillId="28" borderId="51" xfId="0" applyNumberFormat="1" applyFont="1" applyFill="1" applyBorder="1"/>
    <xf numFmtId="6" fontId="103" fillId="28" borderId="51" xfId="0" applyNumberFormat="1" applyFont="1" applyFill="1" applyBorder="1"/>
    <xf numFmtId="6" fontId="103" fillId="34" borderId="42" xfId="0" applyNumberFormat="1" applyFont="1" applyFill="1" applyBorder="1"/>
    <xf numFmtId="0" fontId="105" fillId="0" borderId="12" xfId="0" applyFont="1" applyBorder="1" applyAlignment="1">
      <alignment horizontal="right" wrapText="1"/>
    </xf>
    <xf numFmtId="0" fontId="129" fillId="0" borderId="12" xfId="0" applyFont="1" applyBorder="1" applyAlignment="1">
      <alignment horizontal="right" wrapText="1"/>
    </xf>
    <xf numFmtId="3" fontId="103" fillId="0" borderId="12" xfId="0" applyNumberFormat="1" applyFont="1" applyFill="1" applyBorder="1"/>
    <xf numFmtId="8" fontId="103" fillId="0" borderId="12" xfId="0" applyNumberFormat="1" applyFont="1" applyBorder="1"/>
    <xf numFmtId="166" fontId="103" fillId="0" borderId="12" xfId="0" applyNumberFormat="1" applyFont="1" applyBorder="1"/>
    <xf numFmtId="6" fontId="103" fillId="0" borderId="12" xfId="0" applyNumberFormat="1" applyFont="1" applyBorder="1"/>
    <xf numFmtId="166" fontId="103" fillId="41" borderId="12" xfId="0" applyNumberFormat="1" applyFont="1" applyFill="1" applyBorder="1"/>
    <xf numFmtId="0" fontId="105" fillId="0" borderId="0" xfId="0" applyFont="1" applyBorder="1" applyAlignment="1">
      <alignment wrapText="1"/>
    </xf>
    <xf numFmtId="3" fontId="101" fillId="0" borderId="0" xfId="0" applyNumberFormat="1" applyFont="1" applyFill="1" applyBorder="1"/>
    <xf numFmtId="8" fontId="101" fillId="0" borderId="0" xfId="0" applyNumberFormat="1" applyFont="1" applyBorder="1"/>
    <xf numFmtId="6" fontId="101" fillId="0" borderId="130" xfId="0" applyNumberFormat="1" applyFont="1" applyFill="1" applyBorder="1" applyAlignment="1">
      <alignment horizontal="center"/>
    </xf>
    <xf numFmtId="0" fontId="105" fillId="0" borderId="0" xfId="0" applyFont="1" applyBorder="1" applyAlignment="1">
      <alignment horizontal="left" wrapText="1"/>
    </xf>
    <xf numFmtId="0" fontId="130" fillId="0" borderId="0" xfId="0" applyFont="1" applyBorder="1" applyAlignment="1">
      <alignment wrapText="1"/>
    </xf>
    <xf numFmtId="0" fontId="130" fillId="0" borderId="0" xfId="0" applyFont="1" applyBorder="1" applyAlignment="1">
      <alignment horizontal="left" wrapText="1"/>
    </xf>
    <xf numFmtId="0" fontId="128" fillId="0" borderId="0" xfId="0" applyFont="1" applyAlignment="1">
      <alignment horizontal="left"/>
    </xf>
    <xf numFmtId="38" fontId="79" fillId="0" borderId="26" xfId="0" applyNumberFormat="1" applyFont="1" applyFill="1" applyBorder="1" applyAlignment="1">
      <alignment wrapText="1"/>
    </xf>
    <xf numFmtId="6" fontId="65" fillId="0" borderId="13" xfId="0" applyNumberFormat="1" applyFont="1" applyFill="1" applyBorder="1" applyAlignment="1">
      <alignment horizontal="right"/>
    </xf>
    <xf numFmtId="0" fontId="65" fillId="0" borderId="26" xfId="0" applyFont="1" applyFill="1" applyBorder="1" applyAlignment="1">
      <alignment horizontal="left" wrapText="1"/>
    </xf>
    <xf numFmtId="166" fontId="17" fillId="0" borderId="0" xfId="0" applyNumberFormat="1" applyFont="1"/>
    <xf numFmtId="6" fontId="17" fillId="0" borderId="0" xfId="0" applyNumberFormat="1" applyFont="1"/>
    <xf numFmtId="166" fontId="15" fillId="52" borderId="0" xfId="0" applyNumberFormat="1" applyFont="1" applyFill="1"/>
    <xf numFmtId="6" fontId="13" fillId="52" borderId="0" xfId="0" applyNumberFormat="1" applyFont="1" applyFill="1"/>
    <xf numFmtId="0" fontId="13" fillId="64" borderId="36" xfId="0" applyFont="1" applyFill="1" applyBorder="1"/>
    <xf numFmtId="6" fontId="15" fillId="64" borderId="42" xfId="0" applyNumberFormat="1" applyFont="1" applyFill="1" applyBorder="1"/>
    <xf numFmtId="6" fontId="34" fillId="41" borderId="0" xfId="0" applyNumberFormat="1" applyFont="1" applyFill="1" applyBorder="1" applyAlignment="1" applyProtection="1"/>
    <xf numFmtId="5" fontId="17" fillId="65" borderId="11" xfId="0" applyNumberFormat="1" applyFont="1" applyFill="1" applyBorder="1" applyProtection="1"/>
    <xf numFmtId="0" fontId="101" fillId="49" borderId="0" xfId="0" applyFont="1" applyFill="1" applyBorder="1"/>
    <xf numFmtId="0" fontId="101" fillId="0" borderId="0" xfId="0" applyFont="1" applyBorder="1" applyAlignment="1">
      <alignment wrapText="1"/>
    </xf>
    <xf numFmtId="0" fontId="101" fillId="63" borderId="0" xfId="0" applyFont="1" applyFill="1" applyBorder="1"/>
    <xf numFmtId="0" fontId="131" fillId="0" borderId="0" xfId="0" applyFont="1" applyFill="1" applyBorder="1" applyAlignment="1">
      <alignment horizontal="center" vertical="center" wrapText="1"/>
    </xf>
    <xf numFmtId="0" fontId="131" fillId="0" borderId="14" xfId="0" applyFont="1" applyFill="1" applyBorder="1" applyAlignment="1">
      <alignment horizontal="center" vertical="center" wrapText="1"/>
    </xf>
    <xf numFmtId="166" fontId="13" fillId="27" borderId="11" xfId="0" applyNumberFormat="1" applyFont="1" applyFill="1" applyBorder="1"/>
    <xf numFmtId="166" fontId="13" fillId="27" borderId="13" xfId="0" applyNumberFormat="1" applyFont="1" applyFill="1" applyBorder="1"/>
    <xf numFmtId="0" fontId="16" fillId="31" borderId="0" xfId="0" applyFont="1" applyFill="1" applyBorder="1" applyAlignment="1">
      <alignment horizontal="center"/>
    </xf>
    <xf numFmtId="10" fontId="113" fillId="0" borderId="11" xfId="48" applyNumberFormat="1" applyFont="1" applyBorder="1"/>
    <xf numFmtId="10" fontId="113" fillId="0" borderId="13" xfId="48" applyNumberFormat="1" applyFont="1" applyBorder="1"/>
    <xf numFmtId="10" fontId="13" fillId="0" borderId="11" xfId="48" applyNumberFormat="1" applyFont="1" applyBorder="1"/>
    <xf numFmtId="10" fontId="13" fillId="0" borderId="13" xfId="48" applyNumberFormat="1" applyFont="1" applyBorder="1"/>
    <xf numFmtId="0" fontId="52" fillId="0" borderId="0" xfId="0" applyFont="1" applyAlignment="1"/>
    <xf numFmtId="0" fontId="41" fillId="0" borderId="33" xfId="0" applyFont="1" applyFill="1" applyBorder="1" applyAlignment="1">
      <alignment horizontal="center" vertical="center" wrapText="1"/>
    </xf>
    <xf numFmtId="8" fontId="15" fillId="0" borderId="0" xfId="0" applyNumberFormat="1" applyFont="1" applyFill="1"/>
    <xf numFmtId="3" fontId="15" fillId="41" borderId="11" xfId="0" applyNumberFormat="1" applyFont="1" applyFill="1" applyBorder="1" applyAlignment="1">
      <alignment horizontal="center"/>
    </xf>
    <xf numFmtId="169" fontId="15" fillId="41" borderId="11" xfId="48" applyNumberFormat="1" applyFont="1" applyFill="1" applyBorder="1"/>
    <xf numFmtId="166" fontId="15" fillId="41" borderId="45" xfId="0" applyNumberFormat="1" applyFont="1" applyFill="1" applyBorder="1"/>
    <xf numFmtId="10" fontId="15" fillId="41" borderId="45" xfId="0" applyNumberFormat="1" applyFont="1" applyFill="1" applyBorder="1"/>
    <xf numFmtId="6" fontId="15" fillId="41" borderId="45" xfId="32" applyNumberFormat="1" applyFont="1" applyFill="1" applyBorder="1"/>
    <xf numFmtId="6" fontId="15" fillId="41" borderId="11" xfId="0" applyNumberFormat="1" applyFont="1" applyFill="1" applyBorder="1"/>
    <xf numFmtId="166" fontId="15" fillId="41" borderId="11" xfId="28" applyNumberFormat="1" applyFont="1" applyFill="1" applyBorder="1"/>
    <xf numFmtId="165" fontId="15" fillId="41" borderId="11" xfId="28" applyNumberFormat="1" applyFont="1" applyFill="1" applyBorder="1"/>
    <xf numFmtId="6" fontId="15" fillId="41" borderId="11" xfId="28" applyNumberFormat="1" applyFont="1" applyFill="1" applyBorder="1"/>
    <xf numFmtId="10" fontId="113" fillId="41" borderId="11" xfId="48" applyNumberFormat="1" applyFont="1" applyFill="1" applyBorder="1"/>
    <xf numFmtId="38" fontId="15" fillId="41" borderId="11" xfId="0" applyNumberFormat="1" applyFont="1" applyFill="1" applyBorder="1"/>
    <xf numFmtId="3" fontId="15" fillId="41" borderId="0" xfId="0" applyNumberFormat="1" applyFont="1" applyFill="1"/>
    <xf numFmtId="0" fontId="0" fillId="0" borderId="0" xfId="0" applyBorder="1" applyAlignment="1">
      <alignment horizontal="left" vertical="top" wrapText="1"/>
    </xf>
    <xf numFmtId="0" fontId="13" fillId="0" borderId="0" xfId="0" applyFont="1" applyBorder="1" applyAlignment="1">
      <alignment horizontal="left" vertical="top" wrapText="1"/>
    </xf>
    <xf numFmtId="0" fontId="32" fillId="25" borderId="10" xfId="0" applyFont="1" applyFill="1" applyBorder="1" applyAlignment="1">
      <alignment horizontal="center" vertical="center" wrapText="1"/>
    </xf>
    <xf numFmtId="6" fontId="15" fillId="0" borderId="11" xfId="32" applyNumberFormat="1" applyFont="1" applyFill="1" applyBorder="1"/>
    <xf numFmtId="6" fontId="15" fillId="0" borderId="13" xfId="32" applyNumberFormat="1" applyFont="1" applyFill="1" applyBorder="1"/>
    <xf numFmtId="3" fontId="65" fillId="0" borderId="35" xfId="0" applyNumberFormat="1" applyFont="1" applyFill="1" applyBorder="1" applyAlignment="1">
      <alignment horizontal="right"/>
    </xf>
    <xf numFmtId="3" fontId="65" fillId="0" borderId="35" xfId="0" applyNumberFormat="1" applyFont="1" applyFill="1" applyBorder="1" applyAlignment="1">
      <alignment horizontal="right" wrapText="1"/>
    </xf>
    <xf numFmtId="0" fontId="13" fillId="0" borderId="14" xfId="53" applyBorder="1"/>
    <xf numFmtId="166" fontId="13" fillId="0" borderId="11" xfId="0" applyNumberFormat="1" applyFont="1" applyFill="1" applyBorder="1"/>
    <xf numFmtId="0" fontId="0" fillId="0" borderId="13" xfId="0" applyBorder="1"/>
    <xf numFmtId="166" fontId="26" fillId="43" borderId="26" xfId="0" applyNumberFormat="1" applyFont="1" applyFill="1" applyBorder="1" applyAlignment="1">
      <alignment horizontal="center" wrapText="1"/>
    </xf>
    <xf numFmtId="6" fontId="17" fillId="43" borderId="10" xfId="0" applyNumberFormat="1" applyFont="1" applyFill="1" applyBorder="1"/>
    <xf numFmtId="6" fontId="17" fillId="43" borderId="11" xfId="0" applyNumberFormat="1" applyFont="1" applyFill="1" applyBorder="1"/>
    <xf numFmtId="6" fontId="17" fillId="43" borderId="13" xfId="0" applyNumberFormat="1" applyFont="1" applyFill="1" applyBorder="1"/>
    <xf numFmtId="1" fontId="119" fillId="0" borderId="7" xfId="64" applyNumberFormat="1" applyFont="1" applyFill="1" applyBorder="1" applyAlignment="1">
      <alignment horizontal="right" wrapText="1"/>
    </xf>
    <xf numFmtId="5" fontId="28" fillId="0" borderId="197" xfId="0" applyNumberFormat="1" applyFont="1" applyFill="1" applyBorder="1" applyAlignment="1" applyProtection="1">
      <alignment horizontal="center"/>
    </xf>
    <xf numFmtId="5" fontId="28" fillId="0" borderId="197" xfId="0" applyNumberFormat="1" applyFont="1" applyFill="1" applyBorder="1" applyAlignment="1" applyProtection="1"/>
    <xf numFmtId="5" fontId="28" fillId="0" borderId="45" xfId="0" applyNumberFormat="1" applyFont="1" applyFill="1" applyBorder="1" applyAlignment="1" applyProtection="1"/>
    <xf numFmtId="1" fontId="26" fillId="26" borderId="0" xfId="0" applyNumberFormat="1" applyFont="1" applyFill="1" applyBorder="1" applyAlignment="1" applyProtection="1">
      <alignment horizontal="center"/>
    </xf>
    <xf numFmtId="5" fontId="15" fillId="0" borderId="0" xfId="0" applyNumberFormat="1" applyFont="1" applyFill="1" applyBorder="1" applyProtection="1"/>
    <xf numFmtId="6" fontId="15" fillId="0" borderId="0" xfId="0" applyNumberFormat="1" applyFont="1" applyFill="1" applyBorder="1" applyProtection="1"/>
    <xf numFmtId="6" fontId="15" fillId="0" borderId="197" xfId="0" applyNumberFormat="1" applyFont="1" applyFill="1" applyBorder="1" applyProtection="1"/>
    <xf numFmtId="5" fontId="15" fillId="49" borderId="0" xfId="0" applyNumberFormat="1" applyFont="1" applyFill="1" applyBorder="1" applyProtection="1"/>
    <xf numFmtId="6" fontId="15" fillId="49" borderId="0" xfId="0" applyNumberFormat="1" applyFont="1" applyFill="1" applyBorder="1" applyProtection="1"/>
    <xf numFmtId="6" fontId="15" fillId="49" borderId="197" xfId="0" applyNumberFormat="1" applyFont="1" applyFill="1" applyBorder="1" applyProtection="1"/>
    <xf numFmtId="0" fontId="0" fillId="49" borderId="0" xfId="0" applyFill="1"/>
    <xf numFmtId="5" fontId="0" fillId="49" borderId="0" xfId="0" applyNumberFormat="1" applyFill="1"/>
    <xf numFmtId="5" fontId="113" fillId="49" borderId="0" xfId="0" applyNumberFormat="1" applyFont="1" applyFill="1" applyBorder="1" applyProtection="1"/>
    <xf numFmtId="0" fontId="32" fillId="0" borderId="197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 applyProtection="1">
      <alignment horizontal="center"/>
    </xf>
    <xf numFmtId="166" fontId="15" fillId="39" borderId="45" xfId="0" applyNumberFormat="1" applyFont="1" applyFill="1" applyBorder="1"/>
    <xf numFmtId="166" fontId="15" fillId="39" borderId="11" xfId="28" applyNumberFormat="1" applyFont="1" applyFill="1" applyBorder="1"/>
    <xf numFmtId="166" fontId="13" fillId="39" borderId="11" xfId="0" applyNumberFormat="1" applyFont="1" applyFill="1" applyBorder="1"/>
    <xf numFmtId="0" fontId="17" fillId="51" borderId="26" xfId="0" applyFont="1" applyFill="1" applyBorder="1" applyAlignment="1">
      <alignment horizontal="center" vertical="center" wrapText="1"/>
    </xf>
    <xf numFmtId="0" fontId="17" fillId="51" borderId="26" xfId="0" applyFont="1" applyFill="1" applyBorder="1" applyAlignment="1">
      <alignment horizontal="center" vertical="center"/>
    </xf>
    <xf numFmtId="0" fontId="17" fillId="46" borderId="26" xfId="0" applyFont="1" applyFill="1" applyBorder="1" applyAlignment="1">
      <alignment horizontal="center" vertical="center" wrapText="1"/>
    </xf>
    <xf numFmtId="16" fontId="17" fillId="46" borderId="26" xfId="0" quotePrefix="1" applyNumberFormat="1" applyFont="1" applyFill="1" applyBorder="1" applyAlignment="1">
      <alignment horizontal="center" vertical="center"/>
    </xf>
    <xf numFmtId="0" fontId="17" fillId="46" borderId="26" xfId="0" applyFont="1" applyFill="1" applyBorder="1" applyAlignment="1">
      <alignment horizontal="center" vertical="center"/>
    </xf>
    <xf numFmtId="0" fontId="17" fillId="52" borderId="26" xfId="0" applyFont="1" applyFill="1" applyBorder="1" applyAlignment="1">
      <alignment horizontal="center" vertical="center" wrapText="1"/>
    </xf>
    <xf numFmtId="0" fontId="17" fillId="53" borderId="26" xfId="0" applyFont="1" applyFill="1" applyBorder="1" applyAlignment="1">
      <alignment horizontal="center" vertical="center" wrapText="1"/>
    </xf>
    <xf numFmtId="0" fontId="17" fillId="50" borderId="26" xfId="0" applyFont="1" applyFill="1" applyBorder="1" applyAlignment="1">
      <alignment horizontal="center" vertical="center"/>
    </xf>
    <xf numFmtId="0" fontId="18" fillId="0" borderId="31" xfId="0" quotePrefix="1" applyFont="1" applyFill="1" applyBorder="1" applyAlignment="1">
      <alignment horizontal="center"/>
    </xf>
    <xf numFmtId="5" fontId="20" fillId="0" borderId="172" xfId="0" applyNumberFormat="1" applyFont="1" applyFill="1" applyBorder="1" applyAlignment="1" applyProtection="1">
      <alignment vertical="center"/>
    </xf>
    <xf numFmtId="5" fontId="20" fillId="0" borderId="170" xfId="0" applyNumberFormat="1" applyFont="1" applyFill="1" applyBorder="1" applyAlignment="1" applyProtection="1">
      <alignment vertical="center"/>
    </xf>
    <xf numFmtId="0" fontId="32" fillId="25" borderId="13" xfId="0" applyFont="1" applyFill="1" applyBorder="1" applyAlignment="1">
      <alignment horizontal="center" vertical="center" wrapText="1"/>
    </xf>
    <xf numFmtId="0" fontId="16" fillId="0" borderId="201" xfId="0" applyFont="1" applyFill="1" applyBorder="1" applyAlignment="1">
      <alignment horizontal="center" vertical="center"/>
    </xf>
    <xf numFmtId="0" fontId="32" fillId="25" borderId="26" xfId="0" applyFont="1" applyFill="1" applyBorder="1" applyAlignment="1">
      <alignment horizontal="center" vertical="center" wrapText="1"/>
    </xf>
    <xf numFmtId="38" fontId="79" fillId="49" borderId="13" xfId="0" applyNumberFormat="1" applyFont="1" applyFill="1" applyBorder="1" applyAlignment="1">
      <alignment wrapText="1"/>
    </xf>
    <xf numFmtId="1" fontId="110" fillId="26" borderId="194" xfId="53" applyNumberFormat="1" applyFont="1" applyFill="1" applyBorder="1" applyAlignment="1" applyProtection="1">
      <alignment horizontal="center"/>
    </xf>
    <xf numFmtId="0" fontId="32" fillId="25" borderId="13" xfId="0" applyFont="1" applyFill="1" applyBorder="1" applyAlignment="1">
      <alignment horizontal="center" vertical="center" wrapText="1"/>
    </xf>
    <xf numFmtId="49" fontId="32" fillId="43" borderId="10" xfId="53" applyNumberFormat="1" applyFont="1" applyFill="1" applyBorder="1" applyAlignment="1">
      <alignment horizontal="center" vertical="center" wrapText="1"/>
    </xf>
    <xf numFmtId="0" fontId="32" fillId="27" borderId="26" xfId="0" applyFont="1" applyFill="1" applyBorder="1" applyAlignment="1">
      <alignment horizontal="center" vertical="center" wrapText="1"/>
    </xf>
    <xf numFmtId="0" fontId="32" fillId="27" borderId="13" xfId="0" applyFont="1" applyFill="1" applyBorder="1" applyAlignment="1">
      <alignment horizontal="center" vertical="center" wrapText="1"/>
    </xf>
    <xf numFmtId="0" fontId="32" fillId="27" borderId="13" xfId="0" applyFont="1" applyFill="1" applyBorder="1" applyAlignment="1">
      <alignment horizontal="center" vertical="center" wrapText="1"/>
    </xf>
    <xf numFmtId="0" fontId="32" fillId="25" borderId="13" xfId="0" applyFont="1" applyFill="1" applyBorder="1" applyAlignment="1">
      <alignment horizontal="center" vertical="center" wrapText="1"/>
    </xf>
    <xf numFmtId="1" fontId="26" fillId="26" borderId="194" xfId="28" quotePrefix="1" applyNumberFormat="1" applyFont="1" applyFill="1" applyBorder="1" applyAlignment="1">
      <alignment horizontal="center"/>
    </xf>
    <xf numFmtId="15" fontId="15" fillId="29" borderId="194" xfId="0" applyNumberFormat="1" applyFont="1" applyFill="1" applyBorder="1" applyAlignment="1">
      <alignment horizontal="center"/>
    </xf>
    <xf numFmtId="3" fontId="15" fillId="0" borderId="198" xfId="0" applyNumberFormat="1" applyFont="1" applyBorder="1"/>
    <xf numFmtId="3" fontId="15" fillId="0" borderId="198" xfId="0" applyNumberFormat="1" applyFont="1" applyFill="1" applyBorder="1"/>
    <xf numFmtId="3" fontId="15" fillId="41" borderId="198" xfId="0" applyNumberFormat="1" applyFont="1" applyFill="1" applyBorder="1"/>
    <xf numFmtId="0" fontId="132" fillId="0" borderId="0" xfId="0" applyFont="1" applyFill="1" applyBorder="1" applyAlignment="1">
      <alignment wrapText="1"/>
    </xf>
    <xf numFmtId="1" fontId="26" fillId="26" borderId="194" xfId="28" applyNumberFormat="1" applyFont="1" applyFill="1" applyBorder="1" applyAlignment="1">
      <alignment horizontal="center"/>
    </xf>
    <xf numFmtId="0" fontId="32" fillId="25" borderId="13" xfId="0" applyFont="1" applyFill="1" applyBorder="1" applyAlignment="1">
      <alignment horizontal="center" vertical="center" wrapText="1"/>
    </xf>
    <xf numFmtId="0" fontId="8" fillId="0" borderId="0" xfId="70"/>
    <xf numFmtId="0" fontId="13" fillId="0" borderId="22" xfId="53" applyBorder="1" applyAlignment="1">
      <alignment horizontal="center"/>
    </xf>
    <xf numFmtId="0" fontId="82" fillId="0" borderId="22" xfId="45" applyFont="1" applyFill="1" applyBorder="1" applyAlignment="1">
      <alignment wrapText="1"/>
    </xf>
    <xf numFmtId="0" fontId="50" fillId="0" borderId="22" xfId="45" applyBorder="1"/>
    <xf numFmtId="0" fontId="82" fillId="0" borderId="22" xfId="45" applyFont="1" applyFill="1" applyBorder="1" applyAlignment="1">
      <alignment horizontal="right" wrapText="1"/>
    </xf>
    <xf numFmtId="165" fontId="0" fillId="0" borderId="0" xfId="73" applyNumberFormat="1" applyFont="1"/>
    <xf numFmtId="3" fontId="139" fillId="0" borderId="0" xfId="72" applyNumberFormat="1" applyFont="1" applyFill="1" applyBorder="1" applyAlignment="1">
      <alignment horizontal="center" wrapText="1"/>
    </xf>
    <xf numFmtId="165" fontId="140" fillId="0" borderId="0" xfId="73" applyNumberFormat="1" applyFont="1"/>
    <xf numFmtId="3" fontId="140" fillId="0" borderId="0" xfId="70" applyNumberFormat="1" applyFont="1"/>
    <xf numFmtId="3" fontId="8" fillId="0" borderId="0" xfId="70" applyNumberFormat="1"/>
    <xf numFmtId="0" fontId="139" fillId="0" borderId="0" xfId="72" applyFont="1" applyFill="1" applyBorder="1" applyAlignment="1">
      <alignment horizontal="center" wrapText="1"/>
    </xf>
    <xf numFmtId="0" fontId="141" fillId="0" borderId="0" xfId="72" applyFont="1" applyFill="1" applyBorder="1" applyAlignment="1">
      <alignment horizontal="center" wrapText="1"/>
    </xf>
    <xf numFmtId="0" fontId="32" fillId="43" borderId="10" xfId="0" applyFont="1" applyFill="1" applyBorder="1" applyAlignment="1">
      <alignment horizontal="center" vertical="center" wrapText="1"/>
    </xf>
    <xf numFmtId="0" fontId="8" fillId="41" borderId="0" xfId="70" applyFill="1"/>
    <xf numFmtId="0" fontId="43" fillId="0" borderId="196" xfId="0" quotePrefix="1" applyFont="1" applyBorder="1" applyAlignment="1">
      <alignment horizontal="center" vertical="center" wrapText="1"/>
    </xf>
    <xf numFmtId="0" fontId="142" fillId="0" borderId="0" xfId="53" quotePrefix="1" applyFont="1" applyBorder="1" applyAlignment="1">
      <alignment wrapText="1"/>
    </xf>
    <xf numFmtId="0" fontId="57" fillId="0" borderId="0" xfId="53" applyFont="1" applyBorder="1" applyAlignment="1"/>
    <xf numFmtId="0" fontId="143" fillId="0" borderId="0" xfId="53" applyFont="1" applyFill="1" applyBorder="1" applyAlignment="1">
      <alignment horizontal="center"/>
    </xf>
    <xf numFmtId="0" fontId="116" fillId="0" borderId="0" xfId="53" applyFont="1" applyBorder="1" applyAlignment="1">
      <alignment horizontal="center"/>
    </xf>
    <xf numFmtId="0" fontId="116" fillId="0" borderId="0" xfId="53" applyFont="1" applyFill="1" applyBorder="1" applyAlignment="1">
      <alignment horizontal="center"/>
    </xf>
    <xf numFmtId="0" fontId="13" fillId="26" borderId="13" xfId="53" applyFont="1" applyFill="1" applyBorder="1" applyAlignment="1">
      <alignment horizontal="center" vertical="center"/>
    </xf>
    <xf numFmtId="0" fontId="13" fillId="26" borderId="194" xfId="53" applyFont="1" applyFill="1" applyBorder="1" applyAlignment="1">
      <alignment horizontal="center" vertical="center" wrapText="1"/>
    </xf>
    <xf numFmtId="0" fontId="53" fillId="25" borderId="194" xfId="53" quotePrefix="1" applyFont="1" applyFill="1" applyBorder="1" applyAlignment="1">
      <alignment horizontal="left" wrapText="1"/>
    </xf>
    <xf numFmtId="38" fontId="116" fillId="41" borderId="194" xfId="53" applyNumberFormat="1" applyFont="1" applyFill="1" applyBorder="1" applyAlignment="1">
      <alignment horizontal="right"/>
    </xf>
    <xf numFmtId="6" fontId="116" fillId="41" borderId="194" xfId="53" applyNumberFormat="1" applyFont="1" applyFill="1" applyBorder="1" applyAlignment="1">
      <alignment horizontal="right"/>
    </xf>
    <xf numFmtId="6" fontId="116" fillId="0" borderId="194" xfId="53" applyNumberFormat="1" applyFont="1" applyBorder="1" applyAlignment="1">
      <alignment horizontal="right"/>
    </xf>
    <xf numFmtId="6" fontId="116" fillId="0" borderId="194" xfId="53" applyNumberFormat="1" applyFont="1" applyBorder="1" applyAlignment="1">
      <alignment horizontal="right" wrapText="1"/>
    </xf>
    <xf numFmtId="6" fontId="116" fillId="0" borderId="194" xfId="53" applyNumberFormat="1" applyFont="1" applyFill="1" applyBorder="1" applyAlignment="1">
      <alignment horizontal="right"/>
    </xf>
    <xf numFmtId="0" fontId="53" fillId="25" borderId="194" xfId="53" applyFont="1" applyFill="1" applyBorder="1" applyAlignment="1">
      <alignment wrapText="1"/>
    </xf>
    <xf numFmtId="0" fontId="53" fillId="43" borderId="194" xfId="53" applyFont="1" applyFill="1" applyBorder="1" applyAlignment="1">
      <alignment wrapText="1"/>
    </xf>
    <xf numFmtId="38" fontId="116" fillId="0" borderId="194" xfId="53" applyNumberFormat="1" applyFont="1" applyFill="1" applyBorder="1" applyAlignment="1">
      <alignment horizontal="right"/>
    </xf>
    <xf numFmtId="38" fontId="76" fillId="0" borderId="194" xfId="53" applyNumberFormat="1" applyFont="1" applyBorder="1" applyAlignment="1">
      <alignment horizontal="right"/>
    </xf>
    <xf numFmtId="6" fontId="76" fillId="0" borderId="194" xfId="53" applyNumberFormat="1" applyFont="1" applyBorder="1" applyAlignment="1">
      <alignment horizontal="right"/>
    </xf>
    <xf numFmtId="6" fontId="76" fillId="0" borderId="194" xfId="53" applyNumberFormat="1" applyFont="1" applyFill="1" applyBorder="1" applyAlignment="1">
      <alignment horizontal="right"/>
    </xf>
    <xf numFmtId="0" fontId="110" fillId="0" borderId="0" xfId="53" quotePrefix="1" applyFont="1" applyFill="1" applyBorder="1" applyAlignment="1">
      <alignment horizontal="left" wrapText="1"/>
    </xf>
    <xf numFmtId="6" fontId="76" fillId="0" borderId="0" xfId="53" applyNumberFormat="1" applyFont="1" applyBorder="1" applyAlignment="1">
      <alignment horizontal="right"/>
    </xf>
    <xf numFmtId="38" fontId="76" fillId="0" borderId="0" xfId="53" applyNumberFormat="1" applyFont="1" applyBorder="1" applyAlignment="1">
      <alignment horizontal="right"/>
    </xf>
    <xf numFmtId="6" fontId="116" fillId="0" borderId="0" xfId="53" applyNumberFormat="1" applyFont="1" applyBorder="1" applyAlignment="1">
      <alignment horizontal="right"/>
    </xf>
    <xf numFmtId="0" fontId="53" fillId="25" borderId="194" xfId="53" applyFont="1" applyFill="1" applyBorder="1" applyAlignment="1">
      <alignment horizontal="left" wrapText="1"/>
    </xf>
    <xf numFmtId="0" fontId="53" fillId="25" borderId="194" xfId="53" applyFont="1" applyFill="1" applyBorder="1" applyAlignment="1">
      <alignment horizontal="right" wrapText="1"/>
    </xf>
    <xf numFmtId="6" fontId="17" fillId="0" borderId="0" xfId="53" applyNumberFormat="1" applyFont="1" applyBorder="1" applyAlignment="1">
      <alignment horizontal="right"/>
    </xf>
    <xf numFmtId="38" fontId="17" fillId="0" borderId="0" xfId="53" applyNumberFormat="1" applyFont="1" applyBorder="1" applyAlignment="1">
      <alignment horizontal="right"/>
    </xf>
    <xf numFmtId="6" fontId="65" fillId="0" borderId="0" xfId="53" applyNumberFormat="1" applyFont="1" applyFill="1" applyBorder="1" applyAlignment="1">
      <alignment horizontal="center"/>
    </xf>
    <xf numFmtId="6" fontId="13" fillId="0" borderId="0" xfId="53" applyNumberFormat="1" applyFont="1" applyBorder="1" applyAlignment="1"/>
    <xf numFmtId="6" fontId="13" fillId="0" borderId="0" xfId="53" applyNumberFormat="1" applyFont="1" applyFill="1" applyBorder="1" applyAlignment="1">
      <alignment horizontal="center"/>
    </xf>
    <xf numFmtId="0" fontId="17" fillId="0" borderId="0" xfId="53" applyFont="1" applyFill="1" applyBorder="1" applyAlignment="1">
      <alignment horizontal="left"/>
    </xf>
    <xf numFmtId="0" fontId="17" fillId="0" borderId="0" xfId="53" applyFont="1" applyBorder="1"/>
    <xf numFmtId="6" fontId="17" fillId="0" borderId="0" xfId="53" applyNumberFormat="1" applyFont="1" applyFill="1" applyBorder="1" applyAlignment="1">
      <alignment horizontal="right"/>
    </xf>
    <xf numFmtId="38" fontId="17" fillId="0" borderId="0" xfId="53" applyNumberFormat="1" applyFont="1" applyFill="1" applyBorder="1" applyAlignment="1">
      <alignment horizontal="right"/>
    </xf>
    <xf numFmtId="0" fontId="13" fillId="0" borderId="0" xfId="53" applyFont="1" applyFill="1" applyBorder="1"/>
    <xf numFmtId="0" fontId="13" fillId="0" borderId="0" xfId="53" applyFont="1" applyBorder="1"/>
    <xf numFmtId="6" fontId="13" fillId="0" borderId="0" xfId="53" applyNumberFormat="1" applyFont="1" applyBorder="1"/>
    <xf numFmtId="3" fontId="0" fillId="68" borderId="13" xfId="0" applyNumberFormat="1" applyFill="1" applyBorder="1"/>
    <xf numFmtId="0" fontId="17" fillId="0" borderId="198" xfId="0" applyFont="1" applyBorder="1" applyAlignment="1">
      <alignment horizontal="left" wrapText="1"/>
    </xf>
    <xf numFmtId="0" fontId="32" fillId="0" borderId="192" xfId="0" applyFont="1" applyBorder="1"/>
    <xf numFmtId="37" fontId="32" fillId="0" borderId="192" xfId="28" applyNumberFormat="1" applyFont="1" applyBorder="1"/>
    <xf numFmtId="8" fontId="32" fillId="0" borderId="192" xfId="0" applyNumberFormat="1" applyFont="1" applyBorder="1"/>
    <xf numFmtId="6" fontId="32" fillId="0" borderId="192" xfId="0" applyNumberFormat="1" applyFont="1" applyBorder="1"/>
    <xf numFmtId="6" fontId="32" fillId="27" borderId="192" xfId="0" applyNumberFormat="1" applyFont="1" applyFill="1" applyBorder="1"/>
    <xf numFmtId="5" fontId="20" fillId="0" borderId="202" xfId="0" applyNumberFormat="1" applyFont="1" applyFill="1" applyBorder="1" applyAlignment="1" applyProtection="1">
      <alignment vertical="center"/>
    </xf>
    <xf numFmtId="5" fontId="20" fillId="0" borderId="203" xfId="0" applyNumberFormat="1" applyFont="1" applyFill="1" applyBorder="1" applyAlignment="1" applyProtection="1">
      <alignment vertical="center"/>
    </xf>
    <xf numFmtId="10" fontId="26" fillId="27" borderId="26" xfId="0" applyNumberFormat="1" applyFont="1" applyFill="1" applyBorder="1" applyAlignment="1">
      <alignment horizontal="center" wrapText="1"/>
    </xf>
    <xf numFmtId="0" fontId="0" fillId="0" borderId="14" xfId="0" applyBorder="1" applyAlignment="1">
      <alignment horizontal="center"/>
    </xf>
    <xf numFmtId="0" fontId="32" fillId="25" borderId="196" xfId="65" applyFont="1" applyFill="1" applyBorder="1" applyAlignment="1" applyProtection="1">
      <alignment vertical="center" wrapText="1"/>
    </xf>
    <xf numFmtId="0" fontId="32" fillId="25" borderId="196" xfId="65" applyFont="1" applyFill="1" applyBorder="1" applyAlignment="1" applyProtection="1">
      <alignment horizontal="center" vertical="center" wrapText="1"/>
    </xf>
    <xf numFmtId="0" fontId="32" fillId="27" borderId="196" xfId="65" applyFont="1" applyFill="1" applyBorder="1" applyAlignment="1">
      <alignment horizontal="center" vertical="center" wrapText="1"/>
    </xf>
    <xf numFmtId="0" fontId="32" fillId="29" borderId="196" xfId="65" applyFont="1" applyFill="1" applyBorder="1" applyAlignment="1">
      <alignment horizontal="center" vertical="center" wrapText="1"/>
    </xf>
    <xf numFmtId="0" fontId="13" fillId="0" borderId="0" xfId="65"/>
    <xf numFmtId="0" fontId="32" fillId="25" borderId="13" xfId="65" applyFont="1" applyFill="1" applyBorder="1" applyAlignment="1" applyProtection="1">
      <alignment vertical="center"/>
    </xf>
    <xf numFmtId="166" fontId="26" fillId="27" borderId="194" xfId="65" applyNumberFormat="1" applyFont="1" applyFill="1" applyBorder="1" applyAlignment="1">
      <alignment horizontal="center" wrapText="1"/>
    </xf>
    <xf numFmtId="166" fontId="26" fillId="29" borderId="194" xfId="65" applyNumberFormat="1" applyFont="1" applyFill="1" applyBorder="1" applyAlignment="1">
      <alignment horizontal="center" wrapText="1"/>
    </xf>
    <xf numFmtId="1" fontId="13" fillId="26" borderId="60" xfId="65" applyNumberFormat="1" applyFont="1" applyFill="1" applyBorder="1" applyProtection="1"/>
    <xf numFmtId="1" fontId="17" fillId="26" borderId="68" xfId="65" applyNumberFormat="1" applyFont="1" applyFill="1" applyBorder="1" applyProtection="1"/>
    <xf numFmtId="1" fontId="26" fillId="26" borderId="73" xfId="65" quotePrefix="1" applyNumberFormat="1" applyFont="1" applyFill="1" applyBorder="1" applyAlignment="1" applyProtection="1">
      <alignment horizontal="center"/>
    </xf>
    <xf numFmtId="0" fontId="13" fillId="0" borderId="39" xfId="65" applyFont="1" applyFill="1" applyBorder="1" applyProtection="1"/>
    <xf numFmtId="0" fontId="13" fillId="0" borderId="69" xfId="65" applyFont="1" applyFill="1" applyBorder="1" applyProtection="1"/>
    <xf numFmtId="37" fontId="13" fillId="0" borderId="198" xfId="28" applyNumberFormat="1" applyFont="1" applyFill="1" applyBorder="1" applyProtection="1"/>
    <xf numFmtId="5" fontId="17" fillId="0" borderId="198" xfId="65" applyNumberFormat="1" applyFont="1" applyFill="1" applyBorder="1" applyProtection="1"/>
    <xf numFmtId="5" fontId="17" fillId="25" borderId="198" xfId="65" applyNumberFormat="1" applyFont="1" applyFill="1" applyBorder="1" applyProtection="1"/>
    <xf numFmtId="0" fontId="13" fillId="0" borderId="40" xfId="65" applyFont="1" applyFill="1" applyBorder="1" applyProtection="1"/>
    <xf numFmtId="0" fontId="13" fillId="0" borderId="70" xfId="65" applyFont="1" applyFill="1" applyBorder="1" applyProtection="1"/>
    <xf numFmtId="37" fontId="13" fillId="0" borderId="13" xfId="28" applyNumberFormat="1" applyFont="1" applyFill="1" applyBorder="1" applyProtection="1"/>
    <xf numFmtId="5" fontId="17" fillId="0" borderId="72" xfId="65" applyNumberFormat="1" applyFont="1" applyFill="1" applyBorder="1" applyProtection="1"/>
    <xf numFmtId="5" fontId="17" fillId="25" borderId="72" xfId="65" applyNumberFormat="1" applyFont="1" applyFill="1" applyBorder="1" applyProtection="1"/>
    <xf numFmtId="37" fontId="13" fillId="0" borderId="72" xfId="28" applyNumberFormat="1" applyFont="1" applyFill="1" applyBorder="1" applyProtection="1"/>
    <xf numFmtId="0" fontId="13" fillId="0" borderId="47" xfId="65" applyFont="1" applyFill="1" applyBorder="1" applyProtection="1"/>
    <xf numFmtId="0" fontId="13" fillId="0" borderId="71" xfId="65" applyFont="1" applyFill="1" applyBorder="1" applyProtection="1"/>
    <xf numFmtId="37" fontId="13" fillId="0" borderId="199" xfId="28" applyNumberFormat="1" applyFont="1" applyFill="1" applyBorder="1" applyProtection="1"/>
    <xf numFmtId="5" fontId="17" fillId="0" borderId="199" xfId="65" applyNumberFormat="1" applyFont="1" applyFill="1" applyBorder="1" applyProtection="1"/>
    <xf numFmtId="5" fontId="17" fillId="25" borderId="199" xfId="65" applyNumberFormat="1" applyFont="1" applyFill="1" applyBorder="1" applyProtection="1"/>
    <xf numFmtId="3" fontId="13" fillId="0" borderId="198" xfId="65" applyNumberFormat="1" applyFont="1" applyFill="1" applyBorder="1" applyAlignment="1">
      <alignment horizontal="right"/>
    </xf>
    <xf numFmtId="3" fontId="13" fillId="0" borderId="197" xfId="65" applyNumberFormat="1" applyFont="1" applyFill="1" applyBorder="1" applyAlignment="1">
      <alignment horizontal="left"/>
    </xf>
    <xf numFmtId="0" fontId="17" fillId="0" borderId="81" xfId="65" applyFont="1" applyFill="1" applyBorder="1" applyProtection="1"/>
    <xf numFmtId="0" fontId="32" fillId="0" borderId="195" xfId="65" applyFont="1" applyFill="1" applyBorder="1" applyAlignment="1" applyProtection="1">
      <alignment horizontal="center"/>
    </xf>
    <xf numFmtId="5" fontId="32" fillId="0" borderId="83" xfId="65" applyNumberFormat="1" applyFont="1" applyFill="1" applyBorder="1" applyProtection="1"/>
    <xf numFmtId="5" fontId="32" fillId="25" borderId="83" xfId="65" applyNumberFormat="1" applyFont="1" applyFill="1" applyBorder="1" applyProtection="1"/>
    <xf numFmtId="0" fontId="17" fillId="0" borderId="204" xfId="65" applyFont="1" applyFill="1" applyBorder="1" applyProtection="1"/>
    <xf numFmtId="0" fontId="13" fillId="0" borderId="204" xfId="65" applyFont="1" applyFill="1" applyBorder="1" applyAlignment="1" applyProtection="1">
      <alignment horizontal="left"/>
    </xf>
    <xf numFmtId="37" fontId="13" fillId="0" borderId="204" xfId="79" applyNumberFormat="1" applyFont="1" applyFill="1" applyBorder="1" applyProtection="1"/>
    <xf numFmtId="5" fontId="17" fillId="0" borderId="204" xfId="65" applyNumberFormat="1" applyFont="1" applyFill="1" applyBorder="1" applyProtection="1"/>
    <xf numFmtId="165" fontId="13" fillId="0" borderId="204" xfId="79" applyNumberFormat="1" applyFont="1" applyFill="1" applyBorder="1" applyProtection="1"/>
    <xf numFmtId="5" fontId="17" fillId="25" borderId="204" xfId="65" applyNumberFormat="1" applyFont="1" applyFill="1" applyBorder="1" applyProtection="1"/>
    <xf numFmtId="0" fontId="17" fillId="0" borderId="13" xfId="65" applyFont="1" applyFill="1" applyBorder="1" applyProtection="1"/>
    <xf numFmtId="0" fontId="13" fillId="0" borderId="13" xfId="65" applyFont="1" applyFill="1" applyBorder="1" applyAlignment="1" applyProtection="1">
      <alignment horizontal="left"/>
    </xf>
    <xf numFmtId="37" fontId="13" fillId="0" borderId="13" xfId="79" applyNumberFormat="1" applyFont="1" applyFill="1" applyBorder="1" applyProtection="1"/>
    <xf numFmtId="5" fontId="17" fillId="0" borderId="13" xfId="65" applyNumberFormat="1" applyFont="1" applyFill="1" applyBorder="1" applyProtection="1"/>
    <xf numFmtId="5" fontId="17" fillId="25" borderId="13" xfId="65" applyNumberFormat="1" applyFont="1" applyFill="1" applyBorder="1" applyProtection="1"/>
    <xf numFmtId="0" fontId="17" fillId="0" borderId="192" xfId="65" applyFont="1" applyFill="1" applyBorder="1" applyProtection="1"/>
    <xf numFmtId="0" fontId="32" fillId="0" borderId="192" xfId="65" applyFont="1" applyFill="1" applyBorder="1" applyAlignment="1" applyProtection="1">
      <alignment horizontal="center"/>
    </xf>
    <xf numFmtId="165" fontId="32" fillId="0" borderId="192" xfId="79" applyNumberFormat="1" applyFont="1" applyFill="1" applyBorder="1" applyProtection="1"/>
    <xf numFmtId="5" fontId="32" fillId="0" borderId="192" xfId="65" applyNumberFormat="1" applyFont="1" applyFill="1" applyBorder="1" applyProtection="1"/>
    <xf numFmtId="5" fontId="32" fillId="25" borderId="192" xfId="65" applyNumberFormat="1" applyFont="1" applyFill="1" applyBorder="1" applyProtection="1"/>
    <xf numFmtId="3" fontId="13" fillId="0" borderId="205" xfId="65" applyNumberFormat="1" applyFont="1" applyFill="1" applyBorder="1" applyAlignment="1">
      <alignment horizontal="center"/>
    </xf>
    <xf numFmtId="166" fontId="32" fillId="0" borderId="192" xfId="79" applyNumberFormat="1" applyFont="1" applyFill="1" applyBorder="1" applyProtection="1"/>
    <xf numFmtId="5" fontId="32" fillId="0" borderId="192" xfId="79" applyNumberFormat="1" applyFont="1" applyFill="1" applyBorder="1" applyProtection="1"/>
    <xf numFmtId="5" fontId="17" fillId="25" borderId="205" xfId="65" applyNumberFormat="1" applyFont="1" applyFill="1" applyBorder="1" applyProtection="1"/>
    <xf numFmtId="3" fontId="13" fillId="0" borderId="0" xfId="65" applyNumberFormat="1" applyFont="1" applyFill="1" applyBorder="1" applyAlignment="1">
      <alignment horizontal="center"/>
    </xf>
    <xf numFmtId="3" fontId="13" fillId="0" borderId="0" xfId="65" applyNumberFormat="1" applyFont="1" applyFill="1" applyBorder="1" applyAlignment="1">
      <alignment horizontal="left"/>
    </xf>
    <xf numFmtId="0" fontId="13" fillId="0" borderId="0" xfId="65" applyFont="1" applyBorder="1"/>
    <xf numFmtId="0" fontId="13" fillId="0" borderId="0" xfId="65" applyBorder="1"/>
    <xf numFmtId="0" fontId="17" fillId="0" borderId="0" xfId="65" applyFont="1" applyFill="1" applyBorder="1" applyProtection="1"/>
    <xf numFmtId="0" fontId="32" fillId="0" borderId="0" xfId="65" applyFont="1" applyFill="1" applyBorder="1" applyAlignment="1" applyProtection="1">
      <alignment horizontal="center"/>
    </xf>
    <xf numFmtId="0" fontId="13" fillId="0" borderId="0" xfId="65" applyFont="1"/>
    <xf numFmtId="165" fontId="20" fillId="0" borderId="208" xfId="28" applyNumberFormat="1" applyFont="1" applyFill="1" applyBorder="1" applyAlignment="1" applyProtection="1"/>
    <xf numFmtId="165" fontId="20" fillId="0" borderId="207" xfId="28" applyNumberFormat="1" applyFont="1" applyFill="1" applyBorder="1" applyAlignment="1" applyProtection="1"/>
    <xf numFmtId="0" fontId="18" fillId="0" borderId="206" xfId="0" quotePrefix="1" applyFont="1" applyFill="1" applyBorder="1" applyAlignment="1">
      <alignment horizontal="right"/>
    </xf>
    <xf numFmtId="0" fontId="18" fillId="0" borderId="207" xfId="0" applyFont="1" applyFill="1" applyBorder="1" applyAlignment="1">
      <alignment horizontal="left" indent="1"/>
    </xf>
    <xf numFmtId="0" fontId="17" fillId="0" borderId="0" xfId="0" quotePrefix="1" applyFont="1" applyAlignment="1">
      <alignment horizontal="center"/>
    </xf>
    <xf numFmtId="0" fontId="13" fillId="0" borderId="201" xfId="0" applyFont="1" applyBorder="1"/>
    <xf numFmtId="166" fontId="15" fillId="0" borderId="200" xfId="0" applyNumberFormat="1" applyFont="1" applyBorder="1"/>
    <xf numFmtId="0" fontId="32" fillId="25" borderId="196" xfId="53" applyFont="1" applyFill="1" applyBorder="1" applyAlignment="1">
      <alignment horizontal="center" vertical="center" wrapText="1"/>
    </xf>
    <xf numFmtId="0" fontId="32" fillId="25" borderId="198" xfId="53" applyFont="1" applyFill="1" applyBorder="1" applyAlignment="1">
      <alignment horizontal="center" vertical="center" wrapText="1"/>
    </xf>
    <xf numFmtId="0" fontId="8" fillId="41" borderId="196" xfId="70" applyFill="1" applyBorder="1" applyAlignment="1">
      <alignment horizontal="center" wrapText="1"/>
    </xf>
    <xf numFmtId="0" fontId="32" fillId="29" borderId="198" xfId="53" applyFont="1" applyFill="1" applyBorder="1" applyAlignment="1">
      <alignment horizontal="center" vertical="center" wrapText="1"/>
    </xf>
    <xf numFmtId="0" fontId="138" fillId="67" borderId="209" xfId="71" applyFont="1" applyFill="1" applyBorder="1" applyAlignment="1">
      <alignment horizontal="center" wrapText="1"/>
    </xf>
    <xf numFmtId="0" fontId="138" fillId="0" borderId="203" xfId="71" applyFont="1" applyFill="1" applyBorder="1" applyAlignment="1">
      <alignment horizontal="center" wrapText="1"/>
    </xf>
    <xf numFmtId="0" fontId="138" fillId="0" borderId="202" xfId="71" applyFont="1" applyFill="1" applyBorder="1" applyAlignment="1">
      <alignment horizontal="center" wrapText="1"/>
    </xf>
    <xf numFmtId="0" fontId="82" fillId="0" borderId="19" xfId="45" applyFont="1" applyFill="1" applyBorder="1" applyAlignment="1">
      <alignment wrapText="1"/>
    </xf>
    <xf numFmtId="0" fontId="50" fillId="0" borderId="19" xfId="45" applyBorder="1"/>
    <xf numFmtId="0" fontId="148" fillId="63" borderId="0" xfId="70" applyFont="1" applyFill="1"/>
    <xf numFmtId="1" fontId="149" fillId="26" borderId="26" xfId="28" applyNumberFormat="1" applyFont="1" applyFill="1" applyBorder="1" applyAlignment="1">
      <alignment horizontal="center" vertical="center"/>
    </xf>
    <xf numFmtId="165" fontId="82" fillId="0" borderId="19" xfId="28" applyNumberFormat="1" applyFont="1" applyFill="1" applyBorder="1" applyAlignment="1">
      <alignment horizontal="right" wrapText="1"/>
    </xf>
    <xf numFmtId="165" fontId="50" fillId="0" borderId="19" xfId="28" applyNumberFormat="1" applyFont="1" applyBorder="1"/>
    <xf numFmtId="165" fontId="82" fillId="0" borderId="22" xfId="28" applyNumberFormat="1" applyFont="1" applyFill="1" applyBorder="1" applyAlignment="1">
      <alignment horizontal="right" wrapText="1"/>
    </xf>
    <xf numFmtId="165" fontId="50" fillId="0" borderId="22" xfId="28" applyNumberFormat="1" applyFont="1" applyBorder="1"/>
    <xf numFmtId="0" fontId="138" fillId="69" borderId="209" xfId="71" applyFont="1" applyFill="1" applyBorder="1" applyAlignment="1">
      <alignment horizontal="center" wrapText="1"/>
    </xf>
    <xf numFmtId="165" fontId="50" fillId="70" borderId="19" xfId="28" applyNumberFormat="1" applyFont="1" applyFill="1" applyBorder="1"/>
    <xf numFmtId="165" fontId="50" fillId="70" borderId="22" xfId="28" applyNumberFormat="1" applyFont="1" applyFill="1" applyBorder="1"/>
    <xf numFmtId="165" fontId="82" fillId="70" borderId="22" xfId="28" applyNumberFormat="1" applyFont="1" applyFill="1" applyBorder="1" applyAlignment="1">
      <alignment horizontal="right" wrapText="1"/>
    </xf>
    <xf numFmtId="0" fontId="8" fillId="70" borderId="0" xfId="70" applyFill="1"/>
    <xf numFmtId="3" fontId="140" fillId="70" borderId="0" xfId="70" applyNumberFormat="1" applyFont="1" applyFill="1"/>
    <xf numFmtId="165" fontId="8" fillId="41" borderId="0" xfId="70" applyNumberFormat="1" applyFill="1"/>
    <xf numFmtId="3" fontId="140" fillId="41" borderId="0" xfId="70" applyNumberFormat="1" applyFont="1" applyFill="1"/>
    <xf numFmtId="0" fontId="13" fillId="0" borderId="0" xfId="53" applyBorder="1" applyAlignment="1">
      <alignment horizontal="center" wrapText="1"/>
    </xf>
    <xf numFmtId="0" fontId="138" fillId="66" borderId="210" xfId="71" applyFont="1" applyFill="1" applyBorder="1" applyAlignment="1">
      <alignment horizontal="center" wrapText="1"/>
    </xf>
    <xf numFmtId="0" fontId="50" fillId="0" borderId="210" xfId="45" applyBorder="1"/>
    <xf numFmtId="0" fontId="82" fillId="0" borderId="210" xfId="45" applyFont="1" applyFill="1" applyBorder="1" applyAlignment="1">
      <alignment horizontal="right" wrapText="1"/>
    </xf>
    <xf numFmtId="0" fontId="138" fillId="0" borderId="210" xfId="71" applyFont="1" applyFill="1" applyBorder="1" applyAlignment="1">
      <alignment horizontal="center" wrapText="1"/>
    </xf>
    <xf numFmtId="0" fontId="136" fillId="0" borderId="0" xfId="70" applyFont="1" applyAlignment="1">
      <alignment horizontal="left"/>
    </xf>
    <xf numFmtId="0" fontId="8" fillId="0" borderId="0" xfId="70" applyAlignment="1">
      <alignment horizontal="left"/>
    </xf>
    <xf numFmtId="0" fontId="8" fillId="41" borderId="196" xfId="70" applyFill="1" applyBorder="1" applyAlignment="1">
      <alignment horizontal="center" wrapText="1"/>
    </xf>
    <xf numFmtId="0" fontId="8" fillId="0" borderId="0" xfId="70" applyBorder="1"/>
    <xf numFmtId="0" fontId="8" fillId="0" borderId="0" xfId="70" applyBorder="1" applyAlignment="1"/>
    <xf numFmtId="0" fontId="138" fillId="0" borderId="0" xfId="71" applyFont="1" applyFill="1" applyBorder="1" applyAlignment="1">
      <alignment horizontal="center" wrapText="1"/>
    </xf>
    <xf numFmtId="0" fontId="8" fillId="0" borderId="0" xfId="70" applyBorder="1" applyAlignment="1">
      <alignment horizontal="right" wrapText="1"/>
    </xf>
    <xf numFmtId="1" fontId="149" fillId="26" borderId="197" xfId="28" applyNumberFormat="1" applyFont="1" applyFill="1" applyBorder="1" applyAlignment="1">
      <alignment horizontal="center" vertical="center"/>
    </xf>
    <xf numFmtId="0" fontId="147" fillId="63" borderId="0" xfId="71" applyFont="1" applyFill="1" applyBorder="1" applyAlignment="1">
      <alignment horizontal="center" wrapText="1"/>
    </xf>
    <xf numFmtId="0" fontId="148" fillId="63" borderId="0" xfId="70" applyFont="1" applyFill="1" applyBorder="1" applyAlignment="1">
      <alignment horizontal="right" wrapText="1"/>
    </xf>
    <xf numFmtId="0" fontId="148" fillId="63" borderId="0" xfId="70" applyFont="1" applyFill="1" applyBorder="1"/>
    <xf numFmtId="0" fontId="50" fillId="0" borderId="144" xfId="45" applyBorder="1"/>
    <xf numFmtId="0" fontId="50" fillId="0" borderId="0" xfId="45" applyBorder="1"/>
    <xf numFmtId="165" fontId="8" fillId="0" borderId="0" xfId="70" applyNumberFormat="1" applyBorder="1"/>
    <xf numFmtId="0" fontId="82" fillId="0" borderId="0" xfId="45" applyFont="1" applyFill="1" applyBorder="1" applyAlignment="1">
      <alignment horizontal="right" wrapText="1"/>
    </xf>
    <xf numFmtId="0" fontId="82" fillId="0" borderId="144" xfId="45" applyFont="1" applyFill="1" applyBorder="1" applyAlignment="1">
      <alignment horizontal="right" wrapText="1"/>
    </xf>
    <xf numFmtId="3" fontId="140" fillId="0" borderId="0" xfId="70" applyNumberFormat="1" applyFont="1" applyBorder="1"/>
    <xf numFmtId="3" fontId="8" fillId="0" borderId="0" xfId="70" applyNumberFormat="1" applyBorder="1"/>
    <xf numFmtId="0" fontId="101" fillId="0" borderId="211" xfId="0" applyFont="1" applyFill="1" applyBorder="1" applyAlignment="1">
      <alignment horizontal="left" wrapText="1"/>
    </xf>
    <xf numFmtId="0" fontId="79" fillId="0" borderId="211" xfId="0" applyFont="1" applyFill="1" applyBorder="1" applyAlignment="1">
      <alignment horizontal="left" wrapText="1"/>
    </xf>
    <xf numFmtId="38" fontId="79" fillId="41" borderId="211" xfId="0" applyNumberFormat="1" applyFont="1" applyFill="1" applyBorder="1" applyAlignment="1">
      <alignment wrapText="1"/>
    </xf>
    <xf numFmtId="6" fontId="79" fillId="0" borderId="211" xfId="0" applyNumberFormat="1" applyFont="1" applyBorder="1"/>
    <xf numFmtId="6" fontId="79" fillId="27" borderId="211" xfId="0" applyNumberFormat="1" applyFont="1" applyFill="1" applyBorder="1"/>
    <xf numFmtId="6" fontId="79" fillId="41" borderId="211" xfId="0" applyNumberFormat="1" applyFont="1" applyFill="1" applyBorder="1"/>
    <xf numFmtId="0" fontId="101" fillId="0" borderId="212" xfId="0" applyFont="1" applyFill="1" applyBorder="1" applyAlignment="1">
      <alignment horizontal="left" wrapText="1"/>
    </xf>
    <xf numFmtId="0" fontId="79" fillId="0" borderId="212" xfId="0" applyFont="1" applyFill="1" applyBorder="1" applyAlignment="1">
      <alignment horizontal="left" wrapText="1"/>
    </xf>
    <xf numFmtId="38" fontId="79" fillId="41" borderId="212" xfId="0" applyNumberFormat="1" applyFont="1" applyFill="1" applyBorder="1" applyAlignment="1">
      <alignment wrapText="1"/>
    </xf>
    <xf numFmtId="6" fontId="79" fillId="0" borderId="212" xfId="0" applyNumberFormat="1" applyFont="1" applyBorder="1"/>
    <xf numFmtId="6" fontId="79" fillId="27" borderId="212" xfId="0" applyNumberFormat="1" applyFont="1" applyFill="1" applyBorder="1"/>
    <xf numFmtId="6" fontId="79" fillId="41" borderId="212" xfId="0" applyNumberFormat="1" applyFont="1" applyFill="1" applyBorder="1"/>
    <xf numFmtId="0" fontId="101" fillId="41" borderId="212" xfId="0" applyFont="1" applyFill="1" applyBorder="1" applyAlignment="1">
      <alignment horizontal="left" wrapText="1"/>
    </xf>
    <xf numFmtId="0" fontId="79" fillId="41" borderId="212" xfId="0" applyFont="1" applyFill="1" applyBorder="1" applyAlignment="1">
      <alignment horizontal="left" wrapText="1"/>
    </xf>
    <xf numFmtId="0" fontId="101" fillId="0" borderId="213" xfId="0" applyFont="1" applyFill="1" applyBorder="1" applyAlignment="1">
      <alignment horizontal="left" wrapText="1"/>
    </xf>
    <xf numFmtId="0" fontId="79" fillId="0" borderId="213" xfId="0" applyFont="1" applyFill="1" applyBorder="1" applyAlignment="1">
      <alignment horizontal="left" wrapText="1"/>
    </xf>
    <xf numFmtId="38" fontId="79" fillId="0" borderId="213" xfId="0" applyNumberFormat="1" applyFont="1" applyFill="1" applyBorder="1" applyAlignment="1">
      <alignment wrapText="1"/>
    </xf>
    <xf numFmtId="6" fontId="79" fillId="0" borderId="213" xfId="0" applyNumberFormat="1" applyFont="1" applyBorder="1"/>
    <xf numFmtId="6" fontId="79" fillId="27" borderId="213" xfId="0" applyNumberFormat="1" applyFont="1" applyFill="1" applyBorder="1"/>
    <xf numFmtId="6" fontId="79" fillId="41" borderId="213" xfId="0" applyNumberFormat="1" applyFont="1" applyFill="1" applyBorder="1"/>
    <xf numFmtId="3" fontId="79" fillId="0" borderId="211" xfId="0" applyNumberFormat="1" applyFont="1" applyFill="1" applyBorder="1"/>
    <xf numFmtId="3" fontId="79" fillId="0" borderId="212" xfId="0" applyNumberFormat="1" applyFont="1" applyFill="1" applyBorder="1"/>
    <xf numFmtId="0" fontId="101" fillId="49" borderId="212" xfId="0" applyFont="1" applyFill="1" applyBorder="1" applyAlignment="1">
      <alignment horizontal="left" wrapText="1"/>
    </xf>
    <xf numFmtId="0" fontId="79" fillId="49" borderId="212" xfId="0" applyFont="1" applyFill="1" applyBorder="1" applyAlignment="1">
      <alignment horizontal="left" wrapText="1"/>
    </xf>
    <xf numFmtId="38" fontId="79" fillId="49" borderId="212" xfId="0" applyNumberFormat="1" applyFont="1" applyFill="1" applyBorder="1" applyAlignment="1">
      <alignment wrapText="1"/>
    </xf>
    <xf numFmtId="0" fontId="101" fillId="41" borderId="213" xfId="0" applyFont="1" applyFill="1" applyBorder="1" applyAlignment="1">
      <alignment horizontal="left" wrapText="1"/>
    </xf>
    <xf numFmtId="0" fontId="79" fillId="41" borderId="213" xfId="0" applyFont="1" applyFill="1" applyBorder="1" applyAlignment="1">
      <alignment horizontal="left" wrapText="1"/>
    </xf>
    <xf numFmtId="38" fontId="79" fillId="41" borderId="213" xfId="0" applyNumberFormat="1" applyFont="1" applyFill="1" applyBorder="1" applyAlignment="1">
      <alignment wrapText="1"/>
    </xf>
    <xf numFmtId="0" fontId="101" fillId="41" borderId="211" xfId="0" applyFont="1" applyFill="1" applyBorder="1" applyAlignment="1">
      <alignment horizontal="left" wrapText="1"/>
    </xf>
    <xf numFmtId="0" fontId="79" fillId="41" borderId="211" xfId="0" applyFont="1" applyFill="1" applyBorder="1" applyAlignment="1">
      <alignment horizontal="left" wrapText="1"/>
    </xf>
    <xf numFmtId="0" fontId="101" fillId="49" borderId="211" xfId="0" applyFont="1" applyFill="1" applyBorder="1" applyAlignment="1">
      <alignment horizontal="left" wrapText="1"/>
    </xf>
    <xf numFmtId="0" fontId="79" fillId="49" borderId="211" xfId="0" applyFont="1" applyFill="1" applyBorder="1" applyAlignment="1">
      <alignment horizontal="left" wrapText="1"/>
    </xf>
    <xf numFmtId="38" fontId="79" fillId="49" borderId="211" xfId="0" applyNumberFormat="1" applyFont="1" applyFill="1" applyBorder="1" applyAlignment="1">
      <alignment wrapText="1"/>
    </xf>
    <xf numFmtId="38" fontId="79" fillId="0" borderId="212" xfId="0" applyNumberFormat="1" applyFont="1" applyFill="1" applyBorder="1" applyAlignment="1">
      <alignment wrapText="1"/>
    </xf>
    <xf numFmtId="3" fontId="79" fillId="0" borderId="213" xfId="0" applyNumberFormat="1" applyFont="1" applyFill="1" applyBorder="1"/>
    <xf numFmtId="0" fontId="101" fillId="49" borderId="213" xfId="0" applyFont="1" applyFill="1" applyBorder="1" applyAlignment="1">
      <alignment horizontal="left" wrapText="1"/>
    </xf>
    <xf numFmtId="0" fontId="79" fillId="49" borderId="213" xfId="0" applyFont="1" applyFill="1" applyBorder="1" applyAlignment="1">
      <alignment horizontal="left" wrapText="1"/>
    </xf>
    <xf numFmtId="38" fontId="79" fillId="49" borderId="213" xfId="0" applyNumberFormat="1" applyFont="1" applyFill="1" applyBorder="1" applyAlignment="1">
      <alignment wrapText="1"/>
    </xf>
    <xf numFmtId="3" fontId="79" fillId="41" borderId="212" xfId="0" applyNumberFormat="1" applyFont="1" applyFill="1" applyBorder="1"/>
    <xf numFmtId="3" fontId="79" fillId="41" borderId="213" xfId="0" applyNumberFormat="1" applyFont="1" applyFill="1" applyBorder="1"/>
    <xf numFmtId="166" fontId="13" fillId="39" borderId="116" xfId="53" applyNumberFormat="1" applyFont="1" applyFill="1" applyBorder="1" applyAlignment="1" applyProtection="1">
      <alignment horizontal="right"/>
    </xf>
    <xf numFmtId="6" fontId="15" fillId="0" borderId="198" xfId="0" applyNumberFormat="1" applyFont="1" applyFill="1" applyBorder="1" applyProtection="1"/>
    <xf numFmtId="6" fontId="15" fillId="0" borderId="199" xfId="0" applyNumberFormat="1" applyFont="1" applyFill="1" applyBorder="1" applyProtection="1"/>
    <xf numFmtId="0" fontId="151" fillId="0" borderId="181" xfId="0" applyFont="1" applyFill="1" applyBorder="1" applyAlignment="1">
      <alignment horizontal="left"/>
    </xf>
    <xf numFmtId="5" fontId="25" fillId="27" borderId="50" xfId="0" applyNumberFormat="1" applyFont="1" applyFill="1" applyBorder="1" applyAlignment="1" applyProtection="1">
      <alignment vertical="center"/>
    </xf>
    <xf numFmtId="5" fontId="25" fillId="27" borderId="144" xfId="0" applyNumberFormat="1" applyFont="1" applyFill="1" applyBorder="1" applyAlignment="1" applyProtection="1">
      <alignment vertical="center"/>
    </xf>
    <xf numFmtId="5" fontId="25" fillId="27" borderId="25" xfId="0" applyNumberFormat="1" applyFont="1" applyFill="1" applyBorder="1" applyAlignment="1" applyProtection="1">
      <alignment vertical="center"/>
    </xf>
    <xf numFmtId="10" fontId="20" fillId="27" borderId="94" xfId="0" applyNumberFormat="1" applyFont="1" applyFill="1" applyBorder="1" applyAlignment="1" applyProtection="1">
      <alignment vertical="center"/>
    </xf>
    <xf numFmtId="5" fontId="20" fillId="0" borderId="216" xfId="0" applyNumberFormat="1" applyFont="1" applyFill="1" applyBorder="1" applyAlignment="1" applyProtection="1"/>
    <xf numFmtId="5" fontId="20" fillId="0" borderId="217" xfId="0" applyNumberFormat="1" applyFont="1" applyFill="1" applyBorder="1" applyAlignment="1" applyProtection="1"/>
    <xf numFmtId="5" fontId="20" fillId="0" borderId="218" xfId="0" applyNumberFormat="1" applyFont="1" applyFill="1" applyBorder="1" applyAlignment="1" applyProtection="1"/>
    <xf numFmtId="5" fontId="20" fillId="0" borderId="219" xfId="0" applyNumberFormat="1" applyFont="1" applyFill="1" applyBorder="1" applyProtection="1"/>
    <xf numFmtId="0" fontId="57" fillId="0" borderId="0" xfId="53" applyFont="1" applyBorder="1" applyAlignment="1">
      <alignment horizontal="center"/>
    </xf>
    <xf numFmtId="0" fontId="57" fillId="41" borderId="0" xfId="53" applyFont="1" applyFill="1" applyBorder="1" applyAlignment="1">
      <alignment horizontal="left"/>
    </xf>
    <xf numFmtId="1" fontId="110" fillId="26" borderId="302" xfId="53" applyNumberFormat="1" applyFont="1" applyFill="1" applyBorder="1" applyAlignment="1" applyProtection="1">
      <alignment horizontal="center"/>
    </xf>
    <xf numFmtId="166" fontId="13" fillId="42" borderId="227" xfId="53" applyNumberFormat="1" applyFont="1" applyFill="1" applyBorder="1" applyAlignment="1" applyProtection="1">
      <alignment horizontal="right"/>
    </xf>
    <xf numFmtId="166" fontId="13" fillId="42" borderId="226" xfId="53" applyNumberFormat="1" applyFont="1" applyFill="1" applyBorder="1" applyAlignment="1" applyProtection="1">
      <alignment horizontal="right"/>
    </xf>
    <xf numFmtId="166" fontId="13" fillId="42" borderId="225" xfId="53" applyNumberFormat="1" applyFont="1" applyFill="1" applyBorder="1" applyAlignment="1" applyProtection="1">
      <alignment horizontal="right"/>
    </xf>
    <xf numFmtId="166" fontId="13" fillId="42" borderId="226" xfId="54" applyNumberFormat="1" applyFont="1" applyFill="1" applyBorder="1" applyAlignment="1" applyProtection="1">
      <alignment horizontal="right"/>
    </xf>
    <xf numFmtId="166" fontId="13" fillId="42" borderId="225" xfId="54" applyNumberFormat="1" applyFont="1" applyFill="1" applyBorder="1" applyAlignment="1" applyProtection="1">
      <alignment horizontal="right"/>
    </xf>
    <xf numFmtId="1" fontId="110" fillId="26" borderId="224" xfId="53" applyNumberFormat="1" applyFont="1" applyFill="1" applyBorder="1" applyAlignment="1" applyProtection="1">
      <alignment horizontal="center"/>
    </xf>
    <xf numFmtId="166" fontId="32" fillId="42" borderId="228" xfId="54" applyNumberFormat="1" applyFont="1" applyFill="1" applyBorder="1" applyAlignment="1" applyProtection="1">
      <alignment horizontal="right"/>
    </xf>
    <xf numFmtId="166" fontId="13" fillId="42" borderId="115" xfId="54" applyNumberFormat="1" applyFont="1" applyFill="1" applyBorder="1" applyAlignment="1" applyProtection="1">
      <alignment horizontal="right"/>
    </xf>
    <xf numFmtId="166" fontId="13" fillId="42" borderId="115" xfId="53" applyNumberFormat="1" applyFont="1" applyFill="1" applyBorder="1" applyAlignment="1" applyProtection="1">
      <alignment horizontal="right"/>
    </xf>
    <xf numFmtId="166" fontId="32" fillId="43" borderId="276" xfId="54" applyNumberFormat="1" applyFont="1" applyFill="1" applyBorder="1" applyAlignment="1" applyProtection="1">
      <alignment horizontal="right"/>
    </xf>
    <xf numFmtId="49" fontId="32" fillId="43" borderId="249" xfId="53" applyNumberFormat="1" applyFont="1" applyFill="1" applyBorder="1" applyAlignment="1">
      <alignment horizontal="center" vertical="center" wrapText="1"/>
    </xf>
    <xf numFmtId="1" fontId="110" fillId="26" borderId="250" xfId="53" applyNumberFormat="1" applyFont="1" applyFill="1" applyBorder="1" applyAlignment="1" applyProtection="1">
      <alignment horizontal="center"/>
    </xf>
    <xf numFmtId="1" fontId="110" fillId="26" borderId="277" xfId="53" applyNumberFormat="1" applyFont="1" applyFill="1" applyBorder="1" applyAlignment="1" applyProtection="1">
      <alignment horizontal="center"/>
    </xf>
    <xf numFmtId="166" fontId="13" fillId="42" borderId="262" xfId="53" applyNumberFormat="1" applyFont="1" applyFill="1" applyBorder="1" applyAlignment="1" applyProtection="1">
      <alignment horizontal="right"/>
    </xf>
    <xf numFmtId="1" fontId="110" fillId="26" borderId="239" xfId="53" applyNumberFormat="1" applyFont="1" applyFill="1" applyBorder="1" applyAlignment="1" applyProtection="1">
      <alignment horizontal="center"/>
    </xf>
    <xf numFmtId="49" fontId="32" fillId="42" borderId="238" xfId="53" applyNumberFormat="1" applyFont="1" applyFill="1" applyBorder="1" applyAlignment="1">
      <alignment horizontal="center" vertical="center" wrapText="1"/>
    </xf>
    <xf numFmtId="49" fontId="32" fillId="43" borderId="13" xfId="53" applyNumberFormat="1" applyFont="1" applyFill="1" applyBorder="1" applyAlignment="1">
      <alignment horizontal="center" vertical="center" wrapText="1"/>
    </xf>
    <xf numFmtId="0" fontId="0" fillId="0" borderId="0" xfId="0"/>
    <xf numFmtId="1" fontId="110" fillId="26" borderId="250" xfId="53" applyNumberFormat="1" applyFont="1" applyFill="1" applyBorder="1" applyAlignment="1" applyProtection="1">
      <alignment horizontal="center"/>
    </xf>
    <xf numFmtId="166" fontId="13" fillId="43" borderId="284" xfId="53" applyNumberFormat="1" applyFont="1" applyFill="1" applyBorder="1" applyAlignment="1" applyProtection="1">
      <alignment horizontal="right"/>
    </xf>
    <xf numFmtId="0" fontId="0" fillId="0" borderId="0" xfId="0"/>
    <xf numFmtId="0" fontId="0" fillId="0" borderId="14" xfId="0" applyBorder="1"/>
    <xf numFmtId="166" fontId="13" fillId="42" borderId="115" xfId="54" applyNumberFormat="1" applyFont="1" applyFill="1" applyBorder="1" applyAlignment="1" applyProtection="1">
      <alignment horizontal="right"/>
    </xf>
    <xf numFmtId="166" fontId="32" fillId="42" borderId="259" xfId="54" applyNumberFormat="1" applyFont="1" applyFill="1" applyBorder="1" applyAlignment="1" applyProtection="1">
      <alignment horizontal="right"/>
    </xf>
    <xf numFmtId="1" fontId="110" fillId="26" borderId="250" xfId="53" applyNumberFormat="1" applyFont="1" applyFill="1" applyBorder="1" applyAlignment="1" applyProtection="1">
      <alignment horizontal="center"/>
    </xf>
    <xf numFmtId="166" fontId="13" fillId="42" borderId="260" xfId="54" applyNumberFormat="1" applyFont="1" applyFill="1" applyBorder="1" applyAlignment="1" applyProtection="1">
      <alignment horizontal="right"/>
    </xf>
    <xf numFmtId="166" fontId="13" fillId="42" borderId="261" xfId="54" applyNumberFormat="1" applyFont="1" applyFill="1" applyBorder="1" applyAlignment="1" applyProtection="1">
      <alignment horizontal="right"/>
    </xf>
    <xf numFmtId="166" fontId="13" fillId="42" borderId="260" xfId="53" applyNumberFormat="1" applyFont="1" applyFill="1" applyBorder="1" applyAlignment="1" applyProtection="1">
      <alignment horizontal="right"/>
    </xf>
    <xf numFmtId="166" fontId="13" fillId="42" borderId="261" xfId="53" applyNumberFormat="1" applyFont="1" applyFill="1" applyBorder="1" applyAlignment="1" applyProtection="1">
      <alignment horizontal="right"/>
    </xf>
    <xf numFmtId="166" fontId="13" fillId="42" borderId="115" xfId="53" applyNumberFormat="1" applyFont="1" applyFill="1" applyBorder="1" applyAlignment="1" applyProtection="1">
      <alignment horizontal="right"/>
    </xf>
    <xf numFmtId="166" fontId="32" fillId="43" borderId="259" xfId="54" applyNumberFormat="1" applyFont="1" applyFill="1" applyBorder="1" applyAlignment="1" applyProtection="1">
      <alignment horizontal="right"/>
    </xf>
    <xf numFmtId="49" fontId="32" fillId="43" borderId="249" xfId="53" applyNumberFormat="1" applyFont="1" applyFill="1" applyBorder="1" applyAlignment="1">
      <alignment horizontal="center" vertical="center" wrapText="1"/>
    </xf>
    <xf numFmtId="166" fontId="13" fillId="43" borderId="283" xfId="53" applyNumberFormat="1" applyFont="1" applyFill="1" applyBorder="1" applyAlignment="1" applyProtection="1">
      <alignment horizontal="right"/>
    </xf>
    <xf numFmtId="166" fontId="13" fillId="43" borderId="282" xfId="53" applyNumberFormat="1" applyFont="1" applyFill="1" applyBorder="1" applyAlignment="1" applyProtection="1">
      <alignment horizontal="right"/>
    </xf>
    <xf numFmtId="0" fontId="0" fillId="0" borderId="0" xfId="0"/>
    <xf numFmtId="0" fontId="0" fillId="0" borderId="14" xfId="0" applyBorder="1"/>
    <xf numFmtId="166" fontId="13" fillId="43" borderId="114" xfId="53" applyNumberFormat="1" applyFont="1" applyFill="1" applyBorder="1" applyAlignment="1" applyProtection="1">
      <alignment horizontal="right"/>
    </xf>
    <xf numFmtId="0" fontId="0" fillId="0" borderId="0" xfId="0"/>
    <xf numFmtId="0" fontId="0" fillId="0" borderId="14" xfId="0" applyBorder="1"/>
    <xf numFmtId="166" fontId="13" fillId="42" borderId="115" xfId="54" applyNumberFormat="1" applyFont="1" applyFill="1" applyBorder="1" applyAlignment="1" applyProtection="1">
      <alignment horizontal="right"/>
    </xf>
    <xf numFmtId="166" fontId="32" fillId="42" borderId="294" xfId="54" applyNumberFormat="1" applyFont="1" applyFill="1" applyBorder="1" applyAlignment="1" applyProtection="1">
      <alignment horizontal="right"/>
    </xf>
    <xf numFmtId="166" fontId="13" fillId="42" borderId="296" xfId="54" applyNumberFormat="1" applyFont="1" applyFill="1" applyBorder="1" applyAlignment="1" applyProtection="1">
      <alignment horizontal="right"/>
    </xf>
    <xf numFmtId="166" fontId="13" fillId="42" borderId="298" xfId="54" applyNumberFormat="1" applyFont="1" applyFill="1" applyBorder="1" applyAlignment="1" applyProtection="1">
      <alignment horizontal="right"/>
    </xf>
    <xf numFmtId="166" fontId="13" fillId="42" borderId="296" xfId="53" applyNumberFormat="1" applyFont="1" applyFill="1" applyBorder="1" applyAlignment="1" applyProtection="1">
      <alignment horizontal="right"/>
    </xf>
    <xf numFmtId="166" fontId="13" fillId="42" borderId="298" xfId="53" applyNumberFormat="1" applyFont="1" applyFill="1" applyBorder="1" applyAlignment="1" applyProtection="1">
      <alignment horizontal="right"/>
    </xf>
    <xf numFmtId="166" fontId="13" fillId="42" borderId="115" xfId="53" applyNumberFormat="1" applyFont="1" applyFill="1" applyBorder="1" applyAlignment="1" applyProtection="1">
      <alignment horizontal="right"/>
    </xf>
    <xf numFmtId="166" fontId="13" fillId="42" borderId="300" xfId="53" applyNumberFormat="1" applyFont="1" applyFill="1" applyBorder="1" applyAlignment="1" applyProtection="1">
      <alignment horizontal="right"/>
    </xf>
    <xf numFmtId="166" fontId="13" fillId="43" borderId="327" xfId="53" applyNumberFormat="1" applyFont="1" applyFill="1" applyBorder="1" applyAlignment="1" applyProtection="1">
      <alignment horizontal="right"/>
    </xf>
    <xf numFmtId="1" fontId="110" fillId="26" borderId="304" xfId="53" applyNumberFormat="1" applyFont="1" applyFill="1" applyBorder="1" applyAlignment="1" applyProtection="1">
      <alignment horizontal="center"/>
    </xf>
    <xf numFmtId="166" fontId="13" fillId="43" borderId="310" xfId="53" applyNumberFormat="1" applyFont="1" applyFill="1" applyBorder="1" applyAlignment="1" applyProtection="1">
      <alignment horizontal="right"/>
    </xf>
    <xf numFmtId="166" fontId="13" fillId="43" borderId="312" xfId="53" applyNumberFormat="1" applyFont="1" applyFill="1" applyBorder="1" applyAlignment="1" applyProtection="1">
      <alignment horizontal="right"/>
    </xf>
    <xf numFmtId="166" fontId="13" fillId="43" borderId="311" xfId="53" applyNumberFormat="1" applyFont="1" applyFill="1" applyBorder="1" applyAlignment="1" applyProtection="1">
      <alignment horizontal="right"/>
    </xf>
    <xf numFmtId="0" fontId="0" fillId="0" borderId="0" xfId="0"/>
    <xf numFmtId="0" fontId="0" fillId="0" borderId="14" xfId="0" applyBorder="1"/>
    <xf numFmtId="166" fontId="13" fillId="43" borderId="114" xfId="53" applyNumberFormat="1" applyFont="1" applyFill="1" applyBorder="1" applyAlignment="1" applyProtection="1">
      <alignment horizontal="right"/>
    </xf>
    <xf numFmtId="0" fontId="0" fillId="0" borderId="0" xfId="0"/>
    <xf numFmtId="166" fontId="13" fillId="42" borderId="115" xfId="54" applyNumberFormat="1" applyFont="1" applyFill="1" applyBorder="1" applyAlignment="1" applyProtection="1">
      <alignment horizontal="right"/>
    </xf>
    <xf numFmtId="166" fontId="32" fillId="42" borderId="294" xfId="54" applyNumberFormat="1" applyFont="1" applyFill="1" applyBorder="1" applyAlignment="1" applyProtection="1">
      <alignment horizontal="right"/>
    </xf>
    <xf numFmtId="1" fontId="110" fillId="26" borderId="304" xfId="53" applyNumberFormat="1" applyFont="1" applyFill="1" applyBorder="1" applyAlignment="1" applyProtection="1">
      <alignment horizontal="center"/>
    </xf>
    <xf numFmtId="166" fontId="13" fillId="42" borderId="296" xfId="54" applyNumberFormat="1" applyFont="1" applyFill="1" applyBorder="1" applyAlignment="1" applyProtection="1">
      <alignment horizontal="right"/>
    </xf>
    <xf numFmtId="166" fontId="13" fillId="42" borderId="298" xfId="54" applyNumberFormat="1" applyFont="1" applyFill="1" applyBorder="1" applyAlignment="1" applyProtection="1">
      <alignment horizontal="right"/>
    </xf>
    <xf numFmtId="166" fontId="13" fillId="42" borderId="296" xfId="53" applyNumberFormat="1" applyFont="1" applyFill="1" applyBorder="1" applyAlignment="1" applyProtection="1">
      <alignment horizontal="right"/>
    </xf>
    <xf numFmtId="166" fontId="13" fillId="42" borderId="298" xfId="53" applyNumberFormat="1" applyFont="1" applyFill="1" applyBorder="1" applyAlignment="1" applyProtection="1">
      <alignment horizontal="right"/>
    </xf>
    <xf numFmtId="166" fontId="13" fillId="42" borderId="115" xfId="53" applyNumberFormat="1" applyFont="1" applyFill="1" applyBorder="1" applyAlignment="1" applyProtection="1">
      <alignment horizontal="right"/>
    </xf>
    <xf numFmtId="166" fontId="13" fillId="42" borderId="300" xfId="53" applyNumberFormat="1" applyFont="1" applyFill="1" applyBorder="1" applyAlignment="1" applyProtection="1">
      <alignment horizontal="right"/>
    </xf>
    <xf numFmtId="1" fontId="110" fillId="26" borderId="319" xfId="53" applyNumberFormat="1" applyFont="1" applyFill="1" applyBorder="1" applyAlignment="1" applyProtection="1">
      <alignment horizontal="center"/>
    </xf>
    <xf numFmtId="166" fontId="32" fillId="43" borderId="317" xfId="54" applyNumberFormat="1" applyFont="1" applyFill="1" applyBorder="1" applyAlignment="1" applyProtection="1">
      <alignment horizontal="right"/>
    </xf>
    <xf numFmtId="166" fontId="13" fillId="43" borderId="326" xfId="53" applyNumberFormat="1" applyFont="1" applyFill="1" applyBorder="1" applyAlignment="1" applyProtection="1">
      <alignment horizontal="right"/>
    </xf>
    <xf numFmtId="166" fontId="13" fillId="43" borderId="325" xfId="53" applyNumberFormat="1" applyFont="1" applyFill="1" applyBorder="1" applyAlignment="1" applyProtection="1">
      <alignment horizontal="right"/>
    </xf>
    <xf numFmtId="0" fontId="0" fillId="0" borderId="0" xfId="0"/>
    <xf numFmtId="166" fontId="13" fillId="43" borderId="114" xfId="53" applyNumberFormat="1" applyFont="1" applyFill="1" applyBorder="1" applyAlignment="1" applyProtection="1">
      <alignment horizontal="right"/>
    </xf>
    <xf numFmtId="49" fontId="32" fillId="42" borderId="13" xfId="53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14" xfId="0" applyBorder="1"/>
    <xf numFmtId="166" fontId="13" fillId="42" borderId="115" xfId="54" applyNumberFormat="1" applyFont="1" applyFill="1" applyBorder="1" applyAlignment="1" applyProtection="1">
      <alignment horizontal="right"/>
    </xf>
    <xf numFmtId="166" fontId="13" fillId="43" borderId="114" xfId="53" applyNumberFormat="1" applyFont="1" applyFill="1" applyBorder="1" applyAlignment="1" applyProtection="1">
      <alignment horizontal="right"/>
    </xf>
    <xf numFmtId="166" fontId="32" fillId="42" borderId="324" xfId="54" applyNumberFormat="1" applyFont="1" applyFill="1" applyBorder="1" applyAlignment="1" applyProtection="1">
      <alignment horizontal="right"/>
    </xf>
    <xf numFmtId="1" fontId="110" fillId="26" borderId="319" xfId="53" applyNumberFormat="1" applyFont="1" applyFill="1" applyBorder="1" applyAlignment="1" applyProtection="1">
      <alignment horizontal="center"/>
    </xf>
    <xf numFmtId="166" fontId="13" fillId="42" borderId="321" xfId="54" applyNumberFormat="1" applyFont="1" applyFill="1" applyBorder="1" applyAlignment="1" applyProtection="1">
      <alignment horizontal="right"/>
    </xf>
    <xf numFmtId="166" fontId="13" fillId="43" borderId="325" xfId="53" applyNumberFormat="1" applyFont="1" applyFill="1" applyBorder="1" applyAlignment="1" applyProtection="1">
      <alignment horizontal="right"/>
    </xf>
    <xf numFmtId="166" fontId="13" fillId="42" borderId="322" xfId="54" applyNumberFormat="1" applyFont="1" applyFill="1" applyBorder="1" applyAlignment="1" applyProtection="1">
      <alignment horizontal="right"/>
    </xf>
    <xf numFmtId="166" fontId="13" fillId="43" borderId="326" xfId="53" applyNumberFormat="1" applyFont="1" applyFill="1" applyBorder="1" applyAlignment="1" applyProtection="1">
      <alignment horizontal="right"/>
    </xf>
    <xf numFmtId="166" fontId="13" fillId="42" borderId="321" xfId="53" applyNumberFormat="1" applyFont="1" applyFill="1" applyBorder="1" applyAlignment="1" applyProtection="1">
      <alignment horizontal="right"/>
    </xf>
    <xf numFmtId="166" fontId="13" fillId="42" borderId="322" xfId="53" applyNumberFormat="1" applyFont="1" applyFill="1" applyBorder="1" applyAlignment="1" applyProtection="1">
      <alignment horizontal="right"/>
    </xf>
    <xf numFmtId="166" fontId="13" fillId="42" borderId="115" xfId="53" applyNumberFormat="1" applyFont="1" applyFill="1" applyBorder="1" applyAlignment="1" applyProtection="1">
      <alignment horizontal="right"/>
    </xf>
    <xf numFmtId="166" fontId="13" fillId="42" borderId="300" xfId="53" applyNumberFormat="1" applyFont="1" applyFill="1" applyBorder="1" applyAlignment="1" applyProtection="1">
      <alignment horizontal="right"/>
    </xf>
    <xf numFmtId="166" fontId="13" fillId="43" borderId="299" xfId="53" applyNumberFormat="1" applyFont="1" applyFill="1" applyBorder="1" applyAlignment="1" applyProtection="1">
      <alignment horizontal="right"/>
    </xf>
    <xf numFmtId="49" fontId="32" fillId="43" borderId="13" xfId="53" applyNumberFormat="1" applyFont="1" applyFill="1" applyBorder="1" applyAlignment="1">
      <alignment horizontal="center" vertical="center" wrapText="1"/>
    </xf>
    <xf numFmtId="166" fontId="13" fillId="42" borderId="115" xfId="54" applyNumberFormat="1" applyFont="1" applyFill="1" applyBorder="1" applyAlignment="1" applyProtection="1">
      <alignment horizontal="right"/>
    </xf>
    <xf numFmtId="166" fontId="13" fillId="43" borderId="114" xfId="53" applyNumberFormat="1" applyFont="1" applyFill="1" applyBorder="1" applyAlignment="1" applyProtection="1">
      <alignment horizontal="right"/>
    </xf>
    <xf numFmtId="166" fontId="32" fillId="42" borderId="352" xfId="54" applyNumberFormat="1" applyFont="1" applyFill="1" applyBorder="1" applyAlignment="1" applyProtection="1">
      <alignment horizontal="right"/>
    </xf>
    <xf numFmtId="166" fontId="32" fillId="43" borderId="344" xfId="54" applyNumberFormat="1" applyFont="1" applyFill="1" applyBorder="1" applyAlignment="1" applyProtection="1">
      <alignment horizontal="right"/>
    </xf>
    <xf numFmtId="1" fontId="110" fillId="26" borderId="346" xfId="53" applyNumberFormat="1" applyFont="1" applyFill="1" applyBorder="1" applyAlignment="1" applyProtection="1">
      <alignment horizontal="center"/>
    </xf>
    <xf numFmtId="166" fontId="13" fillId="42" borderId="354" xfId="54" applyNumberFormat="1" applyFont="1" applyFill="1" applyBorder="1" applyAlignment="1" applyProtection="1">
      <alignment horizontal="right"/>
    </xf>
    <xf numFmtId="166" fontId="13" fillId="43" borderId="353" xfId="53" applyNumberFormat="1" applyFont="1" applyFill="1" applyBorder="1" applyAlignment="1" applyProtection="1">
      <alignment horizontal="right"/>
    </xf>
    <xf numFmtId="166" fontId="13" fillId="42" borderId="356" xfId="54" applyNumberFormat="1" applyFont="1" applyFill="1" applyBorder="1" applyAlignment="1" applyProtection="1">
      <alignment horizontal="right"/>
    </xf>
    <xf numFmtId="166" fontId="13" fillId="43" borderId="355" xfId="53" applyNumberFormat="1" applyFont="1" applyFill="1" applyBorder="1" applyAlignment="1" applyProtection="1">
      <alignment horizontal="right"/>
    </xf>
    <xf numFmtId="166" fontId="13" fillId="42" borderId="354" xfId="53" applyNumberFormat="1" applyFont="1" applyFill="1" applyBorder="1" applyAlignment="1" applyProtection="1">
      <alignment horizontal="right"/>
    </xf>
    <xf numFmtId="166" fontId="13" fillId="42" borderId="356" xfId="53" applyNumberFormat="1" applyFont="1" applyFill="1" applyBorder="1" applyAlignment="1" applyProtection="1">
      <alignment horizontal="right"/>
    </xf>
    <xf numFmtId="166" fontId="13" fillId="42" borderId="115" xfId="53" applyNumberFormat="1" applyFont="1" applyFill="1" applyBorder="1" applyAlignment="1" applyProtection="1">
      <alignment horizontal="right"/>
    </xf>
    <xf numFmtId="166" fontId="13" fillId="42" borderId="358" xfId="53" applyNumberFormat="1" applyFont="1" applyFill="1" applyBorder="1" applyAlignment="1" applyProtection="1">
      <alignment horizontal="right"/>
    </xf>
    <xf numFmtId="166" fontId="13" fillId="43" borderId="357" xfId="53" applyNumberFormat="1" applyFont="1" applyFill="1" applyBorder="1" applyAlignment="1" applyProtection="1">
      <alignment horizontal="right"/>
    </xf>
    <xf numFmtId="0" fontId="13" fillId="0" borderId="0" xfId="53"/>
    <xf numFmtId="6" fontId="79" fillId="0" borderId="198" xfId="0" applyNumberFormat="1" applyFont="1" applyBorder="1"/>
    <xf numFmtId="6" fontId="79" fillId="41" borderId="198" xfId="0" applyNumberFormat="1" applyFont="1" applyFill="1" applyBorder="1"/>
    <xf numFmtId="6" fontId="116" fillId="0" borderId="374" xfId="53" applyNumberFormat="1" applyFont="1" applyBorder="1" applyAlignment="1">
      <alignment horizontal="right"/>
    </xf>
    <xf numFmtId="6" fontId="103" fillId="41" borderId="0" xfId="0" applyNumberFormat="1" applyFont="1" applyFill="1" applyBorder="1" applyAlignment="1">
      <alignment horizontal="center" wrapText="1"/>
    </xf>
    <xf numFmtId="0" fontId="101" fillId="0" borderId="0" xfId="0" applyFont="1" applyBorder="1"/>
    <xf numFmtId="6" fontId="101" fillId="0" borderId="0" xfId="0" applyNumberFormat="1" applyFont="1" applyBorder="1"/>
    <xf numFmtId="0" fontId="101" fillId="0" borderId="0" xfId="0" applyFont="1" applyBorder="1"/>
    <xf numFmtId="6" fontId="76" fillId="0" borderId="377" xfId="53" applyNumberFormat="1" applyFont="1" applyBorder="1" applyAlignment="1">
      <alignment horizontal="right"/>
    </xf>
    <xf numFmtId="6" fontId="76" fillId="0" borderId="374" xfId="53" applyNumberFormat="1" applyFont="1" applyBorder="1" applyAlignment="1">
      <alignment horizontal="right"/>
    </xf>
    <xf numFmtId="0" fontId="101" fillId="0" borderId="0" xfId="0" applyFont="1" applyBorder="1"/>
    <xf numFmtId="6" fontId="13" fillId="0" borderId="0" xfId="53" applyNumberFormat="1" applyFont="1" applyBorder="1" applyAlignment="1">
      <alignment horizontal="right"/>
    </xf>
    <xf numFmtId="0" fontId="13" fillId="0" borderId="0" xfId="53"/>
    <xf numFmtId="0" fontId="111" fillId="29" borderId="198" xfId="0" applyFont="1" applyFill="1" applyBorder="1" applyAlignment="1">
      <alignment horizontal="center" vertical="center" wrapText="1"/>
    </xf>
    <xf numFmtId="6" fontId="116" fillId="0" borderId="377" xfId="53" applyNumberFormat="1" applyFont="1" applyFill="1" applyBorder="1" applyAlignment="1">
      <alignment horizontal="right"/>
    </xf>
    <xf numFmtId="0" fontId="13" fillId="0" borderId="0" xfId="53"/>
    <xf numFmtId="6" fontId="79" fillId="27" borderId="198" xfId="0" applyNumberFormat="1" applyFont="1" applyFill="1" applyBorder="1"/>
    <xf numFmtId="0" fontId="101" fillId="0" borderId="0" xfId="0" applyFont="1" applyBorder="1"/>
    <xf numFmtId="0" fontId="32" fillId="27" borderId="13" xfId="0" applyFont="1" applyFill="1" applyBorder="1" applyAlignment="1">
      <alignment horizontal="center" vertical="center" wrapText="1"/>
    </xf>
    <xf numFmtId="0" fontId="32" fillId="55" borderId="13" xfId="0" applyFont="1" applyFill="1" applyBorder="1" applyAlignment="1">
      <alignment horizontal="center" vertical="center" wrapText="1"/>
    </xf>
    <xf numFmtId="0" fontId="24" fillId="52" borderId="0" xfId="0" applyFont="1" applyFill="1" applyAlignment="1">
      <alignment horizontal="center" vertical="center" wrapText="1"/>
    </xf>
    <xf numFmtId="0" fontId="10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top" wrapText="1"/>
    </xf>
    <xf numFmtId="0" fontId="32" fillId="27" borderId="376" xfId="0" applyFont="1" applyFill="1" applyBorder="1" applyAlignment="1">
      <alignment horizontal="center" vertical="center" wrapText="1"/>
    </xf>
    <xf numFmtId="0" fontId="32" fillId="55" borderId="376" xfId="0" applyFont="1" applyFill="1" applyBorder="1" applyAlignment="1">
      <alignment horizontal="center" vertical="center" wrapText="1"/>
    </xf>
    <xf numFmtId="6" fontId="53" fillId="0" borderId="377" xfId="0" applyNumberFormat="1" applyFont="1" applyFill="1" applyBorder="1" applyAlignment="1">
      <alignment horizontal="right"/>
    </xf>
    <xf numFmtId="166" fontId="13" fillId="42" borderId="115" xfId="54" applyNumberFormat="1" applyFont="1" applyFill="1" applyBorder="1" applyAlignment="1" applyProtection="1">
      <alignment horizontal="right"/>
    </xf>
    <xf numFmtId="166" fontId="13" fillId="43" borderId="114" xfId="53" applyNumberFormat="1" applyFont="1" applyFill="1" applyBorder="1" applyAlignment="1" applyProtection="1">
      <alignment horizontal="right"/>
    </xf>
    <xf numFmtId="0" fontId="32" fillId="55" borderId="13" xfId="0" applyFont="1" applyFill="1" applyBorder="1" applyAlignment="1">
      <alignment horizontal="center" vertical="center" wrapText="1"/>
    </xf>
    <xf numFmtId="6" fontId="53" fillId="41" borderId="377" xfId="0" applyNumberFormat="1" applyFont="1" applyFill="1" applyBorder="1" applyAlignment="1">
      <alignment horizontal="right"/>
    </xf>
    <xf numFmtId="38" fontId="53" fillId="49" borderId="14" xfId="0" applyNumberFormat="1" applyFont="1" applyFill="1" applyBorder="1" applyAlignment="1">
      <alignment horizontal="right"/>
    </xf>
    <xf numFmtId="38" fontId="65" fillId="0" borderId="13" xfId="0" applyNumberFormat="1" applyFont="1" applyBorder="1" applyAlignment="1">
      <alignment horizontal="right"/>
    </xf>
    <xf numFmtId="38" fontId="77" fillId="0" borderId="13" xfId="0" applyNumberFormat="1" applyFont="1" applyFill="1" applyBorder="1" applyAlignment="1">
      <alignment horizontal="center" wrapText="1"/>
    </xf>
    <xf numFmtId="38" fontId="78" fillId="28" borderId="13" xfId="0" applyNumberFormat="1" applyFont="1" applyFill="1" applyBorder="1" applyAlignment="1">
      <alignment horizontal="right" wrapText="1"/>
    </xf>
    <xf numFmtId="171" fontId="53" fillId="0" borderId="13" xfId="0" applyNumberFormat="1" applyFont="1" applyBorder="1" applyAlignment="1">
      <alignment horizontal="right"/>
    </xf>
    <xf numFmtId="166" fontId="13" fillId="42" borderId="433" xfId="54" applyNumberFormat="1" applyFont="1" applyFill="1" applyBorder="1" applyAlignment="1" applyProtection="1">
      <alignment horizontal="right"/>
    </xf>
    <xf numFmtId="166" fontId="13" fillId="43" borderId="434" xfId="53" applyNumberFormat="1" applyFont="1" applyFill="1" applyBorder="1" applyAlignment="1" applyProtection="1">
      <alignment horizontal="right"/>
    </xf>
    <xf numFmtId="5" fontId="15" fillId="0" borderId="198" xfId="0" applyNumberFormat="1" applyFont="1" applyFill="1" applyBorder="1" applyProtection="1"/>
    <xf numFmtId="5" fontId="15" fillId="0" borderId="199" xfId="0" applyNumberFormat="1" applyFont="1" applyFill="1" applyBorder="1" applyProtection="1"/>
    <xf numFmtId="0" fontId="53" fillId="52" borderId="86" xfId="0" applyFont="1" applyFill="1" applyBorder="1" applyAlignment="1">
      <alignment horizontal="center" vertical="center" wrapText="1"/>
    </xf>
    <xf numFmtId="0" fontId="53" fillId="43" borderId="377" xfId="53" applyFont="1" applyFill="1" applyBorder="1" applyAlignment="1">
      <alignment wrapText="1"/>
    </xf>
    <xf numFmtId="1" fontId="110" fillId="26" borderId="377" xfId="53" applyNumberFormat="1" applyFont="1" applyFill="1" applyBorder="1" applyAlignment="1" applyProtection="1">
      <alignment horizontal="center"/>
    </xf>
    <xf numFmtId="6" fontId="13" fillId="42" borderId="354" xfId="54" applyNumberFormat="1" applyFont="1" applyFill="1" applyBorder="1" applyAlignment="1" applyProtection="1">
      <alignment horizontal="right"/>
    </xf>
    <xf numFmtId="6" fontId="13" fillId="42" borderId="356" xfId="54" applyNumberFormat="1" applyFont="1" applyFill="1" applyBorder="1" applyAlignment="1" applyProtection="1">
      <alignment horizontal="right"/>
    </xf>
    <xf numFmtId="6" fontId="13" fillId="42" borderId="354" xfId="53" applyNumberFormat="1" applyFont="1" applyFill="1" applyBorder="1" applyAlignment="1" applyProtection="1">
      <alignment horizontal="right"/>
    </xf>
    <xf numFmtId="6" fontId="13" fillId="42" borderId="356" xfId="53" applyNumberFormat="1" applyFont="1" applyFill="1" applyBorder="1" applyAlignment="1" applyProtection="1">
      <alignment horizontal="right"/>
    </xf>
    <xf numFmtId="6" fontId="13" fillId="42" borderId="358" xfId="53" applyNumberFormat="1" applyFont="1" applyFill="1" applyBorder="1" applyAlignment="1" applyProtection="1">
      <alignment horizontal="right"/>
    </xf>
    <xf numFmtId="6" fontId="32" fillId="42" borderId="352" xfId="54" applyNumberFormat="1" applyFont="1" applyFill="1" applyBorder="1" applyAlignment="1" applyProtection="1">
      <alignment horizontal="right"/>
    </xf>
    <xf numFmtId="6" fontId="13" fillId="43" borderId="115" xfId="54" applyNumberFormat="1" applyFont="1" applyFill="1" applyBorder="1" applyAlignment="1" applyProtection="1">
      <alignment horizontal="right"/>
    </xf>
    <xf numFmtId="6" fontId="13" fillId="43" borderId="354" xfId="54" applyNumberFormat="1" applyFont="1" applyFill="1" applyBorder="1" applyAlignment="1" applyProtection="1">
      <alignment horizontal="right"/>
    </xf>
    <xf numFmtId="6" fontId="13" fillId="43" borderId="356" xfId="54" applyNumberFormat="1" applyFont="1" applyFill="1" applyBorder="1" applyAlignment="1" applyProtection="1">
      <alignment horizontal="right"/>
    </xf>
    <xf numFmtId="6" fontId="13" fillId="43" borderId="354" xfId="53" applyNumberFormat="1" applyFont="1" applyFill="1" applyBorder="1" applyAlignment="1" applyProtection="1">
      <alignment horizontal="right"/>
    </xf>
    <xf numFmtId="6" fontId="13" fillId="43" borderId="356" xfId="53" applyNumberFormat="1" applyFont="1" applyFill="1" applyBorder="1" applyAlignment="1" applyProtection="1">
      <alignment horizontal="right"/>
    </xf>
    <xf numFmtId="6" fontId="13" fillId="43" borderId="115" xfId="53" applyNumberFormat="1" applyFont="1" applyFill="1" applyBorder="1" applyAlignment="1" applyProtection="1">
      <alignment horizontal="right"/>
    </xf>
    <xf numFmtId="6" fontId="13" fillId="43" borderId="358" xfId="53" applyNumberFormat="1" applyFont="1" applyFill="1" applyBorder="1" applyAlignment="1" applyProtection="1">
      <alignment horizontal="right"/>
    </xf>
    <xf numFmtId="6" fontId="32" fillId="43" borderId="352" xfId="54" applyNumberFormat="1" applyFont="1" applyFill="1" applyBorder="1" applyAlignment="1" applyProtection="1">
      <alignment horizontal="right"/>
    </xf>
    <xf numFmtId="6" fontId="13" fillId="42" borderId="119" xfId="54" applyNumberFormat="1" applyFont="1" applyFill="1" applyBorder="1" applyAlignment="1" applyProtection="1">
      <alignment horizontal="right"/>
    </xf>
    <xf numFmtId="6" fontId="13" fillId="42" borderId="122" xfId="54" applyNumberFormat="1" applyFont="1" applyFill="1" applyBorder="1" applyAlignment="1" applyProtection="1">
      <alignment horizontal="right"/>
    </xf>
    <xf numFmtId="6" fontId="13" fillId="42" borderId="119" xfId="53" applyNumberFormat="1" applyFont="1" applyFill="1" applyBorder="1" applyAlignment="1" applyProtection="1">
      <alignment horizontal="right"/>
    </xf>
    <xf numFmtId="6" fontId="13" fillId="42" borderId="122" xfId="53" applyNumberFormat="1" applyFont="1" applyFill="1" applyBorder="1" applyAlignment="1" applyProtection="1">
      <alignment horizontal="right"/>
    </xf>
    <xf numFmtId="6" fontId="13" fillId="42" borderId="126" xfId="53" applyNumberFormat="1" applyFont="1" applyFill="1" applyBorder="1" applyAlignment="1" applyProtection="1">
      <alignment horizontal="right"/>
    </xf>
    <xf numFmtId="6" fontId="13" fillId="43" borderId="118" xfId="53" applyNumberFormat="1" applyFont="1" applyFill="1" applyBorder="1" applyAlignment="1" applyProtection="1">
      <alignment horizontal="right"/>
    </xf>
    <xf numFmtId="6" fontId="13" fillId="43" borderId="121" xfId="53" applyNumberFormat="1" applyFont="1" applyFill="1" applyBorder="1" applyAlignment="1" applyProtection="1">
      <alignment horizontal="right"/>
    </xf>
    <xf numFmtId="6" fontId="13" fillId="43" borderId="125" xfId="53" applyNumberFormat="1" applyFont="1" applyFill="1" applyBorder="1" applyAlignment="1" applyProtection="1">
      <alignment horizontal="right"/>
    </xf>
    <xf numFmtId="38" fontId="116" fillId="72" borderId="194" xfId="53" applyNumberFormat="1" applyFont="1" applyFill="1" applyBorder="1" applyAlignment="1">
      <alignment horizontal="right"/>
    </xf>
    <xf numFmtId="6" fontId="116" fillId="72" borderId="194" xfId="53" applyNumberFormat="1" applyFont="1" applyFill="1" applyBorder="1" applyAlignment="1">
      <alignment horizontal="right"/>
    </xf>
    <xf numFmtId="6" fontId="116" fillId="72" borderId="374" xfId="53" applyNumberFormat="1" applyFont="1" applyFill="1" applyBorder="1" applyAlignment="1">
      <alignment horizontal="right"/>
    </xf>
    <xf numFmtId="6" fontId="116" fillId="72" borderId="194" xfId="53" applyNumberFormat="1" applyFont="1" applyFill="1" applyBorder="1" applyAlignment="1">
      <alignment horizontal="right" wrapText="1"/>
    </xf>
    <xf numFmtId="6" fontId="116" fillId="72" borderId="377" xfId="53" applyNumberFormat="1" applyFont="1" applyFill="1" applyBorder="1" applyAlignment="1">
      <alignment horizontal="right"/>
    </xf>
    <xf numFmtId="38" fontId="116" fillId="72" borderId="377" xfId="53" applyNumberFormat="1" applyFont="1" applyFill="1" applyBorder="1" applyAlignment="1">
      <alignment horizontal="right"/>
    </xf>
    <xf numFmtId="6" fontId="116" fillId="72" borderId="377" xfId="53" applyNumberFormat="1" applyFont="1" applyFill="1" applyBorder="1" applyAlignment="1">
      <alignment horizontal="right" wrapText="1"/>
    </xf>
    <xf numFmtId="0" fontId="32" fillId="27" borderId="13" xfId="0" applyFont="1" applyFill="1" applyBorder="1" applyAlignment="1">
      <alignment horizontal="center" vertical="center" wrapText="1"/>
    </xf>
    <xf numFmtId="0" fontId="32" fillId="25" borderId="10" xfId="0" applyFont="1" applyFill="1" applyBorder="1" applyAlignment="1">
      <alignment horizontal="center" vertical="center" wrapText="1"/>
    </xf>
    <xf numFmtId="0" fontId="66" fillId="0" borderId="0" xfId="0" applyFont="1" applyFill="1" applyAlignment="1">
      <alignment horizontal="left" vertical="top" wrapText="1"/>
    </xf>
    <xf numFmtId="0" fontId="32" fillId="27" borderId="13" xfId="0" applyFont="1" applyFill="1" applyBorder="1" applyAlignment="1">
      <alignment horizontal="center" vertical="center" wrapText="1"/>
    </xf>
    <xf numFmtId="0" fontId="66" fillId="0" borderId="0" xfId="0" applyFont="1" applyFill="1" applyAlignment="1">
      <alignment horizontal="left" vertical="top" wrapText="1"/>
    </xf>
    <xf numFmtId="49" fontId="71" fillId="27" borderId="0" xfId="53" applyNumberFormat="1" applyFont="1" applyFill="1" applyBorder="1" applyAlignment="1">
      <alignment horizontal="center" vertical="center" wrapText="1"/>
    </xf>
    <xf numFmtId="49" fontId="71" fillId="27" borderId="45" xfId="53" applyNumberFormat="1" applyFont="1" applyFill="1" applyBorder="1" applyAlignment="1">
      <alignment horizontal="center" vertical="center" wrapText="1"/>
    </xf>
    <xf numFmtId="0" fontId="71" fillId="45" borderId="0" xfId="0" applyFont="1" applyFill="1" applyBorder="1" applyAlignment="1" applyProtection="1">
      <alignment vertical="center" wrapText="1"/>
    </xf>
    <xf numFmtId="49" fontId="32" fillId="42" borderId="10" xfId="53" applyNumberFormat="1" applyFont="1" applyFill="1" applyBorder="1" applyAlignment="1">
      <alignment horizontal="center" vertical="center" wrapText="1"/>
    </xf>
    <xf numFmtId="49" fontId="32" fillId="42" borderId="13" xfId="53" applyNumberFormat="1" applyFont="1" applyFill="1" applyBorder="1" applyAlignment="1">
      <alignment horizontal="center" vertical="center" wrapText="1"/>
    </xf>
    <xf numFmtId="49" fontId="32" fillId="43" borderId="10" xfId="53" applyNumberFormat="1" applyFont="1" applyFill="1" applyBorder="1" applyAlignment="1">
      <alignment horizontal="center" vertical="center" wrapText="1"/>
    </xf>
    <xf numFmtId="49" fontId="32" fillId="43" borderId="13" xfId="53" applyNumberFormat="1" applyFont="1" applyFill="1" applyBorder="1" applyAlignment="1">
      <alignment horizontal="center" vertical="center" wrapText="1"/>
    </xf>
    <xf numFmtId="49" fontId="32" fillId="56" borderId="13" xfId="53" applyNumberFormat="1" applyFont="1" applyFill="1" applyBorder="1" applyAlignment="1">
      <alignment horizontal="center" vertical="center" wrapText="1"/>
    </xf>
    <xf numFmtId="49" fontId="32" fillId="43" borderId="249" xfId="53" applyNumberFormat="1" applyFont="1" applyFill="1" applyBorder="1" applyAlignment="1">
      <alignment horizontal="center" vertical="center" wrapText="1"/>
    </xf>
    <xf numFmtId="49" fontId="71" fillId="27" borderId="0" xfId="53" applyNumberFormat="1" applyFont="1" applyFill="1" applyBorder="1" applyAlignment="1">
      <alignment horizontal="center" vertical="center" wrapText="1"/>
    </xf>
    <xf numFmtId="49" fontId="71" fillId="27" borderId="45" xfId="53" applyNumberFormat="1" applyFont="1" applyFill="1" applyBorder="1" applyAlignment="1">
      <alignment horizontal="center" vertical="center" wrapText="1"/>
    </xf>
    <xf numFmtId="49" fontId="71" fillId="54" borderId="215" xfId="53" applyNumberFormat="1" applyFont="1" applyFill="1" applyBorder="1" applyAlignment="1">
      <alignment horizontal="center" vertical="center" wrapText="1"/>
    </xf>
    <xf numFmtId="49" fontId="71" fillId="54" borderId="436" xfId="53" applyNumberFormat="1" applyFont="1" applyFill="1" applyBorder="1" applyAlignment="1">
      <alignment horizontal="center" vertical="center" wrapText="1"/>
    </xf>
    <xf numFmtId="49" fontId="32" fillId="56" borderId="376" xfId="53" applyNumberFormat="1" applyFont="1" applyFill="1" applyBorder="1" applyAlignment="1">
      <alignment horizontal="center" vertical="center" wrapText="1"/>
    </xf>
    <xf numFmtId="49" fontId="71" fillId="54" borderId="214" xfId="53" applyNumberFormat="1" applyFont="1" applyFill="1" applyBorder="1" applyAlignment="1">
      <alignment horizontal="center" vertical="center" wrapText="1"/>
    </xf>
    <xf numFmtId="49" fontId="71" fillId="27" borderId="197" xfId="53" applyNumberFormat="1" applyFont="1" applyFill="1" applyBorder="1" applyAlignment="1">
      <alignment horizontal="center" vertical="center" wrapText="1"/>
    </xf>
    <xf numFmtId="38" fontId="53" fillId="0" borderId="13" xfId="0" applyNumberFormat="1" applyFont="1" applyBorder="1" applyAlignment="1">
      <alignment horizontal="right"/>
    </xf>
    <xf numFmtId="49" fontId="32" fillId="42" borderId="10" xfId="53" applyNumberFormat="1" applyFont="1" applyFill="1" applyBorder="1" applyAlignment="1">
      <alignment horizontal="center" vertical="center" wrapText="1"/>
    </xf>
    <xf numFmtId="49" fontId="32" fillId="42" borderId="13" xfId="53" applyNumberFormat="1" applyFont="1" applyFill="1" applyBorder="1" applyAlignment="1">
      <alignment horizontal="center" vertical="center" wrapText="1"/>
    </xf>
    <xf numFmtId="49" fontId="32" fillId="43" borderId="10" xfId="53" applyNumberFormat="1" applyFont="1" applyFill="1" applyBorder="1" applyAlignment="1">
      <alignment horizontal="center" vertical="center" wrapText="1"/>
    </xf>
    <xf numFmtId="49" fontId="32" fillId="43" borderId="13" xfId="53" applyNumberFormat="1" applyFont="1" applyFill="1" applyBorder="1" applyAlignment="1">
      <alignment horizontal="center" vertical="center" wrapText="1"/>
    </xf>
    <xf numFmtId="49" fontId="32" fillId="56" borderId="13" xfId="53" applyNumberFormat="1" applyFont="1" applyFill="1" applyBorder="1" applyAlignment="1">
      <alignment horizontal="center" vertical="center" wrapText="1"/>
    </xf>
    <xf numFmtId="49" fontId="32" fillId="43" borderId="249" xfId="53" applyNumberFormat="1" applyFont="1" applyFill="1" applyBorder="1" applyAlignment="1">
      <alignment horizontal="center" vertical="center" wrapText="1"/>
    </xf>
    <xf numFmtId="49" fontId="71" fillId="27" borderId="0" xfId="53" applyNumberFormat="1" applyFont="1" applyFill="1" applyBorder="1" applyAlignment="1">
      <alignment horizontal="center" vertical="center" wrapText="1"/>
    </xf>
    <xf numFmtId="49" fontId="71" fillId="27" borderId="45" xfId="53" applyNumberFormat="1" applyFont="1" applyFill="1" applyBorder="1" applyAlignment="1">
      <alignment horizontal="center" vertical="center" wrapText="1"/>
    </xf>
    <xf numFmtId="49" fontId="32" fillId="56" borderId="376" xfId="53" applyNumberFormat="1" applyFont="1" applyFill="1" applyBorder="1" applyAlignment="1">
      <alignment horizontal="center" vertical="center" wrapText="1"/>
    </xf>
    <xf numFmtId="49" fontId="32" fillId="56" borderId="376" xfId="53" applyNumberFormat="1" applyFont="1" applyFill="1" applyBorder="1" applyAlignment="1">
      <alignment horizontal="center" vertical="center" wrapText="1"/>
    </xf>
    <xf numFmtId="49" fontId="32" fillId="56" borderId="13" xfId="53" applyNumberFormat="1" applyFont="1" applyFill="1" applyBorder="1" applyAlignment="1">
      <alignment horizontal="center" vertical="center" wrapText="1"/>
    </xf>
    <xf numFmtId="49" fontId="71" fillId="27" borderId="214" xfId="53" applyNumberFormat="1" applyFont="1" applyFill="1" applyBorder="1" applyAlignment="1">
      <alignment horizontal="center" vertical="center" wrapText="1"/>
    </xf>
    <xf numFmtId="49" fontId="71" fillId="27" borderId="436" xfId="53" applyNumberFormat="1" applyFont="1" applyFill="1" applyBorder="1" applyAlignment="1">
      <alignment horizontal="center" vertical="center" wrapText="1"/>
    </xf>
    <xf numFmtId="49" fontId="71" fillId="27" borderId="0" xfId="53" applyNumberFormat="1" applyFont="1" applyFill="1" applyBorder="1" applyAlignment="1">
      <alignment horizontal="center" vertical="center" wrapText="1"/>
    </xf>
    <xf numFmtId="49" fontId="71" fillId="27" borderId="45" xfId="53" applyNumberFormat="1" applyFont="1" applyFill="1" applyBorder="1" applyAlignment="1">
      <alignment horizontal="center" vertical="center" wrapText="1"/>
    </xf>
    <xf numFmtId="49" fontId="71" fillId="27" borderId="14" xfId="53" applyNumberFormat="1" applyFont="1" applyFill="1" applyBorder="1" applyAlignment="1">
      <alignment horizontal="center" vertical="center" wrapText="1"/>
    </xf>
    <xf numFmtId="49" fontId="71" fillId="27" borderId="375" xfId="53" applyNumberFormat="1" applyFont="1" applyFill="1" applyBorder="1" applyAlignment="1">
      <alignment horizontal="center" vertical="center" wrapText="1"/>
    </xf>
    <xf numFmtId="0" fontId="111" fillId="29" borderId="13" xfId="0" applyFont="1" applyFill="1" applyBorder="1" applyAlignment="1">
      <alignment horizontal="center" vertical="center" wrapText="1"/>
    </xf>
    <xf numFmtId="0" fontId="32" fillId="27" borderId="13" xfId="0" applyFont="1" applyFill="1" applyBorder="1" applyAlignment="1">
      <alignment horizontal="center" vertical="center" wrapText="1"/>
    </xf>
    <xf numFmtId="0" fontId="32" fillId="53" borderId="1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11" fillId="29" borderId="13" xfId="0" applyFont="1" applyFill="1" applyBorder="1" applyAlignment="1">
      <alignment horizontal="center" vertical="center" wrapText="1"/>
    </xf>
    <xf numFmtId="49" fontId="71" fillId="27" borderId="0" xfId="0" applyNumberFormat="1" applyFont="1" applyFill="1" applyBorder="1" applyAlignment="1">
      <alignment horizontal="center" vertical="center" wrapText="1"/>
    </xf>
    <xf numFmtId="49" fontId="71" fillId="27" borderId="45" xfId="0" applyNumberFormat="1" applyFont="1" applyFill="1" applyBorder="1" applyAlignment="1">
      <alignment horizontal="center" vertical="center" wrapText="1"/>
    </xf>
    <xf numFmtId="0" fontId="51" fillId="25" borderId="376" xfId="0" applyFont="1" applyFill="1" applyBorder="1" applyAlignment="1">
      <alignment horizontal="center" vertical="center" wrapText="1"/>
    </xf>
    <xf numFmtId="10" fontId="32" fillId="60" borderId="13" xfId="0" applyNumberFormat="1" applyFont="1" applyFill="1" applyBorder="1" applyAlignment="1">
      <alignment horizontal="center" vertical="center" wrapText="1"/>
    </xf>
    <xf numFmtId="0" fontId="101" fillId="54" borderId="35" xfId="0" applyFont="1" applyFill="1" applyBorder="1"/>
    <xf numFmtId="49" fontId="32" fillId="56" borderId="198" xfId="53" applyNumberFormat="1" applyFont="1" applyFill="1" applyBorder="1" applyAlignment="1">
      <alignment horizontal="center" vertical="center" wrapText="1"/>
    </xf>
    <xf numFmtId="0" fontId="101" fillId="39" borderId="14" xfId="0" applyFont="1" applyFill="1" applyBorder="1"/>
    <xf numFmtId="0" fontId="101" fillId="39" borderId="79" xfId="0" applyFont="1" applyFill="1" applyBorder="1"/>
    <xf numFmtId="0" fontId="32" fillId="29" borderId="198" xfId="0" applyFont="1" applyFill="1" applyBorder="1" applyAlignment="1">
      <alignment horizontal="center" vertical="center" wrapText="1"/>
    </xf>
    <xf numFmtId="0" fontId="101" fillId="54" borderId="79" xfId="0" applyFont="1" applyFill="1" applyBorder="1"/>
    <xf numFmtId="0" fontId="32" fillId="29" borderId="198" xfId="0" applyFont="1" applyFill="1" applyBorder="1" applyAlignment="1">
      <alignment horizontal="center" vertical="center" wrapText="1"/>
    </xf>
    <xf numFmtId="0" fontId="101" fillId="39" borderId="35" xfId="0" applyFont="1" applyFill="1" applyBorder="1"/>
    <xf numFmtId="0" fontId="111" fillId="29" borderId="198" xfId="0" applyFont="1" applyFill="1" applyBorder="1" applyAlignment="1">
      <alignment horizontal="center" vertical="center" wrapText="1"/>
    </xf>
    <xf numFmtId="6" fontId="101" fillId="39" borderId="14" xfId="0" applyNumberFormat="1" applyFont="1" applyFill="1" applyBorder="1"/>
    <xf numFmtId="0" fontId="101" fillId="54" borderId="14" xfId="0" applyFont="1" applyFill="1" applyBorder="1"/>
    <xf numFmtId="49" fontId="32" fillId="56" borderId="13" xfId="53" applyNumberFormat="1" applyFont="1" applyFill="1" applyBorder="1" applyAlignment="1">
      <alignment horizontal="center" vertical="center" wrapText="1"/>
    </xf>
    <xf numFmtId="1" fontId="26" fillId="26" borderId="377" xfId="0" applyNumberFormat="1" applyFont="1" applyFill="1" applyBorder="1" applyAlignment="1" applyProtection="1">
      <alignment horizontal="center" wrapText="1"/>
    </xf>
    <xf numFmtId="1" fontId="26" fillId="26" borderId="377" xfId="0" applyNumberFormat="1" applyFont="1" applyFill="1" applyBorder="1" applyAlignment="1" applyProtection="1">
      <alignment horizontal="center"/>
    </xf>
    <xf numFmtId="49" fontId="71" fillId="54" borderId="215" xfId="0" applyNumberFormat="1" applyFont="1" applyFill="1" applyBorder="1" applyAlignment="1">
      <alignment horizontal="center" vertical="center" wrapText="1"/>
    </xf>
    <xf numFmtId="49" fontId="71" fillId="41" borderId="197" xfId="0" applyNumberFormat="1" applyFont="1" applyFill="1" applyBorder="1" applyAlignment="1">
      <alignment horizontal="center" vertical="center" wrapText="1"/>
    </xf>
    <xf numFmtId="49" fontId="71" fillId="54" borderId="436" xfId="0" applyNumberFormat="1" applyFont="1" applyFill="1" applyBorder="1" applyAlignment="1">
      <alignment horizontal="center" vertical="center" wrapText="1"/>
    </xf>
    <xf numFmtId="49" fontId="71" fillId="27" borderId="197" xfId="0" applyNumberFormat="1" applyFont="1" applyFill="1" applyBorder="1" applyAlignment="1">
      <alignment horizontal="center" vertical="center" wrapText="1"/>
    </xf>
    <xf numFmtId="49" fontId="32" fillId="56" borderId="13" xfId="53" applyNumberFormat="1" applyFont="1" applyFill="1" applyBorder="1" applyAlignment="1">
      <alignment horizontal="center" vertical="center" wrapText="1"/>
    </xf>
    <xf numFmtId="49" fontId="32" fillId="56" borderId="198" xfId="53" applyNumberFormat="1" applyFont="1" applyFill="1" applyBorder="1" applyAlignment="1">
      <alignment horizontal="center" vertical="center" wrapText="1"/>
    </xf>
    <xf numFmtId="6" fontId="0" fillId="0" borderId="0" xfId="0" applyNumberFormat="1" applyFill="1"/>
    <xf numFmtId="49" fontId="32" fillId="42" borderId="437" xfId="53" applyNumberFormat="1" applyFont="1" applyFill="1" applyBorder="1" applyAlignment="1">
      <alignment horizontal="center" vertical="center" wrapText="1"/>
    </xf>
    <xf numFmtId="49" fontId="32" fillId="42" borderId="13" xfId="53" applyNumberFormat="1" applyFont="1" applyFill="1" applyBorder="1" applyAlignment="1">
      <alignment horizontal="center" vertical="center" wrapText="1"/>
    </xf>
    <xf numFmtId="49" fontId="32" fillId="43" borderId="437" xfId="53" applyNumberFormat="1" applyFont="1" applyFill="1" applyBorder="1" applyAlignment="1">
      <alignment horizontal="center" vertical="center" wrapText="1"/>
    </xf>
    <xf numFmtId="49" fontId="32" fillId="43" borderId="13" xfId="53" applyNumberFormat="1" applyFont="1" applyFill="1" applyBorder="1" applyAlignment="1">
      <alignment horizontal="center" vertical="center" wrapText="1"/>
    </xf>
    <xf numFmtId="1" fontId="15" fillId="26" borderId="445" xfId="0" applyNumberFormat="1" applyFont="1" applyFill="1" applyBorder="1" applyAlignment="1" applyProtection="1">
      <alignment horizontal="center"/>
    </xf>
    <xf numFmtId="1" fontId="17" fillId="26" borderId="69" xfId="0" applyNumberFormat="1" applyFont="1" applyFill="1" applyBorder="1" applyAlignment="1" applyProtection="1">
      <alignment horizontal="center"/>
    </xf>
    <xf numFmtId="1" fontId="26" fillId="26" borderId="198" xfId="0" applyNumberFormat="1" applyFont="1" applyFill="1" applyBorder="1" applyAlignment="1" applyProtection="1">
      <alignment horizontal="center"/>
    </xf>
    <xf numFmtId="1" fontId="15" fillId="26" borderId="445" xfId="0" applyNumberFormat="1" applyFont="1" applyFill="1" applyBorder="1" applyAlignment="1" applyProtection="1">
      <alignment horizontal="center" vertical="center"/>
    </xf>
    <xf numFmtId="1" fontId="17" fillId="26" borderId="69" xfId="0" applyNumberFormat="1" applyFont="1" applyFill="1" applyBorder="1" applyAlignment="1" applyProtection="1">
      <alignment horizontal="center" vertical="center"/>
    </xf>
    <xf numFmtId="1" fontId="26" fillId="26" borderId="198" xfId="0" applyNumberFormat="1" applyFont="1" applyFill="1" applyBorder="1" applyAlignment="1" applyProtection="1">
      <alignment horizontal="center" vertical="center"/>
    </xf>
    <xf numFmtId="1" fontId="26" fillId="26" borderId="72" xfId="0" applyNumberFormat="1" applyFont="1" applyFill="1" applyBorder="1" applyAlignment="1" applyProtection="1">
      <alignment horizontal="center" vertical="center" wrapText="1"/>
    </xf>
    <xf numFmtId="1" fontId="26" fillId="26" borderId="0" xfId="0" applyNumberFormat="1" applyFont="1" applyFill="1" applyBorder="1" applyAlignment="1" applyProtection="1">
      <alignment horizontal="center" vertical="center"/>
    </xf>
    <xf numFmtId="0" fontId="0" fillId="0" borderId="0" xfId="0" applyBorder="1"/>
    <xf numFmtId="1" fontId="26" fillId="26" borderId="72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0" fontId="32" fillId="60" borderId="13" xfId="48" applyNumberFormat="1" applyFont="1" applyFill="1" applyBorder="1" applyAlignment="1">
      <alignment horizontal="center" vertical="center" wrapText="1"/>
    </xf>
    <xf numFmtId="1" fontId="17" fillId="26" borderId="69" xfId="0" applyNumberFormat="1" applyFont="1" applyFill="1" applyBorder="1" applyAlignment="1" applyProtection="1">
      <alignment horizontal="center" vertical="center"/>
    </xf>
    <xf numFmtId="1" fontId="26" fillId="26" borderId="198" xfId="0" applyNumberFormat="1" applyFont="1" applyFill="1" applyBorder="1" applyAlignment="1" applyProtection="1">
      <alignment horizontal="center" vertical="center"/>
    </xf>
    <xf numFmtId="6" fontId="13" fillId="56" borderId="114" xfId="53" applyNumberFormat="1" applyFont="1" applyFill="1" applyBorder="1" applyAlignment="1" applyProtection="1">
      <alignment horizontal="right"/>
    </xf>
    <xf numFmtId="6" fontId="13" fillId="56" borderId="353" xfId="53" applyNumberFormat="1" applyFont="1" applyFill="1" applyBorder="1" applyAlignment="1" applyProtection="1">
      <alignment horizontal="right"/>
    </xf>
    <xf numFmtId="6" fontId="13" fillId="56" borderId="355" xfId="53" applyNumberFormat="1" applyFont="1" applyFill="1" applyBorder="1" applyAlignment="1" applyProtection="1">
      <alignment horizontal="right"/>
    </xf>
    <xf numFmtId="6" fontId="13" fillId="56" borderId="357" xfId="53" applyNumberFormat="1" applyFont="1" applyFill="1" applyBorder="1" applyAlignment="1" applyProtection="1">
      <alignment horizontal="right"/>
    </xf>
    <xf numFmtId="6" fontId="13" fillId="44" borderId="114" xfId="53" applyNumberFormat="1" applyFont="1" applyFill="1" applyBorder="1" applyAlignment="1" applyProtection="1">
      <alignment horizontal="right"/>
    </xf>
    <xf numFmtId="6" fontId="13" fillId="43" borderId="252" xfId="53" applyNumberFormat="1" applyFont="1" applyFill="1" applyBorder="1" applyAlignment="1" applyProtection="1">
      <alignment horizontal="right"/>
    </xf>
    <xf numFmtId="6" fontId="13" fillId="44" borderId="118" xfId="53" applyNumberFormat="1" applyFont="1" applyFill="1" applyBorder="1" applyAlignment="1" applyProtection="1">
      <alignment horizontal="right"/>
    </xf>
    <xf numFmtId="6" fontId="13" fillId="43" borderId="434" xfId="53" applyNumberFormat="1" applyFont="1" applyFill="1" applyBorder="1" applyAlignment="1" applyProtection="1">
      <alignment horizontal="right"/>
    </xf>
    <xf numFmtId="6" fontId="13" fillId="43" borderId="253" xfId="53" applyNumberFormat="1" applyFont="1" applyFill="1" applyBorder="1" applyAlignment="1" applyProtection="1">
      <alignment horizontal="right"/>
    </xf>
    <xf numFmtId="6" fontId="13" fillId="44" borderId="121" xfId="53" applyNumberFormat="1" applyFont="1" applyFill="1" applyBorder="1" applyAlignment="1" applyProtection="1">
      <alignment horizontal="right"/>
    </xf>
    <xf numFmtId="6" fontId="13" fillId="43" borderId="254" xfId="53" applyNumberFormat="1" applyFont="1" applyFill="1" applyBorder="1" applyAlignment="1" applyProtection="1">
      <alignment horizontal="right"/>
    </xf>
    <xf numFmtId="6" fontId="13" fillId="44" borderId="125" xfId="53" applyNumberFormat="1" applyFont="1" applyFill="1" applyBorder="1" applyAlignment="1" applyProtection="1">
      <alignment horizontal="right"/>
    </xf>
    <xf numFmtId="6" fontId="13" fillId="43" borderId="284" xfId="53" applyNumberFormat="1" applyFont="1" applyFill="1" applyBorder="1" applyAlignment="1" applyProtection="1">
      <alignment horizontal="right"/>
    </xf>
    <xf numFmtId="6" fontId="32" fillId="56" borderId="344" xfId="54" applyNumberFormat="1" applyFont="1" applyFill="1" applyBorder="1" applyAlignment="1" applyProtection="1">
      <alignment horizontal="right"/>
    </xf>
    <xf numFmtId="0" fontId="15" fillId="0" borderId="0" xfId="0" applyFont="1" applyAlignment="1">
      <alignment horizontal="center"/>
    </xf>
    <xf numFmtId="6" fontId="103" fillId="28" borderId="446" xfId="0" applyNumberFormat="1" applyFont="1" applyFill="1" applyBorder="1"/>
    <xf numFmtId="6" fontId="79" fillId="27" borderId="377" xfId="0" applyNumberFormat="1" applyFont="1" applyFill="1" applyBorder="1"/>
    <xf numFmtId="6" fontId="103" fillId="27" borderId="13" xfId="0" applyNumberFormat="1" applyFont="1" applyFill="1" applyBorder="1"/>
    <xf numFmtId="6" fontId="103" fillId="27" borderId="12" xfId="0" applyNumberFormat="1" applyFont="1" applyFill="1" applyBorder="1"/>
    <xf numFmtId="6" fontId="103" fillId="27" borderId="377" xfId="0" applyNumberFormat="1" applyFont="1" applyFill="1" applyBorder="1"/>
    <xf numFmtId="6" fontId="103" fillId="41" borderId="12" xfId="0" applyNumberFormat="1" applyFont="1" applyFill="1" applyBorder="1"/>
    <xf numFmtId="6" fontId="103" fillId="34" borderId="448" xfId="0" applyNumberFormat="1" applyFont="1" applyFill="1" applyBorder="1"/>
    <xf numFmtId="49" fontId="32" fillId="56" borderId="447" xfId="53" applyNumberFormat="1" applyFont="1" applyFill="1" applyBorder="1" applyAlignment="1">
      <alignment horizontal="center" vertical="center" wrapText="1"/>
    </xf>
    <xf numFmtId="49" fontId="32" fillId="56" borderId="13" xfId="53" applyNumberFormat="1" applyFont="1" applyFill="1" applyBorder="1" applyAlignment="1">
      <alignment horizontal="center" vertical="center" wrapText="1"/>
    </xf>
    <xf numFmtId="0" fontId="32" fillId="27" borderId="10" xfId="0" applyFont="1" applyFill="1" applyBorder="1" applyAlignment="1">
      <alignment horizontal="center" vertical="center" wrapText="1"/>
    </xf>
    <xf numFmtId="171" fontId="53" fillId="0" borderId="377" xfId="0" applyNumberFormat="1" applyFont="1" applyFill="1" applyBorder="1" applyAlignment="1">
      <alignment horizontal="right"/>
    </xf>
    <xf numFmtId="6" fontId="79" fillId="0" borderId="13" xfId="0" applyNumberFormat="1" applyFont="1" applyFill="1" applyBorder="1"/>
    <xf numFmtId="6" fontId="79" fillId="0" borderId="211" xfId="0" applyNumberFormat="1" applyFont="1" applyFill="1" applyBorder="1"/>
    <xf numFmtId="6" fontId="79" fillId="0" borderId="212" xfId="0" applyNumberFormat="1" applyFont="1" applyFill="1" applyBorder="1"/>
    <xf numFmtId="6" fontId="79" fillId="0" borderId="213" xfId="0" applyNumberFormat="1" applyFont="1" applyFill="1" applyBorder="1"/>
    <xf numFmtId="6" fontId="103" fillId="0" borderId="12" xfId="0" applyNumberFormat="1" applyFont="1" applyFill="1" applyBorder="1"/>
    <xf numFmtId="6" fontId="15" fillId="73" borderId="11" xfId="0" applyNumberFormat="1" applyFont="1" applyFill="1" applyBorder="1" applyProtection="1"/>
    <xf numFmtId="6" fontId="13" fillId="43" borderId="321" xfId="54" applyNumberFormat="1" applyFont="1" applyFill="1" applyBorder="1" applyAlignment="1" applyProtection="1">
      <alignment horizontal="right"/>
    </xf>
    <xf numFmtId="6" fontId="13" fillId="43" borderId="322" xfId="54" applyNumberFormat="1" applyFont="1" applyFill="1" applyBorder="1" applyAlignment="1" applyProtection="1">
      <alignment horizontal="right"/>
    </xf>
    <xf numFmtId="6" fontId="13" fillId="43" borderId="321" xfId="53" applyNumberFormat="1" applyFont="1" applyFill="1" applyBorder="1" applyAlignment="1" applyProtection="1">
      <alignment horizontal="right"/>
    </xf>
    <xf numFmtId="6" fontId="13" fillId="43" borderId="322" xfId="53" applyNumberFormat="1" applyFont="1" applyFill="1" applyBorder="1" applyAlignment="1" applyProtection="1">
      <alignment horizontal="right"/>
    </xf>
    <xf numFmtId="6" fontId="13" fillId="43" borderId="300" xfId="53" applyNumberFormat="1" applyFont="1" applyFill="1" applyBorder="1" applyAlignment="1" applyProtection="1">
      <alignment horizontal="right"/>
    </xf>
    <xf numFmtId="6" fontId="32" fillId="43" borderId="324" xfId="54" applyNumberFormat="1" applyFont="1" applyFill="1" applyBorder="1" applyAlignment="1" applyProtection="1">
      <alignment horizontal="right"/>
    </xf>
    <xf numFmtId="6" fontId="13" fillId="43" borderId="296" xfId="54" applyNumberFormat="1" applyFont="1" applyFill="1" applyBorder="1" applyAlignment="1" applyProtection="1">
      <alignment horizontal="right"/>
    </xf>
    <xf numFmtId="6" fontId="13" fillId="43" borderId="298" xfId="54" applyNumberFormat="1" applyFont="1" applyFill="1" applyBorder="1" applyAlignment="1" applyProtection="1">
      <alignment horizontal="right"/>
    </xf>
    <xf numFmtId="6" fontId="13" fillId="43" borderId="296" xfId="53" applyNumberFormat="1" applyFont="1" applyFill="1" applyBorder="1" applyAlignment="1" applyProtection="1">
      <alignment horizontal="right"/>
    </xf>
    <xf numFmtId="6" fontId="13" fillId="43" borderId="298" xfId="53" applyNumberFormat="1" applyFont="1" applyFill="1" applyBorder="1" applyAlignment="1" applyProtection="1">
      <alignment horizontal="right"/>
    </xf>
    <xf numFmtId="6" fontId="32" fillId="43" borderId="294" xfId="54" applyNumberFormat="1" applyFont="1" applyFill="1" applyBorder="1" applyAlignment="1" applyProtection="1">
      <alignment horizontal="right"/>
    </xf>
    <xf numFmtId="6" fontId="13" fillId="43" borderId="260" xfId="54" applyNumberFormat="1" applyFont="1" applyFill="1" applyBorder="1" applyAlignment="1" applyProtection="1">
      <alignment horizontal="right"/>
    </xf>
    <xf numFmtId="6" fontId="13" fillId="43" borderId="261" xfId="54" applyNumberFormat="1" applyFont="1" applyFill="1" applyBorder="1" applyAlignment="1" applyProtection="1">
      <alignment horizontal="right"/>
    </xf>
    <xf numFmtId="6" fontId="13" fillId="43" borderId="260" xfId="53" applyNumberFormat="1" applyFont="1" applyFill="1" applyBorder="1" applyAlignment="1" applyProtection="1">
      <alignment horizontal="right"/>
    </xf>
    <xf numFmtId="6" fontId="13" fillId="43" borderId="261" xfId="53" applyNumberFormat="1" applyFont="1" applyFill="1" applyBorder="1" applyAlignment="1" applyProtection="1">
      <alignment horizontal="right"/>
    </xf>
    <xf numFmtId="6" fontId="13" fillId="43" borderId="262" xfId="53" applyNumberFormat="1" applyFont="1" applyFill="1" applyBorder="1" applyAlignment="1" applyProtection="1">
      <alignment horizontal="right"/>
    </xf>
    <xf numFmtId="6" fontId="13" fillId="43" borderId="225" xfId="54" applyNumberFormat="1" applyFont="1" applyFill="1" applyBorder="1" applyAlignment="1" applyProtection="1">
      <alignment horizontal="right"/>
    </xf>
    <xf numFmtId="6" fontId="13" fillId="43" borderId="226" xfId="54" applyNumberFormat="1" applyFont="1" applyFill="1" applyBorder="1" applyAlignment="1" applyProtection="1">
      <alignment horizontal="right"/>
    </xf>
    <xf numFmtId="6" fontId="13" fillId="43" borderId="225" xfId="53" applyNumberFormat="1" applyFont="1" applyFill="1" applyBorder="1" applyAlignment="1" applyProtection="1">
      <alignment horizontal="right"/>
    </xf>
    <xf numFmtId="6" fontId="13" fillId="43" borderId="226" xfId="53" applyNumberFormat="1" applyFont="1" applyFill="1" applyBorder="1" applyAlignment="1" applyProtection="1">
      <alignment horizontal="right"/>
    </xf>
    <xf numFmtId="6" fontId="13" fillId="43" borderId="227" xfId="53" applyNumberFormat="1" applyFont="1" applyFill="1" applyBorder="1" applyAlignment="1" applyProtection="1">
      <alignment horizontal="right"/>
    </xf>
    <xf numFmtId="6" fontId="32" fillId="43" borderId="228" xfId="54" applyNumberFormat="1" applyFont="1" applyFill="1" applyBorder="1" applyAlignment="1" applyProtection="1">
      <alignment horizontal="right"/>
    </xf>
    <xf numFmtId="6" fontId="79" fillId="74" borderId="13" xfId="0" applyNumberFormat="1" applyFont="1" applyFill="1" applyBorder="1"/>
    <xf numFmtId="6" fontId="79" fillId="74" borderId="13" xfId="0" applyNumberFormat="1" applyFont="1" applyFill="1" applyBorder="1" applyAlignment="1">
      <alignment horizontal="center" wrapText="1"/>
    </xf>
    <xf numFmtId="6" fontId="79" fillId="74" borderId="13" xfId="0" applyNumberFormat="1" applyFont="1" applyFill="1" applyBorder="1" applyAlignment="1">
      <alignment horizontal="center"/>
    </xf>
    <xf numFmtId="6" fontId="79" fillId="74" borderId="198" xfId="0" applyNumberFormat="1" applyFont="1" applyFill="1" applyBorder="1" applyAlignment="1">
      <alignment horizontal="center"/>
    </xf>
    <xf numFmtId="6" fontId="77" fillId="74" borderId="13" xfId="0" applyNumberFormat="1" applyFont="1" applyFill="1" applyBorder="1" applyAlignment="1">
      <alignment horizontal="right"/>
    </xf>
    <xf numFmtId="0" fontId="77" fillId="74" borderId="13" xfId="0" applyFont="1" applyFill="1" applyBorder="1" applyAlignment="1">
      <alignment horizontal="center" wrapText="1"/>
    </xf>
    <xf numFmtId="6" fontId="65" fillId="74" borderId="13" xfId="0" applyNumberFormat="1" applyFont="1" applyFill="1" applyBorder="1" applyAlignment="1">
      <alignment horizontal="center" wrapText="1"/>
    </xf>
    <xf numFmtId="0" fontId="65" fillId="74" borderId="13" xfId="0" applyFont="1" applyFill="1" applyBorder="1" applyAlignment="1">
      <alignment horizontal="center" wrapText="1"/>
    </xf>
    <xf numFmtId="6" fontId="32" fillId="56" borderId="276" xfId="54" applyNumberFormat="1" applyFont="1" applyFill="1" applyBorder="1" applyAlignment="1" applyProtection="1">
      <alignment horizontal="right"/>
    </xf>
    <xf numFmtId="171" fontId="32" fillId="56" borderId="344" xfId="54" applyNumberFormat="1" applyFont="1" applyFill="1" applyBorder="1" applyAlignment="1" applyProtection="1">
      <alignment horizontal="right"/>
    </xf>
    <xf numFmtId="171" fontId="32" fillId="56" borderId="276" xfId="54" applyNumberFormat="1" applyFont="1" applyFill="1" applyBorder="1" applyAlignment="1" applyProtection="1">
      <alignment horizontal="right"/>
    </xf>
    <xf numFmtId="6" fontId="32" fillId="43" borderId="344" xfId="54" applyNumberFormat="1" applyFont="1" applyFill="1" applyBorder="1" applyAlignment="1" applyProtection="1">
      <alignment horizontal="right"/>
    </xf>
    <xf numFmtId="6" fontId="13" fillId="0" borderId="115" xfId="54" applyNumberFormat="1" applyFont="1" applyFill="1" applyBorder="1" applyAlignment="1" applyProtection="1">
      <alignment horizontal="right"/>
    </xf>
    <xf numFmtId="6" fontId="13" fillId="0" borderId="119" xfId="54" applyNumberFormat="1" applyFont="1" applyFill="1" applyBorder="1" applyAlignment="1" applyProtection="1">
      <alignment horizontal="right"/>
    </xf>
    <xf numFmtId="6" fontId="13" fillId="0" borderId="122" xfId="54" applyNumberFormat="1" applyFont="1" applyFill="1" applyBorder="1" applyAlignment="1" applyProtection="1">
      <alignment horizontal="right"/>
    </xf>
    <xf numFmtId="6" fontId="13" fillId="0" borderId="119" xfId="53" applyNumberFormat="1" applyFont="1" applyFill="1" applyBorder="1" applyAlignment="1" applyProtection="1">
      <alignment horizontal="right"/>
    </xf>
    <xf numFmtId="6" fontId="13" fillId="0" borderId="122" xfId="53" applyNumberFormat="1" applyFont="1" applyFill="1" applyBorder="1" applyAlignment="1" applyProtection="1">
      <alignment horizontal="right"/>
    </xf>
    <xf numFmtId="6" fontId="13" fillId="0" borderId="115" xfId="53" applyNumberFormat="1" applyFont="1" applyFill="1" applyBorder="1" applyAlignment="1" applyProtection="1">
      <alignment horizontal="right"/>
    </xf>
    <xf numFmtId="6" fontId="13" fillId="0" borderId="126" xfId="53" applyNumberFormat="1" applyFont="1" applyFill="1" applyBorder="1" applyAlignment="1" applyProtection="1">
      <alignment horizontal="right"/>
    </xf>
    <xf numFmtId="6" fontId="32" fillId="0" borderId="82" xfId="54" applyNumberFormat="1" applyFont="1" applyFill="1" applyBorder="1" applyAlignment="1" applyProtection="1">
      <alignment horizontal="right"/>
    </xf>
    <xf numFmtId="6" fontId="13" fillId="0" borderId="225" xfId="54" applyNumberFormat="1" applyFont="1" applyFill="1" applyBorder="1" applyAlignment="1" applyProtection="1">
      <alignment horizontal="right"/>
    </xf>
    <xf numFmtId="6" fontId="13" fillId="0" borderId="226" xfId="54" applyNumberFormat="1" applyFont="1" applyFill="1" applyBorder="1" applyAlignment="1" applyProtection="1">
      <alignment horizontal="right"/>
    </xf>
    <xf numFmtId="6" fontId="13" fillId="0" borderId="225" xfId="53" applyNumberFormat="1" applyFont="1" applyFill="1" applyBorder="1" applyAlignment="1" applyProtection="1">
      <alignment horizontal="right"/>
    </xf>
    <xf numFmtId="6" fontId="13" fillId="0" borderId="226" xfId="53" applyNumberFormat="1" applyFont="1" applyFill="1" applyBorder="1" applyAlignment="1" applyProtection="1">
      <alignment horizontal="right"/>
    </xf>
    <xf numFmtId="6" fontId="13" fillId="0" borderId="227" xfId="53" applyNumberFormat="1" applyFont="1" applyFill="1" applyBorder="1" applyAlignment="1" applyProtection="1">
      <alignment horizontal="right"/>
    </xf>
    <xf numFmtId="6" fontId="32" fillId="0" borderId="228" xfId="54" applyNumberFormat="1" applyFont="1" applyFill="1" applyBorder="1" applyAlignment="1" applyProtection="1">
      <alignment horizontal="right"/>
    </xf>
    <xf numFmtId="6" fontId="13" fillId="0" borderId="354" xfId="54" applyNumberFormat="1" applyFont="1" applyFill="1" applyBorder="1" applyAlignment="1" applyProtection="1">
      <alignment horizontal="right"/>
    </xf>
    <xf numFmtId="6" fontId="13" fillId="0" borderId="356" xfId="54" applyNumberFormat="1" applyFont="1" applyFill="1" applyBorder="1" applyAlignment="1" applyProtection="1">
      <alignment horizontal="right"/>
    </xf>
    <xf numFmtId="6" fontId="13" fillId="0" borderId="354" xfId="53" applyNumberFormat="1" applyFont="1" applyFill="1" applyBorder="1" applyAlignment="1" applyProtection="1">
      <alignment horizontal="right"/>
    </xf>
    <xf numFmtId="6" fontId="13" fillId="0" borderId="356" xfId="53" applyNumberFormat="1" applyFont="1" applyFill="1" applyBorder="1" applyAlignment="1" applyProtection="1">
      <alignment horizontal="right"/>
    </xf>
    <xf numFmtId="6" fontId="13" fillId="0" borderId="358" xfId="53" applyNumberFormat="1" applyFont="1" applyFill="1" applyBorder="1" applyAlignment="1" applyProtection="1">
      <alignment horizontal="right"/>
    </xf>
    <xf numFmtId="6" fontId="32" fillId="0" borderId="352" xfId="54" applyNumberFormat="1" applyFont="1" applyFill="1" applyBorder="1" applyAlignment="1" applyProtection="1">
      <alignment horizontal="right"/>
    </xf>
    <xf numFmtId="6" fontId="13" fillId="0" borderId="321" xfId="54" applyNumberFormat="1" applyFont="1" applyFill="1" applyBorder="1" applyAlignment="1" applyProtection="1">
      <alignment horizontal="right"/>
    </xf>
    <xf numFmtId="6" fontId="13" fillId="0" borderId="322" xfId="54" applyNumberFormat="1" applyFont="1" applyFill="1" applyBorder="1" applyAlignment="1" applyProtection="1">
      <alignment horizontal="right"/>
    </xf>
    <xf numFmtId="6" fontId="13" fillId="0" borderId="321" xfId="53" applyNumberFormat="1" applyFont="1" applyFill="1" applyBorder="1" applyAlignment="1" applyProtection="1">
      <alignment horizontal="right"/>
    </xf>
    <xf numFmtId="6" fontId="13" fillId="0" borderId="322" xfId="53" applyNumberFormat="1" applyFont="1" applyFill="1" applyBorder="1" applyAlignment="1" applyProtection="1">
      <alignment horizontal="right"/>
    </xf>
    <xf numFmtId="6" fontId="13" fillId="0" borderId="300" xfId="53" applyNumberFormat="1" applyFont="1" applyFill="1" applyBorder="1" applyAlignment="1" applyProtection="1">
      <alignment horizontal="right"/>
    </xf>
    <xf numFmtId="6" fontId="32" fillId="0" borderId="324" xfId="54" applyNumberFormat="1" applyFont="1" applyFill="1" applyBorder="1" applyAlignment="1" applyProtection="1">
      <alignment horizontal="right"/>
    </xf>
    <xf numFmtId="6" fontId="13" fillId="0" borderId="296" xfId="54" applyNumberFormat="1" applyFont="1" applyFill="1" applyBorder="1" applyAlignment="1" applyProtection="1">
      <alignment horizontal="right"/>
    </xf>
    <xf numFmtId="6" fontId="13" fillId="0" borderId="298" xfId="54" applyNumberFormat="1" applyFont="1" applyFill="1" applyBorder="1" applyAlignment="1" applyProtection="1">
      <alignment horizontal="right"/>
    </xf>
    <xf numFmtId="6" fontId="13" fillId="0" borderId="296" xfId="53" applyNumberFormat="1" applyFont="1" applyFill="1" applyBorder="1" applyAlignment="1" applyProtection="1">
      <alignment horizontal="right"/>
    </xf>
    <xf numFmtId="6" fontId="13" fillId="0" borderId="298" xfId="53" applyNumberFormat="1" applyFont="1" applyFill="1" applyBorder="1" applyAlignment="1" applyProtection="1">
      <alignment horizontal="right"/>
    </xf>
    <xf numFmtId="6" fontId="32" fillId="0" borderId="294" xfId="54" applyNumberFormat="1" applyFont="1" applyFill="1" applyBorder="1" applyAlignment="1" applyProtection="1">
      <alignment horizontal="right"/>
    </xf>
    <xf numFmtId="6" fontId="13" fillId="0" borderId="260" xfId="54" applyNumberFormat="1" applyFont="1" applyFill="1" applyBorder="1" applyAlignment="1" applyProtection="1">
      <alignment horizontal="right"/>
    </xf>
    <xf numFmtId="6" fontId="13" fillId="0" borderId="261" xfId="54" applyNumberFormat="1" applyFont="1" applyFill="1" applyBorder="1" applyAlignment="1" applyProtection="1">
      <alignment horizontal="right"/>
    </xf>
    <xf numFmtId="6" fontId="13" fillId="0" borderId="260" xfId="53" applyNumberFormat="1" applyFont="1" applyFill="1" applyBorder="1" applyAlignment="1" applyProtection="1">
      <alignment horizontal="right"/>
    </xf>
    <xf numFmtId="6" fontId="13" fillId="0" borderId="261" xfId="53" applyNumberFormat="1" applyFont="1" applyFill="1" applyBorder="1" applyAlignment="1" applyProtection="1">
      <alignment horizontal="right"/>
    </xf>
    <xf numFmtId="6" fontId="13" fillId="0" borderId="262" xfId="53" applyNumberFormat="1" applyFont="1" applyFill="1" applyBorder="1" applyAlignment="1" applyProtection="1">
      <alignment horizontal="right"/>
    </xf>
    <xf numFmtId="38" fontId="13" fillId="0" borderId="114" xfId="53" applyNumberFormat="1" applyFont="1" applyFill="1" applyBorder="1" applyAlignment="1" applyProtection="1">
      <alignment horizontal="right"/>
    </xf>
    <xf numFmtId="6" fontId="13" fillId="0" borderId="114" xfId="53" applyNumberFormat="1" applyFont="1" applyFill="1" applyBorder="1" applyAlignment="1" applyProtection="1">
      <alignment horizontal="right"/>
    </xf>
    <xf numFmtId="38" fontId="13" fillId="0" borderId="252" xfId="53" applyNumberFormat="1" applyFont="1" applyFill="1" applyBorder="1" applyAlignment="1" applyProtection="1">
      <alignment horizontal="right"/>
    </xf>
    <xf numFmtId="6" fontId="13" fillId="0" borderId="252" xfId="53" applyNumberFormat="1" applyFont="1" applyFill="1" applyBorder="1" applyAlignment="1" applyProtection="1">
      <alignment horizontal="right"/>
    </xf>
    <xf numFmtId="38" fontId="13" fillId="0" borderId="353" xfId="53" applyNumberFormat="1" applyFont="1" applyFill="1" applyBorder="1" applyAlignment="1" applyProtection="1">
      <alignment horizontal="right"/>
    </xf>
    <xf numFmtId="6" fontId="13" fillId="0" borderId="353" xfId="53" applyNumberFormat="1" applyFont="1" applyFill="1" applyBorder="1" applyAlignment="1" applyProtection="1">
      <alignment horizontal="right"/>
    </xf>
    <xf numFmtId="38" fontId="13" fillId="0" borderId="253" xfId="53" applyNumberFormat="1" applyFont="1" applyFill="1" applyBorder="1" applyAlignment="1" applyProtection="1">
      <alignment horizontal="right"/>
    </xf>
    <xf numFmtId="6" fontId="13" fillId="0" borderId="253" xfId="53" applyNumberFormat="1" applyFont="1" applyFill="1" applyBorder="1" applyAlignment="1" applyProtection="1">
      <alignment horizontal="right"/>
    </xf>
    <xf numFmtId="38" fontId="13" fillId="0" borderId="355" xfId="53" applyNumberFormat="1" applyFont="1" applyFill="1" applyBorder="1" applyAlignment="1" applyProtection="1">
      <alignment horizontal="right"/>
    </xf>
    <xf numFmtId="6" fontId="13" fillId="0" borderId="355" xfId="53" applyNumberFormat="1" applyFont="1" applyFill="1" applyBorder="1" applyAlignment="1" applyProtection="1">
      <alignment horizontal="right"/>
    </xf>
    <xf numFmtId="38" fontId="13" fillId="0" borderId="254" xfId="53" applyNumberFormat="1" applyFont="1" applyFill="1" applyBorder="1" applyAlignment="1" applyProtection="1">
      <alignment horizontal="right"/>
    </xf>
    <xf numFmtId="6" fontId="13" fillId="0" borderId="254" xfId="53" applyNumberFormat="1" applyFont="1" applyFill="1" applyBorder="1" applyAlignment="1" applyProtection="1">
      <alignment horizontal="right"/>
    </xf>
    <xf numFmtId="38" fontId="13" fillId="0" borderId="357" xfId="53" applyNumberFormat="1" applyFont="1" applyFill="1" applyBorder="1" applyAlignment="1" applyProtection="1">
      <alignment horizontal="right"/>
    </xf>
    <xf numFmtId="6" fontId="13" fillId="0" borderId="357" xfId="53" applyNumberFormat="1" applyFont="1" applyFill="1" applyBorder="1" applyAlignment="1" applyProtection="1">
      <alignment horizontal="right"/>
    </xf>
    <xf numFmtId="38" fontId="32" fillId="0" borderId="248" xfId="54" applyNumberFormat="1" applyFont="1" applyFill="1" applyBorder="1" applyAlignment="1" applyProtection="1">
      <alignment horizontal="right"/>
    </xf>
    <xf numFmtId="6" fontId="32" fillId="0" borderId="248" xfId="54" applyNumberFormat="1" applyFont="1" applyFill="1" applyBorder="1" applyAlignment="1" applyProtection="1">
      <alignment horizontal="right"/>
    </xf>
    <xf numFmtId="38" fontId="32" fillId="0" borderId="344" xfId="54" applyNumberFormat="1" applyFont="1" applyFill="1" applyBorder="1" applyAlignment="1" applyProtection="1">
      <alignment horizontal="right"/>
    </xf>
    <xf numFmtId="6" fontId="32" fillId="0" borderId="344" xfId="54" applyNumberFormat="1" applyFont="1" applyFill="1" applyBorder="1" applyAlignment="1" applyProtection="1">
      <alignment horizontal="right"/>
    </xf>
    <xf numFmtId="38" fontId="13" fillId="0" borderId="114" xfId="28" applyNumberFormat="1" applyFont="1" applyFill="1" applyBorder="1" applyAlignment="1" applyProtection="1">
      <alignment horizontal="right"/>
    </xf>
    <xf numFmtId="38" fontId="13" fillId="0" borderId="353" xfId="28" applyNumberFormat="1" applyFont="1" applyFill="1" applyBorder="1" applyAlignment="1" applyProtection="1">
      <alignment horizontal="right"/>
    </xf>
    <xf numFmtId="38" fontId="13" fillId="0" borderId="355" xfId="28" applyNumberFormat="1" applyFont="1" applyFill="1" applyBorder="1" applyAlignment="1" applyProtection="1">
      <alignment horizontal="right"/>
    </xf>
    <xf numFmtId="38" fontId="13" fillId="0" borderId="357" xfId="28" applyNumberFormat="1" applyFont="1" applyFill="1" applyBorder="1" applyAlignment="1" applyProtection="1">
      <alignment horizontal="right"/>
    </xf>
    <xf numFmtId="38" fontId="32" fillId="0" borderId="344" xfId="28" applyNumberFormat="1" applyFont="1" applyFill="1" applyBorder="1" applyAlignment="1" applyProtection="1">
      <alignment horizontal="right"/>
    </xf>
    <xf numFmtId="38" fontId="13" fillId="0" borderId="325" xfId="53" applyNumberFormat="1" applyFont="1" applyFill="1" applyBorder="1" applyAlignment="1" applyProtection="1">
      <alignment horizontal="right"/>
    </xf>
    <xf numFmtId="6" fontId="13" fillId="0" borderId="325" xfId="53" applyNumberFormat="1" applyFont="1" applyFill="1" applyBorder="1" applyAlignment="1" applyProtection="1">
      <alignment horizontal="right"/>
    </xf>
    <xf numFmtId="38" fontId="13" fillId="0" borderId="326" xfId="53" applyNumberFormat="1" applyFont="1" applyFill="1" applyBorder="1" applyAlignment="1" applyProtection="1">
      <alignment horizontal="right"/>
    </xf>
    <xf numFmtId="6" fontId="13" fillId="0" borderId="326" xfId="53" applyNumberFormat="1" applyFont="1" applyFill="1" applyBorder="1" applyAlignment="1" applyProtection="1">
      <alignment horizontal="right"/>
    </xf>
    <xf numFmtId="38" fontId="13" fillId="0" borderId="299" xfId="53" applyNumberFormat="1" applyFont="1" applyFill="1" applyBorder="1" applyAlignment="1" applyProtection="1">
      <alignment horizontal="right"/>
    </xf>
    <xf numFmtId="6" fontId="13" fillId="0" borderId="299" xfId="53" applyNumberFormat="1" applyFont="1" applyFill="1" applyBorder="1" applyAlignment="1" applyProtection="1">
      <alignment horizontal="right"/>
    </xf>
    <xf numFmtId="38" fontId="32" fillId="0" borderId="317" xfId="54" applyNumberFormat="1" applyFont="1" applyFill="1" applyBorder="1" applyAlignment="1" applyProtection="1">
      <alignment horizontal="right"/>
    </xf>
    <xf numFmtId="6" fontId="32" fillId="0" borderId="317" xfId="54" applyNumberFormat="1" applyFont="1" applyFill="1" applyBorder="1" applyAlignment="1" applyProtection="1">
      <alignment horizontal="right"/>
    </xf>
    <xf numFmtId="38" fontId="13" fillId="0" borderId="310" xfId="53" applyNumberFormat="1" applyFont="1" applyFill="1" applyBorder="1" applyAlignment="1" applyProtection="1">
      <alignment horizontal="right"/>
    </xf>
    <xf numFmtId="6" fontId="13" fillId="0" borderId="310" xfId="53" applyNumberFormat="1" applyFont="1" applyFill="1" applyBorder="1" applyAlignment="1" applyProtection="1">
      <alignment horizontal="right"/>
    </xf>
    <xf numFmtId="38" fontId="13" fillId="0" borderId="311" xfId="53" applyNumberFormat="1" applyFont="1" applyFill="1" applyBorder="1" applyAlignment="1" applyProtection="1">
      <alignment horizontal="right"/>
    </xf>
    <xf numFmtId="6" fontId="13" fillId="0" borderId="311" xfId="53" applyNumberFormat="1" applyFont="1" applyFill="1" applyBorder="1" applyAlignment="1" applyProtection="1">
      <alignment horizontal="right"/>
    </xf>
    <xf numFmtId="38" fontId="13" fillId="0" borderId="312" xfId="53" applyNumberFormat="1" applyFont="1" applyFill="1" applyBorder="1" applyAlignment="1" applyProtection="1">
      <alignment horizontal="right"/>
    </xf>
    <xf numFmtId="6" fontId="13" fillId="0" borderId="312" xfId="53" applyNumberFormat="1" applyFont="1" applyFill="1" applyBorder="1" applyAlignment="1" applyProtection="1">
      <alignment horizontal="right"/>
    </xf>
    <xf numFmtId="38" fontId="32" fillId="0" borderId="303" xfId="54" applyNumberFormat="1" applyFont="1" applyFill="1" applyBorder="1" applyAlignment="1" applyProtection="1">
      <alignment horizontal="right"/>
    </xf>
    <xf numFmtId="6" fontId="32" fillId="0" borderId="303" xfId="54" applyNumberFormat="1" applyFont="1" applyFill="1" applyBorder="1" applyAlignment="1" applyProtection="1">
      <alignment horizontal="right"/>
    </xf>
    <xf numFmtId="38" fontId="13" fillId="0" borderId="282" xfId="53" applyNumberFormat="1" applyFont="1" applyFill="1" applyBorder="1" applyAlignment="1" applyProtection="1">
      <alignment horizontal="right"/>
    </xf>
    <xf numFmtId="6" fontId="13" fillId="0" borderId="282" xfId="53" applyNumberFormat="1" applyFont="1" applyFill="1" applyBorder="1" applyAlignment="1" applyProtection="1">
      <alignment horizontal="right"/>
    </xf>
    <xf numFmtId="38" fontId="13" fillId="0" borderId="283" xfId="53" applyNumberFormat="1" applyFont="1" applyFill="1" applyBorder="1" applyAlignment="1" applyProtection="1">
      <alignment horizontal="right"/>
    </xf>
    <xf numFmtId="6" fontId="13" fillId="0" borderId="283" xfId="53" applyNumberFormat="1" applyFont="1" applyFill="1" applyBorder="1" applyAlignment="1" applyProtection="1">
      <alignment horizontal="right"/>
    </xf>
    <xf numFmtId="38" fontId="13" fillId="0" borderId="284" xfId="53" applyNumberFormat="1" applyFont="1" applyFill="1" applyBorder="1" applyAlignment="1" applyProtection="1">
      <alignment horizontal="right"/>
    </xf>
    <xf numFmtId="6" fontId="13" fillId="0" borderId="284" xfId="53" applyNumberFormat="1" applyFont="1" applyFill="1" applyBorder="1" applyAlignment="1" applyProtection="1">
      <alignment horizontal="right"/>
    </xf>
    <xf numFmtId="6" fontId="32" fillId="43" borderId="248" xfId="54" applyNumberFormat="1" applyFont="1" applyFill="1" applyBorder="1" applyAlignment="1" applyProtection="1">
      <alignment horizontal="right"/>
    </xf>
    <xf numFmtId="6" fontId="32" fillId="43" borderId="317" xfId="54" applyNumberFormat="1" applyFont="1" applyFill="1" applyBorder="1" applyAlignment="1" applyProtection="1">
      <alignment horizontal="right"/>
    </xf>
    <xf numFmtId="6" fontId="32" fillId="43" borderId="303" xfId="54" applyNumberFormat="1" applyFont="1" applyFill="1" applyBorder="1" applyAlignment="1" applyProtection="1">
      <alignment horizontal="right"/>
    </xf>
    <xf numFmtId="6" fontId="13" fillId="0" borderId="116" xfId="53" applyNumberFormat="1" applyFont="1" applyFill="1" applyBorder="1" applyAlignment="1" applyProtection="1">
      <alignment horizontal="right"/>
    </xf>
    <xf numFmtId="6" fontId="13" fillId="0" borderId="245" xfId="54" applyNumberFormat="1" applyFont="1" applyFill="1" applyBorder="1" applyAlignment="1" applyProtection="1">
      <alignment horizontal="right"/>
    </xf>
    <xf numFmtId="6" fontId="13" fillId="0" borderId="433" xfId="54" applyNumberFormat="1" applyFont="1" applyFill="1" applyBorder="1" applyAlignment="1" applyProtection="1">
      <alignment horizontal="right"/>
    </xf>
    <xf numFmtId="6" fontId="13" fillId="0" borderId="246" xfId="54" applyNumberFormat="1" applyFont="1" applyFill="1" applyBorder="1" applyAlignment="1" applyProtection="1">
      <alignment horizontal="right"/>
    </xf>
    <xf numFmtId="6" fontId="13" fillId="42" borderId="433" xfId="54" applyNumberFormat="1" applyFont="1" applyFill="1" applyBorder="1" applyAlignment="1" applyProtection="1">
      <alignment horizontal="right"/>
    </xf>
    <xf numFmtId="6" fontId="13" fillId="0" borderId="123" xfId="53" applyNumberFormat="1" applyFont="1" applyFill="1" applyBorder="1" applyAlignment="1" applyProtection="1">
      <alignment horizontal="right"/>
    </xf>
    <xf numFmtId="6" fontId="13" fillId="0" borderId="245" xfId="53" applyNumberFormat="1" applyFont="1" applyFill="1" applyBorder="1" applyAlignment="1" applyProtection="1">
      <alignment horizontal="right"/>
    </xf>
    <xf numFmtId="6" fontId="13" fillId="0" borderId="246" xfId="53" applyNumberFormat="1" applyFont="1" applyFill="1" applyBorder="1" applyAlignment="1" applyProtection="1">
      <alignment horizontal="right"/>
    </xf>
    <xf numFmtId="6" fontId="13" fillId="0" borderId="247" xfId="53" applyNumberFormat="1" applyFont="1" applyFill="1" applyBorder="1" applyAlignment="1" applyProtection="1">
      <alignment horizontal="right"/>
    </xf>
    <xf numFmtId="6" fontId="32" fillId="0" borderId="244" xfId="54" applyNumberFormat="1" applyFont="1" applyFill="1" applyBorder="1" applyAlignment="1" applyProtection="1">
      <alignment horizontal="right"/>
    </xf>
    <xf numFmtId="6" fontId="17" fillId="0" borderId="128" xfId="53" applyNumberFormat="1" applyFont="1" applyFill="1" applyBorder="1" applyAlignment="1" applyProtection="1">
      <alignment horizontal="right"/>
    </xf>
    <xf numFmtId="6" fontId="13" fillId="0" borderId="306" xfId="54" applyNumberFormat="1" applyFont="1" applyFill="1" applyBorder="1" applyAlignment="1" applyProtection="1">
      <alignment horizontal="right"/>
    </xf>
    <xf numFmtId="6" fontId="13" fillId="0" borderId="307" xfId="54" applyNumberFormat="1" applyFont="1" applyFill="1" applyBorder="1" applyAlignment="1" applyProtection="1">
      <alignment horizontal="right"/>
    </xf>
    <xf numFmtId="6" fontId="13" fillId="0" borderId="306" xfId="53" applyNumberFormat="1" applyFont="1" applyFill="1" applyBorder="1" applyAlignment="1" applyProtection="1">
      <alignment horizontal="right"/>
    </xf>
    <xf numFmtId="6" fontId="13" fillId="0" borderId="307" xfId="53" applyNumberFormat="1" applyFont="1" applyFill="1" applyBorder="1" applyAlignment="1" applyProtection="1">
      <alignment horizontal="right"/>
    </xf>
    <xf numFmtId="6" fontId="13" fillId="0" borderId="308" xfId="53" applyNumberFormat="1" applyFont="1" applyFill="1" applyBorder="1" applyAlignment="1" applyProtection="1">
      <alignment horizontal="right"/>
    </xf>
    <xf numFmtId="6" fontId="32" fillId="0" borderId="309" xfId="54" applyNumberFormat="1" applyFont="1" applyFill="1" applyBorder="1" applyAlignment="1" applyProtection="1">
      <alignment horizontal="right"/>
    </xf>
    <xf numFmtId="6" fontId="13" fillId="0" borderId="279" xfId="54" applyNumberFormat="1" applyFont="1" applyFill="1" applyBorder="1" applyAlignment="1" applyProtection="1">
      <alignment horizontal="right"/>
    </xf>
    <xf numFmtId="6" fontId="13" fillId="0" borderId="280" xfId="54" applyNumberFormat="1" applyFont="1" applyFill="1" applyBorder="1" applyAlignment="1" applyProtection="1">
      <alignment horizontal="right"/>
    </xf>
    <xf numFmtId="6" fontId="13" fillId="0" borderId="279" xfId="53" applyNumberFormat="1" applyFont="1" applyFill="1" applyBorder="1" applyAlignment="1" applyProtection="1">
      <alignment horizontal="right"/>
    </xf>
    <xf numFmtId="6" fontId="13" fillId="0" borderId="280" xfId="53" applyNumberFormat="1" applyFont="1" applyFill="1" applyBorder="1" applyAlignment="1" applyProtection="1">
      <alignment horizontal="right"/>
    </xf>
    <xf numFmtId="6" fontId="13" fillId="42" borderId="191" xfId="53" applyNumberFormat="1" applyFont="1" applyFill="1" applyBorder="1" applyAlignment="1" applyProtection="1">
      <alignment horizontal="right"/>
    </xf>
    <xf numFmtId="6" fontId="13" fillId="0" borderId="281" xfId="53" applyNumberFormat="1" applyFont="1" applyFill="1" applyBorder="1" applyAlignment="1" applyProtection="1">
      <alignment horizontal="right"/>
    </xf>
    <xf numFmtId="6" fontId="13" fillId="0" borderId="118" xfId="53" applyNumberFormat="1" applyFont="1" applyFill="1" applyBorder="1" applyAlignment="1" applyProtection="1">
      <alignment horizontal="right"/>
    </xf>
    <xf numFmtId="6" fontId="13" fillId="0" borderId="121" xfId="53" applyNumberFormat="1" applyFont="1" applyFill="1" applyBorder="1" applyAlignment="1" applyProtection="1">
      <alignment horizontal="right"/>
    </xf>
    <xf numFmtId="6" fontId="13" fillId="0" borderId="125" xfId="53" applyNumberFormat="1" applyFont="1" applyFill="1" applyBorder="1" applyAlignment="1" applyProtection="1">
      <alignment horizontal="right"/>
    </xf>
    <xf numFmtId="6" fontId="32" fillId="0" borderId="81" xfId="54" applyNumberFormat="1" applyFont="1" applyFill="1" applyBorder="1" applyAlignment="1" applyProtection="1">
      <alignment horizontal="right"/>
    </xf>
    <xf numFmtId="166" fontId="13" fillId="0" borderId="114" xfId="53" applyNumberFormat="1" applyFont="1" applyFill="1" applyBorder="1" applyAlignment="1" applyProtection="1">
      <alignment horizontal="right"/>
    </xf>
    <xf numFmtId="166" fontId="13" fillId="0" borderId="118" xfId="53" applyNumberFormat="1" applyFont="1" applyFill="1" applyBorder="1" applyAlignment="1" applyProtection="1">
      <alignment horizontal="right"/>
    </xf>
    <xf numFmtId="166" fontId="13" fillId="0" borderId="121" xfId="53" applyNumberFormat="1" applyFont="1" applyFill="1" applyBorder="1" applyAlignment="1" applyProtection="1">
      <alignment horizontal="right"/>
    </xf>
    <xf numFmtId="166" fontId="13" fillId="0" borderId="125" xfId="53" applyNumberFormat="1" applyFont="1" applyFill="1" applyBorder="1" applyAlignment="1" applyProtection="1">
      <alignment horizontal="right"/>
    </xf>
    <xf numFmtId="6" fontId="13" fillId="0" borderId="434" xfId="53" applyNumberFormat="1" applyFont="1" applyFill="1" applyBorder="1" applyAlignment="1" applyProtection="1">
      <alignment horizontal="right"/>
    </xf>
    <xf numFmtId="166" fontId="13" fillId="0" borderId="353" xfId="53" applyNumberFormat="1" applyFont="1" applyFill="1" applyBorder="1" applyAlignment="1" applyProtection="1">
      <alignment horizontal="right"/>
    </xf>
    <xf numFmtId="166" fontId="13" fillId="0" borderId="355" xfId="53" applyNumberFormat="1" applyFont="1" applyFill="1" applyBorder="1" applyAlignment="1" applyProtection="1">
      <alignment horizontal="right"/>
    </xf>
    <xf numFmtId="166" fontId="13" fillId="0" borderId="357" xfId="53" applyNumberFormat="1" applyFont="1" applyFill="1" applyBorder="1" applyAlignment="1" applyProtection="1">
      <alignment horizontal="right"/>
    </xf>
    <xf numFmtId="166" fontId="13" fillId="0" borderId="434" xfId="53" applyNumberFormat="1" applyFont="1" applyFill="1" applyBorder="1" applyAlignment="1" applyProtection="1">
      <alignment horizontal="right"/>
    </xf>
    <xf numFmtId="166" fontId="13" fillId="0" borderId="325" xfId="53" applyNumberFormat="1" applyFont="1" applyFill="1" applyBorder="1" applyAlignment="1" applyProtection="1">
      <alignment horizontal="right"/>
    </xf>
    <xf numFmtId="166" fontId="13" fillId="0" borderId="326" xfId="53" applyNumberFormat="1" applyFont="1" applyFill="1" applyBorder="1" applyAlignment="1" applyProtection="1">
      <alignment horizontal="right"/>
    </xf>
    <xf numFmtId="166" fontId="13" fillId="0" borderId="299" xfId="53" applyNumberFormat="1" applyFont="1" applyFill="1" applyBorder="1" applyAlignment="1" applyProtection="1">
      <alignment horizontal="right"/>
    </xf>
    <xf numFmtId="6" fontId="13" fillId="0" borderId="295" xfId="53" applyNumberFormat="1" applyFont="1" applyFill="1" applyBorder="1" applyAlignment="1" applyProtection="1">
      <alignment horizontal="right"/>
    </xf>
    <xf numFmtId="6" fontId="13" fillId="0" borderId="297" xfId="53" applyNumberFormat="1" applyFont="1" applyFill="1" applyBorder="1" applyAlignment="1" applyProtection="1">
      <alignment horizontal="right"/>
    </xf>
    <xf numFmtId="6" fontId="32" fillId="0" borderId="289" xfId="54" applyNumberFormat="1" applyFont="1" applyFill="1" applyBorder="1" applyAlignment="1" applyProtection="1">
      <alignment horizontal="right"/>
    </xf>
    <xf numFmtId="166" fontId="13" fillId="0" borderId="354" xfId="54" applyNumberFormat="1" applyFont="1" applyFill="1" applyBorder="1" applyAlignment="1" applyProtection="1">
      <alignment horizontal="right"/>
    </xf>
    <xf numFmtId="166" fontId="13" fillId="0" borderId="356" xfId="54" applyNumberFormat="1" applyFont="1" applyFill="1" applyBorder="1" applyAlignment="1" applyProtection="1">
      <alignment horizontal="right"/>
    </xf>
    <xf numFmtId="166" fontId="13" fillId="0" borderId="354" xfId="53" applyNumberFormat="1" applyFont="1" applyFill="1" applyBorder="1" applyAlignment="1" applyProtection="1">
      <alignment horizontal="right"/>
    </xf>
    <xf numFmtId="166" fontId="13" fillId="0" borderId="356" xfId="53" applyNumberFormat="1" applyFont="1" applyFill="1" applyBorder="1" applyAlignment="1" applyProtection="1">
      <alignment horizontal="right"/>
    </xf>
    <xf numFmtId="166" fontId="13" fillId="0" borderId="358" xfId="53" applyNumberFormat="1" applyFont="1" applyFill="1" applyBorder="1" applyAlignment="1" applyProtection="1">
      <alignment horizontal="right"/>
    </xf>
    <xf numFmtId="166" fontId="32" fillId="0" borderId="352" xfId="54" applyNumberFormat="1" applyFont="1" applyFill="1" applyBorder="1" applyAlignment="1" applyProtection="1">
      <alignment horizontal="right"/>
    </xf>
    <xf numFmtId="166" fontId="32" fillId="0" borderId="81" xfId="54" applyNumberFormat="1" applyFont="1" applyFill="1" applyBorder="1" applyAlignment="1" applyProtection="1">
      <alignment horizontal="right"/>
    </xf>
    <xf numFmtId="166" fontId="13" fillId="0" borderId="321" xfId="54" applyNumberFormat="1" applyFont="1" applyFill="1" applyBorder="1" applyAlignment="1" applyProtection="1">
      <alignment horizontal="right"/>
    </xf>
    <xf numFmtId="166" fontId="13" fillId="0" borderId="433" xfId="54" applyNumberFormat="1" applyFont="1" applyFill="1" applyBorder="1" applyAlignment="1" applyProtection="1">
      <alignment horizontal="right"/>
    </xf>
    <xf numFmtId="166" fontId="13" fillId="0" borderId="322" xfId="54" applyNumberFormat="1" applyFont="1" applyFill="1" applyBorder="1" applyAlignment="1" applyProtection="1">
      <alignment horizontal="right"/>
    </xf>
    <xf numFmtId="166" fontId="13" fillId="0" borderId="321" xfId="53" applyNumberFormat="1" applyFont="1" applyFill="1" applyBorder="1" applyAlignment="1" applyProtection="1">
      <alignment horizontal="right"/>
    </xf>
    <xf numFmtId="166" fontId="13" fillId="0" borderId="322" xfId="53" applyNumberFormat="1" applyFont="1" applyFill="1" applyBorder="1" applyAlignment="1" applyProtection="1">
      <alignment horizontal="right"/>
    </xf>
    <xf numFmtId="166" fontId="13" fillId="0" borderId="323" xfId="53" applyNumberFormat="1" applyFont="1" applyFill="1" applyBorder="1" applyAlignment="1" applyProtection="1">
      <alignment horizontal="right"/>
    </xf>
    <xf numFmtId="38" fontId="13" fillId="0" borderId="327" xfId="53" applyNumberFormat="1" applyFont="1" applyFill="1" applyBorder="1" applyAlignment="1" applyProtection="1">
      <alignment horizontal="right"/>
    </xf>
    <xf numFmtId="6" fontId="13" fillId="0" borderId="327" xfId="53" applyNumberFormat="1" applyFont="1" applyFill="1" applyBorder="1" applyAlignment="1" applyProtection="1">
      <alignment horizontal="right"/>
    </xf>
    <xf numFmtId="38" fontId="79" fillId="0" borderId="141" xfId="0" applyNumberFormat="1" applyFont="1" applyFill="1" applyBorder="1" applyAlignment="1">
      <alignment horizontal="right"/>
    </xf>
    <xf numFmtId="6" fontId="79" fillId="0" borderId="141" xfId="0" applyNumberFormat="1" applyFont="1" applyBorder="1" applyAlignment="1">
      <alignment horizontal="right"/>
    </xf>
    <xf numFmtId="6" fontId="79" fillId="0" borderId="141" xfId="0" applyNumberFormat="1" applyFont="1" applyFill="1" applyBorder="1" applyAlignment="1">
      <alignment horizontal="right"/>
    </xf>
    <xf numFmtId="6" fontId="79" fillId="41" borderId="141" xfId="0" applyNumberFormat="1" applyFont="1" applyFill="1" applyBorder="1" applyAlignment="1">
      <alignment horizontal="right"/>
    </xf>
    <xf numFmtId="8" fontId="79" fillId="41" borderId="141" xfId="0" applyNumberFormat="1" applyFont="1" applyFill="1" applyBorder="1" applyAlignment="1">
      <alignment horizontal="right"/>
    </xf>
    <xf numFmtId="6" fontId="79" fillId="39" borderId="141" xfId="0" applyNumberFormat="1" applyFont="1" applyFill="1" applyBorder="1" applyAlignment="1">
      <alignment horizontal="right"/>
    </xf>
    <xf numFmtId="6" fontId="79" fillId="41" borderId="141" xfId="0" applyNumberFormat="1" applyFont="1" applyFill="1" applyBorder="1" applyAlignment="1">
      <alignment horizontal="right" wrapText="1"/>
    </xf>
    <xf numFmtId="6" fontId="79" fillId="0" borderId="141" xfId="0" applyNumberFormat="1" applyFont="1" applyFill="1" applyBorder="1" applyAlignment="1">
      <alignment horizontal="right" wrapText="1"/>
    </xf>
    <xf numFmtId="6" fontId="79" fillId="59" borderId="141" xfId="0" applyNumberFormat="1" applyFont="1" applyFill="1" applyBorder="1" applyAlignment="1">
      <alignment horizontal="right" wrapText="1"/>
    </xf>
    <xf numFmtId="6" fontId="79" fillId="59" borderId="376" xfId="0" applyNumberFormat="1" applyFont="1" applyFill="1" applyBorder="1" applyAlignment="1">
      <alignment horizontal="right" wrapText="1"/>
    </xf>
    <xf numFmtId="6" fontId="79" fillId="28" borderId="141" xfId="0" applyNumberFormat="1" applyFont="1" applyFill="1" applyBorder="1" applyAlignment="1">
      <alignment horizontal="right" wrapText="1"/>
    </xf>
    <xf numFmtId="38" fontId="79" fillId="0" borderId="140" xfId="0" applyNumberFormat="1" applyFont="1" applyFill="1" applyBorder="1" applyAlignment="1">
      <alignment horizontal="right"/>
    </xf>
    <xf numFmtId="6" fontId="79" fillId="0" borderId="140" xfId="0" applyNumberFormat="1" applyFont="1" applyBorder="1" applyAlignment="1">
      <alignment horizontal="right"/>
    </xf>
    <xf numFmtId="6" fontId="79" fillId="0" borderId="140" xfId="0" applyNumberFormat="1" applyFont="1" applyFill="1" applyBorder="1" applyAlignment="1">
      <alignment horizontal="right"/>
    </xf>
    <xf numFmtId="6" fontId="79" fillId="41" borderId="140" xfId="0" applyNumberFormat="1" applyFont="1" applyFill="1" applyBorder="1" applyAlignment="1">
      <alignment horizontal="right"/>
    </xf>
    <xf numFmtId="6" fontId="79" fillId="39" borderId="140" xfId="0" applyNumberFormat="1" applyFont="1" applyFill="1" applyBorder="1" applyAlignment="1">
      <alignment horizontal="right"/>
    </xf>
    <xf numFmtId="6" fontId="79" fillId="41" borderId="140" xfId="0" applyNumberFormat="1" applyFont="1" applyFill="1" applyBorder="1" applyAlignment="1">
      <alignment horizontal="right" wrapText="1"/>
    </xf>
    <xf numFmtId="6" fontId="79" fillId="0" borderId="140" xfId="0" applyNumberFormat="1" applyFont="1" applyFill="1" applyBorder="1" applyAlignment="1">
      <alignment horizontal="right" wrapText="1"/>
    </xf>
    <xf numFmtId="6" fontId="79" fillId="59" borderId="140" xfId="0" applyNumberFormat="1" applyFont="1" applyFill="1" applyBorder="1" applyAlignment="1">
      <alignment horizontal="right" wrapText="1"/>
    </xf>
    <xf numFmtId="6" fontId="79" fillId="28" borderId="140" xfId="0" applyNumberFormat="1" applyFont="1" applyFill="1" applyBorder="1" applyAlignment="1">
      <alignment horizontal="right" wrapText="1"/>
    </xf>
    <xf numFmtId="38" fontId="79" fillId="0" borderId="142" xfId="0" applyNumberFormat="1" applyFont="1" applyFill="1" applyBorder="1" applyAlignment="1">
      <alignment horizontal="right"/>
    </xf>
    <xf numFmtId="6" fontId="79" fillId="0" borderId="142" xfId="0" applyNumberFormat="1" applyFont="1" applyBorder="1" applyAlignment="1">
      <alignment horizontal="right"/>
    </xf>
    <xf numFmtId="6" fontId="79" fillId="0" borderId="142" xfId="0" applyNumberFormat="1" applyFont="1" applyFill="1" applyBorder="1" applyAlignment="1">
      <alignment horizontal="right"/>
    </xf>
    <xf numFmtId="6" fontId="79" fillId="41" borderId="142" xfId="0" applyNumberFormat="1" applyFont="1" applyFill="1" applyBorder="1" applyAlignment="1">
      <alignment horizontal="right"/>
    </xf>
    <xf numFmtId="6" fontId="79" fillId="39" borderId="142" xfId="0" applyNumberFormat="1" applyFont="1" applyFill="1" applyBorder="1" applyAlignment="1">
      <alignment horizontal="right"/>
    </xf>
    <xf numFmtId="6" fontId="79" fillId="41" borderId="142" xfId="0" applyNumberFormat="1" applyFont="1" applyFill="1" applyBorder="1" applyAlignment="1">
      <alignment horizontal="right" wrapText="1"/>
    </xf>
    <xf numFmtId="6" fontId="79" fillId="0" borderId="142" xfId="0" applyNumberFormat="1" applyFont="1" applyFill="1" applyBorder="1" applyAlignment="1">
      <alignment horizontal="right" wrapText="1"/>
    </xf>
    <xf numFmtId="6" fontId="79" fillId="59" borderId="142" xfId="0" applyNumberFormat="1" applyFont="1" applyFill="1" applyBorder="1" applyAlignment="1">
      <alignment horizontal="right" wrapText="1"/>
    </xf>
    <xf numFmtId="6" fontId="79" fillId="28" borderId="142" xfId="0" applyNumberFormat="1" applyFont="1" applyFill="1" applyBorder="1" applyAlignment="1">
      <alignment horizontal="right" wrapText="1"/>
    </xf>
    <xf numFmtId="6" fontId="79" fillId="39" borderId="435" xfId="0" applyNumberFormat="1" applyFont="1" applyFill="1" applyBorder="1" applyAlignment="1">
      <alignment horizontal="right"/>
    </xf>
    <xf numFmtId="6" fontId="79" fillId="59" borderId="435" xfId="0" applyNumberFormat="1" applyFont="1" applyFill="1" applyBorder="1" applyAlignment="1">
      <alignment horizontal="right" wrapText="1"/>
    </xf>
    <xf numFmtId="38" fontId="103" fillId="0" borderId="10" xfId="0" applyNumberFormat="1" applyFont="1" applyFill="1" applyBorder="1" applyAlignment="1">
      <alignment horizontal="right"/>
    </xf>
    <xf numFmtId="6" fontId="103" fillId="0" borderId="10" xfId="0" applyNumberFormat="1" applyFont="1" applyBorder="1" applyAlignment="1">
      <alignment horizontal="right"/>
    </xf>
    <xf numFmtId="6" fontId="103" fillId="0" borderId="10" xfId="0" applyNumberFormat="1" applyFont="1" applyFill="1" applyBorder="1" applyAlignment="1">
      <alignment horizontal="right"/>
    </xf>
    <xf numFmtId="6" fontId="103" fillId="41" borderId="10" xfId="0" applyNumberFormat="1" applyFont="1" applyFill="1" applyBorder="1" applyAlignment="1">
      <alignment horizontal="right"/>
    </xf>
    <xf numFmtId="6" fontId="103" fillId="39" borderId="10" xfId="0" applyNumberFormat="1" applyFont="1" applyFill="1" applyBorder="1" applyAlignment="1">
      <alignment horizontal="right"/>
    </xf>
    <xf numFmtId="6" fontId="103" fillId="0" borderId="10" xfId="0" applyNumberFormat="1" applyFont="1" applyBorder="1" applyAlignment="1">
      <alignment horizontal="right" wrapText="1"/>
    </xf>
    <xf numFmtId="6" fontId="103" fillId="0" borderId="10" xfId="0" applyNumberFormat="1" applyFont="1" applyFill="1" applyBorder="1" applyAlignment="1">
      <alignment horizontal="right" wrapText="1"/>
    </xf>
    <xf numFmtId="1" fontId="103" fillId="0" borderId="10" xfId="0" applyNumberFormat="1" applyFont="1" applyFill="1" applyBorder="1" applyAlignment="1">
      <alignment horizontal="right" wrapText="1"/>
    </xf>
    <xf numFmtId="38" fontId="103" fillId="0" borderId="376" xfId="0" applyNumberFormat="1" applyFont="1" applyFill="1" applyBorder="1" applyAlignment="1">
      <alignment horizontal="right" wrapText="1"/>
    </xf>
    <xf numFmtId="6" fontId="103" fillId="0" borderId="376" xfId="0" applyNumberFormat="1" applyFont="1" applyFill="1" applyBorder="1" applyAlignment="1">
      <alignment horizontal="right" wrapText="1"/>
    </xf>
    <xf numFmtId="6" fontId="103" fillId="59" borderId="10" xfId="0" applyNumberFormat="1" applyFont="1" applyFill="1" applyBorder="1" applyAlignment="1">
      <alignment horizontal="right" wrapText="1"/>
    </xf>
    <xf numFmtId="38" fontId="103" fillId="28" borderId="51" xfId="0" applyNumberFormat="1" applyFont="1" applyFill="1" applyBorder="1" applyAlignment="1">
      <alignment horizontal="right"/>
    </xf>
    <xf numFmtId="6" fontId="103" fillId="28" borderId="51" xfId="0" applyNumberFormat="1" applyFont="1" applyFill="1" applyBorder="1" applyAlignment="1">
      <alignment horizontal="right"/>
    </xf>
    <xf numFmtId="6" fontId="103" fillId="28" borderId="347" xfId="0" applyNumberFormat="1" applyFont="1" applyFill="1" applyBorder="1" applyAlignment="1">
      <alignment horizontal="right"/>
    </xf>
    <xf numFmtId="6" fontId="103" fillId="28" borderId="365" xfId="0" applyNumberFormat="1" applyFont="1" applyFill="1" applyBorder="1" applyAlignment="1">
      <alignment horizontal="right"/>
    </xf>
    <xf numFmtId="0" fontId="101" fillId="0" borderId="51" xfId="0" applyFont="1" applyBorder="1" applyAlignment="1">
      <alignment horizontal="right"/>
    </xf>
    <xf numFmtId="0" fontId="101" fillId="0" borderId="369" xfId="0" applyFont="1" applyBorder="1" applyAlignment="1">
      <alignment horizontal="right"/>
    </xf>
    <xf numFmtId="0" fontId="101" fillId="0" borderId="375" xfId="0" applyFont="1" applyBorder="1" applyAlignment="1">
      <alignment horizontal="right"/>
    </xf>
    <xf numFmtId="6" fontId="101" fillId="0" borderId="51" xfId="0" applyNumberFormat="1" applyFont="1" applyBorder="1" applyAlignment="1">
      <alignment horizontal="right"/>
    </xf>
    <xf numFmtId="38" fontId="79" fillId="0" borderId="26" xfId="0" applyNumberFormat="1" applyFont="1" applyFill="1" applyBorder="1" applyAlignment="1">
      <alignment horizontal="right"/>
    </xf>
    <xf numFmtId="6" fontId="79" fillId="0" borderId="26" xfId="0" applyNumberFormat="1" applyFont="1" applyBorder="1" applyAlignment="1">
      <alignment horizontal="right"/>
    </xf>
    <xf numFmtId="6" fontId="79" fillId="0" borderId="26" xfId="0" applyNumberFormat="1" applyFont="1" applyFill="1" applyBorder="1" applyAlignment="1">
      <alignment horizontal="right"/>
    </xf>
    <xf numFmtId="6" fontId="79" fillId="0" borderId="346" xfId="0" applyNumberFormat="1" applyFont="1" applyFill="1" applyBorder="1" applyAlignment="1">
      <alignment horizontal="right"/>
    </xf>
    <xf numFmtId="6" fontId="79" fillId="41" borderId="26" xfId="0" applyNumberFormat="1" applyFont="1" applyFill="1" applyBorder="1" applyAlignment="1">
      <alignment horizontal="right"/>
    </xf>
    <xf numFmtId="6" fontId="79" fillId="39" borderId="26" xfId="0" applyNumberFormat="1" applyFont="1" applyFill="1" applyBorder="1" applyAlignment="1">
      <alignment horizontal="right"/>
    </xf>
    <xf numFmtId="6" fontId="79" fillId="39" borderId="364" xfId="0" applyNumberFormat="1" applyFont="1" applyFill="1" applyBorder="1" applyAlignment="1">
      <alignment horizontal="right"/>
    </xf>
    <xf numFmtId="6" fontId="79" fillId="0" borderId="26" xfId="0" applyNumberFormat="1" applyFont="1" applyBorder="1" applyAlignment="1">
      <alignment horizontal="right" wrapText="1"/>
    </xf>
    <xf numFmtId="6" fontId="79" fillId="0" borderId="26" xfId="0" applyNumberFormat="1" applyFont="1" applyFill="1" applyBorder="1" applyAlignment="1">
      <alignment horizontal="right" wrapText="1"/>
    </xf>
    <xf numFmtId="6" fontId="79" fillId="0" borderId="368" xfId="0" applyNumberFormat="1" applyFont="1" applyFill="1" applyBorder="1" applyAlignment="1">
      <alignment horizontal="right" wrapText="1"/>
    </xf>
    <xf numFmtId="6" fontId="79" fillId="0" borderId="377" xfId="0" applyNumberFormat="1" applyFont="1" applyFill="1" applyBorder="1" applyAlignment="1">
      <alignment horizontal="right" wrapText="1"/>
    </xf>
    <xf numFmtId="6" fontId="79" fillId="59" borderId="26" xfId="0" applyNumberFormat="1" applyFont="1" applyFill="1" applyBorder="1" applyAlignment="1">
      <alignment horizontal="right" wrapText="1"/>
    </xf>
    <xf numFmtId="6" fontId="79" fillId="59" borderId="374" xfId="0" applyNumberFormat="1" applyFont="1" applyFill="1" applyBorder="1" applyAlignment="1">
      <alignment horizontal="right" wrapText="1"/>
    </xf>
    <xf numFmtId="6" fontId="79" fillId="28" borderId="26" xfId="0" applyNumberFormat="1" applyFont="1" applyFill="1" applyBorder="1" applyAlignment="1">
      <alignment horizontal="right" wrapText="1"/>
    </xf>
    <xf numFmtId="38" fontId="103" fillId="0" borderId="13" xfId="0" applyNumberFormat="1" applyFont="1" applyFill="1" applyBorder="1" applyAlignment="1">
      <alignment horizontal="right"/>
    </xf>
    <xf numFmtId="6" fontId="103" fillId="0" borderId="13" xfId="0" applyNumberFormat="1" applyFont="1" applyBorder="1" applyAlignment="1">
      <alignment horizontal="right"/>
    </xf>
    <xf numFmtId="6" fontId="103" fillId="0" borderId="13" xfId="0" applyNumberFormat="1" applyFont="1" applyFill="1" applyBorder="1" applyAlignment="1">
      <alignment horizontal="right"/>
    </xf>
    <xf numFmtId="6" fontId="103" fillId="41" borderId="13" xfId="0" applyNumberFormat="1" applyFont="1" applyFill="1" applyBorder="1" applyAlignment="1">
      <alignment horizontal="right"/>
    </xf>
    <xf numFmtId="6" fontId="103" fillId="39" borderId="13" xfId="0" applyNumberFormat="1" applyFont="1" applyFill="1" applyBorder="1" applyAlignment="1">
      <alignment horizontal="right"/>
    </xf>
    <xf numFmtId="6" fontId="103" fillId="0" borderId="13" xfId="0" applyNumberFormat="1" applyFont="1" applyBorder="1" applyAlignment="1">
      <alignment horizontal="right" wrapText="1"/>
    </xf>
    <xf numFmtId="6" fontId="103" fillId="0" borderId="13" xfId="0" applyNumberFormat="1" applyFont="1" applyFill="1" applyBorder="1" applyAlignment="1">
      <alignment horizontal="right" wrapText="1"/>
    </xf>
    <xf numFmtId="6" fontId="103" fillId="59" borderId="13" xfId="0" applyNumberFormat="1" applyFont="1" applyFill="1" applyBorder="1" applyAlignment="1">
      <alignment horizontal="right" wrapText="1"/>
    </xf>
    <xf numFmtId="6" fontId="103" fillId="28" borderId="13" xfId="0" applyNumberFormat="1" applyFont="1" applyFill="1" applyBorder="1" applyAlignment="1">
      <alignment horizontal="right" wrapText="1"/>
    </xf>
    <xf numFmtId="38" fontId="79" fillId="0" borderId="141" xfId="0" applyNumberFormat="1" applyFont="1" applyFill="1" applyBorder="1" applyAlignment="1">
      <alignment horizontal="right" wrapText="1"/>
    </xf>
    <xf numFmtId="38" fontId="79" fillId="0" borderId="140" xfId="0" applyNumberFormat="1" applyFont="1" applyFill="1" applyBorder="1" applyAlignment="1">
      <alignment horizontal="right" wrapText="1"/>
    </xf>
    <xf numFmtId="38" fontId="79" fillId="0" borderId="142" xfId="0" applyNumberFormat="1" applyFont="1" applyFill="1" applyBorder="1" applyAlignment="1">
      <alignment horizontal="right" wrapText="1"/>
    </xf>
    <xf numFmtId="6" fontId="103" fillId="0" borderId="437" xfId="0" applyNumberFormat="1" applyFont="1" applyFill="1" applyBorder="1" applyAlignment="1">
      <alignment horizontal="right"/>
    </xf>
    <xf numFmtId="6" fontId="103" fillId="39" borderId="437" xfId="0" applyNumberFormat="1" applyFont="1" applyFill="1" applyBorder="1" applyAlignment="1">
      <alignment horizontal="right"/>
    </xf>
    <xf numFmtId="38" fontId="103" fillId="0" borderId="437" xfId="0" applyNumberFormat="1" applyFont="1" applyFill="1" applyBorder="1" applyAlignment="1">
      <alignment horizontal="right" wrapText="1"/>
    </xf>
    <xf numFmtId="6" fontId="103" fillId="0" borderId="437" xfId="0" applyNumberFormat="1" applyFont="1" applyFill="1" applyBorder="1" applyAlignment="1">
      <alignment horizontal="right" wrapText="1"/>
    </xf>
    <xf numFmtId="6" fontId="103" fillId="59" borderId="437" xfId="0" applyNumberFormat="1" applyFont="1" applyFill="1" applyBorder="1" applyAlignment="1">
      <alignment horizontal="right" wrapText="1"/>
    </xf>
    <xf numFmtId="6" fontId="103" fillId="28" borderId="10" xfId="0" applyNumberFormat="1" applyFont="1" applyFill="1" applyBorder="1" applyAlignment="1">
      <alignment horizontal="right" wrapText="1"/>
    </xf>
    <xf numFmtId="6" fontId="103" fillId="28" borderId="375" xfId="0" applyNumberFormat="1" applyFont="1" applyFill="1" applyBorder="1" applyAlignment="1">
      <alignment horizontal="right"/>
    </xf>
    <xf numFmtId="0" fontId="101" fillId="41" borderId="51" xfId="0" applyFont="1" applyFill="1" applyBorder="1" applyAlignment="1">
      <alignment horizontal="right"/>
    </xf>
    <xf numFmtId="0" fontId="101" fillId="41" borderId="375" xfId="0" applyFont="1" applyFill="1" applyBorder="1" applyAlignment="1">
      <alignment horizontal="right"/>
    </xf>
    <xf numFmtId="6" fontId="79" fillId="0" borderId="377" xfId="0" applyNumberFormat="1" applyFont="1" applyFill="1" applyBorder="1" applyAlignment="1">
      <alignment horizontal="right"/>
    </xf>
    <xf numFmtId="6" fontId="79" fillId="39" borderId="377" xfId="0" applyNumberFormat="1" applyFont="1" applyFill="1" applyBorder="1" applyAlignment="1">
      <alignment horizontal="right"/>
    </xf>
    <xf numFmtId="6" fontId="79" fillId="59" borderId="377" xfId="0" applyNumberFormat="1" applyFont="1" applyFill="1" applyBorder="1" applyAlignment="1">
      <alignment horizontal="right" wrapText="1"/>
    </xf>
    <xf numFmtId="6" fontId="101" fillId="0" borderId="0" xfId="0" applyNumberFormat="1" applyFont="1" applyBorder="1" applyAlignment="1">
      <alignment horizontal="right"/>
    </xf>
    <xf numFmtId="0" fontId="101" fillId="0" borderId="0" xfId="0" applyFont="1" applyBorder="1" applyAlignment="1">
      <alignment horizontal="right"/>
    </xf>
    <xf numFmtId="6" fontId="15" fillId="0" borderId="115" xfId="30" applyNumberFormat="1" applyFont="1" applyFill="1" applyBorder="1" applyAlignment="1" applyProtection="1">
      <alignment horizontal="right"/>
    </xf>
    <xf numFmtId="6" fontId="15" fillId="0" borderId="119" xfId="30" applyNumberFormat="1" applyFont="1" applyFill="1" applyBorder="1" applyAlignment="1" applyProtection="1">
      <alignment horizontal="right"/>
    </xf>
    <xf numFmtId="6" fontId="15" fillId="0" borderId="122" xfId="30" applyNumberFormat="1" applyFont="1" applyFill="1" applyBorder="1" applyAlignment="1" applyProtection="1">
      <alignment horizontal="right"/>
    </xf>
    <xf numFmtId="6" fontId="15" fillId="0" borderId="119" xfId="0" applyNumberFormat="1" applyFont="1" applyFill="1" applyBorder="1" applyAlignment="1" applyProtection="1">
      <alignment horizontal="right"/>
    </xf>
    <xf numFmtId="6" fontId="15" fillId="0" borderId="122" xfId="0" applyNumberFormat="1" applyFont="1" applyFill="1" applyBorder="1" applyAlignment="1" applyProtection="1">
      <alignment horizontal="right"/>
    </xf>
    <xf numFmtId="6" fontId="15" fillId="0" borderId="115" xfId="0" applyNumberFormat="1" applyFont="1" applyFill="1" applyBorder="1" applyAlignment="1" applyProtection="1">
      <alignment horizontal="right"/>
    </xf>
    <xf numFmtId="6" fontId="15" fillId="0" borderId="126" xfId="0" applyNumberFormat="1" applyFont="1" applyFill="1" applyBorder="1" applyAlignment="1" applyProtection="1">
      <alignment horizontal="right"/>
    </xf>
    <xf numFmtId="6" fontId="32" fillId="0" borderId="82" xfId="30" applyNumberFormat="1" applyFont="1" applyFill="1" applyBorder="1" applyAlignment="1" applyProtection="1">
      <alignment horizontal="right"/>
    </xf>
    <xf numFmtId="166" fontId="13" fillId="0" borderId="115" xfId="30" applyNumberFormat="1" applyFont="1" applyFill="1" applyBorder="1" applyAlignment="1" applyProtection="1">
      <alignment horizontal="right"/>
    </xf>
    <xf numFmtId="166" fontId="15" fillId="0" borderId="354" xfId="30" applyNumberFormat="1" applyFont="1" applyFill="1" applyBorder="1" applyAlignment="1" applyProtection="1">
      <alignment horizontal="right"/>
    </xf>
    <xf numFmtId="166" fontId="15" fillId="0" borderId="356" xfId="30" applyNumberFormat="1" applyFont="1" applyFill="1" applyBorder="1" applyAlignment="1" applyProtection="1">
      <alignment horizontal="right"/>
    </xf>
    <xf numFmtId="166" fontId="15" fillId="0" borderId="354" xfId="0" applyNumberFormat="1" applyFont="1" applyFill="1" applyBorder="1" applyAlignment="1" applyProtection="1">
      <alignment horizontal="right"/>
    </xf>
    <xf numFmtId="166" fontId="15" fillId="0" borderId="356" xfId="0" applyNumberFormat="1" applyFont="1" applyFill="1" applyBorder="1" applyAlignment="1" applyProtection="1">
      <alignment horizontal="right"/>
    </xf>
    <xf numFmtId="166" fontId="15" fillId="0" borderId="358" xfId="0" applyNumberFormat="1" applyFont="1" applyFill="1" applyBorder="1" applyAlignment="1" applyProtection="1">
      <alignment horizontal="right"/>
    </xf>
    <xf numFmtId="166" fontId="32" fillId="0" borderId="352" xfId="30" applyNumberFormat="1" applyFont="1" applyFill="1" applyBorder="1" applyAlignment="1" applyProtection="1">
      <alignment horizontal="right"/>
    </xf>
    <xf numFmtId="6" fontId="15" fillId="0" borderId="114" xfId="0" applyNumberFormat="1" applyFont="1" applyFill="1" applyBorder="1" applyAlignment="1" applyProtection="1">
      <alignment horizontal="right"/>
    </xf>
    <xf numFmtId="6" fontId="32" fillId="0" borderId="344" xfId="30" applyNumberFormat="1" applyFont="1" applyFill="1" applyBorder="1" applyAlignment="1" applyProtection="1">
      <alignment horizontal="right"/>
    </xf>
    <xf numFmtId="6" fontId="15" fillId="0" borderId="118" xfId="0" applyNumberFormat="1" applyFont="1" applyFill="1" applyBorder="1" applyAlignment="1" applyProtection="1">
      <alignment horizontal="right"/>
    </xf>
    <xf numFmtId="6" fontId="15" fillId="0" borderId="121" xfId="0" applyNumberFormat="1" applyFont="1" applyFill="1" applyBorder="1" applyAlignment="1" applyProtection="1">
      <alignment horizontal="right"/>
    </xf>
    <xf numFmtId="6" fontId="15" fillId="0" borderId="125" xfId="0" applyNumberFormat="1" applyFont="1" applyFill="1" applyBorder="1" applyAlignment="1" applyProtection="1">
      <alignment horizontal="right"/>
    </xf>
    <xf numFmtId="6" fontId="32" fillId="0" borderId="81" xfId="30" applyNumberFormat="1" applyFont="1" applyFill="1" applyBorder="1" applyAlignment="1" applyProtection="1">
      <alignment horizontal="right"/>
    </xf>
    <xf numFmtId="166" fontId="15" fillId="0" borderId="353" xfId="0" applyNumberFormat="1" applyFont="1" applyFill="1" applyBorder="1" applyAlignment="1" applyProtection="1">
      <alignment horizontal="right"/>
    </xf>
    <xf numFmtId="166" fontId="15" fillId="0" borderId="355" xfId="0" applyNumberFormat="1" applyFont="1" applyFill="1" applyBorder="1" applyAlignment="1" applyProtection="1">
      <alignment horizontal="right"/>
    </xf>
    <xf numFmtId="166" fontId="15" fillId="0" borderId="357" xfId="0" applyNumberFormat="1" applyFont="1" applyFill="1" applyBorder="1" applyAlignment="1" applyProtection="1">
      <alignment horizontal="right"/>
    </xf>
    <xf numFmtId="6" fontId="0" fillId="0" borderId="13" xfId="0" applyNumberFormat="1" applyFill="1" applyBorder="1"/>
    <xf numFmtId="6" fontId="32" fillId="0" borderId="12" xfId="0" applyNumberFormat="1" applyFont="1" applyFill="1" applyBorder="1"/>
    <xf numFmtId="6" fontId="103" fillId="39" borderId="12" xfId="0" applyNumberFormat="1" applyFont="1" applyFill="1" applyBorder="1"/>
    <xf numFmtId="6" fontId="103" fillId="39" borderId="13" xfId="0" applyNumberFormat="1" applyFont="1" applyFill="1" applyBorder="1"/>
    <xf numFmtId="6" fontId="79" fillId="39" borderId="13" xfId="0" applyNumberFormat="1" applyFont="1" applyFill="1" applyBorder="1"/>
    <xf numFmtId="6" fontId="79" fillId="39" borderId="211" xfId="0" applyNumberFormat="1" applyFont="1" applyFill="1" applyBorder="1"/>
    <xf numFmtId="6" fontId="79" fillId="39" borderId="212" xfId="0" applyNumberFormat="1" applyFont="1" applyFill="1" applyBorder="1"/>
    <xf numFmtId="6" fontId="79" fillId="39" borderId="213" xfId="0" applyNumberFormat="1" applyFont="1" applyFill="1" applyBorder="1"/>
    <xf numFmtId="6" fontId="103" fillId="56" borderId="12" xfId="0" applyNumberFormat="1" applyFont="1" applyFill="1" applyBorder="1"/>
    <xf numFmtId="6" fontId="79" fillId="56" borderId="13" xfId="0" applyNumberFormat="1" applyFont="1" applyFill="1" applyBorder="1"/>
    <xf numFmtId="6" fontId="79" fillId="56" borderId="211" xfId="0" applyNumberFormat="1" applyFont="1" applyFill="1" applyBorder="1"/>
    <xf numFmtId="6" fontId="79" fillId="56" borderId="212" xfId="0" applyNumberFormat="1" applyFont="1" applyFill="1" applyBorder="1"/>
    <xf numFmtId="6" fontId="79" fillId="56" borderId="213" xfId="0" applyNumberFormat="1" applyFont="1" applyFill="1" applyBorder="1"/>
    <xf numFmtId="6" fontId="79" fillId="0" borderId="198" xfId="0" applyNumberFormat="1" applyFont="1" applyFill="1" applyBorder="1"/>
    <xf numFmtId="6" fontId="79" fillId="0" borderId="377" xfId="0" applyNumberFormat="1" applyFont="1" applyFill="1" applyBorder="1"/>
    <xf numFmtId="6" fontId="103" fillId="0" borderId="377" xfId="0" applyNumberFormat="1" applyFont="1" applyFill="1" applyBorder="1"/>
    <xf numFmtId="6" fontId="79" fillId="0" borderId="447" xfId="0" applyNumberFormat="1" applyFont="1" applyFill="1" applyBorder="1"/>
    <xf numFmtId="49" fontId="71" fillId="0" borderId="0" xfId="53" applyNumberFormat="1" applyFont="1" applyFill="1" applyBorder="1" applyAlignment="1">
      <alignment horizontal="center" vertical="center" wrapText="1"/>
    </xf>
    <xf numFmtId="6" fontId="53" fillId="0" borderId="13" xfId="0" applyNumberFormat="1" applyFont="1" applyFill="1" applyBorder="1" applyAlignment="1">
      <alignment horizontal="right"/>
    </xf>
    <xf numFmtId="6" fontId="65" fillId="39" borderId="13" xfId="0" applyNumberFormat="1" applyFont="1" applyFill="1" applyBorder="1" applyAlignment="1">
      <alignment horizontal="right"/>
    </xf>
    <xf numFmtId="6" fontId="53" fillId="39" borderId="13" xfId="0" applyNumberFormat="1" applyFont="1" applyFill="1" applyBorder="1" applyAlignment="1">
      <alignment horizontal="right"/>
    </xf>
    <xf numFmtId="0" fontId="77" fillId="39" borderId="13" xfId="0" applyFont="1" applyFill="1" applyBorder="1" applyAlignment="1">
      <alignment horizontal="center" wrapText="1"/>
    </xf>
    <xf numFmtId="6" fontId="53" fillId="39" borderId="377" xfId="0" applyNumberFormat="1" applyFont="1" applyFill="1" applyBorder="1" applyAlignment="1">
      <alignment horizontal="right"/>
    </xf>
    <xf numFmtId="6" fontId="77" fillId="0" borderId="13" xfId="0" applyNumberFormat="1" applyFont="1" applyFill="1" applyBorder="1" applyAlignment="1">
      <alignment horizontal="right"/>
    </xf>
    <xf numFmtId="0" fontId="78" fillId="0" borderId="13" xfId="0" applyFont="1" applyFill="1" applyBorder="1" applyAlignment="1">
      <alignment horizontal="right" wrapText="1"/>
    </xf>
    <xf numFmtId="6" fontId="77" fillId="39" borderId="13" xfId="0" applyNumberFormat="1" applyFont="1" applyFill="1" applyBorder="1" applyAlignment="1">
      <alignment horizontal="right"/>
    </xf>
    <xf numFmtId="166" fontId="103" fillId="39" borderId="12" xfId="0" applyNumberFormat="1" applyFont="1" applyFill="1" applyBorder="1"/>
    <xf numFmtId="6" fontId="103" fillId="39" borderId="26" xfId="0" applyNumberFormat="1" applyFont="1" applyFill="1" applyBorder="1"/>
    <xf numFmtId="6" fontId="79" fillId="39" borderId="26" xfId="0" applyNumberFormat="1" applyFont="1" applyFill="1" applyBorder="1"/>
    <xf numFmtId="6" fontId="79" fillId="39" borderId="198" xfId="0" applyNumberFormat="1" applyFont="1" applyFill="1" applyBorder="1"/>
    <xf numFmtId="6" fontId="79" fillId="56" borderId="198" xfId="0" applyNumberFormat="1" applyFont="1" applyFill="1" applyBorder="1"/>
    <xf numFmtId="6" fontId="79" fillId="56" borderId="377" xfId="0" applyNumberFormat="1" applyFont="1" applyFill="1" applyBorder="1"/>
    <xf numFmtId="6" fontId="103" fillId="56" borderId="377" xfId="0" applyNumberFormat="1" applyFont="1" applyFill="1" applyBorder="1"/>
    <xf numFmtId="6" fontId="0" fillId="43" borderId="13" xfId="0" applyNumberFormat="1" applyFill="1" applyBorder="1"/>
    <xf numFmtId="6" fontId="32" fillId="43" borderId="12" xfId="0" applyNumberFormat="1" applyFont="1" applyFill="1" applyBorder="1"/>
    <xf numFmtId="6" fontId="79" fillId="43" borderId="13" xfId="0" applyNumberFormat="1" applyFont="1" applyFill="1" applyBorder="1"/>
    <xf numFmtId="6" fontId="79" fillId="43" borderId="211" xfId="0" applyNumberFormat="1" applyFont="1" applyFill="1" applyBorder="1"/>
    <xf numFmtId="6" fontId="79" fillId="43" borderId="212" xfId="0" applyNumberFormat="1" applyFont="1" applyFill="1" applyBorder="1"/>
    <xf numFmtId="6" fontId="79" fillId="43" borderId="213" xfId="0" applyNumberFormat="1" applyFont="1" applyFill="1" applyBorder="1"/>
    <xf numFmtId="6" fontId="103" fillId="43" borderId="13" xfId="0" applyNumberFormat="1" applyFont="1" applyFill="1" applyBorder="1"/>
    <xf numFmtId="6" fontId="103" fillId="43" borderId="12" xfId="0" applyNumberFormat="1" applyFont="1" applyFill="1" applyBorder="1"/>
    <xf numFmtId="6" fontId="65" fillId="43" borderId="13" xfId="0" applyNumberFormat="1" applyFont="1" applyFill="1" applyBorder="1" applyAlignment="1">
      <alignment horizontal="right"/>
    </xf>
    <xf numFmtId="6" fontId="53" fillId="43" borderId="13" xfId="0" applyNumberFormat="1" applyFont="1" applyFill="1" applyBorder="1" applyAlignment="1">
      <alignment horizontal="right"/>
    </xf>
    <xf numFmtId="6" fontId="77" fillId="43" borderId="13" xfId="0" applyNumberFormat="1" applyFont="1" applyFill="1" applyBorder="1" applyAlignment="1">
      <alignment horizontal="right"/>
    </xf>
    <xf numFmtId="0" fontId="78" fillId="43" borderId="13" xfId="0" applyFont="1" applyFill="1" applyBorder="1" applyAlignment="1">
      <alignment horizontal="right" wrapText="1"/>
    </xf>
    <xf numFmtId="6" fontId="53" fillId="43" borderId="377" xfId="0" applyNumberFormat="1" applyFont="1" applyFill="1" applyBorder="1" applyAlignment="1">
      <alignment horizontal="right"/>
    </xf>
    <xf numFmtId="6" fontId="15" fillId="73" borderId="198" xfId="0" applyNumberFormat="1" applyFont="1" applyFill="1" applyBorder="1" applyProtection="1"/>
    <xf numFmtId="38" fontId="79" fillId="0" borderId="198" xfId="0" applyNumberFormat="1" applyFont="1" applyFill="1" applyBorder="1"/>
    <xf numFmtId="38" fontId="79" fillId="0" borderId="13" xfId="0" applyNumberFormat="1" applyFont="1" applyFill="1" applyBorder="1"/>
    <xf numFmtId="38" fontId="79" fillId="0" borderId="211" xfId="0" applyNumberFormat="1" applyFont="1" applyFill="1" applyBorder="1"/>
    <xf numFmtId="38" fontId="79" fillId="0" borderId="212" xfId="0" applyNumberFormat="1" applyFont="1" applyFill="1" applyBorder="1"/>
    <xf numFmtId="38" fontId="79" fillId="0" borderId="213" xfId="0" applyNumberFormat="1" applyFont="1" applyFill="1" applyBorder="1"/>
    <xf numFmtId="38" fontId="79" fillId="0" borderId="377" xfId="0" applyNumberFormat="1" applyFont="1" applyFill="1" applyBorder="1"/>
    <xf numFmtId="38" fontId="103" fillId="0" borderId="377" xfId="0" applyNumberFormat="1" applyFont="1" applyFill="1" applyBorder="1"/>
    <xf numFmtId="38" fontId="103" fillId="34" borderId="448" xfId="0" applyNumberFormat="1" applyFont="1" applyFill="1" applyBorder="1"/>
    <xf numFmtId="38" fontId="103" fillId="41" borderId="12" xfId="0" applyNumberFormat="1" applyFont="1" applyFill="1" applyBorder="1"/>
    <xf numFmtId="8" fontId="65" fillId="27" borderId="13" xfId="0" applyNumberFormat="1" applyFont="1" applyFill="1" applyBorder="1" applyAlignment="1">
      <alignment horizontal="right"/>
    </xf>
    <xf numFmtId="0" fontId="109" fillId="0" borderId="0" xfId="0" applyFont="1" applyBorder="1" applyAlignment="1">
      <alignment horizontal="left" wrapText="1"/>
    </xf>
    <xf numFmtId="0" fontId="76" fillId="0" borderId="0" xfId="53" applyFont="1" applyFill="1" applyBorder="1" applyAlignment="1">
      <alignment horizontal="left"/>
    </xf>
    <xf numFmtId="0" fontId="125" fillId="25" borderId="198" xfId="0" applyFont="1" applyFill="1" applyBorder="1" applyAlignment="1">
      <alignment horizontal="center" vertical="center" wrapText="1"/>
    </xf>
    <xf numFmtId="166" fontId="123" fillId="31" borderId="377" xfId="28" applyNumberFormat="1" applyFont="1" applyFill="1" applyBorder="1" applyAlignment="1">
      <alignment horizontal="center"/>
    </xf>
    <xf numFmtId="6" fontId="13" fillId="0" borderId="0" xfId="53" applyNumberFormat="1"/>
    <xf numFmtId="4" fontId="154" fillId="0" borderId="0" xfId="0" applyNumberFormat="1" applyFont="1" applyBorder="1" applyAlignment="1">
      <alignment horizontal="center" wrapText="1"/>
    </xf>
    <xf numFmtId="4" fontId="154" fillId="0" borderId="0" xfId="0" applyNumberFormat="1" applyFont="1" applyBorder="1" applyAlignment="1">
      <alignment horizontal="center" vertical="center" wrapText="1"/>
    </xf>
    <xf numFmtId="4" fontId="154" fillId="0" borderId="0" xfId="0" applyNumberFormat="1" applyFont="1" applyBorder="1" applyAlignment="1">
      <alignment horizontal="center"/>
    </xf>
    <xf numFmtId="6" fontId="154" fillId="0" borderId="0" xfId="0" applyNumberFormat="1" applyFont="1" applyBorder="1" applyAlignment="1">
      <alignment horizontal="center" wrapText="1"/>
    </xf>
    <xf numFmtId="3" fontId="13" fillId="0" borderId="0" xfId="53" applyNumberFormat="1"/>
    <xf numFmtId="3" fontId="154" fillId="0" borderId="0" xfId="0" applyNumberFormat="1" applyFont="1" applyBorder="1" applyAlignment="1">
      <alignment horizontal="center" vertical="center" wrapText="1"/>
    </xf>
    <xf numFmtId="6" fontId="154" fillId="0" borderId="0" xfId="0" applyNumberFormat="1" applyFont="1" applyBorder="1" applyAlignment="1">
      <alignment horizontal="center" vertical="center" wrapText="1"/>
    </xf>
    <xf numFmtId="6" fontId="79" fillId="0" borderId="0" xfId="0" applyNumberFormat="1" applyFont="1" applyBorder="1"/>
    <xf numFmtId="6" fontId="103" fillId="0" borderId="0" xfId="0" applyNumberFormat="1" applyFont="1" applyBorder="1"/>
    <xf numFmtId="6" fontId="0" fillId="0" borderId="0" xfId="0" applyNumberFormat="1" applyAlignment="1">
      <alignment horizontal="right"/>
    </xf>
    <xf numFmtId="17" fontId="13" fillId="0" borderId="0" xfId="0" quotePrefix="1" applyNumberFormat="1" applyFont="1" applyBorder="1" applyAlignment="1">
      <alignment horizontal="left" wrapText="1"/>
    </xf>
    <xf numFmtId="0" fontId="13" fillId="0" borderId="0" xfId="0" applyFont="1" applyBorder="1" applyAlignment="1">
      <alignment vertical="top" wrapText="1"/>
    </xf>
    <xf numFmtId="0" fontId="13" fillId="0" borderId="0" xfId="0" applyFont="1" applyAlignment="1">
      <alignment horizontal="left"/>
    </xf>
    <xf numFmtId="6" fontId="13" fillId="0" borderId="0" xfId="0" applyNumberFormat="1" applyFont="1"/>
    <xf numFmtId="6" fontId="13" fillId="0" borderId="14" xfId="0" applyNumberFormat="1" applyFont="1" applyBorder="1"/>
    <xf numFmtId="0" fontId="13" fillId="0" borderId="14" xfId="0" applyFont="1" applyBorder="1"/>
    <xf numFmtId="6" fontId="13" fillId="0" borderId="0" xfId="0" applyNumberFormat="1" applyFont="1" applyBorder="1"/>
    <xf numFmtId="0" fontId="13" fillId="0" borderId="0" xfId="0" applyFont="1" applyBorder="1"/>
    <xf numFmtId="6" fontId="79" fillId="27" borderId="447" xfId="0" applyNumberFormat="1" applyFont="1" applyFill="1" applyBorder="1"/>
    <xf numFmtId="0" fontId="118" fillId="41" borderId="212" xfId="0" applyFont="1" applyFill="1" applyBorder="1" applyAlignment="1">
      <alignment horizontal="left" wrapText="1"/>
    </xf>
    <xf numFmtId="0" fontId="118" fillId="41" borderId="211" xfId="0" applyFont="1" applyFill="1" applyBorder="1" applyAlignment="1">
      <alignment horizontal="left" wrapText="1"/>
    </xf>
    <xf numFmtId="0" fontId="118" fillId="0" borderId="213" xfId="0" applyFont="1" applyFill="1" applyBorder="1" applyAlignment="1">
      <alignment horizontal="left" wrapText="1"/>
    </xf>
    <xf numFmtId="0" fontId="118" fillId="0" borderId="211" xfId="0" applyFont="1" applyFill="1" applyBorder="1" applyAlignment="1">
      <alignment horizontal="left" wrapText="1"/>
    </xf>
    <xf numFmtId="6" fontId="32" fillId="43" borderId="259" xfId="54" applyNumberFormat="1" applyFont="1" applyFill="1" applyBorder="1" applyAlignment="1" applyProtection="1">
      <alignment horizontal="right"/>
    </xf>
    <xf numFmtId="171" fontId="79" fillId="0" borderId="141" xfId="0" applyNumberFormat="1" applyFont="1" applyFill="1" applyBorder="1" applyAlignment="1">
      <alignment horizontal="right"/>
    </xf>
    <xf numFmtId="171" fontId="79" fillId="0" borderId="140" xfId="0" applyNumberFormat="1" applyFont="1" applyFill="1" applyBorder="1" applyAlignment="1">
      <alignment horizontal="right"/>
    </xf>
    <xf numFmtId="171" fontId="79" fillId="0" borderId="142" xfId="0" applyNumberFormat="1" applyFont="1" applyFill="1" applyBorder="1" applyAlignment="1">
      <alignment horizontal="right"/>
    </xf>
    <xf numFmtId="171" fontId="65" fillId="0" borderId="13" xfId="0" applyNumberFormat="1" applyFont="1" applyBorder="1" applyAlignment="1">
      <alignment horizontal="right"/>
    </xf>
    <xf numFmtId="171" fontId="53" fillId="49" borderId="14" xfId="0" applyNumberFormat="1" applyFont="1" applyFill="1" applyBorder="1" applyAlignment="1">
      <alignment horizontal="right"/>
    </xf>
    <xf numFmtId="171" fontId="65" fillId="33" borderId="14" xfId="0" applyNumberFormat="1" applyFont="1" applyFill="1" applyBorder="1" applyAlignment="1">
      <alignment horizontal="right"/>
    </xf>
    <xf numFmtId="171" fontId="77" fillId="0" borderId="13" xfId="0" applyNumberFormat="1" applyFont="1" applyFill="1" applyBorder="1" applyAlignment="1">
      <alignment horizontal="center" wrapText="1"/>
    </xf>
    <xf numFmtId="171" fontId="78" fillId="28" borderId="13" xfId="0" applyNumberFormat="1" applyFont="1" applyFill="1" applyBorder="1" applyAlignment="1">
      <alignment horizontal="right" wrapText="1"/>
    </xf>
    <xf numFmtId="171" fontId="53" fillId="49" borderId="13" xfId="0" applyNumberFormat="1" applyFont="1" applyFill="1" applyBorder="1" applyAlignment="1">
      <alignment horizontal="right"/>
    </xf>
    <xf numFmtId="171" fontId="65" fillId="47" borderId="14" xfId="0" applyNumberFormat="1" applyFont="1" applyFill="1" applyBorder="1" applyAlignment="1">
      <alignment horizontal="right"/>
    </xf>
    <xf numFmtId="1" fontId="123" fillId="26" borderId="377" xfId="0" quotePrefix="1" applyNumberFormat="1" applyFont="1" applyFill="1" applyBorder="1" applyAlignment="1">
      <alignment horizontal="center"/>
    </xf>
    <xf numFmtId="6" fontId="101" fillId="0" borderId="0" xfId="0" applyNumberFormat="1" applyFont="1" applyFill="1" applyBorder="1" applyAlignment="1">
      <alignment horizontal="center"/>
    </xf>
    <xf numFmtId="6" fontId="79" fillId="41" borderId="377" xfId="0" applyNumberFormat="1" applyFont="1" applyFill="1" applyBorder="1"/>
    <xf numFmtId="5" fontId="20" fillId="0" borderId="144" xfId="0" applyNumberFormat="1" applyFont="1" applyFill="1" applyBorder="1" applyProtection="1"/>
    <xf numFmtId="5" fontId="20" fillId="0" borderId="25" xfId="0" applyNumberFormat="1" applyFont="1" applyFill="1" applyBorder="1" applyProtection="1"/>
    <xf numFmtId="10" fontId="20" fillId="0" borderId="94" xfId="0" applyNumberFormat="1" applyFont="1" applyFill="1" applyBorder="1" applyProtection="1"/>
    <xf numFmtId="0" fontId="18" fillId="0" borderId="206" xfId="0" applyFont="1" applyFill="1" applyBorder="1" applyAlignment="1">
      <alignment horizontal="left" wrapText="1"/>
    </xf>
    <xf numFmtId="5" fontId="20" fillId="0" borderId="459" xfId="0" applyNumberFormat="1" applyFont="1" applyFill="1" applyBorder="1" applyProtection="1"/>
    <xf numFmtId="5" fontId="20" fillId="0" borderId="208" xfId="0" applyNumberFormat="1" applyFont="1" applyFill="1" applyBorder="1" applyProtection="1"/>
    <xf numFmtId="5" fontId="20" fillId="0" borderId="460" xfId="0" applyNumberFormat="1" applyFont="1" applyFill="1" applyBorder="1" applyProtection="1"/>
    <xf numFmtId="5" fontId="20" fillId="0" borderId="207" xfId="0" applyNumberFormat="1" applyFont="1" applyFill="1" applyBorder="1" applyProtection="1"/>
    <xf numFmtId="10" fontId="20" fillId="0" borderId="458" xfId="0" applyNumberFormat="1" applyFont="1" applyFill="1" applyBorder="1" applyProtection="1"/>
    <xf numFmtId="0" fontId="18" fillId="0" borderId="461" xfId="0" quotePrefix="1" applyFont="1" applyFill="1" applyBorder="1" applyAlignment="1">
      <alignment horizontal="center"/>
    </xf>
    <xf numFmtId="0" fontId="18" fillId="0" borderId="462" xfId="0" quotePrefix="1" applyFont="1" applyFill="1" applyBorder="1" applyAlignment="1">
      <alignment horizontal="center"/>
    </xf>
    <xf numFmtId="8" fontId="0" fillId="0" borderId="0" xfId="0" applyNumberFormat="1"/>
    <xf numFmtId="0" fontId="134" fillId="0" borderId="0" xfId="0" applyFont="1" applyBorder="1" applyAlignment="1">
      <alignment horizontal="center" wrapText="1"/>
    </xf>
    <xf numFmtId="0" fontId="135" fillId="0" borderId="0" xfId="0" applyFont="1" applyBorder="1" applyAlignment="1">
      <alignment horizontal="center"/>
    </xf>
    <xf numFmtId="0" fontId="31" fillId="0" borderId="0" xfId="0" applyFont="1" applyBorder="1" applyAlignment="1">
      <alignment horizontal="center"/>
    </xf>
    <xf numFmtId="0" fontId="21" fillId="0" borderId="17" xfId="0" quotePrefix="1" applyFont="1" applyBorder="1" applyAlignment="1">
      <alignment horizontal="center" wrapText="1"/>
    </xf>
    <xf numFmtId="0" fontId="21" fillId="0" borderId="17" xfId="0" applyFont="1" applyBorder="1" applyAlignment="1">
      <alignment horizontal="center" wrapText="1"/>
    </xf>
    <xf numFmtId="0" fontId="61" fillId="27" borderId="131" xfId="0" applyFont="1" applyFill="1" applyBorder="1" applyAlignment="1">
      <alignment horizontal="center" vertical="center" wrapText="1"/>
    </xf>
    <xf numFmtId="0" fontId="29" fillId="27" borderId="50" xfId="0" applyFont="1" applyFill="1" applyBorder="1" applyAlignment="1">
      <alignment horizontal="center" vertical="center" wrapText="1"/>
    </xf>
    <xf numFmtId="0" fontId="29" fillId="27" borderId="23" xfId="0" applyFont="1" applyFill="1" applyBorder="1" applyAlignment="1">
      <alignment horizontal="center" vertical="center" wrapText="1"/>
    </xf>
    <xf numFmtId="0" fontId="28" fillId="27" borderId="131" xfId="0" quotePrefix="1" applyFont="1" applyFill="1" applyBorder="1" applyAlignment="1">
      <alignment horizontal="center" vertical="center" wrapText="1"/>
    </xf>
    <xf numFmtId="0" fontId="28" fillId="27" borderId="50" xfId="0" applyFont="1" applyFill="1" applyBorder="1" applyAlignment="1">
      <alignment horizontal="center" vertical="center" wrapText="1"/>
    </xf>
    <xf numFmtId="0" fontId="28" fillId="27" borderId="23" xfId="0" applyFont="1" applyFill="1" applyBorder="1" applyAlignment="1">
      <alignment horizontal="center" vertical="center" wrapText="1"/>
    </xf>
    <xf numFmtId="0" fontId="28" fillId="0" borderId="134" xfId="0" applyFont="1" applyFill="1" applyBorder="1" applyAlignment="1">
      <alignment horizontal="center" vertical="center" wrapText="1"/>
    </xf>
    <xf numFmtId="0" fontId="28" fillId="0" borderId="135" xfId="0" applyFont="1" applyFill="1" applyBorder="1" applyAlignment="1">
      <alignment horizontal="center" vertical="center"/>
    </xf>
    <xf numFmtId="0" fontId="28" fillId="0" borderId="106" xfId="0" applyFont="1" applyFill="1" applyBorder="1" applyAlignment="1">
      <alignment horizontal="center" vertical="center"/>
    </xf>
    <xf numFmtId="0" fontId="61" fillId="27" borderId="143" xfId="0" applyFont="1" applyFill="1" applyBorder="1" applyAlignment="1">
      <alignment horizontal="center" vertical="center" wrapText="1"/>
    </xf>
    <xf numFmtId="0" fontId="61" fillId="27" borderId="24" xfId="0" applyFont="1" applyFill="1" applyBorder="1" applyAlignment="1">
      <alignment horizontal="center" vertical="center" wrapText="1"/>
    </xf>
    <xf numFmtId="0" fontId="61" fillId="27" borderId="144" xfId="0" applyFont="1" applyFill="1" applyBorder="1" applyAlignment="1">
      <alignment horizontal="center" vertical="center" wrapText="1"/>
    </xf>
    <xf numFmtId="0" fontId="61" fillId="27" borderId="25" xfId="0" applyFont="1" applyFill="1" applyBorder="1" applyAlignment="1">
      <alignment horizontal="center" vertical="center" wrapText="1"/>
    </xf>
    <xf numFmtId="0" fontId="61" fillId="27" borderId="145" xfId="0" applyFont="1" applyFill="1" applyBorder="1" applyAlignment="1">
      <alignment horizontal="center" vertical="center" wrapText="1"/>
    </xf>
    <xf numFmtId="0" fontId="61" fillId="27" borderId="146" xfId="0" applyFont="1" applyFill="1" applyBorder="1" applyAlignment="1">
      <alignment horizontal="center" vertical="center" wrapText="1"/>
    </xf>
    <xf numFmtId="0" fontId="74" fillId="0" borderId="16" xfId="0" applyFont="1" applyBorder="1" applyAlignment="1">
      <alignment horizontal="left" vertical="top" wrapText="1"/>
    </xf>
    <xf numFmtId="0" fontId="18" fillId="0" borderId="138" xfId="0" applyFont="1" applyFill="1" applyBorder="1" applyAlignment="1">
      <alignment horizontal="left" vertical="top" wrapText="1"/>
    </xf>
    <xf numFmtId="0" fontId="18" fillId="0" borderId="139" xfId="0" applyFont="1" applyFill="1" applyBorder="1" applyAlignment="1">
      <alignment horizontal="left" vertical="top" wrapText="1"/>
    </xf>
    <xf numFmtId="0" fontId="28" fillId="0" borderId="132" xfId="0" quotePrefix="1" applyFont="1" applyFill="1" applyBorder="1" applyAlignment="1">
      <alignment horizontal="left" vertical="center" wrapText="1"/>
    </xf>
    <xf numFmtId="0" fontId="28" fillId="0" borderId="133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/>
    </xf>
    <xf numFmtId="0" fontId="25" fillId="27" borderId="62" xfId="0" applyFont="1" applyFill="1" applyBorder="1" applyAlignment="1">
      <alignment horizontal="left" vertical="center" wrapText="1"/>
    </xf>
    <xf numFmtId="0" fontId="0" fillId="0" borderId="136" xfId="0" applyBorder="1" applyAlignment="1">
      <alignment horizontal="left" vertical="center" wrapText="1"/>
    </xf>
    <xf numFmtId="0" fontId="25" fillId="27" borderId="137" xfId="0" applyFont="1" applyFill="1" applyBorder="1" applyAlignment="1">
      <alignment horizontal="left" vertical="center" wrapText="1"/>
    </xf>
    <xf numFmtId="0" fontId="25" fillId="27" borderId="111" xfId="0" applyFont="1" applyFill="1" applyBorder="1" applyAlignment="1">
      <alignment horizontal="left" vertical="center" wrapText="1"/>
    </xf>
    <xf numFmtId="0" fontId="0" fillId="0" borderId="34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32" fillId="49" borderId="0" xfId="0" applyFont="1" applyFill="1" applyBorder="1" applyAlignment="1">
      <alignment horizontal="center" vertical="center" wrapText="1"/>
    </xf>
    <xf numFmtId="0" fontId="32" fillId="49" borderId="197" xfId="0" applyFont="1" applyFill="1" applyBorder="1" applyAlignment="1">
      <alignment horizontal="center" vertical="center" wrapText="1"/>
    </xf>
    <xf numFmtId="0" fontId="32" fillId="27" borderId="26" xfId="0" applyFont="1" applyFill="1" applyBorder="1" applyAlignment="1">
      <alignment horizontal="center" vertical="center" wrapText="1"/>
    </xf>
    <xf numFmtId="0" fontId="32" fillId="35" borderId="10" xfId="0" applyFont="1" applyFill="1" applyBorder="1" applyAlignment="1">
      <alignment horizontal="center" vertical="center" wrapText="1"/>
    </xf>
    <xf numFmtId="0" fontId="32" fillId="35" borderId="11" xfId="0" applyFont="1" applyFill="1" applyBorder="1" applyAlignment="1">
      <alignment horizontal="center" vertical="center" wrapText="1"/>
    </xf>
    <xf numFmtId="0" fontId="32" fillId="35" borderId="13" xfId="0" applyFont="1" applyFill="1" applyBorder="1" applyAlignment="1">
      <alignment horizontal="center" vertical="center" wrapText="1"/>
    </xf>
    <xf numFmtId="0" fontId="76" fillId="25" borderId="449" xfId="0" applyFont="1" applyFill="1" applyBorder="1" applyAlignment="1">
      <alignment horizontal="center"/>
    </xf>
    <xf numFmtId="0" fontId="76" fillId="25" borderId="446" xfId="0" applyFont="1" applyFill="1" applyBorder="1" applyAlignment="1">
      <alignment horizontal="center"/>
    </xf>
    <xf numFmtId="0" fontId="76" fillId="25" borderId="448" xfId="0" applyFont="1" applyFill="1" applyBorder="1" applyAlignment="1">
      <alignment horizontal="center"/>
    </xf>
    <xf numFmtId="0" fontId="32" fillId="31" borderId="26" xfId="0" applyFont="1" applyFill="1" applyBorder="1" applyAlignment="1">
      <alignment horizontal="center" vertical="center" wrapText="1"/>
    </xf>
    <xf numFmtId="0" fontId="32" fillId="62" borderId="10" xfId="0" applyFont="1" applyFill="1" applyBorder="1" applyAlignment="1">
      <alignment horizontal="center" vertical="center" wrapText="1"/>
    </xf>
    <xf numFmtId="0" fontId="32" fillId="62" borderId="11" xfId="0" applyFont="1" applyFill="1" applyBorder="1" applyAlignment="1">
      <alignment horizontal="center" vertical="center" wrapText="1"/>
    </xf>
    <xf numFmtId="0" fontId="32" fillId="62" borderId="13" xfId="0" applyFont="1" applyFill="1" applyBorder="1" applyAlignment="1">
      <alignment horizontal="center" vertical="center" wrapText="1"/>
    </xf>
    <xf numFmtId="0" fontId="76" fillId="39" borderId="35" xfId="0" applyFont="1" applyFill="1" applyBorder="1" applyAlignment="1">
      <alignment horizontal="center"/>
    </xf>
    <xf numFmtId="0" fontId="76" fillId="39" borderId="14" xfId="0" applyFont="1" applyFill="1" applyBorder="1" applyAlignment="1">
      <alignment horizontal="center"/>
    </xf>
    <xf numFmtId="0" fontId="76" fillId="39" borderId="79" xfId="0" applyFont="1" applyFill="1" applyBorder="1" applyAlignment="1">
      <alignment horizontal="center"/>
    </xf>
    <xf numFmtId="0" fontId="17" fillId="25" borderId="376" xfId="0" applyFont="1" applyFill="1" applyBorder="1" applyAlignment="1">
      <alignment horizontal="center" vertical="center" wrapText="1"/>
    </xf>
    <xf numFmtId="0" fontId="17" fillId="25" borderId="198" xfId="0" applyFont="1" applyFill="1" applyBorder="1" applyAlignment="1">
      <alignment horizontal="center" vertical="center" wrapText="1"/>
    </xf>
    <xf numFmtId="0" fontId="17" fillId="25" borderId="13" xfId="0" applyFont="1" applyFill="1" applyBorder="1" applyAlignment="1">
      <alignment horizontal="center" vertical="center" wrapText="1"/>
    </xf>
    <xf numFmtId="0" fontId="53" fillId="39" borderId="376" xfId="0" applyFont="1" applyFill="1" applyBorder="1" applyAlignment="1">
      <alignment horizontal="center" vertical="center" wrapText="1"/>
    </xf>
    <xf numFmtId="0" fontId="53" fillId="39" borderId="198" xfId="0" applyFont="1" applyFill="1" applyBorder="1" applyAlignment="1">
      <alignment horizontal="center" vertical="center" wrapText="1"/>
    </xf>
    <xf numFmtId="0" fontId="53" fillId="39" borderId="13" xfId="0" applyFont="1" applyFill="1" applyBorder="1" applyAlignment="1">
      <alignment horizontal="center" vertical="center" wrapText="1"/>
    </xf>
    <xf numFmtId="0" fontId="17" fillId="39" borderId="376" xfId="0" applyFont="1" applyFill="1" applyBorder="1" applyAlignment="1">
      <alignment horizontal="center" vertical="center" wrapText="1"/>
    </xf>
    <xf numFmtId="0" fontId="17" fillId="39" borderId="198" xfId="0" applyFont="1" applyFill="1" applyBorder="1" applyAlignment="1">
      <alignment horizontal="center" vertical="center" wrapText="1"/>
    </xf>
    <xf numFmtId="0" fontId="17" fillId="39" borderId="13" xfId="0" applyFont="1" applyFill="1" applyBorder="1" applyAlignment="1">
      <alignment horizontal="center" vertical="center" wrapText="1"/>
    </xf>
    <xf numFmtId="0" fontId="76" fillId="39" borderId="201" xfId="0" applyFont="1" applyFill="1" applyBorder="1" applyAlignment="1">
      <alignment horizontal="center"/>
    </xf>
    <xf numFmtId="0" fontId="76" fillId="39" borderId="375" xfId="0" applyFont="1" applyFill="1" applyBorder="1" applyAlignment="1">
      <alignment horizontal="center"/>
    </xf>
    <xf numFmtId="0" fontId="76" fillId="39" borderId="200" xfId="0" applyFont="1" applyFill="1" applyBorder="1" applyAlignment="1">
      <alignment horizontal="center"/>
    </xf>
    <xf numFmtId="0" fontId="32" fillId="25" borderId="10" xfId="0" applyFont="1" applyFill="1" applyBorder="1" applyAlignment="1" applyProtection="1">
      <alignment horizontal="center" vertical="center"/>
    </xf>
    <xf numFmtId="0" fontId="32" fillId="25" borderId="11" xfId="0" applyFont="1" applyFill="1" applyBorder="1" applyAlignment="1" applyProtection="1">
      <alignment horizontal="center" vertical="center"/>
    </xf>
    <xf numFmtId="0" fontId="32" fillId="25" borderId="13" xfId="0" applyFont="1" applyFill="1" applyBorder="1" applyAlignment="1" applyProtection="1">
      <alignment horizontal="center" vertical="center"/>
    </xf>
    <xf numFmtId="0" fontId="17" fillId="25" borderId="377" xfId="0" applyFont="1" applyFill="1" applyBorder="1" applyAlignment="1">
      <alignment horizontal="center" vertical="center" wrapText="1"/>
    </xf>
    <xf numFmtId="0" fontId="32" fillId="27" borderId="196" xfId="0" applyFont="1" applyFill="1" applyBorder="1" applyAlignment="1">
      <alignment horizontal="center" vertical="center" wrapText="1"/>
    </xf>
    <xf numFmtId="0" fontId="32" fillId="27" borderId="198" xfId="0" applyFont="1" applyFill="1" applyBorder="1" applyAlignment="1">
      <alignment horizontal="center" vertical="center" wrapText="1"/>
    </xf>
    <xf numFmtId="0" fontId="32" fillId="27" borderId="13" xfId="0" applyFont="1" applyFill="1" applyBorder="1" applyAlignment="1">
      <alignment horizontal="center" vertical="center" wrapText="1"/>
    </xf>
    <xf numFmtId="0" fontId="32" fillId="25" borderId="447" xfId="0" applyFont="1" applyFill="1" applyBorder="1" applyAlignment="1">
      <alignment horizontal="center" vertical="center" wrapText="1"/>
    </xf>
    <xf numFmtId="0" fontId="32" fillId="25" borderId="198" xfId="0" applyFont="1" applyFill="1" applyBorder="1" applyAlignment="1">
      <alignment horizontal="center" vertical="center" wrapText="1"/>
    </xf>
    <xf numFmtId="0" fontId="32" fillId="25" borderId="13" xfId="0" applyFont="1" applyFill="1" applyBorder="1" applyAlignment="1">
      <alignment horizontal="center" vertical="center" wrapText="1"/>
    </xf>
    <xf numFmtId="0" fontId="32" fillId="25" borderId="10" xfId="0" applyFont="1" applyFill="1" applyBorder="1" applyAlignment="1" applyProtection="1">
      <alignment horizontal="center" vertical="center" wrapText="1"/>
    </xf>
    <xf numFmtId="0" fontId="74" fillId="0" borderId="0" xfId="0" applyFont="1" applyAlignment="1">
      <alignment horizontal="left" vertical="top" wrapText="1"/>
    </xf>
    <xf numFmtId="0" fontId="65" fillId="0" borderId="86" xfId="0" applyFont="1" applyBorder="1" applyAlignment="1">
      <alignment horizontal="center" vertical="top" wrapText="1"/>
    </xf>
    <xf numFmtId="0" fontId="65" fillId="0" borderId="37" xfId="0" applyFont="1" applyBorder="1" applyAlignment="1">
      <alignment horizontal="center" vertical="top" wrapText="1"/>
    </xf>
    <xf numFmtId="0" fontId="65" fillId="0" borderId="76" xfId="0" applyFont="1" applyBorder="1" applyAlignment="1">
      <alignment horizontal="center" vertical="top" wrapText="1"/>
    </xf>
    <xf numFmtId="0" fontId="13" fillId="0" borderId="86" xfId="0" applyFont="1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13" fillId="0" borderId="37" xfId="0" applyFont="1" applyBorder="1" applyAlignment="1">
      <alignment horizontal="left" vertical="top" wrapText="1"/>
    </xf>
    <xf numFmtId="0" fontId="32" fillId="31" borderId="214" xfId="0" applyFont="1" applyFill="1" applyBorder="1" applyAlignment="1">
      <alignment horizontal="center" vertical="center" wrapText="1"/>
    </xf>
    <xf numFmtId="0" fontId="32" fillId="31" borderId="197" xfId="0" applyFont="1" applyFill="1" applyBorder="1" applyAlignment="1">
      <alignment horizontal="center" vertical="center" wrapText="1"/>
    </xf>
    <xf numFmtId="0" fontId="32" fillId="31" borderId="35" xfId="0" applyFont="1" applyFill="1" applyBorder="1" applyAlignment="1">
      <alignment horizontal="center" vertical="center" wrapText="1"/>
    </xf>
    <xf numFmtId="0" fontId="32" fillId="31" borderId="447" xfId="0" applyFont="1" applyFill="1" applyBorder="1" applyAlignment="1">
      <alignment horizontal="center" vertical="center" wrapText="1"/>
    </xf>
    <xf numFmtId="0" fontId="32" fillId="31" borderId="198" xfId="0" applyFont="1" applyFill="1" applyBorder="1" applyAlignment="1">
      <alignment horizontal="center" vertical="center" wrapText="1"/>
    </xf>
    <xf numFmtId="0" fontId="32" fillId="31" borderId="13" xfId="0" applyFont="1" applyFill="1" applyBorder="1" applyAlignment="1">
      <alignment horizontal="center" vertical="center" wrapText="1"/>
    </xf>
    <xf numFmtId="0" fontId="32" fillId="43" borderId="437" xfId="0" applyFont="1" applyFill="1" applyBorder="1" applyAlignment="1">
      <alignment horizontal="center" vertical="center" wrapText="1"/>
    </xf>
    <xf numFmtId="0" fontId="32" fillId="43" borderId="198" xfId="0" applyFont="1" applyFill="1" applyBorder="1" applyAlignment="1">
      <alignment horizontal="center" vertical="center" wrapText="1"/>
    </xf>
    <xf numFmtId="0" fontId="32" fillId="25" borderId="447" xfId="0" applyFont="1" applyFill="1" applyBorder="1" applyAlignment="1" applyProtection="1">
      <alignment horizontal="center" vertical="center" wrapText="1"/>
    </xf>
    <xf numFmtId="0" fontId="32" fillId="25" borderId="198" xfId="0" applyFont="1" applyFill="1" applyBorder="1" applyAlignment="1" applyProtection="1">
      <alignment horizontal="center" vertical="center" wrapText="1"/>
    </xf>
    <xf numFmtId="0" fontId="116" fillId="0" borderId="0" xfId="0" applyFont="1" applyAlignment="1">
      <alignment horizontal="left" wrapText="1"/>
    </xf>
    <xf numFmtId="0" fontId="32" fillId="27" borderId="437" xfId="0" applyFont="1" applyFill="1" applyBorder="1" applyAlignment="1">
      <alignment horizontal="center" vertical="center" wrapText="1"/>
    </xf>
    <xf numFmtId="0" fontId="32" fillId="43" borderId="10" xfId="0" applyFont="1" applyFill="1" applyBorder="1" applyAlignment="1">
      <alignment horizontal="center" vertical="center" wrapText="1"/>
    </xf>
    <xf numFmtId="0" fontId="32" fillId="43" borderId="11" xfId="0" applyFont="1" applyFill="1" applyBorder="1" applyAlignment="1">
      <alignment horizontal="center" vertical="center" wrapText="1"/>
    </xf>
    <xf numFmtId="0" fontId="32" fillId="60" borderId="10" xfId="0" applyFont="1" applyFill="1" applyBorder="1" applyAlignment="1">
      <alignment horizontal="center" vertical="center" wrapText="1"/>
    </xf>
    <xf numFmtId="0" fontId="32" fillId="60" borderId="11" xfId="0" applyFont="1" applyFill="1" applyBorder="1" applyAlignment="1">
      <alignment horizontal="center" vertical="center" wrapText="1"/>
    </xf>
    <xf numFmtId="0" fontId="32" fillId="53" borderId="437" xfId="0" applyFont="1" applyFill="1" applyBorder="1" applyAlignment="1">
      <alignment horizontal="center" vertical="center" wrapText="1"/>
    </xf>
    <xf numFmtId="0" fontId="32" fillId="53" borderId="198" xfId="0" applyFont="1" applyFill="1" applyBorder="1" applyAlignment="1">
      <alignment horizontal="center" vertical="center" wrapText="1"/>
    </xf>
    <xf numFmtId="0" fontId="32" fillId="43" borderId="13" xfId="0" applyFont="1" applyFill="1" applyBorder="1" applyAlignment="1">
      <alignment horizontal="center" vertical="center" wrapText="1"/>
    </xf>
    <xf numFmtId="0" fontId="32" fillId="27" borderId="10" xfId="0" applyFont="1" applyFill="1" applyBorder="1" applyAlignment="1">
      <alignment horizontal="center" vertical="center" wrapText="1"/>
    </xf>
    <xf numFmtId="0" fontId="32" fillId="27" borderId="11" xfId="0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0" xfId="0" applyFont="1" applyBorder="1" applyAlignment="1">
      <alignment vertical="center" wrapText="1"/>
    </xf>
    <xf numFmtId="0" fontId="36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vertical="center" wrapText="1"/>
    </xf>
    <xf numFmtId="0" fontId="47" fillId="31" borderId="86" xfId="0" applyFont="1" applyFill="1" applyBorder="1" applyAlignment="1">
      <alignment horizontal="center"/>
    </xf>
    <xf numFmtId="0" fontId="47" fillId="31" borderId="37" xfId="0" applyFont="1" applyFill="1" applyBorder="1" applyAlignment="1">
      <alignment horizontal="center"/>
    </xf>
    <xf numFmtId="0" fontId="47" fillId="31" borderId="76" xfId="0" applyFont="1" applyFill="1" applyBorder="1" applyAlignment="1">
      <alignment horizontal="center"/>
    </xf>
    <xf numFmtId="9" fontId="27" fillId="27" borderId="201" xfId="48" applyFont="1" applyFill="1" applyBorder="1" applyAlignment="1">
      <alignment horizontal="center"/>
    </xf>
    <xf numFmtId="9" fontId="27" fillId="27" borderId="200" xfId="48" applyFont="1" applyFill="1" applyBorder="1" applyAlignment="1">
      <alignment horizontal="center"/>
    </xf>
    <xf numFmtId="9" fontId="27" fillId="27" borderId="201" xfId="0" applyNumberFormat="1" applyFont="1" applyFill="1" applyBorder="1" applyAlignment="1">
      <alignment horizontal="center"/>
    </xf>
    <xf numFmtId="9" fontId="27" fillId="27" borderId="200" xfId="0" applyNumberFormat="1" applyFont="1" applyFill="1" applyBorder="1" applyAlignment="1">
      <alignment horizontal="center"/>
    </xf>
    <xf numFmtId="0" fontId="16" fillId="31" borderId="36" xfId="0" applyFont="1" applyFill="1" applyBorder="1" applyAlignment="1">
      <alignment horizontal="center"/>
    </xf>
    <xf numFmtId="0" fontId="16" fillId="31" borderId="42" xfId="0" applyFont="1" applyFill="1" applyBorder="1" applyAlignment="1">
      <alignment horizontal="center"/>
    </xf>
    <xf numFmtId="7" fontId="62" fillId="0" borderId="0" xfId="32" applyNumberFormat="1" applyFont="1" applyAlignment="1">
      <alignment horizontal="center" wrapText="1"/>
    </xf>
    <xf numFmtId="0" fontId="37" fillId="0" borderId="0" xfId="0" applyFont="1" applyBorder="1" applyAlignment="1">
      <alignment horizontal="center" vertical="center" wrapText="1"/>
    </xf>
    <xf numFmtId="0" fontId="38" fillId="0" borderId="0" xfId="0" applyFont="1" applyBorder="1" applyAlignment="1">
      <alignment vertical="center" wrapText="1"/>
    </xf>
    <xf numFmtId="0" fontId="47" fillId="36" borderId="86" xfId="0" applyFont="1" applyFill="1" applyBorder="1" applyAlignment="1">
      <alignment horizontal="center"/>
    </xf>
    <xf numFmtId="0" fontId="47" fillId="36" borderId="37" xfId="0" applyFont="1" applyFill="1" applyBorder="1" applyAlignment="1">
      <alignment horizontal="center"/>
    </xf>
    <xf numFmtId="0" fontId="47" fillId="36" borderId="76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left" wrapText="1"/>
    </xf>
    <xf numFmtId="0" fontId="32" fillId="25" borderId="10" xfId="0" applyFont="1" applyFill="1" applyBorder="1" applyAlignment="1">
      <alignment horizontal="center" vertical="center" wrapText="1"/>
    </xf>
    <xf numFmtId="0" fontId="32" fillId="25" borderId="26" xfId="0" applyFont="1" applyFill="1" applyBorder="1" applyAlignment="1" applyProtection="1">
      <alignment horizontal="center" vertical="center" wrapText="1"/>
    </xf>
    <xf numFmtId="0" fontId="32" fillId="25" borderId="26" xfId="0" applyFont="1" applyFill="1" applyBorder="1" applyAlignment="1" applyProtection="1">
      <alignment horizontal="center" vertical="center"/>
    </xf>
    <xf numFmtId="0" fontId="32" fillId="25" borderId="36" xfId="0" applyFont="1" applyFill="1" applyBorder="1" applyAlignment="1" applyProtection="1">
      <alignment horizontal="center" vertical="center" wrapText="1"/>
    </xf>
    <xf numFmtId="0" fontId="51" fillId="25" borderId="10" xfId="0" applyFont="1" applyFill="1" applyBorder="1" applyAlignment="1">
      <alignment horizontal="center" vertical="center" wrapText="1"/>
    </xf>
    <xf numFmtId="0" fontId="51" fillId="25" borderId="13" xfId="0" applyFont="1" applyFill="1" applyBorder="1" applyAlignment="1">
      <alignment horizontal="center" vertical="center" wrapText="1"/>
    </xf>
    <xf numFmtId="0" fontId="32" fillId="25" borderId="13" xfId="0" quotePrefix="1" applyFont="1" applyFill="1" applyBorder="1" applyAlignment="1">
      <alignment horizontal="center" vertical="center" wrapText="1"/>
    </xf>
    <xf numFmtId="0" fontId="32" fillId="56" borderId="10" xfId="0" applyFont="1" applyFill="1" applyBorder="1" applyAlignment="1">
      <alignment horizontal="center" vertical="center" wrapText="1"/>
    </xf>
    <xf numFmtId="0" fontId="32" fillId="56" borderId="13" xfId="0" applyFont="1" applyFill="1" applyBorder="1" applyAlignment="1">
      <alignment horizontal="center" vertical="center" wrapText="1"/>
    </xf>
    <xf numFmtId="0" fontId="71" fillId="27" borderId="10" xfId="0" applyFont="1" applyFill="1" applyBorder="1" applyAlignment="1">
      <alignment horizontal="center" vertical="center" wrapText="1"/>
    </xf>
    <xf numFmtId="0" fontId="71" fillId="61" borderId="36" xfId="0" applyFont="1" applyFill="1" applyBorder="1" applyAlignment="1" applyProtection="1">
      <alignment horizontal="center" vertical="center" wrapText="1"/>
    </xf>
    <xf numFmtId="0" fontId="71" fillId="61" borderId="51" xfId="0" applyFont="1" applyFill="1" applyBorder="1" applyAlignment="1" applyProtection="1">
      <alignment horizontal="center" vertical="center" wrapText="1"/>
    </xf>
    <xf numFmtId="0" fontId="71" fillId="61" borderId="42" xfId="0" applyFont="1" applyFill="1" applyBorder="1" applyAlignment="1" applyProtection="1">
      <alignment horizontal="center" vertical="center" wrapText="1"/>
    </xf>
    <xf numFmtId="0" fontId="71" fillId="37" borderId="36" xfId="0" applyFont="1" applyFill="1" applyBorder="1" applyAlignment="1" applyProtection="1">
      <alignment horizontal="center" vertical="center" wrapText="1"/>
    </xf>
    <xf numFmtId="0" fontId="71" fillId="37" borderId="42" xfId="0" quotePrefix="1" applyFont="1" applyFill="1" applyBorder="1" applyAlignment="1" applyProtection="1">
      <alignment horizontal="center" vertical="center" wrapText="1"/>
    </xf>
    <xf numFmtId="0" fontId="72" fillId="43" borderId="42" xfId="0" applyFont="1" applyFill="1" applyBorder="1" applyAlignment="1">
      <alignment horizontal="center" vertical="center" wrapText="1"/>
    </xf>
    <xf numFmtId="0" fontId="32" fillId="43" borderId="10" xfId="0" quotePrefix="1" applyFont="1" applyFill="1" applyBorder="1" applyAlignment="1">
      <alignment horizontal="center" vertical="center" wrapText="1"/>
    </xf>
    <xf numFmtId="0" fontId="32" fillId="43" borderId="13" xfId="0" quotePrefix="1" applyFont="1" applyFill="1" applyBorder="1" applyAlignment="1">
      <alignment horizontal="center" vertical="center" wrapText="1"/>
    </xf>
    <xf numFmtId="6" fontId="99" fillId="0" borderId="130" xfId="0" applyNumberFormat="1" applyFont="1" applyFill="1" applyBorder="1" applyAlignment="1" applyProtection="1">
      <alignment horizontal="center" vertical="top" wrapText="1"/>
    </xf>
    <xf numFmtId="6" fontId="99" fillId="0" borderId="0" xfId="0" applyNumberFormat="1" applyFont="1" applyFill="1" applyBorder="1" applyAlignment="1" applyProtection="1">
      <alignment horizontal="center" vertical="top" wrapText="1"/>
    </xf>
    <xf numFmtId="0" fontId="71" fillId="27" borderId="36" xfId="0" applyFont="1" applyFill="1" applyBorder="1" applyAlignment="1">
      <alignment horizontal="center" vertical="center" wrapText="1"/>
    </xf>
    <xf numFmtId="0" fontId="71" fillId="27" borderId="42" xfId="0" applyFont="1" applyFill="1" applyBorder="1" applyAlignment="1">
      <alignment horizontal="center" vertical="center" wrapText="1"/>
    </xf>
    <xf numFmtId="0" fontId="32" fillId="27" borderId="196" xfId="65" quotePrefix="1" applyFont="1" applyFill="1" applyBorder="1" applyAlignment="1">
      <alignment horizontal="center" vertical="center" wrapText="1"/>
    </xf>
    <xf numFmtId="0" fontId="32" fillId="27" borderId="13" xfId="65" quotePrefix="1" applyFont="1" applyFill="1" applyBorder="1" applyAlignment="1">
      <alignment horizontal="center" vertical="center" wrapText="1"/>
    </xf>
    <xf numFmtId="0" fontId="32" fillId="29" borderId="196" xfId="65" quotePrefix="1" applyFont="1" applyFill="1" applyBorder="1" applyAlignment="1">
      <alignment horizontal="center" vertical="center" wrapText="1"/>
    </xf>
    <xf numFmtId="0" fontId="32" fillId="29" borderId="13" xfId="65" quotePrefix="1" applyFont="1" applyFill="1" applyBorder="1" applyAlignment="1">
      <alignment horizontal="center" vertical="center" wrapText="1"/>
    </xf>
    <xf numFmtId="0" fontId="32" fillId="25" borderId="196" xfId="65" quotePrefix="1" applyFont="1" applyFill="1" applyBorder="1" applyAlignment="1">
      <alignment horizontal="center" vertical="center" wrapText="1"/>
    </xf>
    <xf numFmtId="0" fontId="32" fillId="25" borderId="13" xfId="65" quotePrefix="1" applyFont="1" applyFill="1" applyBorder="1" applyAlignment="1">
      <alignment horizontal="center" vertical="center" wrapText="1"/>
    </xf>
    <xf numFmtId="0" fontId="32" fillId="27" borderId="201" xfId="0" applyFont="1" applyFill="1" applyBorder="1" applyAlignment="1">
      <alignment horizontal="center" vertical="center" wrapText="1"/>
    </xf>
    <xf numFmtId="0" fontId="32" fillId="27" borderId="375" xfId="0" applyFont="1" applyFill="1" applyBorder="1" applyAlignment="1">
      <alignment horizontal="center" vertical="center" wrapText="1"/>
    </xf>
    <xf numFmtId="0" fontId="32" fillId="27" borderId="200" xfId="0" applyFont="1" applyFill="1" applyBorder="1" applyAlignment="1">
      <alignment horizontal="center" vertical="center" wrapText="1"/>
    </xf>
    <xf numFmtId="0" fontId="32" fillId="29" borderId="10" xfId="0" applyFont="1" applyFill="1" applyBorder="1" applyAlignment="1">
      <alignment horizontal="center" vertical="center" wrapText="1"/>
    </xf>
    <xf numFmtId="0" fontId="32" fillId="29" borderId="13" xfId="0" applyFont="1" applyFill="1" applyBorder="1" applyAlignment="1">
      <alignment horizontal="center" vertical="center" wrapText="1"/>
    </xf>
    <xf numFmtId="0" fontId="32" fillId="43" borderId="447" xfId="0" applyFont="1" applyFill="1" applyBorder="1" applyAlignment="1">
      <alignment horizontal="center" vertical="center" wrapText="1"/>
    </xf>
    <xf numFmtId="0" fontId="66" fillId="0" borderId="0" xfId="0" applyFont="1" applyFill="1" applyAlignment="1">
      <alignment horizontal="left" vertical="top" wrapText="1"/>
    </xf>
    <xf numFmtId="0" fontId="32" fillId="57" borderId="10" xfId="0" applyFont="1" applyFill="1" applyBorder="1" applyAlignment="1">
      <alignment horizontal="center" vertical="center" wrapText="1"/>
    </xf>
    <xf numFmtId="0" fontId="32" fillId="57" borderId="13" xfId="0" applyFont="1" applyFill="1" applyBorder="1" applyAlignment="1">
      <alignment horizontal="center" vertical="center" wrapText="1"/>
    </xf>
    <xf numFmtId="0" fontId="32" fillId="27" borderId="376" xfId="0" applyFont="1" applyFill="1" applyBorder="1" applyAlignment="1">
      <alignment horizontal="center" vertical="center" wrapText="1"/>
    </xf>
    <xf numFmtId="0" fontId="32" fillId="27" borderId="447" xfId="0" applyFont="1" applyFill="1" applyBorder="1" applyAlignment="1">
      <alignment horizontal="center" vertical="center" wrapText="1"/>
    </xf>
    <xf numFmtId="0" fontId="130" fillId="0" borderId="0" xfId="0" applyFont="1" applyBorder="1" applyAlignment="1">
      <alignment horizontal="left" wrapText="1"/>
    </xf>
    <xf numFmtId="0" fontId="128" fillId="0" borderId="0" xfId="0" applyFont="1" applyAlignment="1">
      <alignment horizontal="left" wrapText="1"/>
    </xf>
    <xf numFmtId="0" fontId="128" fillId="0" borderId="0" xfId="0" applyFont="1" applyAlignment="1">
      <alignment horizontal="left"/>
    </xf>
    <xf numFmtId="0" fontId="105" fillId="0" borderId="0" xfId="0" applyFont="1" applyBorder="1" applyAlignment="1">
      <alignment horizontal="left" wrapText="1"/>
    </xf>
    <xf numFmtId="0" fontId="121" fillId="28" borderId="36" xfId="0" applyFont="1" applyFill="1" applyBorder="1" applyAlignment="1">
      <alignment horizontal="center" wrapText="1"/>
    </xf>
    <xf numFmtId="0" fontId="121" fillId="28" borderId="51" xfId="0" applyFont="1" applyFill="1" applyBorder="1" applyAlignment="1">
      <alignment horizontal="center" wrapText="1"/>
    </xf>
    <xf numFmtId="0" fontId="121" fillId="28" borderId="446" xfId="0" applyFont="1" applyFill="1" applyBorder="1" applyAlignment="1">
      <alignment horizontal="center" wrapText="1"/>
    </xf>
    <xf numFmtId="0" fontId="125" fillId="27" borderId="10" xfId="0" applyFont="1" applyFill="1" applyBorder="1" applyAlignment="1">
      <alignment horizontal="center" vertical="center" wrapText="1"/>
    </xf>
    <xf numFmtId="0" fontId="125" fillId="27" borderId="13" xfId="0" applyFont="1" applyFill="1" applyBorder="1" applyAlignment="1">
      <alignment horizontal="center" vertical="center" wrapText="1"/>
    </xf>
    <xf numFmtId="0" fontId="125" fillId="25" borderId="10" xfId="0" applyFont="1" applyFill="1" applyBorder="1" applyAlignment="1">
      <alignment horizontal="center" vertical="center" wrapText="1"/>
    </xf>
    <xf numFmtId="0" fontId="125" fillId="25" borderId="13" xfId="0" applyFont="1" applyFill="1" applyBorder="1" applyAlignment="1">
      <alignment horizontal="center" vertical="center" wrapText="1"/>
    </xf>
    <xf numFmtId="0" fontId="125" fillId="29" borderId="10" xfId="0" applyFont="1" applyFill="1" applyBorder="1" applyAlignment="1">
      <alignment horizontal="center" vertical="center" wrapText="1"/>
    </xf>
    <xf numFmtId="0" fontId="125" fillId="29" borderId="13" xfId="0" applyFont="1" applyFill="1" applyBorder="1" applyAlignment="1">
      <alignment horizontal="center" vertical="center" wrapText="1"/>
    </xf>
    <xf numFmtId="0" fontId="125" fillId="27" borderId="447" xfId="0" applyFont="1" applyFill="1" applyBorder="1" applyAlignment="1">
      <alignment horizontal="center" vertical="center" wrapText="1"/>
    </xf>
    <xf numFmtId="0" fontId="131" fillId="50" borderId="449" xfId="0" applyFont="1" applyFill="1" applyBorder="1" applyAlignment="1">
      <alignment horizontal="center" vertical="center" wrapText="1"/>
    </xf>
    <xf numFmtId="0" fontId="131" fillId="50" borderId="446" xfId="0" applyFont="1" applyFill="1" applyBorder="1" applyAlignment="1">
      <alignment horizontal="center" vertical="center" wrapText="1"/>
    </xf>
    <xf numFmtId="0" fontId="131" fillId="50" borderId="448" xfId="0" applyFont="1" applyFill="1" applyBorder="1" applyAlignment="1">
      <alignment horizontal="center" vertical="center" wrapText="1"/>
    </xf>
    <xf numFmtId="0" fontId="127" fillId="29" borderId="10" xfId="0" applyFont="1" applyFill="1" applyBorder="1" applyAlignment="1">
      <alignment horizontal="center" vertical="center" wrapText="1"/>
    </xf>
    <xf numFmtId="0" fontId="127" fillId="29" borderId="13" xfId="0" applyFont="1" applyFill="1" applyBorder="1" applyAlignment="1">
      <alignment horizontal="center" vertical="center" wrapText="1"/>
    </xf>
    <xf numFmtId="0" fontId="121" fillId="28" borderId="449" xfId="0" applyFont="1" applyFill="1" applyBorder="1" applyAlignment="1">
      <alignment horizontal="center" wrapText="1"/>
    </xf>
    <xf numFmtId="0" fontId="125" fillId="42" borderId="10" xfId="0" applyFont="1" applyFill="1" applyBorder="1" applyAlignment="1">
      <alignment horizontal="center" vertical="center" wrapText="1"/>
    </xf>
    <xf numFmtId="0" fontId="125" fillId="42" borderId="13" xfId="0" applyFont="1" applyFill="1" applyBorder="1" applyAlignment="1">
      <alignment horizontal="center" vertical="center" wrapText="1"/>
    </xf>
    <xf numFmtId="0" fontId="125" fillId="53" borderId="10" xfId="0" applyFont="1" applyFill="1" applyBorder="1" applyAlignment="1">
      <alignment horizontal="center" vertical="center" wrapText="1"/>
    </xf>
    <xf numFmtId="0" fontId="125" fillId="53" borderId="13" xfId="0" applyFont="1" applyFill="1" applyBorder="1" applyAlignment="1">
      <alignment horizontal="center" vertical="center" wrapText="1"/>
    </xf>
    <xf numFmtId="0" fontId="124" fillId="37" borderId="35" xfId="0" applyFont="1" applyFill="1" applyBorder="1" applyAlignment="1" applyProtection="1">
      <alignment horizontal="center" vertical="center" wrapText="1"/>
    </xf>
    <xf numFmtId="0" fontId="124" fillId="37" borderId="79" xfId="0" quotePrefix="1" applyFont="1" applyFill="1" applyBorder="1" applyAlignment="1" applyProtection="1">
      <alignment horizontal="center" vertical="center" wrapText="1"/>
    </xf>
    <xf numFmtId="0" fontId="102" fillId="27" borderId="449" xfId="254" applyFont="1" applyFill="1" applyBorder="1" applyAlignment="1">
      <alignment horizontal="center" vertical="center" wrapText="1"/>
    </xf>
    <xf numFmtId="0" fontId="102" fillId="27" borderId="446" xfId="254" applyFont="1" applyFill="1" applyBorder="1" applyAlignment="1">
      <alignment horizontal="center" vertical="center" wrapText="1"/>
    </xf>
    <xf numFmtId="0" fontId="102" fillId="27" borderId="448" xfId="254" applyFont="1" applyFill="1" applyBorder="1" applyAlignment="1">
      <alignment horizontal="center" vertical="center" wrapText="1"/>
    </xf>
    <xf numFmtId="0" fontId="71" fillId="27" borderId="449" xfId="254" applyFont="1" applyFill="1" applyBorder="1" applyAlignment="1">
      <alignment horizontal="center" vertical="center" wrapText="1"/>
    </xf>
    <xf numFmtId="0" fontId="71" fillId="27" borderId="446" xfId="254" applyFont="1" applyFill="1" applyBorder="1" applyAlignment="1">
      <alignment horizontal="center" vertical="center" wrapText="1"/>
    </xf>
    <xf numFmtId="0" fontId="71" fillId="27" borderId="448" xfId="254" applyFont="1" applyFill="1" applyBorder="1" applyAlignment="1">
      <alignment horizontal="center" vertical="center" wrapText="1"/>
    </xf>
    <xf numFmtId="0" fontId="32" fillId="43" borderId="447" xfId="254" applyFont="1" applyFill="1" applyBorder="1" applyAlignment="1">
      <alignment horizontal="center" vertical="center" wrapText="1"/>
    </xf>
    <xf numFmtId="0" fontId="32" fillId="43" borderId="13" xfId="254" applyFont="1" applyFill="1" applyBorder="1" applyAlignment="1">
      <alignment horizontal="center" vertical="center" wrapText="1"/>
    </xf>
    <xf numFmtId="0" fontId="53" fillId="54" borderId="26" xfId="0" applyFont="1" applyFill="1" applyBorder="1" applyAlignment="1">
      <alignment horizontal="center" vertical="center"/>
    </xf>
    <xf numFmtId="0" fontId="32" fillId="54" borderId="10" xfId="0" applyFont="1" applyFill="1" applyBorder="1" applyAlignment="1">
      <alignment horizontal="center" vertical="center" wrapText="1"/>
    </xf>
    <xf numFmtId="0" fontId="32" fillId="54" borderId="13" xfId="0" applyFont="1" applyFill="1" applyBorder="1" applyAlignment="1">
      <alignment horizontal="center" vertical="center" wrapText="1"/>
    </xf>
    <xf numFmtId="0" fontId="127" fillId="29" borderId="447" xfId="0" applyFont="1" applyFill="1" applyBorder="1" applyAlignment="1">
      <alignment horizontal="center" vertical="center" wrapText="1"/>
    </xf>
    <xf numFmtId="49" fontId="32" fillId="56" borderId="447" xfId="53" applyNumberFormat="1" applyFont="1" applyFill="1" applyBorder="1" applyAlignment="1">
      <alignment horizontal="center" vertical="center" wrapText="1"/>
    </xf>
    <xf numFmtId="49" fontId="32" fillId="56" borderId="13" xfId="53" applyNumberFormat="1" applyFont="1" applyFill="1" applyBorder="1" applyAlignment="1">
      <alignment horizontal="center" vertical="center" wrapText="1"/>
    </xf>
    <xf numFmtId="49" fontId="32" fillId="43" borderId="447" xfId="53" applyNumberFormat="1" applyFont="1" applyFill="1" applyBorder="1" applyAlignment="1">
      <alignment horizontal="center" vertical="center" wrapText="1"/>
    </xf>
    <xf numFmtId="49" fontId="32" fillId="43" borderId="13" xfId="53" applyNumberFormat="1" applyFont="1" applyFill="1" applyBorder="1" applyAlignment="1">
      <alignment horizontal="center" vertical="center" wrapText="1"/>
    </xf>
    <xf numFmtId="0" fontId="13" fillId="59" borderId="0" xfId="0" applyFont="1" applyFill="1" applyAlignment="1">
      <alignment horizontal="center"/>
    </xf>
    <xf numFmtId="0" fontId="13" fillId="40" borderId="0" xfId="0" applyFont="1" applyFill="1" applyAlignment="1">
      <alignment horizontal="center"/>
    </xf>
    <xf numFmtId="0" fontId="13" fillId="39" borderId="0" xfId="0" applyFont="1" applyFill="1" applyAlignment="1">
      <alignment horizontal="center"/>
    </xf>
    <xf numFmtId="0" fontId="53" fillId="54" borderId="377" xfId="0" applyFont="1" applyFill="1" applyBorder="1" applyAlignment="1">
      <alignment horizontal="center" vertical="center"/>
    </xf>
    <xf numFmtId="0" fontId="32" fillId="27" borderId="447" xfId="254" applyFont="1" applyFill="1" applyBorder="1" applyAlignment="1">
      <alignment horizontal="center" vertical="center" wrapText="1"/>
    </xf>
    <xf numFmtId="0" fontId="32" fillId="27" borderId="13" xfId="254" applyFont="1" applyFill="1" applyBorder="1" applyAlignment="1">
      <alignment horizontal="center" vertical="center" wrapText="1"/>
    </xf>
    <xf numFmtId="0" fontId="32" fillId="58" borderId="10" xfId="0" applyFont="1" applyFill="1" applyBorder="1" applyAlignment="1">
      <alignment horizontal="center" vertical="center" wrapText="1"/>
    </xf>
    <xf numFmtId="0" fontId="32" fillId="58" borderId="13" xfId="0" applyFont="1" applyFill="1" applyBorder="1" applyAlignment="1">
      <alignment horizontal="center" vertical="center" wrapText="1"/>
    </xf>
    <xf numFmtId="0" fontId="24" fillId="52" borderId="0" xfId="0" applyFont="1" applyFill="1" applyAlignment="1">
      <alignment horizontal="center" vertical="center" wrapText="1"/>
    </xf>
    <xf numFmtId="0" fontId="71" fillId="38" borderId="449" xfId="0" applyFont="1" applyFill="1" applyBorder="1" applyAlignment="1" applyProtection="1">
      <alignment horizontal="center" vertical="center" wrapText="1"/>
    </xf>
    <xf numFmtId="0" fontId="71" fillId="38" borderId="448" xfId="0" quotePrefix="1" applyFont="1" applyFill="1" applyBorder="1" applyAlignment="1" applyProtection="1">
      <alignment horizontal="center" vertical="center" wrapText="1"/>
    </xf>
    <xf numFmtId="15" fontId="32" fillId="25" borderId="10" xfId="0" applyNumberFormat="1" applyFont="1" applyFill="1" applyBorder="1" applyAlignment="1">
      <alignment horizontal="center" vertical="center" wrapText="1"/>
    </xf>
    <xf numFmtId="15" fontId="32" fillId="25" borderId="13" xfId="0" applyNumberFormat="1" applyFont="1" applyFill="1" applyBorder="1" applyAlignment="1">
      <alignment horizontal="center" vertical="center" wrapText="1"/>
    </xf>
    <xf numFmtId="0" fontId="32" fillId="28" borderId="10" xfId="0" applyFont="1" applyFill="1" applyBorder="1" applyAlignment="1">
      <alignment horizontal="center" vertical="center" wrapText="1"/>
    </xf>
    <xf numFmtId="0" fontId="32" fillId="28" borderId="13" xfId="0" applyFont="1" applyFill="1" applyBorder="1" applyAlignment="1">
      <alignment horizontal="center" vertical="center" wrapText="1"/>
    </xf>
    <xf numFmtId="0" fontId="32" fillId="55" borderId="10" xfId="0" applyFont="1" applyFill="1" applyBorder="1" applyAlignment="1">
      <alignment horizontal="center" vertical="center" wrapText="1"/>
    </xf>
    <xf numFmtId="0" fontId="32" fillId="55" borderId="13" xfId="0" applyFont="1" applyFill="1" applyBorder="1" applyAlignment="1">
      <alignment horizontal="center" vertical="center" wrapText="1"/>
    </xf>
    <xf numFmtId="0" fontId="32" fillId="55" borderId="376" xfId="254" applyFont="1" applyFill="1" applyBorder="1" applyAlignment="1">
      <alignment horizontal="center" vertical="center" wrapText="1"/>
    </xf>
    <xf numFmtId="0" fontId="32" fillId="55" borderId="13" xfId="254" applyFont="1" applyFill="1" applyBorder="1" applyAlignment="1">
      <alignment horizontal="center" vertical="center" wrapText="1"/>
    </xf>
    <xf numFmtId="49" fontId="32" fillId="44" borderId="10" xfId="53" applyNumberFormat="1" applyFont="1" applyFill="1" applyBorder="1" applyAlignment="1">
      <alignment horizontal="center" vertical="center" wrapText="1"/>
    </xf>
    <xf numFmtId="49" fontId="32" fillId="44" borderId="198" xfId="53" applyNumberFormat="1" applyFont="1" applyFill="1" applyBorder="1" applyAlignment="1">
      <alignment horizontal="center" vertical="center" wrapText="1"/>
    </xf>
    <xf numFmtId="49" fontId="32" fillId="44" borderId="11" xfId="53" applyNumberFormat="1" applyFont="1" applyFill="1" applyBorder="1" applyAlignment="1">
      <alignment horizontal="center" vertical="center" wrapText="1"/>
    </xf>
    <xf numFmtId="49" fontId="32" fillId="44" borderId="13" xfId="53" applyNumberFormat="1" applyFont="1" applyFill="1" applyBorder="1" applyAlignment="1">
      <alignment horizontal="center" vertical="center" wrapText="1"/>
    </xf>
    <xf numFmtId="49" fontId="32" fillId="42" borderId="10" xfId="53" applyNumberFormat="1" applyFont="1" applyFill="1" applyBorder="1" applyAlignment="1">
      <alignment horizontal="center" vertical="center" wrapText="1"/>
    </xf>
    <xf numFmtId="49" fontId="32" fillId="42" borderId="13" xfId="53" applyNumberFormat="1" applyFont="1" applyFill="1" applyBorder="1" applyAlignment="1">
      <alignment horizontal="center" vertical="center" wrapText="1"/>
    </xf>
    <xf numFmtId="49" fontId="32" fillId="42" borderId="196" xfId="53" applyNumberFormat="1" applyFont="1" applyFill="1" applyBorder="1" applyAlignment="1">
      <alignment horizontal="center" vertical="center" wrapText="1"/>
    </xf>
    <xf numFmtId="49" fontId="32" fillId="43" borderId="10" xfId="53" applyNumberFormat="1" applyFont="1" applyFill="1" applyBorder="1" applyAlignment="1">
      <alignment horizontal="center" vertical="center" wrapText="1"/>
    </xf>
    <xf numFmtId="49" fontId="32" fillId="56" borderId="376" xfId="53" applyNumberFormat="1" applyFont="1" applyFill="1" applyBorder="1" applyAlignment="1">
      <alignment horizontal="center" vertical="center" wrapText="1"/>
    </xf>
    <xf numFmtId="49" fontId="32" fillId="43" borderId="249" xfId="53" applyNumberFormat="1" applyFont="1" applyFill="1" applyBorder="1" applyAlignment="1">
      <alignment horizontal="center" vertical="center" wrapText="1"/>
    </xf>
    <xf numFmtId="49" fontId="71" fillId="54" borderId="36" xfId="53" applyNumberFormat="1" applyFont="1" applyFill="1" applyBorder="1" applyAlignment="1">
      <alignment horizontal="center" vertical="center" wrapText="1"/>
    </xf>
    <xf numFmtId="49" fontId="71" fillId="54" borderId="51" xfId="53" applyNumberFormat="1" applyFont="1" applyFill="1" applyBorder="1" applyAlignment="1">
      <alignment horizontal="center" vertical="center" wrapText="1"/>
    </xf>
    <xf numFmtId="49" fontId="71" fillId="54" borderId="251" xfId="53" applyNumberFormat="1" applyFont="1" applyFill="1" applyBorder="1" applyAlignment="1">
      <alignment horizontal="center" vertical="center" wrapText="1"/>
    </xf>
    <xf numFmtId="49" fontId="71" fillId="54" borderId="375" xfId="53" applyNumberFormat="1" applyFont="1" applyFill="1" applyBorder="1" applyAlignment="1">
      <alignment horizontal="center" vertical="center" wrapText="1"/>
    </xf>
    <xf numFmtId="49" fontId="71" fillId="54" borderId="42" xfId="53" applyNumberFormat="1" applyFont="1" applyFill="1" applyBorder="1" applyAlignment="1">
      <alignment horizontal="center" vertical="center" wrapText="1"/>
    </xf>
    <xf numFmtId="0" fontId="102" fillId="27" borderId="201" xfId="254" applyFont="1" applyFill="1" applyBorder="1" applyAlignment="1">
      <alignment horizontal="center" vertical="center" wrapText="1"/>
    </xf>
    <xf numFmtId="0" fontId="102" fillId="27" borderId="375" xfId="254" applyFont="1" applyFill="1" applyBorder="1" applyAlignment="1">
      <alignment horizontal="center" vertical="center" wrapText="1"/>
    </xf>
    <xf numFmtId="0" fontId="102" fillId="25" borderId="33" xfId="0" applyFont="1" applyFill="1" applyBorder="1" applyAlignment="1">
      <alignment horizontal="center" vertical="center" wrapText="1"/>
    </xf>
    <xf numFmtId="0" fontId="102" fillId="25" borderId="44" xfId="0" applyFont="1" applyFill="1" applyBorder="1" applyAlignment="1">
      <alignment horizontal="center" vertical="center" wrapText="1"/>
    </xf>
    <xf numFmtId="0" fontId="102" fillId="25" borderId="197" xfId="0" applyFont="1" applyFill="1" applyBorder="1" applyAlignment="1">
      <alignment horizontal="center" vertical="center" wrapText="1"/>
    </xf>
    <xf numFmtId="0" fontId="102" fillId="25" borderId="45" xfId="0" applyFont="1" applyFill="1" applyBorder="1" applyAlignment="1">
      <alignment horizontal="center" vertical="center" wrapText="1"/>
    </xf>
    <xf numFmtId="0" fontId="102" fillId="25" borderId="34" xfId="0" applyFont="1" applyFill="1" applyBorder="1" applyAlignment="1">
      <alignment horizontal="center" vertical="center" wrapText="1"/>
    </xf>
    <xf numFmtId="0" fontId="102" fillId="25" borderId="35" xfId="0" applyFont="1" applyFill="1" applyBorder="1" applyAlignment="1">
      <alignment horizontal="center" vertical="center" wrapText="1"/>
    </xf>
    <xf numFmtId="0" fontId="102" fillId="25" borderId="79" xfId="0" applyFont="1" applyFill="1" applyBorder="1" applyAlignment="1">
      <alignment horizontal="center" vertical="center" wrapText="1"/>
    </xf>
    <xf numFmtId="49" fontId="32" fillId="42" borderId="26" xfId="53" applyNumberFormat="1" applyFont="1" applyFill="1" applyBorder="1" applyAlignment="1">
      <alignment horizontal="center" vertical="center" wrapText="1"/>
    </xf>
    <xf numFmtId="49" fontId="71" fillId="27" borderId="214" xfId="53" applyNumberFormat="1" applyFont="1" applyFill="1" applyBorder="1" applyAlignment="1">
      <alignment horizontal="center" vertical="center" wrapText="1"/>
    </xf>
    <xf numFmtId="49" fontId="71" fillId="27" borderId="436" xfId="53" applyNumberFormat="1" applyFont="1" applyFill="1" applyBorder="1" applyAlignment="1">
      <alignment horizontal="center" vertical="center" wrapText="1"/>
    </xf>
    <xf numFmtId="49" fontId="71" fillId="27" borderId="215" xfId="53" applyNumberFormat="1" applyFont="1" applyFill="1" applyBorder="1" applyAlignment="1">
      <alignment horizontal="center" vertical="center" wrapText="1"/>
    </xf>
    <xf numFmtId="49" fontId="32" fillId="43" borderId="233" xfId="53" applyNumberFormat="1" applyFont="1" applyFill="1" applyBorder="1" applyAlignment="1">
      <alignment horizontal="center" vertical="center" wrapText="1"/>
    </xf>
    <xf numFmtId="49" fontId="32" fillId="42" borderId="233" xfId="53" applyNumberFormat="1" applyFont="1" applyFill="1" applyBorder="1" applyAlignment="1">
      <alignment horizontal="center" vertical="center" wrapText="1"/>
    </xf>
    <xf numFmtId="49" fontId="102" fillId="27" borderId="449" xfId="53" applyNumberFormat="1" applyFont="1" applyFill="1" applyBorder="1" applyAlignment="1">
      <alignment horizontal="center" vertical="center" wrapText="1"/>
    </xf>
    <xf numFmtId="49" fontId="102" fillId="27" borderId="446" xfId="53" applyNumberFormat="1" applyFont="1" applyFill="1" applyBorder="1" applyAlignment="1">
      <alignment horizontal="center" vertical="center" wrapText="1"/>
    </xf>
    <xf numFmtId="49" fontId="102" fillId="27" borderId="448" xfId="53" applyNumberFormat="1" applyFont="1" applyFill="1" applyBorder="1" applyAlignment="1">
      <alignment horizontal="center" vertical="center" wrapText="1"/>
    </xf>
    <xf numFmtId="49" fontId="102" fillId="39" borderId="201" xfId="53" applyNumberFormat="1" applyFont="1" applyFill="1" applyBorder="1" applyAlignment="1">
      <alignment horizontal="center" vertical="center" wrapText="1"/>
    </xf>
    <xf numFmtId="49" fontId="102" fillId="39" borderId="375" xfId="53" applyNumberFormat="1" applyFont="1" applyFill="1" applyBorder="1" applyAlignment="1">
      <alignment horizontal="center" vertical="center" wrapText="1"/>
    </xf>
    <xf numFmtId="49" fontId="32" fillId="43" borderId="263" xfId="53" applyNumberFormat="1" applyFont="1" applyFill="1" applyBorder="1" applyAlignment="1">
      <alignment horizontal="center" vertical="center" wrapText="1"/>
    </xf>
    <xf numFmtId="49" fontId="71" fillId="27" borderId="34" xfId="53" applyNumberFormat="1" applyFont="1" applyFill="1" applyBorder="1" applyAlignment="1">
      <alignment horizontal="center" vertical="center" wrapText="1"/>
    </xf>
    <xf numFmtId="49" fontId="71" fillId="27" borderId="0" xfId="53" applyNumberFormat="1" applyFont="1" applyFill="1" applyBorder="1" applyAlignment="1">
      <alignment horizontal="center" vertical="center" wrapText="1"/>
    </xf>
    <xf numFmtId="49" fontId="71" fillId="27" borderId="45" xfId="53" applyNumberFormat="1" applyFont="1" applyFill="1" applyBorder="1" applyAlignment="1">
      <alignment horizontal="center" vertical="center" wrapText="1"/>
    </xf>
    <xf numFmtId="49" fontId="71" fillId="54" borderId="278" xfId="53" applyNumberFormat="1" applyFont="1" applyFill="1" applyBorder="1" applyAlignment="1">
      <alignment horizontal="center" vertical="center" wrapText="1"/>
    </xf>
    <xf numFmtId="49" fontId="102" fillId="27" borderId="201" xfId="53" applyNumberFormat="1" applyFont="1" applyFill="1" applyBorder="1" applyAlignment="1">
      <alignment horizontal="center" vertical="center" wrapText="1"/>
    </xf>
    <xf numFmtId="49" fontId="102" fillId="27" borderId="375" xfId="53" applyNumberFormat="1" applyFont="1" applyFill="1" applyBorder="1" applyAlignment="1">
      <alignment horizontal="center" vertical="center" wrapText="1"/>
    </xf>
    <xf numFmtId="49" fontId="102" fillId="27" borderId="200" xfId="53" applyNumberFormat="1" applyFont="1" applyFill="1" applyBorder="1" applyAlignment="1">
      <alignment horizontal="center" vertical="center" wrapText="1"/>
    </xf>
    <xf numFmtId="0" fontId="102" fillId="43" borderId="33" xfId="0" applyFont="1" applyFill="1" applyBorder="1" applyAlignment="1">
      <alignment horizontal="center" vertical="center" wrapText="1"/>
    </xf>
    <xf numFmtId="0" fontId="102" fillId="43" borderId="44" xfId="0" applyFont="1" applyFill="1" applyBorder="1" applyAlignment="1">
      <alignment horizontal="center" vertical="center" wrapText="1"/>
    </xf>
    <xf numFmtId="0" fontId="102" fillId="43" borderId="197" xfId="0" applyFont="1" applyFill="1" applyBorder="1" applyAlignment="1">
      <alignment horizontal="center" vertical="center" wrapText="1"/>
    </xf>
    <xf numFmtId="0" fontId="102" fillId="43" borderId="45" xfId="0" applyFont="1" applyFill="1" applyBorder="1" applyAlignment="1">
      <alignment horizontal="center" vertical="center" wrapText="1"/>
    </xf>
    <xf numFmtId="0" fontId="102" fillId="43" borderId="34" xfId="0" applyFont="1" applyFill="1" applyBorder="1" applyAlignment="1">
      <alignment horizontal="center" vertical="center" wrapText="1"/>
    </xf>
    <xf numFmtId="0" fontId="102" fillId="43" borderId="35" xfId="0" applyFont="1" applyFill="1" applyBorder="1" applyAlignment="1">
      <alignment horizontal="center" vertical="center" wrapText="1"/>
    </xf>
    <xf numFmtId="0" fontId="102" fillId="43" borderId="79" xfId="0" applyFont="1" applyFill="1" applyBorder="1" applyAlignment="1">
      <alignment horizontal="center" vertical="center" wrapText="1"/>
    </xf>
    <xf numFmtId="49" fontId="102" fillId="39" borderId="449" xfId="53" applyNumberFormat="1" applyFont="1" applyFill="1" applyBorder="1" applyAlignment="1">
      <alignment horizontal="center" vertical="center" wrapText="1"/>
    </xf>
    <xf numFmtId="49" fontId="102" fillId="39" borderId="446" xfId="53" applyNumberFormat="1" applyFont="1" applyFill="1" applyBorder="1" applyAlignment="1">
      <alignment horizontal="center" vertical="center" wrapText="1"/>
    </xf>
    <xf numFmtId="49" fontId="102" fillId="39" borderId="448" xfId="53" applyNumberFormat="1" applyFont="1" applyFill="1" applyBorder="1" applyAlignment="1">
      <alignment horizontal="center" vertical="center" wrapText="1"/>
    </xf>
    <xf numFmtId="49" fontId="32" fillId="43" borderId="301" xfId="53" applyNumberFormat="1" applyFont="1" applyFill="1" applyBorder="1" applyAlignment="1">
      <alignment horizontal="center" vertical="center" wrapText="1"/>
    </xf>
    <xf numFmtId="0" fontId="102" fillId="56" borderId="33" xfId="0" applyFont="1" applyFill="1" applyBorder="1" applyAlignment="1">
      <alignment horizontal="center" vertical="center" wrapText="1"/>
    </xf>
    <xf numFmtId="0" fontId="102" fillId="56" borderId="44" xfId="0" applyFont="1" applyFill="1" applyBorder="1" applyAlignment="1">
      <alignment horizontal="center" vertical="center" wrapText="1"/>
    </xf>
    <xf numFmtId="0" fontId="102" fillId="56" borderId="197" xfId="0" applyFont="1" applyFill="1" applyBorder="1" applyAlignment="1">
      <alignment horizontal="center" vertical="center" wrapText="1"/>
    </xf>
    <xf numFmtId="0" fontId="102" fillId="56" borderId="45" xfId="0" applyFont="1" applyFill="1" applyBorder="1" applyAlignment="1">
      <alignment horizontal="center" vertical="center" wrapText="1"/>
    </xf>
    <xf numFmtId="0" fontId="102" fillId="56" borderId="34" xfId="0" applyFont="1" applyFill="1" applyBorder="1" applyAlignment="1">
      <alignment horizontal="center" vertical="center" wrapText="1"/>
    </xf>
    <xf numFmtId="0" fontId="102" fillId="56" borderId="35" xfId="0" applyFont="1" applyFill="1" applyBorder="1" applyAlignment="1">
      <alignment horizontal="center" vertical="center" wrapText="1"/>
    </xf>
    <xf numFmtId="0" fontId="102" fillId="56" borderId="79" xfId="0" applyFont="1" applyFill="1" applyBorder="1" applyAlignment="1">
      <alignment horizontal="center" vertical="center" wrapText="1"/>
    </xf>
    <xf numFmtId="49" fontId="71" fillId="54" borderId="305" xfId="53" applyNumberFormat="1" applyFont="1" applyFill="1" applyBorder="1" applyAlignment="1">
      <alignment horizontal="center" vertical="center" wrapText="1"/>
    </xf>
    <xf numFmtId="49" fontId="71" fillId="54" borderId="320" xfId="53" applyNumberFormat="1" applyFont="1" applyFill="1" applyBorder="1" applyAlignment="1">
      <alignment horizontal="center" vertical="center" wrapText="1"/>
    </xf>
    <xf numFmtId="49" fontId="32" fillId="42" borderId="301" xfId="53" applyNumberFormat="1" applyFont="1" applyFill="1" applyBorder="1" applyAlignment="1">
      <alignment horizontal="center" vertical="center" wrapText="1"/>
    </xf>
    <xf numFmtId="49" fontId="32" fillId="56" borderId="318" xfId="53" applyNumberFormat="1" applyFont="1" applyFill="1" applyBorder="1" applyAlignment="1">
      <alignment horizontal="center" vertical="center" wrapText="1"/>
    </xf>
    <xf numFmtId="49" fontId="32" fillId="43" borderId="318" xfId="53" applyNumberFormat="1" applyFont="1" applyFill="1" applyBorder="1" applyAlignment="1">
      <alignment horizontal="center" vertical="center" wrapText="1"/>
    </xf>
    <xf numFmtId="49" fontId="71" fillId="27" borderId="201" xfId="53" applyNumberFormat="1" applyFont="1" applyFill="1" applyBorder="1" applyAlignment="1">
      <alignment horizontal="center" vertical="center" wrapText="1"/>
    </xf>
    <xf numFmtId="49" fontId="71" fillId="27" borderId="375" xfId="53" applyNumberFormat="1" applyFont="1" applyFill="1" applyBorder="1" applyAlignment="1">
      <alignment horizontal="center" vertical="center" wrapText="1"/>
    </xf>
    <xf numFmtId="49" fontId="71" fillId="27" borderId="200" xfId="53" applyNumberFormat="1" applyFont="1" applyFill="1" applyBorder="1" applyAlignment="1">
      <alignment horizontal="center" vertical="center" wrapText="1"/>
    </xf>
    <xf numFmtId="49" fontId="71" fillId="39" borderId="449" xfId="53" applyNumberFormat="1" applyFont="1" applyFill="1" applyBorder="1" applyAlignment="1">
      <alignment horizontal="center" vertical="center" wrapText="1"/>
    </xf>
    <xf numFmtId="49" fontId="71" fillId="39" borderId="446" xfId="53" applyNumberFormat="1" applyFont="1" applyFill="1" applyBorder="1" applyAlignment="1">
      <alignment horizontal="center" vertical="center" wrapText="1"/>
    </xf>
    <xf numFmtId="49" fontId="71" fillId="39" borderId="448" xfId="53" applyNumberFormat="1" applyFont="1" applyFill="1" applyBorder="1" applyAlignment="1">
      <alignment horizontal="center" vertical="center" wrapText="1"/>
    </xf>
    <xf numFmtId="49" fontId="71" fillId="27" borderId="449" xfId="53" applyNumberFormat="1" applyFont="1" applyFill="1" applyBorder="1" applyAlignment="1">
      <alignment horizontal="center" vertical="center" wrapText="1"/>
    </xf>
    <xf numFmtId="49" fontId="71" fillId="27" borderId="446" xfId="53" applyNumberFormat="1" applyFont="1" applyFill="1" applyBorder="1" applyAlignment="1">
      <alignment horizontal="center" vertical="center" wrapText="1"/>
    </xf>
    <xf numFmtId="49" fontId="71" fillId="27" borderId="448" xfId="53" applyNumberFormat="1" applyFont="1" applyFill="1" applyBorder="1" applyAlignment="1">
      <alignment horizontal="center" vertical="center" wrapText="1"/>
    </xf>
    <xf numFmtId="49" fontId="32" fillId="44" borderId="196" xfId="53" applyNumberFormat="1" applyFont="1" applyFill="1" applyBorder="1" applyAlignment="1">
      <alignment horizontal="center" vertical="center" wrapText="1"/>
    </xf>
    <xf numFmtId="0" fontId="32" fillId="43" borderId="196" xfId="0" applyFont="1" applyFill="1" applyBorder="1" applyAlignment="1">
      <alignment horizontal="center" vertical="center" wrapText="1"/>
    </xf>
    <xf numFmtId="0" fontId="102" fillId="25" borderId="33" xfId="53" applyFont="1" applyFill="1" applyBorder="1" applyAlignment="1">
      <alignment horizontal="center" vertical="center" wrapText="1"/>
    </xf>
    <xf numFmtId="0" fontId="102" fillId="25" borderId="44" xfId="53" applyFont="1" applyFill="1" applyBorder="1" applyAlignment="1">
      <alignment horizontal="center" vertical="center" wrapText="1"/>
    </xf>
    <xf numFmtId="0" fontId="102" fillId="25" borderId="197" xfId="53" applyFont="1" applyFill="1" applyBorder="1" applyAlignment="1">
      <alignment horizontal="center" vertical="center" wrapText="1"/>
    </xf>
    <xf numFmtId="0" fontId="102" fillId="25" borderId="45" xfId="53" applyFont="1" applyFill="1" applyBorder="1" applyAlignment="1">
      <alignment horizontal="center" vertical="center" wrapText="1"/>
    </xf>
    <xf numFmtId="0" fontId="102" fillId="25" borderId="34" xfId="53" applyFont="1" applyFill="1" applyBorder="1" applyAlignment="1">
      <alignment horizontal="center" vertical="center" wrapText="1"/>
    </xf>
    <xf numFmtId="0" fontId="102" fillId="25" borderId="35" xfId="53" applyFont="1" applyFill="1" applyBorder="1" applyAlignment="1">
      <alignment horizontal="center" vertical="center" wrapText="1"/>
    </xf>
    <xf numFmtId="0" fontId="102" fillId="25" borderId="79" xfId="53" applyFont="1" applyFill="1" applyBorder="1" applyAlignment="1">
      <alignment horizontal="center" vertical="center" wrapText="1"/>
    </xf>
    <xf numFmtId="15" fontId="152" fillId="42" borderId="437" xfId="53" applyNumberFormat="1" applyFont="1" applyFill="1" applyBorder="1" applyAlignment="1">
      <alignment horizontal="center" vertical="center" wrapText="1"/>
    </xf>
    <xf numFmtId="15" fontId="32" fillId="42" borderId="13" xfId="53" applyNumberFormat="1" applyFont="1" applyFill="1" applyBorder="1" applyAlignment="1">
      <alignment horizontal="center" vertical="center" wrapText="1"/>
    </xf>
    <xf numFmtId="49" fontId="32" fillId="42" borderId="376" xfId="53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wrapText="1"/>
    </xf>
    <xf numFmtId="0" fontId="157" fillId="0" borderId="0" xfId="0" applyFont="1" applyBorder="1" applyAlignment="1">
      <alignment horizontal="center" wrapText="1"/>
    </xf>
    <xf numFmtId="0" fontId="101" fillId="0" borderId="0" xfId="0" applyFont="1" applyBorder="1" applyAlignment="1">
      <alignment horizontal="center"/>
    </xf>
    <xf numFmtId="15" fontId="32" fillId="56" borderId="10" xfId="0" applyNumberFormat="1" applyFont="1" applyFill="1" applyBorder="1" applyAlignment="1">
      <alignment horizontal="center" vertical="center" wrapText="1"/>
    </xf>
    <xf numFmtId="15" fontId="32" fillId="56" borderId="13" xfId="0" applyNumberFormat="1" applyFont="1" applyFill="1" applyBorder="1" applyAlignment="1">
      <alignment horizontal="center" vertical="center" wrapText="1"/>
    </xf>
    <xf numFmtId="0" fontId="32" fillId="39" borderId="26" xfId="0" quotePrefix="1" applyFont="1" applyFill="1" applyBorder="1" applyAlignment="1">
      <alignment horizontal="center" vertical="center" wrapText="1"/>
    </xf>
    <xf numFmtId="0" fontId="32" fillId="54" borderId="26" xfId="0" applyFont="1" applyFill="1" applyBorder="1" applyAlignment="1">
      <alignment horizontal="center" vertical="center" wrapText="1"/>
    </xf>
    <xf numFmtId="0" fontId="32" fillId="29" borderId="198" xfId="0" applyFont="1" applyFill="1" applyBorder="1" applyAlignment="1">
      <alignment horizontal="center" vertical="center" wrapText="1"/>
    </xf>
    <xf numFmtId="0" fontId="111" fillId="59" borderId="198" xfId="0" applyFont="1" applyFill="1" applyBorder="1" applyAlignment="1">
      <alignment horizontal="center" vertical="center" wrapText="1"/>
    </xf>
    <xf numFmtId="0" fontId="111" fillId="59" borderId="13" xfId="0" applyFont="1" applyFill="1" applyBorder="1" applyAlignment="1">
      <alignment horizontal="center" vertical="center" wrapText="1"/>
    </xf>
    <xf numFmtId="0" fontId="32" fillId="39" borderId="359" xfId="0" quotePrefix="1" applyFont="1" applyFill="1" applyBorder="1" applyAlignment="1">
      <alignment horizontal="center" vertical="center" wrapText="1"/>
    </xf>
    <xf numFmtId="0" fontId="32" fillId="39" borderId="13" xfId="0" quotePrefix="1" applyFont="1" applyFill="1" applyBorder="1" applyAlignment="1">
      <alignment horizontal="center" vertical="center" wrapText="1"/>
    </xf>
    <xf numFmtId="49" fontId="32" fillId="43" borderId="198" xfId="53" applyNumberFormat="1" applyFont="1" applyFill="1" applyBorder="1" applyAlignment="1">
      <alignment horizontal="center" vertical="center" wrapText="1"/>
    </xf>
    <xf numFmtId="49" fontId="32" fillId="56" borderId="198" xfId="53" applyNumberFormat="1" applyFont="1" applyFill="1" applyBorder="1" applyAlignment="1">
      <alignment horizontal="center" vertical="center" wrapText="1"/>
    </xf>
    <xf numFmtId="6" fontId="103" fillId="0" borderId="0" xfId="0" applyNumberFormat="1" applyFont="1" applyBorder="1" applyAlignment="1">
      <alignment horizontal="left" wrapText="1"/>
    </xf>
    <xf numFmtId="0" fontId="32" fillId="51" borderId="10" xfId="0" applyFont="1" applyFill="1" applyBorder="1" applyAlignment="1">
      <alignment horizontal="center" vertical="center" wrapText="1"/>
    </xf>
    <xf numFmtId="0" fontId="32" fillId="51" borderId="13" xfId="0" applyFont="1" applyFill="1" applyBorder="1" applyAlignment="1">
      <alignment horizontal="center" vertical="center" wrapText="1"/>
    </xf>
    <xf numFmtId="0" fontId="32" fillId="39" borderId="10" xfId="0" applyFont="1" applyFill="1" applyBorder="1" applyAlignment="1">
      <alignment horizontal="center" vertical="center" wrapText="1"/>
    </xf>
    <xf numFmtId="49" fontId="32" fillId="43" borderId="376" xfId="53" applyNumberFormat="1" applyFont="1" applyFill="1" applyBorder="1" applyAlignment="1">
      <alignment horizontal="center" vertical="center" wrapText="1"/>
    </xf>
    <xf numFmtId="49" fontId="32" fillId="42" borderId="345" xfId="53" applyNumberFormat="1" applyFont="1" applyFill="1" applyBorder="1" applyAlignment="1">
      <alignment horizontal="center" vertical="center" wrapText="1"/>
    </xf>
    <xf numFmtId="0" fontId="102" fillId="25" borderId="214" xfId="0" applyFont="1" applyFill="1" applyBorder="1" applyAlignment="1">
      <alignment horizontal="center" vertical="center" wrapText="1"/>
    </xf>
    <xf numFmtId="0" fontId="102" fillId="25" borderId="215" xfId="0" applyFont="1" applyFill="1" applyBorder="1" applyAlignment="1">
      <alignment horizontal="center" vertical="center" wrapText="1"/>
    </xf>
    <xf numFmtId="49" fontId="71" fillId="54" borderId="214" xfId="53" applyNumberFormat="1" applyFont="1" applyFill="1" applyBorder="1" applyAlignment="1">
      <alignment horizontal="center" vertical="center" wrapText="1"/>
    </xf>
    <xf numFmtId="49" fontId="71" fillId="54" borderId="436" xfId="53" applyNumberFormat="1" applyFont="1" applyFill="1" applyBorder="1" applyAlignment="1">
      <alignment horizontal="center" vertical="center" wrapText="1"/>
    </xf>
    <xf numFmtId="49" fontId="71" fillId="54" borderId="215" xfId="53" applyNumberFormat="1" applyFont="1" applyFill="1" applyBorder="1" applyAlignment="1">
      <alignment horizontal="center" vertical="center" wrapText="1"/>
    </xf>
    <xf numFmtId="0" fontId="32" fillId="59" borderId="198" xfId="0" applyFont="1" applyFill="1" applyBorder="1" applyAlignment="1">
      <alignment horizontal="center" vertical="center" wrapText="1"/>
    </xf>
    <xf numFmtId="0" fontId="32" fillId="59" borderId="13" xfId="0" applyFont="1" applyFill="1" applyBorder="1" applyAlignment="1">
      <alignment horizontal="center" vertical="center" wrapText="1"/>
    </xf>
    <xf numFmtId="0" fontId="111" fillId="29" borderId="198" xfId="0" applyFont="1" applyFill="1" applyBorder="1" applyAlignment="1">
      <alignment horizontal="center" vertical="center" wrapText="1"/>
    </xf>
    <xf numFmtId="0" fontId="111" fillId="29" borderId="13" xfId="0" applyFont="1" applyFill="1" applyBorder="1" applyAlignment="1">
      <alignment horizontal="center" vertical="center" wrapText="1"/>
    </xf>
    <xf numFmtId="6" fontId="103" fillId="0" borderId="0" xfId="0" applyNumberFormat="1" applyFont="1" applyBorder="1" applyAlignment="1">
      <alignment horizontal="right" wrapText="1"/>
    </xf>
    <xf numFmtId="0" fontId="32" fillId="51" borderId="437" xfId="0" applyFont="1" applyFill="1" applyBorder="1" applyAlignment="1">
      <alignment horizontal="center" vertical="center" wrapText="1"/>
    </xf>
    <xf numFmtId="0" fontId="32" fillId="54" borderId="437" xfId="0" applyFont="1" applyFill="1" applyBorder="1" applyAlignment="1">
      <alignment horizontal="center" vertical="center" wrapText="1"/>
    </xf>
    <xf numFmtId="0" fontId="32" fillId="39" borderId="437" xfId="0" quotePrefix="1" applyFont="1" applyFill="1" applyBorder="1" applyAlignment="1">
      <alignment horizontal="center" vertical="center" wrapText="1"/>
    </xf>
    <xf numFmtId="0" fontId="102" fillId="25" borderId="436" xfId="0" applyFont="1" applyFill="1" applyBorder="1" applyAlignment="1">
      <alignment horizontal="center" vertical="center" wrapText="1"/>
    </xf>
    <xf numFmtId="0" fontId="102" fillId="25" borderId="0" xfId="0" applyFont="1" applyFill="1" applyBorder="1" applyAlignment="1">
      <alignment horizontal="center" vertical="center" wrapText="1"/>
    </xf>
    <xf numFmtId="0" fontId="102" fillId="25" borderId="14" xfId="0" applyFont="1" applyFill="1" applyBorder="1" applyAlignment="1">
      <alignment horizontal="center" vertical="center" wrapText="1"/>
    </xf>
    <xf numFmtId="0" fontId="32" fillId="25" borderId="437" xfId="0" applyFont="1" applyFill="1" applyBorder="1" applyAlignment="1">
      <alignment horizontal="center" vertical="center" wrapText="1"/>
    </xf>
    <xf numFmtId="15" fontId="32" fillId="56" borderId="437" xfId="0" applyNumberFormat="1" applyFont="1" applyFill="1" applyBorder="1" applyAlignment="1">
      <alignment horizontal="center" vertical="center" wrapText="1"/>
    </xf>
    <xf numFmtId="0" fontId="32" fillId="39" borderId="437" xfId="0" applyFont="1" applyFill="1" applyBorder="1" applyAlignment="1">
      <alignment horizontal="center" vertical="center" wrapText="1"/>
    </xf>
    <xf numFmtId="0" fontId="32" fillId="39" borderId="13" xfId="0" applyFont="1" applyFill="1" applyBorder="1" applyAlignment="1">
      <alignment horizontal="center" vertical="center" wrapText="1"/>
    </xf>
    <xf numFmtId="0" fontId="32" fillId="35" borderId="437" xfId="53" applyFont="1" applyFill="1" applyBorder="1" applyAlignment="1">
      <alignment horizontal="center" vertical="center" wrapText="1"/>
    </xf>
    <xf numFmtId="0" fontId="32" fillId="35" borderId="198" xfId="53" applyFont="1" applyFill="1" applyBorder="1" applyAlignment="1">
      <alignment horizontal="center" vertical="center" wrapText="1"/>
    </xf>
    <xf numFmtId="0" fontId="32" fillId="35" borderId="13" xfId="53" applyFont="1" applyFill="1" applyBorder="1" applyAlignment="1">
      <alignment horizontal="center" vertical="center" wrapText="1"/>
    </xf>
    <xf numFmtId="0" fontId="142" fillId="0" borderId="0" xfId="53" applyFont="1" applyBorder="1" applyAlignment="1">
      <alignment horizontal="left" wrapText="1"/>
    </xf>
    <xf numFmtId="0" fontId="57" fillId="0" borderId="0" xfId="53" applyFont="1" applyBorder="1" applyAlignment="1">
      <alignment horizontal="center"/>
    </xf>
    <xf numFmtId="0" fontId="57" fillId="41" borderId="0" xfId="53" applyFont="1" applyFill="1" applyBorder="1" applyAlignment="1">
      <alignment horizontal="left"/>
    </xf>
    <xf numFmtId="0" fontId="102" fillId="25" borderId="196" xfId="53" applyFont="1" applyFill="1" applyBorder="1" applyAlignment="1">
      <alignment horizontal="center" vertical="center"/>
    </xf>
    <xf numFmtId="0" fontId="102" fillId="25" borderId="198" xfId="53" applyFont="1" applyFill="1" applyBorder="1" applyAlignment="1">
      <alignment horizontal="center" vertical="center"/>
    </xf>
    <xf numFmtId="0" fontId="102" fillId="25" borderId="13" xfId="53" applyFont="1" applyFill="1" applyBorder="1" applyAlignment="1">
      <alignment horizontal="center" vertical="center"/>
    </xf>
    <xf numFmtId="0" fontId="32" fillId="35" borderId="196" xfId="53" applyFont="1" applyFill="1" applyBorder="1" applyAlignment="1">
      <alignment horizontal="center" vertical="center" wrapText="1"/>
    </xf>
    <xf numFmtId="0" fontId="32" fillId="25" borderId="196" xfId="53" applyFont="1" applyFill="1" applyBorder="1" applyAlignment="1">
      <alignment horizontal="center" vertical="center" wrapText="1"/>
    </xf>
    <xf numFmtId="0" fontId="32" fillId="25" borderId="198" xfId="53" applyFont="1" applyFill="1" applyBorder="1" applyAlignment="1">
      <alignment horizontal="center" vertical="center" wrapText="1"/>
    </xf>
    <xf numFmtId="0" fontId="32" fillId="25" borderId="13" xfId="53" applyFont="1" applyFill="1" applyBorder="1" applyAlignment="1">
      <alignment horizontal="center" vertical="center" wrapText="1"/>
    </xf>
    <xf numFmtId="6" fontId="32" fillId="35" borderId="196" xfId="53" applyNumberFormat="1" applyFont="1" applyFill="1" applyBorder="1" applyAlignment="1">
      <alignment horizontal="center" vertical="center" wrapText="1"/>
    </xf>
    <xf numFmtId="6" fontId="32" fillId="35" borderId="198" xfId="53" applyNumberFormat="1" applyFont="1" applyFill="1" applyBorder="1" applyAlignment="1">
      <alignment horizontal="center" vertical="center" wrapText="1"/>
    </xf>
    <xf numFmtId="6" fontId="32" fillId="35" borderId="13" xfId="53" applyNumberFormat="1" applyFont="1" applyFill="1" applyBorder="1" applyAlignment="1">
      <alignment horizontal="center" vertical="center" wrapText="1"/>
    </xf>
    <xf numFmtId="0" fontId="117" fillId="31" borderId="193" xfId="53" applyFont="1" applyFill="1" applyBorder="1" applyAlignment="1">
      <alignment horizontal="center" vertical="center" wrapText="1"/>
    </xf>
    <xf numFmtId="0" fontId="117" fillId="31" borderId="193" xfId="53" applyFont="1" applyFill="1" applyBorder="1" applyAlignment="1">
      <alignment horizontal="center" vertical="center"/>
    </xf>
    <xf numFmtId="6" fontId="32" fillId="25" borderId="196" xfId="53" applyNumberFormat="1" applyFont="1" applyFill="1" applyBorder="1" applyAlignment="1">
      <alignment horizontal="center" vertical="center" wrapText="1"/>
    </xf>
    <xf numFmtId="6" fontId="32" fillId="25" borderId="13" xfId="53" applyNumberFormat="1" applyFont="1" applyFill="1" applyBorder="1" applyAlignment="1">
      <alignment horizontal="center" vertical="center" wrapText="1"/>
    </xf>
    <xf numFmtId="6" fontId="32" fillId="25" borderId="13" xfId="53" quotePrefix="1" applyNumberFormat="1" applyFont="1" applyFill="1" applyBorder="1" applyAlignment="1">
      <alignment horizontal="center" vertical="center" wrapText="1"/>
    </xf>
    <xf numFmtId="49" fontId="32" fillId="71" borderId="376" xfId="53" applyNumberFormat="1" applyFont="1" applyFill="1" applyBorder="1" applyAlignment="1">
      <alignment horizontal="center" vertical="center" wrapText="1"/>
    </xf>
    <xf numFmtId="49" fontId="32" fillId="71" borderId="198" xfId="53" applyNumberFormat="1" applyFont="1" applyFill="1" applyBorder="1" applyAlignment="1">
      <alignment horizontal="center" vertical="center" wrapText="1"/>
    </xf>
    <xf numFmtId="49" fontId="32" fillId="71" borderId="13" xfId="53" applyNumberFormat="1" applyFont="1" applyFill="1" applyBorder="1" applyAlignment="1">
      <alignment horizontal="center" vertical="center" wrapText="1"/>
    </xf>
    <xf numFmtId="49" fontId="32" fillId="42" borderId="367" xfId="53" applyNumberFormat="1" applyFont="1" applyFill="1" applyBorder="1" applyAlignment="1">
      <alignment horizontal="center" vertical="center" wrapText="1"/>
    </xf>
    <xf numFmtId="49" fontId="32" fillId="42" borderId="198" xfId="53" applyNumberFormat="1" applyFont="1" applyFill="1" applyBorder="1" applyAlignment="1">
      <alignment horizontal="center" vertical="center" wrapText="1"/>
    </xf>
    <xf numFmtId="0" fontId="32" fillId="27" borderId="196" xfId="53" applyFont="1" applyFill="1" applyBorder="1" applyAlignment="1">
      <alignment horizontal="center" vertical="center" wrapText="1"/>
    </xf>
    <xf numFmtId="0" fontId="32" fillId="27" borderId="198" xfId="53" applyFont="1" applyFill="1" applyBorder="1" applyAlignment="1">
      <alignment horizontal="center" vertical="center" wrapText="1"/>
    </xf>
    <xf numFmtId="0" fontId="32" fillId="27" borderId="13" xfId="53" applyFont="1" applyFill="1" applyBorder="1" applyAlignment="1">
      <alignment horizontal="center" vertical="center" wrapText="1"/>
    </xf>
    <xf numFmtId="0" fontId="17" fillId="27" borderId="196" xfId="53" applyFont="1" applyFill="1" applyBorder="1" applyAlignment="1">
      <alignment horizontal="center" vertical="center" wrapText="1"/>
    </xf>
    <xf numFmtId="0" fontId="17" fillId="27" borderId="198" xfId="53" applyFont="1" applyFill="1" applyBorder="1" applyAlignment="1">
      <alignment horizontal="center" vertical="center" wrapText="1"/>
    </xf>
    <xf numFmtId="0" fontId="17" fillId="27" borderId="13" xfId="53" applyFont="1" applyFill="1" applyBorder="1" applyAlignment="1">
      <alignment horizontal="center" vertical="center" wrapText="1"/>
    </xf>
    <xf numFmtId="49" fontId="32" fillId="43" borderId="437" xfId="53" applyNumberFormat="1" applyFont="1" applyFill="1" applyBorder="1" applyAlignment="1">
      <alignment horizontal="center" vertical="center" wrapText="1"/>
    </xf>
    <xf numFmtId="0" fontId="32" fillId="25" borderId="33" xfId="0" applyFont="1" applyFill="1" applyBorder="1" applyAlignment="1" applyProtection="1">
      <alignment horizontal="center" vertical="center" wrapText="1"/>
    </xf>
    <xf numFmtId="0" fontId="32" fillId="25" borderId="44" xfId="0" applyFont="1" applyFill="1" applyBorder="1" applyAlignment="1" applyProtection="1">
      <alignment horizontal="center" vertical="center" wrapText="1"/>
    </xf>
    <xf numFmtId="0" fontId="32" fillId="25" borderId="197" xfId="0" applyFont="1" applyFill="1" applyBorder="1" applyAlignment="1" applyProtection="1">
      <alignment horizontal="center" vertical="center" wrapText="1"/>
    </xf>
    <xf numFmtId="0" fontId="32" fillId="25" borderId="45" xfId="0" applyFont="1" applyFill="1" applyBorder="1" applyAlignment="1" applyProtection="1">
      <alignment horizontal="center" vertical="center" wrapText="1"/>
    </xf>
    <xf numFmtId="0" fontId="32" fillId="25" borderId="34" xfId="0" applyFont="1" applyFill="1" applyBorder="1" applyAlignment="1" applyProtection="1">
      <alignment horizontal="center" vertical="center" wrapText="1"/>
    </xf>
    <xf numFmtId="0" fontId="32" fillId="25" borderId="35" xfId="0" applyFont="1" applyFill="1" applyBorder="1" applyAlignment="1" applyProtection="1">
      <alignment horizontal="center" vertical="center" wrapText="1"/>
    </xf>
    <xf numFmtId="0" fontId="32" fillId="25" borderId="79" xfId="0" applyFont="1" applyFill="1" applyBorder="1" applyAlignment="1" applyProtection="1">
      <alignment horizontal="center" vertical="center" wrapText="1"/>
    </xf>
    <xf numFmtId="49" fontId="32" fillId="44" borderId="10" xfId="0" applyNumberFormat="1" applyFont="1" applyFill="1" applyBorder="1" applyAlignment="1">
      <alignment horizontal="center" vertical="center" wrapText="1"/>
    </xf>
    <xf numFmtId="49" fontId="32" fillId="44" borderId="198" xfId="0" applyNumberFormat="1" applyFont="1" applyFill="1" applyBorder="1" applyAlignment="1">
      <alignment horizontal="center" vertical="center" wrapText="1"/>
    </xf>
    <xf numFmtId="49" fontId="32" fillId="44" borderId="11" xfId="0" applyNumberFormat="1" applyFont="1" applyFill="1" applyBorder="1" applyAlignment="1">
      <alignment horizontal="center" vertical="center" wrapText="1"/>
    </xf>
    <xf numFmtId="49" fontId="32" fillId="44" borderId="13" xfId="0" applyNumberFormat="1" applyFont="1" applyFill="1" applyBorder="1" applyAlignment="1">
      <alignment horizontal="center" vertical="center" wrapText="1"/>
    </xf>
    <xf numFmtId="49" fontId="32" fillId="42" borderId="10" xfId="0" applyNumberFormat="1" applyFont="1" applyFill="1" applyBorder="1" applyAlignment="1">
      <alignment horizontal="center" vertical="center" wrapText="1"/>
    </xf>
    <xf numFmtId="49" fontId="32" fillId="42" borderId="13" xfId="0" applyNumberFormat="1" applyFont="1" applyFill="1" applyBorder="1" applyAlignment="1">
      <alignment horizontal="center" vertical="center" wrapText="1"/>
    </xf>
    <xf numFmtId="49" fontId="32" fillId="42" borderId="26" xfId="0" applyNumberFormat="1" applyFont="1" applyFill="1" applyBorder="1" applyAlignment="1">
      <alignment horizontal="center" vertical="center" wrapText="1"/>
    </xf>
    <xf numFmtId="49" fontId="71" fillId="27" borderId="34" xfId="0" applyNumberFormat="1" applyFont="1" applyFill="1" applyBorder="1" applyAlignment="1">
      <alignment horizontal="center" vertical="center" wrapText="1"/>
    </xf>
    <xf numFmtId="49" fontId="71" fillId="27" borderId="0" xfId="0" applyNumberFormat="1" applyFont="1" applyFill="1" applyBorder="1" applyAlignment="1">
      <alignment horizontal="center" vertical="center" wrapText="1"/>
    </xf>
    <xf numFmtId="49" fontId="71" fillId="27" borderId="45" xfId="0" applyNumberFormat="1" applyFont="1" applyFill="1" applyBorder="1" applyAlignment="1">
      <alignment horizontal="center" vertical="center" wrapText="1"/>
    </xf>
    <xf numFmtId="49" fontId="71" fillId="54" borderId="36" xfId="0" applyNumberFormat="1" applyFont="1" applyFill="1" applyBorder="1" applyAlignment="1">
      <alignment horizontal="center" vertical="center" wrapText="1"/>
    </xf>
    <xf numFmtId="49" fontId="71" fillId="54" borderId="51" xfId="0" applyNumberFormat="1" applyFont="1" applyFill="1" applyBorder="1" applyAlignment="1">
      <alignment horizontal="center" vertical="center" wrapText="1"/>
    </xf>
    <xf numFmtId="49" fontId="71" fillId="54" borderId="446" xfId="0" applyNumberFormat="1" applyFont="1" applyFill="1" applyBorder="1" applyAlignment="1">
      <alignment horizontal="center" vertical="center" wrapText="1"/>
    </xf>
    <xf numFmtId="49" fontId="71" fillId="54" borderId="375" xfId="0" applyNumberFormat="1" applyFont="1" applyFill="1" applyBorder="1" applyAlignment="1">
      <alignment horizontal="center" vertical="center" wrapText="1"/>
    </xf>
    <xf numFmtId="49" fontId="71" fillId="54" borderId="42" xfId="0" applyNumberFormat="1" applyFont="1" applyFill="1" applyBorder="1" applyAlignment="1">
      <alignment horizontal="center" vertical="center" wrapText="1"/>
    </xf>
    <xf numFmtId="166" fontId="15" fillId="41" borderId="0" xfId="30" applyNumberFormat="1" applyFont="1" applyFill="1" applyBorder="1" applyAlignment="1" applyProtection="1">
      <alignment horizontal="left" wrapText="1"/>
    </xf>
    <xf numFmtId="49" fontId="32" fillId="43" borderId="10" xfId="0" applyNumberFormat="1" applyFont="1" applyFill="1" applyBorder="1" applyAlignment="1">
      <alignment horizontal="center" vertical="center" wrapText="1"/>
    </xf>
    <xf numFmtId="49" fontId="32" fillId="43" borderId="13" xfId="0" applyNumberFormat="1" applyFont="1" applyFill="1" applyBorder="1" applyAlignment="1">
      <alignment horizontal="center" vertical="center" wrapText="1"/>
    </xf>
    <xf numFmtId="166" fontId="15" fillId="41" borderId="0" xfId="30" applyNumberFormat="1" applyFont="1" applyFill="1" applyBorder="1" applyAlignment="1" applyProtection="1">
      <alignment horizontal="left" vertical="top" wrapText="1"/>
    </xf>
    <xf numFmtId="49" fontId="32" fillId="43" borderId="44" xfId="0" applyNumberFormat="1" applyFont="1" applyFill="1" applyBorder="1" applyAlignment="1">
      <alignment horizontal="center" vertical="center" wrapText="1"/>
    </xf>
    <xf numFmtId="49" fontId="32" fillId="43" borderId="79" xfId="0" applyNumberFormat="1" applyFont="1" applyFill="1" applyBorder="1" applyAlignment="1">
      <alignment horizontal="center" vertical="center" wrapText="1"/>
    </xf>
    <xf numFmtId="0" fontId="32" fillId="25" borderId="11" xfId="0" applyFont="1" applyFill="1" applyBorder="1" applyAlignment="1">
      <alignment horizontal="center" vertical="center"/>
    </xf>
    <xf numFmtId="0" fontId="32" fillId="25" borderId="13" xfId="0" applyFont="1" applyFill="1" applyBorder="1" applyAlignment="1">
      <alignment horizontal="center" vertical="center"/>
    </xf>
    <xf numFmtId="0" fontId="52" fillId="27" borderId="36" xfId="0" applyFont="1" applyFill="1" applyBorder="1" applyAlignment="1">
      <alignment horizontal="center" vertical="center" wrapText="1"/>
    </xf>
    <xf numFmtId="0" fontId="52" fillId="27" borderId="51" xfId="0" applyFont="1" applyFill="1" applyBorder="1" applyAlignment="1">
      <alignment horizontal="center" vertical="center" wrapText="1"/>
    </xf>
    <xf numFmtId="0" fontId="52" fillId="27" borderId="42" xfId="0" applyFont="1" applyFill="1" applyBorder="1" applyAlignment="1">
      <alignment horizontal="center" vertical="center" wrapText="1"/>
    </xf>
    <xf numFmtId="0" fontId="32" fillId="25" borderId="26" xfId="0" applyFont="1" applyFill="1" applyBorder="1" applyAlignment="1">
      <alignment horizontal="center" vertical="center" wrapText="1"/>
    </xf>
    <xf numFmtId="0" fontId="26" fillId="25" borderId="10" xfId="0" applyFont="1" applyFill="1" applyBorder="1" applyAlignment="1">
      <alignment horizontal="center" vertical="center" wrapText="1"/>
    </xf>
    <xf numFmtId="0" fontId="26" fillId="25" borderId="11" xfId="0" applyFont="1" applyFill="1" applyBorder="1" applyAlignment="1">
      <alignment horizontal="center" vertical="center" wrapText="1"/>
    </xf>
    <xf numFmtId="0" fontId="26" fillId="25" borderId="13" xfId="0" applyFont="1" applyFill="1" applyBorder="1" applyAlignment="1">
      <alignment horizontal="center" vertical="center"/>
    </xf>
    <xf numFmtId="0" fontId="52" fillId="27" borderId="36" xfId="0" applyFont="1" applyFill="1" applyBorder="1" applyAlignment="1">
      <alignment horizontal="center" vertical="center"/>
    </xf>
    <xf numFmtId="0" fontId="52" fillId="27" borderId="51" xfId="0" applyFont="1" applyFill="1" applyBorder="1" applyAlignment="1">
      <alignment horizontal="center" vertical="center"/>
    </xf>
    <xf numFmtId="0" fontId="52" fillId="27" borderId="42" xfId="0" applyFont="1" applyFill="1" applyBorder="1" applyAlignment="1">
      <alignment horizontal="center" vertical="center"/>
    </xf>
    <xf numFmtId="0" fontId="32" fillId="25" borderId="26" xfId="0" applyFont="1" applyFill="1" applyBorder="1" applyAlignment="1">
      <alignment horizontal="center" wrapText="1"/>
    </xf>
    <xf numFmtId="0" fontId="48" fillId="25" borderId="26" xfId="0" applyFont="1" applyFill="1" applyBorder="1" applyAlignment="1">
      <alignment horizontal="center" vertical="center" wrapText="1"/>
    </xf>
    <xf numFmtId="0" fontId="48" fillId="25" borderId="26" xfId="0" applyFont="1" applyFill="1" applyBorder="1" applyAlignment="1">
      <alignment horizontal="center" wrapText="1"/>
    </xf>
    <xf numFmtId="0" fontId="41" fillId="0" borderId="36" xfId="0" applyFont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73" fillId="27" borderId="36" xfId="0" quotePrefix="1" applyFont="1" applyFill="1" applyBorder="1" applyAlignment="1">
      <alignment horizontal="center" vertical="center"/>
    </xf>
    <xf numFmtId="0" fontId="73" fillId="27" borderId="51" xfId="0" quotePrefix="1" applyFont="1" applyFill="1" applyBorder="1" applyAlignment="1">
      <alignment horizontal="center" vertical="center"/>
    </xf>
    <xf numFmtId="0" fontId="65" fillId="0" borderId="51" xfId="0" applyFont="1" applyBorder="1" applyAlignment="1">
      <alignment horizontal="center" vertical="center"/>
    </xf>
    <xf numFmtId="0" fontId="65" fillId="0" borderId="42" xfId="0" applyFont="1" applyBorder="1" applyAlignment="1">
      <alignment horizontal="center" vertical="center"/>
    </xf>
    <xf numFmtId="0" fontId="48" fillId="27" borderId="10" xfId="0" applyFont="1" applyFill="1" applyBorder="1" applyAlignment="1">
      <alignment horizontal="center" vertical="center" wrapText="1"/>
    </xf>
    <xf numFmtId="0" fontId="69" fillId="27" borderId="11" xfId="0" applyFont="1" applyFill="1" applyBorder="1" applyAlignment="1">
      <alignment vertical="center"/>
    </xf>
    <xf numFmtId="0" fontId="69" fillId="27" borderId="13" xfId="0" applyFont="1" applyFill="1" applyBorder="1" applyAlignment="1">
      <alignment vertical="center"/>
    </xf>
    <xf numFmtId="0" fontId="48" fillId="27" borderId="10" xfId="0" quotePrefix="1" applyFont="1" applyFill="1" applyBorder="1" applyAlignment="1">
      <alignment horizontal="center" vertical="center" wrapText="1"/>
    </xf>
    <xf numFmtId="0" fontId="27" fillId="25" borderId="10" xfId="0" applyFont="1" applyFill="1" applyBorder="1" applyAlignment="1">
      <alignment horizontal="center" wrapText="1"/>
    </xf>
    <xf numFmtId="0" fontId="27" fillId="25" borderId="11" xfId="0" applyFont="1" applyFill="1" applyBorder="1" applyAlignment="1">
      <alignment horizontal="center" wrapText="1"/>
    </xf>
    <xf numFmtId="0" fontId="40" fillId="25" borderId="13" xfId="0" applyFont="1" applyFill="1" applyBorder="1" applyAlignment="1">
      <alignment horizontal="center" wrapText="1"/>
    </xf>
    <xf numFmtId="0" fontId="8" fillId="41" borderId="196" xfId="70" applyFill="1" applyBorder="1" applyAlignment="1">
      <alignment horizontal="center" wrapText="1"/>
    </xf>
    <xf numFmtId="0" fontId="8" fillId="41" borderId="198" xfId="70" applyFill="1" applyBorder="1" applyAlignment="1">
      <alignment horizontal="center"/>
    </xf>
    <xf numFmtId="0" fontId="13" fillId="0" borderId="0" xfId="53" applyBorder="1" applyAlignment="1">
      <alignment horizontal="center"/>
    </xf>
    <xf numFmtId="0" fontId="137" fillId="0" borderId="18" xfId="70" applyFont="1" applyBorder="1" applyAlignment="1"/>
    <xf numFmtId="0" fontId="13" fillId="0" borderId="150" xfId="53" applyBorder="1" applyAlignment="1">
      <alignment horizontal="center"/>
    </xf>
    <xf numFmtId="0" fontId="13" fillId="0" borderId="21" xfId="53" applyBorder="1" applyAlignment="1">
      <alignment horizontal="center"/>
    </xf>
    <xf numFmtId="0" fontId="13" fillId="0" borderId="20" xfId="53" applyBorder="1" applyAlignment="1">
      <alignment horizontal="center"/>
    </xf>
    <xf numFmtId="0" fontId="8" fillId="0" borderId="21" xfId="70" applyBorder="1" applyAlignment="1">
      <alignment horizontal="center"/>
    </xf>
    <xf numFmtId="0" fontId="8" fillId="0" borderId="20" xfId="70" applyBorder="1" applyAlignment="1">
      <alignment horizontal="center"/>
    </xf>
    <xf numFmtId="0" fontId="13" fillId="0" borderId="21" xfId="53" applyBorder="1" applyAlignment="1">
      <alignment horizontal="center" wrapText="1"/>
    </xf>
    <xf numFmtId="5" fontId="15" fillId="0" borderId="0" xfId="0" applyNumberFormat="1" applyFont="1" applyFill="1" applyBorder="1"/>
  </cellXfs>
  <cellStyles count="26622">
    <cellStyle name="20% - Accent1" xfId="1" builtinId="30" customBuiltin="1"/>
    <cellStyle name="20% - Accent1 2" xfId="255"/>
    <cellStyle name="20% - Accent1 3" xfId="659"/>
    <cellStyle name="20% - Accent1 4" xfId="15973"/>
    <cellStyle name="20% - Accent2" xfId="2" builtinId="34" customBuiltin="1"/>
    <cellStyle name="20% - Accent2 2" xfId="256"/>
    <cellStyle name="20% - Accent2 3" xfId="660"/>
    <cellStyle name="20% - Accent2 4" xfId="15974"/>
    <cellStyle name="20% - Accent3" xfId="3" builtinId="38" customBuiltin="1"/>
    <cellStyle name="20% - Accent3 2" xfId="257"/>
    <cellStyle name="20% - Accent3 3" xfId="661"/>
    <cellStyle name="20% - Accent3 4" xfId="15975"/>
    <cellStyle name="20% - Accent4" xfId="4" builtinId="42" customBuiltin="1"/>
    <cellStyle name="20% - Accent4 2" xfId="258"/>
    <cellStyle name="20% - Accent4 3" xfId="662"/>
    <cellStyle name="20% - Accent4 4" xfId="15976"/>
    <cellStyle name="20% - Accent5" xfId="5" builtinId="46" customBuiltin="1"/>
    <cellStyle name="20% - Accent5 2" xfId="259"/>
    <cellStyle name="20% - Accent5 3" xfId="663"/>
    <cellStyle name="20% - Accent5 4" xfId="15977"/>
    <cellStyle name="20% - Accent6" xfId="6" builtinId="50" customBuiltin="1"/>
    <cellStyle name="20% - Accent6 2" xfId="260"/>
    <cellStyle name="20% - Accent6 3" xfId="664"/>
    <cellStyle name="20% - Accent6 4" xfId="15978"/>
    <cellStyle name="40% - Accent1" xfId="7" builtinId="31" customBuiltin="1"/>
    <cellStyle name="40% - Accent1 2" xfId="261"/>
    <cellStyle name="40% - Accent1 3" xfId="665"/>
    <cellStyle name="40% - Accent1 4" xfId="15979"/>
    <cellStyle name="40% - Accent2" xfId="8" builtinId="35" customBuiltin="1"/>
    <cellStyle name="40% - Accent2 2" xfId="262"/>
    <cellStyle name="40% - Accent2 3" xfId="666"/>
    <cellStyle name="40% - Accent2 4" xfId="15980"/>
    <cellStyle name="40% - Accent3" xfId="9" builtinId="39" customBuiltin="1"/>
    <cellStyle name="40% - Accent3 2" xfId="263"/>
    <cellStyle name="40% - Accent3 3" xfId="667"/>
    <cellStyle name="40% - Accent3 4" xfId="15981"/>
    <cellStyle name="40% - Accent4" xfId="10" builtinId="43" customBuiltin="1"/>
    <cellStyle name="40% - Accent4 2" xfId="264"/>
    <cellStyle name="40% - Accent4 3" xfId="668"/>
    <cellStyle name="40% - Accent4 4" xfId="15982"/>
    <cellStyle name="40% - Accent5" xfId="11" builtinId="47" customBuiltin="1"/>
    <cellStyle name="40% - Accent5 2" xfId="265"/>
    <cellStyle name="40% - Accent5 3" xfId="669"/>
    <cellStyle name="40% - Accent5 4" xfId="15983"/>
    <cellStyle name="40% - Accent6" xfId="12" builtinId="51" customBuiltin="1"/>
    <cellStyle name="40% - Accent6 2" xfId="266"/>
    <cellStyle name="40% - Accent6 3" xfId="670"/>
    <cellStyle name="40% - Accent6 4" xfId="15984"/>
    <cellStyle name="60% - Accent1" xfId="13" builtinId="32" customBuiltin="1"/>
    <cellStyle name="60% - Accent1 2" xfId="267"/>
    <cellStyle name="60% - Accent1 3" xfId="671"/>
    <cellStyle name="60% - Accent1 4" xfId="15985"/>
    <cellStyle name="60% - Accent2" xfId="14" builtinId="36" customBuiltin="1"/>
    <cellStyle name="60% - Accent2 2" xfId="268"/>
    <cellStyle name="60% - Accent2 3" xfId="672"/>
    <cellStyle name="60% - Accent2 4" xfId="15986"/>
    <cellStyle name="60% - Accent3" xfId="15" builtinId="40" customBuiltin="1"/>
    <cellStyle name="60% - Accent3 2" xfId="269"/>
    <cellStyle name="60% - Accent3 3" xfId="673"/>
    <cellStyle name="60% - Accent3 4" xfId="15987"/>
    <cellStyle name="60% - Accent4" xfId="16" builtinId="44" customBuiltin="1"/>
    <cellStyle name="60% - Accent4 2" xfId="270"/>
    <cellStyle name="60% - Accent4 3" xfId="674"/>
    <cellStyle name="60% - Accent4 4" xfId="15988"/>
    <cellStyle name="60% - Accent5" xfId="17" builtinId="48" customBuiltin="1"/>
    <cellStyle name="60% - Accent5 2" xfId="271"/>
    <cellStyle name="60% - Accent5 3" xfId="675"/>
    <cellStyle name="60% - Accent5 4" xfId="15989"/>
    <cellStyle name="60% - Accent6" xfId="18" builtinId="52" customBuiltin="1"/>
    <cellStyle name="60% - Accent6 2" xfId="272"/>
    <cellStyle name="60% - Accent6 3" xfId="676"/>
    <cellStyle name="60% - Accent6 4" xfId="15990"/>
    <cellStyle name="Accent1" xfId="19" builtinId="29" customBuiltin="1"/>
    <cellStyle name="Accent1 2" xfId="273"/>
    <cellStyle name="Accent1 3" xfId="677"/>
    <cellStyle name="Accent1 4" xfId="15991"/>
    <cellStyle name="Accent2" xfId="20" builtinId="33" customBuiltin="1"/>
    <cellStyle name="Accent2 2" xfId="274"/>
    <cellStyle name="Accent2 3" xfId="678"/>
    <cellStyle name="Accent2 4" xfId="15992"/>
    <cellStyle name="Accent3" xfId="21" builtinId="37" customBuiltin="1"/>
    <cellStyle name="Accent3 2" xfId="275"/>
    <cellStyle name="Accent3 3" xfId="679"/>
    <cellStyle name="Accent3 4" xfId="15993"/>
    <cellStyle name="Accent4" xfId="22" builtinId="41" customBuiltin="1"/>
    <cellStyle name="Accent4 2" xfId="276"/>
    <cellStyle name="Accent4 3" xfId="680"/>
    <cellStyle name="Accent4 4" xfId="15994"/>
    <cellStyle name="Accent5" xfId="23" builtinId="45" customBuiltin="1"/>
    <cellStyle name="Accent5 2" xfId="277"/>
    <cellStyle name="Accent5 3" xfId="681"/>
    <cellStyle name="Accent5 4" xfId="15995"/>
    <cellStyle name="Accent6" xfId="24" builtinId="49" customBuiltin="1"/>
    <cellStyle name="Accent6 2" xfId="278"/>
    <cellStyle name="Accent6 3" xfId="682"/>
    <cellStyle name="Accent6 4" xfId="15996"/>
    <cellStyle name="Bad" xfId="25" builtinId="27" customBuiltin="1"/>
    <cellStyle name="Bad 2" xfId="279"/>
    <cellStyle name="Bad 3" xfId="683"/>
    <cellStyle name="Bad 4" xfId="15997"/>
    <cellStyle name="Calculation" xfId="26" builtinId="22" customBuiltin="1"/>
    <cellStyle name="Calculation 10" xfId="125"/>
    <cellStyle name="Calculation 10 2" xfId="518"/>
    <cellStyle name="Calculation 10 2 2" xfId="1495"/>
    <cellStyle name="Calculation 10 2 2 2" xfId="2765"/>
    <cellStyle name="Calculation 10 2 2 2 2" xfId="6326"/>
    <cellStyle name="Calculation 10 2 2 2 2 2" xfId="14520"/>
    <cellStyle name="Calculation 10 2 2 2 2 2 2" xfId="26492"/>
    <cellStyle name="Calculation 10 2 2 2 2 3" xfId="21379"/>
    <cellStyle name="Calculation 10 2 2 2 2_Table 2A-1_EFT (Annual)" xfId="14899"/>
    <cellStyle name="Calculation 10 2 2 2 3" xfId="11862"/>
    <cellStyle name="Calculation 10 2 2 2 3 2" xfId="23946"/>
    <cellStyle name="Calculation 10 2 2 2 4" xfId="18833"/>
    <cellStyle name="Calculation 10 2 2 2_Table 2A-1_EFT (Annual)" xfId="4262"/>
    <cellStyle name="Calculation 10 2 2 3" xfId="5056"/>
    <cellStyle name="Calculation 10 2 2 3 2" xfId="13316"/>
    <cellStyle name="Calculation 10 2 2 3 2 2" xfId="25322"/>
    <cellStyle name="Calculation 10 2 2 3 3" xfId="20209"/>
    <cellStyle name="Calculation 10 2 2 3_Table 2A-1_EFT (Annual)" xfId="14898"/>
    <cellStyle name="Calculation 10 2 2 4" xfId="10660"/>
    <cellStyle name="Calculation 10 2 2 4 2" xfId="22776"/>
    <cellStyle name="Calculation 10 2 2 5" xfId="17663"/>
    <cellStyle name="Calculation 10 2 2_Table 2A-1_EFT (Annual)" xfId="3645"/>
    <cellStyle name="Calculation 10 2 3" xfId="1028"/>
    <cellStyle name="Calculation 10 2 3 2" xfId="4589"/>
    <cellStyle name="Calculation 10 2 3 2 2" xfId="12849"/>
    <cellStyle name="Calculation 10 2 3 2 2 2" xfId="24855"/>
    <cellStyle name="Calculation 10 2 3 2 3" xfId="19742"/>
    <cellStyle name="Calculation 10 2 3 2_Table 2A-1_EFT (Annual)" xfId="14897"/>
    <cellStyle name="Calculation 10 2 3 3" xfId="10193"/>
    <cellStyle name="Calculation 10 2 3 3 2" xfId="22309"/>
    <cellStyle name="Calculation 10 2 3 4" xfId="17196"/>
    <cellStyle name="Calculation 10 2 3_Table 2A-1_EFT (Annual)" xfId="3867"/>
    <cellStyle name="Calculation 10 2 4" xfId="2234"/>
    <cellStyle name="Calculation 10 2 4 2" xfId="5795"/>
    <cellStyle name="Calculation 10 2 4 2 2" xfId="14010"/>
    <cellStyle name="Calculation 10 2 4 2 2 2" xfId="25998"/>
    <cellStyle name="Calculation 10 2 4 2 3" xfId="20885"/>
    <cellStyle name="Calculation 10 2 4 2_Table 2A-1_EFT (Annual)" xfId="14896"/>
    <cellStyle name="Calculation 10 2 4 3" xfId="11354"/>
    <cellStyle name="Calculation 10 2 4 3 2" xfId="23452"/>
    <cellStyle name="Calculation 10 2 4 4" xfId="18339"/>
    <cellStyle name="Calculation 10 2 4_Table 2A-1_EFT (Annual)" xfId="3644"/>
    <cellStyle name="Calculation 10 2 5" xfId="4088"/>
    <cellStyle name="Calculation 10 2 5 2" xfId="12412"/>
    <cellStyle name="Calculation 10 2 5 2 2" xfId="24434"/>
    <cellStyle name="Calculation 10 2 5 3" xfId="19321"/>
    <cellStyle name="Calculation 10 2 5_Table 2A-1_EFT (Annual)" xfId="14895"/>
    <cellStyle name="Calculation 10 2 6" xfId="9751"/>
    <cellStyle name="Calculation 10 2 6 2" xfId="21888"/>
    <cellStyle name="Calculation 10 2 7" xfId="16775"/>
    <cellStyle name="Calculation 10 2_Table 2A-1_EFT (Annual)" xfId="2893"/>
    <cellStyle name="Calculation 10 3" xfId="356"/>
    <cellStyle name="Calculation 10 3 2" xfId="1339"/>
    <cellStyle name="Calculation 10 3 2 2" xfId="2609"/>
    <cellStyle name="Calculation 10 3 2 2 2" xfId="6170"/>
    <cellStyle name="Calculation 10 3 2 2 2 2" xfId="14364"/>
    <cellStyle name="Calculation 10 3 2 2 2 2 2" xfId="26336"/>
    <cellStyle name="Calculation 10 3 2 2 2 3" xfId="21223"/>
    <cellStyle name="Calculation 10 3 2 2 2_Table 2A-1_EFT (Annual)" xfId="14894"/>
    <cellStyle name="Calculation 10 3 2 2 3" xfId="11706"/>
    <cellStyle name="Calculation 10 3 2 2 3 2" xfId="23790"/>
    <cellStyle name="Calculation 10 3 2 2 4" xfId="18677"/>
    <cellStyle name="Calculation 10 3 2 2_Table 2A-1_EFT (Annual)" xfId="3643"/>
    <cellStyle name="Calculation 10 3 2 3" xfId="4900"/>
    <cellStyle name="Calculation 10 3 2 3 2" xfId="13160"/>
    <cellStyle name="Calculation 10 3 2 3 2 2" xfId="25166"/>
    <cellStyle name="Calculation 10 3 2 3 3" xfId="20053"/>
    <cellStyle name="Calculation 10 3 2 3_Table 2A-1_EFT (Annual)" xfId="14893"/>
    <cellStyle name="Calculation 10 3 2 4" xfId="10504"/>
    <cellStyle name="Calculation 10 3 2 4 2" xfId="22620"/>
    <cellStyle name="Calculation 10 3 2 5" xfId="17507"/>
    <cellStyle name="Calculation 10 3 2_Table 2A-1_EFT (Annual)" xfId="3648"/>
    <cellStyle name="Calculation 10 3 3" xfId="896"/>
    <cellStyle name="Calculation 10 3 3 2" xfId="4457"/>
    <cellStyle name="Calculation 10 3 3 2 2" xfId="12719"/>
    <cellStyle name="Calculation 10 3 3 2 2 2" xfId="24729"/>
    <cellStyle name="Calculation 10 3 3 2 3" xfId="19616"/>
    <cellStyle name="Calculation 10 3 3 2_Table 2A-1_EFT (Annual)" xfId="14892"/>
    <cellStyle name="Calculation 10 3 3 3" xfId="10066"/>
    <cellStyle name="Calculation 10 3 3 3 2" xfId="22183"/>
    <cellStyle name="Calculation 10 3 3 4" xfId="17070"/>
    <cellStyle name="Calculation 10 3 3_Table 2A-1_EFT (Annual)" xfId="3642"/>
    <cellStyle name="Calculation 10 3 4" xfId="2078"/>
    <cellStyle name="Calculation 10 3 4 2" xfId="5639"/>
    <cellStyle name="Calculation 10 3 4 2 2" xfId="13854"/>
    <cellStyle name="Calculation 10 3 4 2 2 2" xfId="25842"/>
    <cellStyle name="Calculation 10 3 4 2 3" xfId="20729"/>
    <cellStyle name="Calculation 10 3 4 2_Table 2A-1_EFT (Annual)" xfId="14891"/>
    <cellStyle name="Calculation 10 3 4 3" xfId="11198"/>
    <cellStyle name="Calculation 10 3 4 3 2" xfId="23296"/>
    <cellStyle name="Calculation 10 3 4 4" xfId="18183"/>
    <cellStyle name="Calculation 10 3 4_Table 2A-1_EFT (Annual)" xfId="3641"/>
    <cellStyle name="Calculation 10 3 5" xfId="3926"/>
    <cellStyle name="Calculation 10 3 5 2" xfId="12254"/>
    <cellStyle name="Calculation 10 3 5 2 2" xfId="24278"/>
    <cellStyle name="Calculation 10 3 5 3" xfId="19165"/>
    <cellStyle name="Calculation 10 3 5_Table 2A-1_EFT (Annual)" xfId="14890"/>
    <cellStyle name="Calculation 10 3 6" xfId="9591"/>
    <cellStyle name="Calculation 10 3 6 2" xfId="21732"/>
    <cellStyle name="Calculation 10 3 7" xfId="16619"/>
    <cellStyle name="Calculation 10 3_Table 2A-1_EFT (Annual)" xfId="2894"/>
    <cellStyle name="Calculation 10 4" xfId="1173"/>
    <cellStyle name="Calculation 10 4 2" xfId="2443"/>
    <cellStyle name="Calculation 10 4 2 2" xfId="6004"/>
    <cellStyle name="Calculation 10 4 2 2 2" xfId="14198"/>
    <cellStyle name="Calculation 10 4 2 2 2 2" xfId="26170"/>
    <cellStyle name="Calculation 10 4 2 2 3" xfId="21057"/>
    <cellStyle name="Calculation 10 4 2 2_Table 2A-1_EFT (Annual)" xfId="14889"/>
    <cellStyle name="Calculation 10 4 2 3" xfId="11540"/>
    <cellStyle name="Calculation 10 4 2 3 2" xfId="23624"/>
    <cellStyle name="Calculation 10 4 2 4" xfId="18511"/>
    <cellStyle name="Calculation 10 4 2_Table 2A-1_EFT (Annual)" xfId="3656"/>
    <cellStyle name="Calculation 10 4 3" xfId="4734"/>
    <cellStyle name="Calculation 10 4 3 2" xfId="12994"/>
    <cellStyle name="Calculation 10 4 3 2 2" xfId="25000"/>
    <cellStyle name="Calculation 10 4 3 3" xfId="19887"/>
    <cellStyle name="Calculation 10 4 3_Table 2A-1_EFT (Annual)" xfId="14888"/>
    <cellStyle name="Calculation 10 4 4" xfId="10338"/>
    <cellStyle name="Calculation 10 4 4 2" xfId="22454"/>
    <cellStyle name="Calculation 10 4 5" xfId="17341"/>
    <cellStyle name="Calculation 10 4_Table 2A-1_EFT (Annual)" xfId="3662"/>
    <cellStyle name="Calculation 10 5" xfId="737"/>
    <cellStyle name="Calculation 10 5 2" xfId="4298"/>
    <cellStyle name="Calculation 10 5 2 2" xfId="12578"/>
    <cellStyle name="Calculation 10 5 2 2 2" xfId="24595"/>
    <cellStyle name="Calculation 10 5 2 3" xfId="19482"/>
    <cellStyle name="Calculation 10 5 2_Table 2A-1_EFT (Annual)" xfId="14887"/>
    <cellStyle name="Calculation 10 5 3" xfId="9926"/>
    <cellStyle name="Calculation 10 5 3 2" xfId="22049"/>
    <cellStyle name="Calculation 10 5 4" xfId="16936"/>
    <cellStyle name="Calculation 10 5_Table 2A-1_EFT (Annual)" xfId="3663"/>
    <cellStyle name="Calculation 10 6" xfId="1863"/>
    <cellStyle name="Calculation 10 6 2" xfId="5424"/>
    <cellStyle name="Calculation 10 6 2 2" xfId="13639"/>
    <cellStyle name="Calculation 10 6 2 2 2" xfId="25627"/>
    <cellStyle name="Calculation 10 6 2 3" xfId="20514"/>
    <cellStyle name="Calculation 10 6 2_Table 2A-1_EFT (Annual)" xfId="14886"/>
    <cellStyle name="Calculation 10 6 3" xfId="10983"/>
    <cellStyle name="Calculation 10 6 3 2" xfId="23081"/>
    <cellStyle name="Calculation 10 6 4" xfId="17968"/>
    <cellStyle name="Calculation 10 6_Table 2A-1_EFT (Annual)" xfId="3640"/>
    <cellStyle name="Calculation 10 7" xfId="3714"/>
    <cellStyle name="Calculation 10 7 2" xfId="12082"/>
    <cellStyle name="Calculation 10 7 2 2" xfId="24112"/>
    <cellStyle name="Calculation 10 7 3" xfId="18999"/>
    <cellStyle name="Calculation 10 7_Table 2A-1_EFT (Annual)" xfId="14885"/>
    <cellStyle name="Calculation 10 8" xfId="9401"/>
    <cellStyle name="Calculation 10 8 2" xfId="21566"/>
    <cellStyle name="Calculation 10 9" xfId="16453"/>
    <cellStyle name="Calculation 10_Table 2A-1_EFT (Annual)" xfId="2892"/>
    <cellStyle name="Calculation 11" xfId="143"/>
    <cellStyle name="Calculation 11 2" xfId="536"/>
    <cellStyle name="Calculation 11 2 2" xfId="1513"/>
    <cellStyle name="Calculation 11 2 2 2" xfId="2783"/>
    <cellStyle name="Calculation 11 2 2 2 2" xfId="6344"/>
    <cellStyle name="Calculation 11 2 2 2 2 2" xfId="14538"/>
    <cellStyle name="Calculation 11 2 2 2 2 2 2" xfId="26510"/>
    <cellStyle name="Calculation 11 2 2 2 2 3" xfId="21397"/>
    <cellStyle name="Calculation 11 2 2 2 2_Table 2A-1_EFT (Annual)" xfId="14884"/>
    <cellStyle name="Calculation 11 2 2 2 3" xfId="11880"/>
    <cellStyle name="Calculation 11 2 2 2 3 2" xfId="23964"/>
    <cellStyle name="Calculation 11 2 2 2 4" xfId="18851"/>
    <cellStyle name="Calculation 11 2 2 2_Table 2A-1_EFT (Annual)" xfId="6492"/>
    <cellStyle name="Calculation 11 2 2 3" xfId="5074"/>
    <cellStyle name="Calculation 11 2 2 3 2" xfId="13334"/>
    <cellStyle name="Calculation 11 2 2 3 2 2" xfId="25340"/>
    <cellStyle name="Calculation 11 2 2 3 3" xfId="20227"/>
    <cellStyle name="Calculation 11 2 2 3_Table 2A-1_EFT (Annual)" xfId="14883"/>
    <cellStyle name="Calculation 11 2 2 4" xfId="10678"/>
    <cellStyle name="Calculation 11 2 2 4 2" xfId="22794"/>
    <cellStyle name="Calculation 11 2 2 5" xfId="17681"/>
    <cellStyle name="Calculation 11 2 2_Table 2A-1_EFT (Annual)" xfId="6495"/>
    <cellStyle name="Calculation 11 2 3" xfId="1045"/>
    <cellStyle name="Calculation 11 2 3 2" xfId="4606"/>
    <cellStyle name="Calculation 11 2 3 2 2" xfId="12866"/>
    <cellStyle name="Calculation 11 2 3 2 2 2" xfId="24872"/>
    <cellStyle name="Calculation 11 2 3 2 3" xfId="19759"/>
    <cellStyle name="Calculation 11 2 3 2_Table 2A-1_EFT (Annual)" xfId="14882"/>
    <cellStyle name="Calculation 11 2 3 3" xfId="10210"/>
    <cellStyle name="Calculation 11 2 3 3 2" xfId="22326"/>
    <cellStyle name="Calculation 11 2 3 4" xfId="17213"/>
    <cellStyle name="Calculation 11 2 3_Table 2A-1_EFT (Annual)" xfId="6494"/>
    <cellStyle name="Calculation 11 2 4" xfId="2252"/>
    <cellStyle name="Calculation 11 2 4 2" xfId="5813"/>
    <cellStyle name="Calculation 11 2 4 2 2" xfId="14028"/>
    <cellStyle name="Calculation 11 2 4 2 2 2" xfId="26016"/>
    <cellStyle name="Calculation 11 2 4 2 3" xfId="20903"/>
    <cellStyle name="Calculation 11 2 4 2_Table 2A-1_EFT (Annual)" xfId="14881"/>
    <cellStyle name="Calculation 11 2 4 3" xfId="11372"/>
    <cellStyle name="Calculation 11 2 4 3 2" xfId="23470"/>
    <cellStyle name="Calculation 11 2 4 4" xfId="18357"/>
    <cellStyle name="Calculation 11 2 4_Table 2A-1_EFT (Annual)" xfId="6493"/>
    <cellStyle name="Calculation 11 2 5" xfId="4106"/>
    <cellStyle name="Calculation 11 2 5 2" xfId="12430"/>
    <cellStyle name="Calculation 11 2 5 2 2" xfId="24452"/>
    <cellStyle name="Calculation 11 2 5 3" xfId="19339"/>
    <cellStyle name="Calculation 11 2 5_Table 2A-1_EFT (Annual)" xfId="14880"/>
    <cellStyle name="Calculation 11 2 6" xfId="9769"/>
    <cellStyle name="Calculation 11 2 6 2" xfId="21906"/>
    <cellStyle name="Calculation 11 2 7" xfId="16793"/>
    <cellStyle name="Calculation 11 2_Table 2A-1_EFT (Annual)" xfId="2896"/>
    <cellStyle name="Calculation 11 3" xfId="374"/>
    <cellStyle name="Calculation 11 3 2" xfId="1357"/>
    <cellStyle name="Calculation 11 3 2 2" xfId="2627"/>
    <cellStyle name="Calculation 11 3 2 2 2" xfId="6188"/>
    <cellStyle name="Calculation 11 3 2 2 2 2" xfId="14382"/>
    <cellStyle name="Calculation 11 3 2 2 2 2 2" xfId="26354"/>
    <cellStyle name="Calculation 11 3 2 2 2 3" xfId="21241"/>
    <cellStyle name="Calculation 11 3 2 2 2_Table 2A-1_EFT (Annual)" xfId="14879"/>
    <cellStyle name="Calculation 11 3 2 2 3" xfId="11724"/>
    <cellStyle name="Calculation 11 3 2 2 3 2" xfId="23808"/>
    <cellStyle name="Calculation 11 3 2 2 4" xfId="18695"/>
    <cellStyle name="Calculation 11 3 2 2_Table 2A-1_EFT (Annual)" xfId="6491"/>
    <cellStyle name="Calculation 11 3 2 3" xfId="4918"/>
    <cellStyle name="Calculation 11 3 2 3 2" xfId="13178"/>
    <cellStyle name="Calculation 11 3 2 3 2 2" xfId="25184"/>
    <cellStyle name="Calculation 11 3 2 3 3" xfId="20071"/>
    <cellStyle name="Calculation 11 3 2 3_Table 2A-1_EFT (Annual)" xfId="14878"/>
    <cellStyle name="Calculation 11 3 2 4" xfId="10522"/>
    <cellStyle name="Calculation 11 3 2 4 2" xfId="22638"/>
    <cellStyle name="Calculation 11 3 2 5" xfId="17525"/>
    <cellStyle name="Calculation 11 3 2_Table 2A-1_EFT (Annual)" xfId="6485"/>
    <cellStyle name="Calculation 11 3 3" xfId="913"/>
    <cellStyle name="Calculation 11 3 3 2" xfId="4474"/>
    <cellStyle name="Calculation 11 3 3 2 2" xfId="12736"/>
    <cellStyle name="Calculation 11 3 3 2 2 2" xfId="24746"/>
    <cellStyle name="Calculation 11 3 3 2 3" xfId="19633"/>
    <cellStyle name="Calculation 11 3 3 2_Table 2A-1_EFT (Annual)" xfId="14877"/>
    <cellStyle name="Calculation 11 3 3 3" xfId="10083"/>
    <cellStyle name="Calculation 11 3 3 3 2" xfId="22200"/>
    <cellStyle name="Calculation 11 3 3 4" xfId="17087"/>
    <cellStyle name="Calculation 11 3 3_Table 2A-1_EFT (Annual)" xfId="6489"/>
    <cellStyle name="Calculation 11 3 4" xfId="2096"/>
    <cellStyle name="Calculation 11 3 4 2" xfId="5657"/>
    <cellStyle name="Calculation 11 3 4 2 2" xfId="13872"/>
    <cellStyle name="Calculation 11 3 4 2 2 2" xfId="25860"/>
    <cellStyle name="Calculation 11 3 4 2 3" xfId="20747"/>
    <cellStyle name="Calculation 11 3 4 2_Table 2A-1_EFT (Annual)" xfId="14876"/>
    <cellStyle name="Calculation 11 3 4 3" xfId="11216"/>
    <cellStyle name="Calculation 11 3 4 3 2" xfId="23314"/>
    <cellStyle name="Calculation 11 3 4 4" xfId="18201"/>
    <cellStyle name="Calculation 11 3 4_Table 2A-1_EFT (Annual)" xfId="6490"/>
    <cellStyle name="Calculation 11 3 5" xfId="3944"/>
    <cellStyle name="Calculation 11 3 5 2" xfId="12272"/>
    <cellStyle name="Calculation 11 3 5 2 2" xfId="24296"/>
    <cellStyle name="Calculation 11 3 5 3" xfId="19183"/>
    <cellStyle name="Calculation 11 3 5_Table 2A-1_EFT (Annual)" xfId="14875"/>
    <cellStyle name="Calculation 11 3 6" xfId="9609"/>
    <cellStyle name="Calculation 11 3 6 2" xfId="21750"/>
    <cellStyle name="Calculation 11 3 7" xfId="16637"/>
    <cellStyle name="Calculation 11 3_Table 2A-1_EFT (Annual)" xfId="2897"/>
    <cellStyle name="Calculation 11 4" xfId="1191"/>
    <cellStyle name="Calculation 11 4 2" xfId="2461"/>
    <cellStyle name="Calculation 11 4 2 2" xfId="6022"/>
    <cellStyle name="Calculation 11 4 2 2 2" xfId="14216"/>
    <cellStyle name="Calculation 11 4 2 2 2 2" xfId="26188"/>
    <cellStyle name="Calculation 11 4 2 2 3" xfId="21075"/>
    <cellStyle name="Calculation 11 4 2 2_Table 2A-1_EFT (Annual)" xfId="14874"/>
    <cellStyle name="Calculation 11 4 2 3" xfId="11558"/>
    <cellStyle name="Calculation 11 4 2 3 2" xfId="23642"/>
    <cellStyle name="Calculation 11 4 2 4" xfId="18529"/>
    <cellStyle name="Calculation 11 4 2_Table 2A-1_EFT (Annual)" xfId="6486"/>
    <cellStyle name="Calculation 11 4 3" xfId="4752"/>
    <cellStyle name="Calculation 11 4 3 2" xfId="13012"/>
    <cellStyle name="Calculation 11 4 3 2 2" xfId="25018"/>
    <cellStyle name="Calculation 11 4 3 3" xfId="19905"/>
    <cellStyle name="Calculation 11 4 3_Table 2A-1_EFT (Annual)" xfId="14873"/>
    <cellStyle name="Calculation 11 4 4" xfId="10356"/>
    <cellStyle name="Calculation 11 4 4 2" xfId="22472"/>
    <cellStyle name="Calculation 11 4 5" xfId="17359"/>
    <cellStyle name="Calculation 11 4_Table 2A-1_EFT (Annual)" xfId="6488"/>
    <cellStyle name="Calculation 11 5" xfId="754"/>
    <cellStyle name="Calculation 11 5 2" xfId="4315"/>
    <cellStyle name="Calculation 11 5 2 2" xfId="12595"/>
    <cellStyle name="Calculation 11 5 2 2 2" xfId="24612"/>
    <cellStyle name="Calculation 11 5 2 3" xfId="19499"/>
    <cellStyle name="Calculation 11 5 2_Table 2A-1_EFT (Annual)" xfId="14872"/>
    <cellStyle name="Calculation 11 5 3" xfId="9943"/>
    <cellStyle name="Calculation 11 5 3 2" xfId="22066"/>
    <cellStyle name="Calculation 11 5 4" xfId="16953"/>
    <cellStyle name="Calculation 11 5_Table 2A-1_EFT (Annual)" xfId="6487"/>
    <cellStyle name="Calculation 11 6" xfId="1854"/>
    <cellStyle name="Calculation 11 6 2" xfId="5415"/>
    <cellStyle name="Calculation 11 6 2 2" xfId="13630"/>
    <cellStyle name="Calculation 11 6 2 2 2" xfId="25618"/>
    <cellStyle name="Calculation 11 6 2 3" xfId="20505"/>
    <cellStyle name="Calculation 11 6 2_Table 2A-1_EFT (Annual)" xfId="14871"/>
    <cellStyle name="Calculation 11 6 3" xfId="10974"/>
    <cellStyle name="Calculation 11 6 3 2" xfId="23072"/>
    <cellStyle name="Calculation 11 6 4" xfId="17959"/>
    <cellStyle name="Calculation 11 6_Table 2A-1_EFT (Annual)" xfId="6480"/>
    <cellStyle name="Calculation 11 7" xfId="3732"/>
    <cellStyle name="Calculation 11 7 2" xfId="12100"/>
    <cellStyle name="Calculation 11 7 2 2" xfId="24130"/>
    <cellStyle name="Calculation 11 7 3" xfId="19017"/>
    <cellStyle name="Calculation 11 7_Table 2A-1_EFT (Annual)" xfId="14870"/>
    <cellStyle name="Calculation 11 8" xfId="9419"/>
    <cellStyle name="Calculation 11 8 2" xfId="21584"/>
    <cellStyle name="Calculation 11 9" xfId="16471"/>
    <cellStyle name="Calculation 11_Table 2A-1_EFT (Annual)" xfId="2895"/>
    <cellStyle name="Calculation 12" xfId="119"/>
    <cellStyle name="Calculation 12 2" xfId="512"/>
    <cellStyle name="Calculation 12 2 2" xfId="1489"/>
    <cellStyle name="Calculation 12 2 2 2" xfId="2759"/>
    <cellStyle name="Calculation 12 2 2 2 2" xfId="6320"/>
    <cellStyle name="Calculation 12 2 2 2 2 2" xfId="14514"/>
    <cellStyle name="Calculation 12 2 2 2 2 2 2" xfId="26486"/>
    <cellStyle name="Calculation 12 2 2 2 2 3" xfId="21373"/>
    <cellStyle name="Calculation 12 2 2 2 2_Table 2A-1_EFT (Annual)" xfId="14869"/>
    <cellStyle name="Calculation 12 2 2 2 3" xfId="11856"/>
    <cellStyle name="Calculation 12 2 2 2 3 2" xfId="23940"/>
    <cellStyle name="Calculation 12 2 2 2 4" xfId="18827"/>
    <cellStyle name="Calculation 12 2 2 2_Table 2A-1_EFT (Annual)" xfId="6484"/>
    <cellStyle name="Calculation 12 2 2 3" xfId="5050"/>
    <cellStyle name="Calculation 12 2 2 3 2" xfId="13310"/>
    <cellStyle name="Calculation 12 2 2 3 2 2" xfId="25316"/>
    <cellStyle name="Calculation 12 2 2 3 3" xfId="20203"/>
    <cellStyle name="Calculation 12 2 2 3_Table 2A-1_EFT (Annual)" xfId="14868"/>
    <cellStyle name="Calculation 12 2 2 4" xfId="10654"/>
    <cellStyle name="Calculation 12 2 2 4 2" xfId="22770"/>
    <cellStyle name="Calculation 12 2 2 5" xfId="17657"/>
    <cellStyle name="Calculation 12 2 2_Table 2A-1_EFT (Annual)" xfId="6481"/>
    <cellStyle name="Calculation 12 2 3" xfId="1023"/>
    <cellStyle name="Calculation 12 2 3 2" xfId="4584"/>
    <cellStyle name="Calculation 12 2 3 2 2" xfId="12844"/>
    <cellStyle name="Calculation 12 2 3 2 2 2" xfId="24850"/>
    <cellStyle name="Calculation 12 2 3 2 3" xfId="19737"/>
    <cellStyle name="Calculation 12 2 3 2_Table 2A-1_EFT (Annual)" xfId="14867"/>
    <cellStyle name="Calculation 12 2 3 3" xfId="10188"/>
    <cellStyle name="Calculation 12 2 3 3 2" xfId="22304"/>
    <cellStyle name="Calculation 12 2 3 4" xfId="17191"/>
    <cellStyle name="Calculation 12 2 3_Table 2A-1_EFT (Annual)" xfId="6482"/>
    <cellStyle name="Calculation 12 2 4" xfId="2228"/>
    <cellStyle name="Calculation 12 2 4 2" xfId="5789"/>
    <cellStyle name="Calculation 12 2 4 2 2" xfId="14004"/>
    <cellStyle name="Calculation 12 2 4 2 2 2" xfId="25992"/>
    <cellStyle name="Calculation 12 2 4 2 3" xfId="20879"/>
    <cellStyle name="Calculation 12 2 4 2_Table 2A-1_EFT (Annual)" xfId="14866"/>
    <cellStyle name="Calculation 12 2 4 3" xfId="11348"/>
    <cellStyle name="Calculation 12 2 4 3 2" xfId="23446"/>
    <cellStyle name="Calculation 12 2 4 4" xfId="18333"/>
    <cellStyle name="Calculation 12 2 4_Table 2A-1_EFT (Annual)" xfId="6483"/>
    <cellStyle name="Calculation 12 2 5" xfId="4082"/>
    <cellStyle name="Calculation 12 2 5 2" xfId="12406"/>
    <cellStyle name="Calculation 12 2 5 2 2" xfId="24428"/>
    <cellStyle name="Calculation 12 2 5 3" xfId="19315"/>
    <cellStyle name="Calculation 12 2 5_Table 2A-1_EFT (Annual)" xfId="14865"/>
    <cellStyle name="Calculation 12 2 6" xfId="9745"/>
    <cellStyle name="Calculation 12 2 6 2" xfId="21882"/>
    <cellStyle name="Calculation 12 2 7" xfId="16769"/>
    <cellStyle name="Calculation 12 2_Table 2A-1_EFT (Annual)" xfId="2899"/>
    <cellStyle name="Calculation 12 3" xfId="350"/>
    <cellStyle name="Calculation 12 3 2" xfId="1333"/>
    <cellStyle name="Calculation 12 3 2 2" xfId="2603"/>
    <cellStyle name="Calculation 12 3 2 2 2" xfId="6164"/>
    <cellStyle name="Calculation 12 3 2 2 2 2" xfId="14358"/>
    <cellStyle name="Calculation 12 3 2 2 2 2 2" xfId="26330"/>
    <cellStyle name="Calculation 12 3 2 2 2 3" xfId="21217"/>
    <cellStyle name="Calculation 12 3 2 2 2_Table 2A-1_EFT (Annual)" xfId="14864"/>
    <cellStyle name="Calculation 12 3 2 2 3" xfId="11700"/>
    <cellStyle name="Calculation 12 3 2 2 3 2" xfId="23784"/>
    <cellStyle name="Calculation 12 3 2 2 4" xfId="18671"/>
    <cellStyle name="Calculation 12 3 2 2_Table 2A-1_EFT (Annual)" xfId="6479"/>
    <cellStyle name="Calculation 12 3 2 3" xfId="4894"/>
    <cellStyle name="Calculation 12 3 2 3 2" xfId="13154"/>
    <cellStyle name="Calculation 12 3 2 3 2 2" xfId="25160"/>
    <cellStyle name="Calculation 12 3 2 3 3" xfId="20047"/>
    <cellStyle name="Calculation 12 3 2 3_Table 2A-1_EFT (Annual)" xfId="14863"/>
    <cellStyle name="Calculation 12 3 2 4" xfId="10498"/>
    <cellStyle name="Calculation 12 3 2 4 2" xfId="22614"/>
    <cellStyle name="Calculation 12 3 2 5" xfId="17501"/>
    <cellStyle name="Calculation 12 3 2_Table 2A-1_EFT (Annual)" xfId="6478"/>
    <cellStyle name="Calculation 12 3 3" xfId="891"/>
    <cellStyle name="Calculation 12 3 3 2" xfId="4452"/>
    <cellStyle name="Calculation 12 3 3 2 2" xfId="12714"/>
    <cellStyle name="Calculation 12 3 3 2 2 2" xfId="24724"/>
    <cellStyle name="Calculation 12 3 3 2 3" xfId="19611"/>
    <cellStyle name="Calculation 12 3 3 2_Table 2A-1_EFT (Annual)" xfId="14862"/>
    <cellStyle name="Calculation 12 3 3 3" xfId="10061"/>
    <cellStyle name="Calculation 12 3 3 3 2" xfId="22178"/>
    <cellStyle name="Calculation 12 3 3 4" xfId="17065"/>
    <cellStyle name="Calculation 12 3 3_Table 2A-1_EFT (Annual)" xfId="6475"/>
    <cellStyle name="Calculation 12 3 4" xfId="2072"/>
    <cellStyle name="Calculation 12 3 4 2" xfId="5633"/>
    <cellStyle name="Calculation 12 3 4 2 2" xfId="13848"/>
    <cellStyle name="Calculation 12 3 4 2 2 2" xfId="25836"/>
    <cellStyle name="Calculation 12 3 4 2 3" xfId="20723"/>
    <cellStyle name="Calculation 12 3 4 2_Table 2A-1_EFT (Annual)" xfId="14861"/>
    <cellStyle name="Calculation 12 3 4 3" xfId="11192"/>
    <cellStyle name="Calculation 12 3 4 3 2" xfId="23290"/>
    <cellStyle name="Calculation 12 3 4 4" xfId="18177"/>
    <cellStyle name="Calculation 12 3 4_Table 2A-1_EFT (Annual)" xfId="6477"/>
    <cellStyle name="Calculation 12 3 5" xfId="3920"/>
    <cellStyle name="Calculation 12 3 5 2" xfId="12248"/>
    <cellStyle name="Calculation 12 3 5 2 2" xfId="24272"/>
    <cellStyle name="Calculation 12 3 5 3" xfId="19159"/>
    <cellStyle name="Calculation 12 3 5_Table 2A-1_EFT (Annual)" xfId="14860"/>
    <cellStyle name="Calculation 12 3 6" xfId="9585"/>
    <cellStyle name="Calculation 12 3 6 2" xfId="21726"/>
    <cellStyle name="Calculation 12 3 7" xfId="16613"/>
    <cellStyle name="Calculation 12 3_Table 2A-1_EFT (Annual)" xfId="2900"/>
    <cellStyle name="Calculation 12 4" xfId="1167"/>
    <cellStyle name="Calculation 12 4 2" xfId="2437"/>
    <cellStyle name="Calculation 12 4 2 2" xfId="5998"/>
    <cellStyle name="Calculation 12 4 2 2 2" xfId="14192"/>
    <cellStyle name="Calculation 12 4 2 2 2 2" xfId="26164"/>
    <cellStyle name="Calculation 12 4 2 2 3" xfId="21051"/>
    <cellStyle name="Calculation 12 4 2 2_Table 2A-1_EFT (Annual)" xfId="14859"/>
    <cellStyle name="Calculation 12 4 2 3" xfId="11534"/>
    <cellStyle name="Calculation 12 4 2 3 2" xfId="23618"/>
    <cellStyle name="Calculation 12 4 2 4" xfId="18505"/>
    <cellStyle name="Calculation 12 4 2_Table 2A-1_EFT (Annual)" xfId="6470"/>
    <cellStyle name="Calculation 12 4 3" xfId="4728"/>
    <cellStyle name="Calculation 12 4 3 2" xfId="12988"/>
    <cellStyle name="Calculation 12 4 3 2 2" xfId="24994"/>
    <cellStyle name="Calculation 12 4 3 3" xfId="19881"/>
    <cellStyle name="Calculation 12 4 3_Table 2A-1_EFT (Annual)" xfId="14858"/>
    <cellStyle name="Calculation 12 4 4" xfId="10332"/>
    <cellStyle name="Calculation 12 4 4 2" xfId="22448"/>
    <cellStyle name="Calculation 12 4 5" xfId="17335"/>
    <cellStyle name="Calculation 12 4_Table 2A-1_EFT (Annual)" xfId="6476"/>
    <cellStyle name="Calculation 12 5" xfId="732"/>
    <cellStyle name="Calculation 12 5 2" xfId="4293"/>
    <cellStyle name="Calculation 12 5 2 2" xfId="12573"/>
    <cellStyle name="Calculation 12 5 2 2 2" xfId="24590"/>
    <cellStyle name="Calculation 12 5 2 3" xfId="19477"/>
    <cellStyle name="Calculation 12 5 2_Table 2A-1_EFT (Annual)" xfId="14857"/>
    <cellStyle name="Calculation 12 5 3" xfId="9921"/>
    <cellStyle name="Calculation 12 5 3 2" xfId="22044"/>
    <cellStyle name="Calculation 12 5 4" xfId="16931"/>
    <cellStyle name="Calculation 12 5_Table 2A-1_EFT (Annual)" xfId="6474"/>
    <cellStyle name="Calculation 12 6" xfId="1866"/>
    <cellStyle name="Calculation 12 6 2" xfId="5427"/>
    <cellStyle name="Calculation 12 6 2 2" xfId="13642"/>
    <cellStyle name="Calculation 12 6 2 2 2" xfId="25630"/>
    <cellStyle name="Calculation 12 6 2 3" xfId="20517"/>
    <cellStyle name="Calculation 12 6 2_Table 2A-1_EFT (Annual)" xfId="14856"/>
    <cellStyle name="Calculation 12 6 3" xfId="10986"/>
    <cellStyle name="Calculation 12 6 3 2" xfId="23084"/>
    <cellStyle name="Calculation 12 6 4" xfId="17971"/>
    <cellStyle name="Calculation 12 6_Table 2A-1_EFT (Annual)" xfId="6473"/>
    <cellStyle name="Calculation 12 7" xfId="3708"/>
    <cellStyle name="Calculation 12 7 2" xfId="12076"/>
    <cellStyle name="Calculation 12 7 2 2" xfId="24106"/>
    <cellStyle name="Calculation 12 7 3" xfId="18993"/>
    <cellStyle name="Calculation 12 7_Table 2A-1_EFT (Annual)" xfId="14855"/>
    <cellStyle name="Calculation 12 8" xfId="9395"/>
    <cellStyle name="Calculation 12 8 2" xfId="21560"/>
    <cellStyle name="Calculation 12 9" xfId="16447"/>
    <cellStyle name="Calculation 12_Table 2A-1_EFT (Annual)" xfId="2898"/>
    <cellStyle name="Calculation 13" xfId="133"/>
    <cellStyle name="Calculation 13 2" xfId="526"/>
    <cellStyle name="Calculation 13 2 2" xfId="1503"/>
    <cellStyle name="Calculation 13 2 2 2" xfId="2773"/>
    <cellStyle name="Calculation 13 2 2 2 2" xfId="6334"/>
    <cellStyle name="Calculation 13 2 2 2 2 2" xfId="14528"/>
    <cellStyle name="Calculation 13 2 2 2 2 2 2" xfId="26500"/>
    <cellStyle name="Calculation 13 2 2 2 2 3" xfId="21387"/>
    <cellStyle name="Calculation 13 2 2 2 2_Table 2A-1_EFT (Annual)" xfId="14854"/>
    <cellStyle name="Calculation 13 2 2 2 3" xfId="11870"/>
    <cellStyle name="Calculation 13 2 2 2 3 2" xfId="23954"/>
    <cellStyle name="Calculation 13 2 2 2 4" xfId="18841"/>
    <cellStyle name="Calculation 13 2 2 2_Table 2A-1_EFT (Annual)" xfId="6472"/>
    <cellStyle name="Calculation 13 2 2 3" xfId="5064"/>
    <cellStyle name="Calculation 13 2 2 3 2" xfId="13324"/>
    <cellStyle name="Calculation 13 2 2 3 2 2" xfId="25330"/>
    <cellStyle name="Calculation 13 2 2 3 3" xfId="20217"/>
    <cellStyle name="Calculation 13 2 2 3_Table 2A-1_EFT (Annual)" xfId="14853"/>
    <cellStyle name="Calculation 13 2 2 4" xfId="10668"/>
    <cellStyle name="Calculation 13 2 2 4 2" xfId="22784"/>
    <cellStyle name="Calculation 13 2 2 5" xfId="17671"/>
    <cellStyle name="Calculation 13 2 2_Table 2A-1_EFT (Annual)" xfId="6471"/>
    <cellStyle name="Calculation 13 2 3" xfId="1036"/>
    <cellStyle name="Calculation 13 2 3 2" xfId="4597"/>
    <cellStyle name="Calculation 13 2 3 2 2" xfId="12857"/>
    <cellStyle name="Calculation 13 2 3 2 2 2" xfId="24863"/>
    <cellStyle name="Calculation 13 2 3 2 3" xfId="19750"/>
    <cellStyle name="Calculation 13 2 3 2_Table 2A-1_EFT (Annual)" xfId="14852"/>
    <cellStyle name="Calculation 13 2 3 3" xfId="10201"/>
    <cellStyle name="Calculation 13 2 3 3 2" xfId="22317"/>
    <cellStyle name="Calculation 13 2 3 4" xfId="17204"/>
    <cellStyle name="Calculation 13 2 3_Table 2A-1_EFT (Annual)" xfId="3646"/>
    <cellStyle name="Calculation 13 2 4" xfId="2242"/>
    <cellStyle name="Calculation 13 2 4 2" xfId="5803"/>
    <cellStyle name="Calculation 13 2 4 2 2" xfId="14018"/>
    <cellStyle name="Calculation 13 2 4 2 2 2" xfId="26006"/>
    <cellStyle name="Calculation 13 2 4 2 3" xfId="20893"/>
    <cellStyle name="Calculation 13 2 4 2_Table 2A-1_EFT (Annual)" xfId="14851"/>
    <cellStyle name="Calculation 13 2 4 3" xfId="11362"/>
    <cellStyle name="Calculation 13 2 4 3 2" xfId="23460"/>
    <cellStyle name="Calculation 13 2 4 4" xfId="18347"/>
    <cellStyle name="Calculation 13 2 4_Table 2A-1_EFT (Annual)" xfId="6469"/>
    <cellStyle name="Calculation 13 2 5" xfId="4096"/>
    <cellStyle name="Calculation 13 2 5 2" xfId="12420"/>
    <cellStyle name="Calculation 13 2 5 2 2" xfId="24442"/>
    <cellStyle name="Calculation 13 2 5 3" xfId="19329"/>
    <cellStyle name="Calculation 13 2 5_Table 2A-1_EFT (Annual)" xfId="14850"/>
    <cellStyle name="Calculation 13 2 6" xfId="9759"/>
    <cellStyle name="Calculation 13 2 6 2" xfId="21896"/>
    <cellStyle name="Calculation 13 2 7" xfId="16783"/>
    <cellStyle name="Calculation 13 2_Table 2A-1_EFT (Annual)" xfId="2902"/>
    <cellStyle name="Calculation 13 3" xfId="364"/>
    <cellStyle name="Calculation 13 3 2" xfId="1347"/>
    <cellStyle name="Calculation 13 3 2 2" xfId="2617"/>
    <cellStyle name="Calculation 13 3 2 2 2" xfId="6178"/>
    <cellStyle name="Calculation 13 3 2 2 2 2" xfId="14372"/>
    <cellStyle name="Calculation 13 3 2 2 2 2 2" xfId="26344"/>
    <cellStyle name="Calculation 13 3 2 2 2 3" xfId="21231"/>
    <cellStyle name="Calculation 13 3 2 2 2_Table 2A-1_EFT (Annual)" xfId="14849"/>
    <cellStyle name="Calculation 13 3 2 2 3" xfId="11714"/>
    <cellStyle name="Calculation 13 3 2 2 3 2" xfId="23798"/>
    <cellStyle name="Calculation 13 3 2 2 4" xfId="18685"/>
    <cellStyle name="Calculation 13 3 2 2_Table 2A-1_EFT (Annual)" xfId="3639"/>
    <cellStyle name="Calculation 13 3 2 3" xfId="4908"/>
    <cellStyle name="Calculation 13 3 2 3 2" xfId="13168"/>
    <cellStyle name="Calculation 13 3 2 3 2 2" xfId="25174"/>
    <cellStyle name="Calculation 13 3 2 3 3" xfId="20061"/>
    <cellStyle name="Calculation 13 3 2 3_Table 2A-1_EFT (Annual)" xfId="14848"/>
    <cellStyle name="Calculation 13 3 2 4" xfId="10512"/>
    <cellStyle name="Calculation 13 3 2 4 2" xfId="22628"/>
    <cellStyle name="Calculation 13 3 2 5" xfId="17515"/>
    <cellStyle name="Calculation 13 3 2_Table 2A-1_EFT (Annual)" xfId="3657"/>
    <cellStyle name="Calculation 13 3 3" xfId="904"/>
    <cellStyle name="Calculation 13 3 3 2" xfId="4465"/>
    <cellStyle name="Calculation 13 3 3 2 2" xfId="12727"/>
    <cellStyle name="Calculation 13 3 3 2 2 2" xfId="24737"/>
    <cellStyle name="Calculation 13 3 3 2 3" xfId="19624"/>
    <cellStyle name="Calculation 13 3 3 2_Table 2A-1_EFT (Annual)" xfId="14847"/>
    <cellStyle name="Calculation 13 3 3 3" xfId="10074"/>
    <cellStyle name="Calculation 13 3 3 3 2" xfId="22191"/>
    <cellStyle name="Calculation 13 3 3 4" xfId="17078"/>
    <cellStyle name="Calculation 13 3 3_Table 2A-1_EFT (Annual)" xfId="5922"/>
    <cellStyle name="Calculation 13 3 4" xfId="2086"/>
    <cellStyle name="Calculation 13 3 4 2" xfId="5647"/>
    <cellStyle name="Calculation 13 3 4 2 2" xfId="13862"/>
    <cellStyle name="Calculation 13 3 4 2 2 2" xfId="25850"/>
    <cellStyle name="Calculation 13 3 4 2 3" xfId="20737"/>
    <cellStyle name="Calculation 13 3 4 2_Table 2A-1_EFT (Annual)" xfId="14846"/>
    <cellStyle name="Calculation 13 3 4 3" xfId="11206"/>
    <cellStyle name="Calculation 13 3 4 3 2" xfId="23304"/>
    <cellStyle name="Calculation 13 3 4 4" xfId="18191"/>
    <cellStyle name="Calculation 13 3 4_Table 2A-1_EFT (Annual)" xfId="4228"/>
    <cellStyle name="Calculation 13 3 5" xfId="3934"/>
    <cellStyle name="Calculation 13 3 5 2" xfId="12262"/>
    <cellStyle name="Calculation 13 3 5 2 2" xfId="24286"/>
    <cellStyle name="Calculation 13 3 5 3" xfId="19173"/>
    <cellStyle name="Calculation 13 3 5_Table 2A-1_EFT (Annual)" xfId="14845"/>
    <cellStyle name="Calculation 13 3 6" xfId="9599"/>
    <cellStyle name="Calculation 13 3 6 2" xfId="21740"/>
    <cellStyle name="Calculation 13 3 7" xfId="16627"/>
    <cellStyle name="Calculation 13 3_Table 2A-1_EFT (Annual)" xfId="2903"/>
    <cellStyle name="Calculation 13 4" xfId="1181"/>
    <cellStyle name="Calculation 13 4 2" xfId="2451"/>
    <cellStyle name="Calculation 13 4 2 2" xfId="6012"/>
    <cellStyle name="Calculation 13 4 2 2 2" xfId="14206"/>
    <cellStyle name="Calculation 13 4 2 2 2 2" xfId="26178"/>
    <cellStyle name="Calculation 13 4 2 2 3" xfId="21065"/>
    <cellStyle name="Calculation 13 4 2 2_Table 2A-1_EFT (Annual)" xfId="14844"/>
    <cellStyle name="Calculation 13 4 2 3" xfId="11548"/>
    <cellStyle name="Calculation 13 4 2 3 2" xfId="23632"/>
    <cellStyle name="Calculation 13 4 2 4" xfId="18519"/>
    <cellStyle name="Calculation 13 4 2_Table 2A-1_EFT (Annual)" xfId="3843"/>
    <cellStyle name="Calculation 13 4 3" xfId="4742"/>
    <cellStyle name="Calculation 13 4 3 2" xfId="13002"/>
    <cellStyle name="Calculation 13 4 3 2 2" xfId="25008"/>
    <cellStyle name="Calculation 13 4 3 3" xfId="19895"/>
    <cellStyle name="Calculation 13 4 3_Table 2A-1_EFT (Annual)" xfId="14843"/>
    <cellStyle name="Calculation 13 4 4" xfId="10346"/>
    <cellStyle name="Calculation 13 4 4 2" xfId="22462"/>
    <cellStyle name="Calculation 13 4 5" xfId="17349"/>
    <cellStyle name="Calculation 13 4_Table 2A-1_EFT (Annual)" xfId="6468"/>
    <cellStyle name="Calculation 13 5" xfId="745"/>
    <cellStyle name="Calculation 13 5 2" xfId="4306"/>
    <cellStyle name="Calculation 13 5 2 2" xfId="12586"/>
    <cellStyle name="Calculation 13 5 2 2 2" xfId="24603"/>
    <cellStyle name="Calculation 13 5 2 3" xfId="19490"/>
    <cellStyle name="Calculation 13 5 2_Table 2A-1_EFT (Annual)" xfId="14842"/>
    <cellStyle name="Calculation 13 5 3" xfId="9934"/>
    <cellStyle name="Calculation 13 5 3 2" xfId="22057"/>
    <cellStyle name="Calculation 13 5 4" xfId="16944"/>
    <cellStyle name="Calculation 13 5_Table 2A-1_EFT (Annual)" xfId="6463"/>
    <cellStyle name="Calculation 13 6" xfId="1859"/>
    <cellStyle name="Calculation 13 6 2" xfId="5420"/>
    <cellStyle name="Calculation 13 6 2 2" xfId="13635"/>
    <cellStyle name="Calculation 13 6 2 2 2" xfId="25623"/>
    <cellStyle name="Calculation 13 6 2 3" xfId="20510"/>
    <cellStyle name="Calculation 13 6 2_Table 2A-1_EFT (Annual)" xfId="14841"/>
    <cellStyle name="Calculation 13 6 3" xfId="10979"/>
    <cellStyle name="Calculation 13 6 3 2" xfId="23077"/>
    <cellStyle name="Calculation 13 6 4" xfId="17964"/>
    <cellStyle name="Calculation 13 6_Table 2A-1_EFT (Annual)" xfId="6467"/>
    <cellStyle name="Calculation 13 7" xfId="3722"/>
    <cellStyle name="Calculation 13 7 2" xfId="12090"/>
    <cellStyle name="Calculation 13 7 2 2" xfId="24120"/>
    <cellStyle name="Calculation 13 7 3" xfId="19007"/>
    <cellStyle name="Calculation 13 7_Table 2A-1_EFT (Annual)" xfId="14840"/>
    <cellStyle name="Calculation 13 8" xfId="9409"/>
    <cellStyle name="Calculation 13 8 2" xfId="21574"/>
    <cellStyle name="Calculation 13 9" xfId="16461"/>
    <cellStyle name="Calculation 13_Table 2A-1_EFT (Annual)" xfId="2901"/>
    <cellStyle name="Calculation 14" xfId="155"/>
    <cellStyle name="Calculation 14 2" xfId="548"/>
    <cellStyle name="Calculation 14 2 2" xfId="1525"/>
    <cellStyle name="Calculation 14 2 2 2" xfId="2795"/>
    <cellStyle name="Calculation 14 2 2 2 2" xfId="6356"/>
    <cellStyle name="Calculation 14 2 2 2 2 2" xfId="14550"/>
    <cellStyle name="Calculation 14 2 2 2 2 2 2" xfId="26522"/>
    <cellStyle name="Calculation 14 2 2 2 2 3" xfId="21409"/>
    <cellStyle name="Calculation 14 2 2 2 2_Table 2A-1_EFT (Annual)" xfId="14839"/>
    <cellStyle name="Calculation 14 2 2 2 3" xfId="11892"/>
    <cellStyle name="Calculation 14 2 2 2 3 2" xfId="23976"/>
    <cellStyle name="Calculation 14 2 2 2 4" xfId="18863"/>
    <cellStyle name="Calculation 14 2 2 2_Table 2A-1_EFT (Annual)" xfId="6464"/>
    <cellStyle name="Calculation 14 2 2 3" xfId="5086"/>
    <cellStyle name="Calculation 14 2 2 3 2" xfId="13346"/>
    <cellStyle name="Calculation 14 2 2 3 2 2" xfId="25352"/>
    <cellStyle name="Calculation 14 2 2 3 3" xfId="20239"/>
    <cellStyle name="Calculation 14 2 2 3_Table 2A-1_EFT (Annual)" xfId="14838"/>
    <cellStyle name="Calculation 14 2 2 4" xfId="10690"/>
    <cellStyle name="Calculation 14 2 2 4 2" xfId="22806"/>
    <cellStyle name="Calculation 14 2 2 5" xfId="17693"/>
    <cellStyle name="Calculation 14 2 2_Table 2A-1_EFT (Annual)" xfId="6466"/>
    <cellStyle name="Calculation 14 2 3" xfId="1054"/>
    <cellStyle name="Calculation 14 2 3 2" xfId="4615"/>
    <cellStyle name="Calculation 14 2 3 2 2" xfId="12875"/>
    <cellStyle name="Calculation 14 2 3 2 2 2" xfId="24881"/>
    <cellStyle name="Calculation 14 2 3 2 3" xfId="19768"/>
    <cellStyle name="Calculation 14 2 3 2_Table 2A-1_EFT (Annual)" xfId="14837"/>
    <cellStyle name="Calculation 14 2 3 3" xfId="10219"/>
    <cellStyle name="Calculation 14 2 3 3 2" xfId="22335"/>
    <cellStyle name="Calculation 14 2 3 4" xfId="17222"/>
    <cellStyle name="Calculation 14 2 3_Table 2A-1_EFT (Annual)" xfId="6465"/>
    <cellStyle name="Calculation 14 2 4" xfId="2264"/>
    <cellStyle name="Calculation 14 2 4 2" xfId="5825"/>
    <cellStyle name="Calculation 14 2 4 2 2" xfId="14040"/>
    <cellStyle name="Calculation 14 2 4 2 2 2" xfId="26028"/>
    <cellStyle name="Calculation 14 2 4 2 3" xfId="20915"/>
    <cellStyle name="Calculation 14 2 4 2_Table 2A-1_EFT (Annual)" xfId="14836"/>
    <cellStyle name="Calculation 14 2 4 3" xfId="11384"/>
    <cellStyle name="Calculation 14 2 4 3 2" xfId="23482"/>
    <cellStyle name="Calculation 14 2 4 4" xfId="18369"/>
    <cellStyle name="Calculation 14 2 4_Table 2A-1_EFT (Annual)" xfId="6458"/>
    <cellStyle name="Calculation 14 2 5" xfId="4118"/>
    <cellStyle name="Calculation 14 2 5 2" xfId="12442"/>
    <cellStyle name="Calculation 14 2 5 2 2" xfId="24464"/>
    <cellStyle name="Calculation 14 2 5 3" xfId="19351"/>
    <cellStyle name="Calculation 14 2 5_Table 2A-1_EFT (Annual)" xfId="14835"/>
    <cellStyle name="Calculation 14 2 6" xfId="9781"/>
    <cellStyle name="Calculation 14 2 6 2" xfId="21918"/>
    <cellStyle name="Calculation 14 2 7" xfId="16805"/>
    <cellStyle name="Calculation 14 2_Table 2A-1_EFT (Annual)" xfId="2905"/>
    <cellStyle name="Calculation 14 3" xfId="386"/>
    <cellStyle name="Calculation 14 3 2" xfId="1369"/>
    <cellStyle name="Calculation 14 3 2 2" xfId="2639"/>
    <cellStyle name="Calculation 14 3 2 2 2" xfId="6200"/>
    <cellStyle name="Calculation 14 3 2 2 2 2" xfId="14394"/>
    <cellStyle name="Calculation 14 3 2 2 2 2 2" xfId="26366"/>
    <cellStyle name="Calculation 14 3 2 2 2 3" xfId="21253"/>
    <cellStyle name="Calculation 14 3 2 2 2_Table 2A-1_EFT (Annual)" xfId="14834"/>
    <cellStyle name="Calculation 14 3 2 2 3" xfId="11736"/>
    <cellStyle name="Calculation 14 3 2 2 3 2" xfId="23820"/>
    <cellStyle name="Calculation 14 3 2 2 4" xfId="18707"/>
    <cellStyle name="Calculation 14 3 2 2_Table 2A-1_EFT (Annual)" xfId="6459"/>
    <cellStyle name="Calculation 14 3 2 3" xfId="4930"/>
    <cellStyle name="Calculation 14 3 2 3 2" xfId="13190"/>
    <cellStyle name="Calculation 14 3 2 3 2 2" xfId="25196"/>
    <cellStyle name="Calculation 14 3 2 3 3" xfId="20083"/>
    <cellStyle name="Calculation 14 3 2 3_Table 2A-1_EFT (Annual)" xfId="14833"/>
    <cellStyle name="Calculation 14 3 2 4" xfId="10534"/>
    <cellStyle name="Calculation 14 3 2 4 2" xfId="22650"/>
    <cellStyle name="Calculation 14 3 2 5" xfId="17537"/>
    <cellStyle name="Calculation 14 3 2_Table 2A-1_EFT (Annual)" xfId="6462"/>
    <cellStyle name="Calculation 14 3 3" xfId="922"/>
    <cellStyle name="Calculation 14 3 3 2" xfId="4483"/>
    <cellStyle name="Calculation 14 3 3 2 2" xfId="12745"/>
    <cellStyle name="Calculation 14 3 3 2 2 2" xfId="24755"/>
    <cellStyle name="Calculation 14 3 3 2 3" xfId="19642"/>
    <cellStyle name="Calculation 14 3 3 2_Table 2A-1_EFT (Annual)" xfId="14832"/>
    <cellStyle name="Calculation 14 3 3 3" xfId="10092"/>
    <cellStyle name="Calculation 14 3 3 3 2" xfId="22209"/>
    <cellStyle name="Calculation 14 3 3 4" xfId="17096"/>
    <cellStyle name="Calculation 14 3 3_Table 2A-1_EFT (Annual)" xfId="6461"/>
    <cellStyle name="Calculation 14 3 4" xfId="2108"/>
    <cellStyle name="Calculation 14 3 4 2" xfId="5669"/>
    <cellStyle name="Calculation 14 3 4 2 2" xfId="13884"/>
    <cellStyle name="Calculation 14 3 4 2 2 2" xfId="25872"/>
    <cellStyle name="Calculation 14 3 4 2 3" xfId="20759"/>
    <cellStyle name="Calculation 14 3 4 2_Table 2A-1_EFT (Annual)" xfId="14831"/>
    <cellStyle name="Calculation 14 3 4 3" xfId="11228"/>
    <cellStyle name="Calculation 14 3 4 3 2" xfId="23326"/>
    <cellStyle name="Calculation 14 3 4 4" xfId="18213"/>
    <cellStyle name="Calculation 14 3 4_Table 2A-1_EFT (Annual)" xfId="6460"/>
    <cellStyle name="Calculation 14 3 5" xfId="3956"/>
    <cellStyle name="Calculation 14 3 5 2" xfId="12284"/>
    <cellStyle name="Calculation 14 3 5 2 2" xfId="24308"/>
    <cellStyle name="Calculation 14 3 5 3" xfId="19195"/>
    <cellStyle name="Calculation 14 3 5_Table 2A-1_EFT (Annual)" xfId="14830"/>
    <cellStyle name="Calculation 14 3 6" xfId="9621"/>
    <cellStyle name="Calculation 14 3 6 2" xfId="21762"/>
    <cellStyle name="Calculation 14 3 7" xfId="16649"/>
    <cellStyle name="Calculation 14 3_Table 2A-1_EFT (Annual)" xfId="2906"/>
    <cellStyle name="Calculation 14 4" xfId="1203"/>
    <cellStyle name="Calculation 14 4 2" xfId="2473"/>
    <cellStyle name="Calculation 14 4 2 2" xfId="6034"/>
    <cellStyle name="Calculation 14 4 2 2 2" xfId="14228"/>
    <cellStyle name="Calculation 14 4 2 2 2 2" xfId="26200"/>
    <cellStyle name="Calculation 14 4 2 2 3" xfId="21087"/>
    <cellStyle name="Calculation 14 4 2 2_Table 2A-1_EFT (Annual)" xfId="14829"/>
    <cellStyle name="Calculation 14 4 2 3" xfId="11570"/>
    <cellStyle name="Calculation 14 4 2 3 2" xfId="23654"/>
    <cellStyle name="Calculation 14 4 2 4" xfId="18541"/>
    <cellStyle name="Calculation 14 4 2_Table 2A-1_EFT (Annual)" xfId="6457"/>
    <cellStyle name="Calculation 14 4 3" xfId="4764"/>
    <cellStyle name="Calculation 14 4 3 2" xfId="13024"/>
    <cellStyle name="Calculation 14 4 3 2 2" xfId="25030"/>
    <cellStyle name="Calculation 14 4 3 3" xfId="19917"/>
    <cellStyle name="Calculation 14 4 3_Table 2A-1_EFT (Annual)" xfId="14828"/>
    <cellStyle name="Calculation 14 4 4" xfId="10368"/>
    <cellStyle name="Calculation 14 4 4 2" xfId="22484"/>
    <cellStyle name="Calculation 14 4 5" xfId="17371"/>
    <cellStyle name="Calculation 14 4_Table 2A-1_EFT (Annual)" xfId="6453"/>
    <cellStyle name="Calculation 14 5" xfId="763"/>
    <cellStyle name="Calculation 14 5 2" xfId="4324"/>
    <cellStyle name="Calculation 14 5 2 2" xfId="12604"/>
    <cellStyle name="Calculation 14 5 2 2 2" xfId="24621"/>
    <cellStyle name="Calculation 14 5 2 3" xfId="19508"/>
    <cellStyle name="Calculation 14 5 2_Table 2A-1_EFT (Annual)" xfId="14827"/>
    <cellStyle name="Calculation 14 5 3" xfId="9952"/>
    <cellStyle name="Calculation 14 5 3 2" xfId="22075"/>
    <cellStyle name="Calculation 14 5 4" xfId="16962"/>
    <cellStyle name="Calculation 14 5_Table 2A-1_EFT (Annual)" xfId="6455"/>
    <cellStyle name="Calculation 14 6" xfId="1848"/>
    <cellStyle name="Calculation 14 6 2" xfId="5409"/>
    <cellStyle name="Calculation 14 6 2 2" xfId="13624"/>
    <cellStyle name="Calculation 14 6 2 2 2" xfId="25612"/>
    <cellStyle name="Calculation 14 6 2 3" xfId="20499"/>
    <cellStyle name="Calculation 14 6 2_Table 2A-1_EFT (Annual)" xfId="14826"/>
    <cellStyle name="Calculation 14 6 3" xfId="10968"/>
    <cellStyle name="Calculation 14 6 3 2" xfId="23066"/>
    <cellStyle name="Calculation 14 6 4" xfId="17953"/>
    <cellStyle name="Calculation 14 6_Table 2A-1_EFT (Annual)" xfId="6456"/>
    <cellStyle name="Calculation 14 7" xfId="3744"/>
    <cellStyle name="Calculation 14 7 2" xfId="12112"/>
    <cellStyle name="Calculation 14 7 2 2" xfId="24142"/>
    <cellStyle name="Calculation 14 7 3" xfId="19029"/>
    <cellStyle name="Calculation 14 7_Table 2A-1_EFT (Annual)" xfId="14825"/>
    <cellStyle name="Calculation 14 8" xfId="9431"/>
    <cellStyle name="Calculation 14 8 2" xfId="21596"/>
    <cellStyle name="Calculation 14 9" xfId="16483"/>
    <cellStyle name="Calculation 14_Table 2A-1_EFT (Annual)" xfId="2904"/>
    <cellStyle name="Calculation 15" xfId="148"/>
    <cellStyle name="Calculation 15 2" xfId="541"/>
    <cellStyle name="Calculation 15 2 2" xfId="1518"/>
    <cellStyle name="Calculation 15 2 2 2" xfId="2788"/>
    <cellStyle name="Calculation 15 2 2 2 2" xfId="6349"/>
    <cellStyle name="Calculation 15 2 2 2 2 2" xfId="14543"/>
    <cellStyle name="Calculation 15 2 2 2 2 2 2" xfId="26515"/>
    <cellStyle name="Calculation 15 2 2 2 2 3" xfId="21402"/>
    <cellStyle name="Calculation 15 2 2 2 2_Table 2A-1_EFT (Annual)" xfId="14824"/>
    <cellStyle name="Calculation 15 2 2 2 3" xfId="11885"/>
    <cellStyle name="Calculation 15 2 2 2 3 2" xfId="23969"/>
    <cellStyle name="Calculation 15 2 2 2 4" xfId="18856"/>
    <cellStyle name="Calculation 15 2 2 2_Table 2A-1_EFT (Annual)" xfId="3609"/>
    <cellStyle name="Calculation 15 2 2 3" xfId="5079"/>
    <cellStyle name="Calculation 15 2 2 3 2" xfId="13339"/>
    <cellStyle name="Calculation 15 2 2 3 2 2" xfId="25345"/>
    <cellStyle name="Calculation 15 2 2 3 3" xfId="20232"/>
    <cellStyle name="Calculation 15 2 2 3_Table 2A-1_EFT (Annual)" xfId="14823"/>
    <cellStyle name="Calculation 15 2 2 4" xfId="10683"/>
    <cellStyle name="Calculation 15 2 2 4 2" xfId="22799"/>
    <cellStyle name="Calculation 15 2 2 5" xfId="17686"/>
    <cellStyle name="Calculation 15 2 2_Table 2A-1_EFT (Annual)" xfId="6454"/>
    <cellStyle name="Calculation 15 2 3" xfId="1049"/>
    <cellStyle name="Calculation 15 2 3 2" xfId="4610"/>
    <cellStyle name="Calculation 15 2 3 2 2" xfId="12870"/>
    <cellStyle name="Calculation 15 2 3 2 2 2" xfId="24876"/>
    <cellStyle name="Calculation 15 2 3 2 3" xfId="19763"/>
    <cellStyle name="Calculation 15 2 3 2_Table 2A-1_EFT (Annual)" xfId="14822"/>
    <cellStyle name="Calculation 15 2 3 3" xfId="10214"/>
    <cellStyle name="Calculation 15 2 3 3 2" xfId="22330"/>
    <cellStyle name="Calculation 15 2 3 4" xfId="17217"/>
    <cellStyle name="Calculation 15 2 3_Table 2A-1_EFT (Annual)" xfId="4259"/>
    <cellStyle name="Calculation 15 2 4" xfId="2257"/>
    <cellStyle name="Calculation 15 2 4 2" xfId="5818"/>
    <cellStyle name="Calculation 15 2 4 2 2" xfId="14033"/>
    <cellStyle name="Calculation 15 2 4 2 2 2" xfId="26021"/>
    <cellStyle name="Calculation 15 2 4 2 3" xfId="20908"/>
    <cellStyle name="Calculation 15 2 4 2_Table 2A-1_EFT (Annual)" xfId="14821"/>
    <cellStyle name="Calculation 15 2 4 3" xfId="11377"/>
    <cellStyle name="Calculation 15 2 4 3 2" xfId="23475"/>
    <cellStyle name="Calculation 15 2 4 4" xfId="18362"/>
    <cellStyle name="Calculation 15 2 4_Table 2A-1_EFT (Annual)" xfId="3864"/>
    <cellStyle name="Calculation 15 2 5" xfId="4111"/>
    <cellStyle name="Calculation 15 2 5 2" xfId="12435"/>
    <cellStyle name="Calculation 15 2 5 2 2" xfId="24457"/>
    <cellStyle name="Calculation 15 2 5 3" xfId="19344"/>
    <cellStyle name="Calculation 15 2 5_Table 2A-1_EFT (Annual)" xfId="14820"/>
    <cellStyle name="Calculation 15 2 6" xfId="9774"/>
    <cellStyle name="Calculation 15 2 6 2" xfId="21911"/>
    <cellStyle name="Calculation 15 2 7" xfId="16798"/>
    <cellStyle name="Calculation 15 2_Table 2A-1_EFT (Annual)" xfId="2908"/>
    <cellStyle name="Calculation 15 3" xfId="379"/>
    <cellStyle name="Calculation 15 3 2" xfId="1362"/>
    <cellStyle name="Calculation 15 3 2 2" xfId="2632"/>
    <cellStyle name="Calculation 15 3 2 2 2" xfId="6193"/>
    <cellStyle name="Calculation 15 3 2 2 2 2" xfId="14387"/>
    <cellStyle name="Calculation 15 3 2 2 2 2 2" xfId="26359"/>
    <cellStyle name="Calculation 15 3 2 2 2 3" xfId="21246"/>
    <cellStyle name="Calculation 15 3 2 2 2_Table 2A-1_EFT (Annual)" xfId="14819"/>
    <cellStyle name="Calculation 15 3 2 2 3" xfId="11729"/>
    <cellStyle name="Calculation 15 3 2 2 3 2" xfId="23813"/>
    <cellStyle name="Calculation 15 3 2 2 4" xfId="18700"/>
    <cellStyle name="Calculation 15 3 2 2_Table 2A-1_EFT (Annual)" xfId="3638"/>
    <cellStyle name="Calculation 15 3 2 3" xfId="4923"/>
    <cellStyle name="Calculation 15 3 2 3 2" xfId="13183"/>
    <cellStyle name="Calculation 15 3 2 3 2 2" xfId="25189"/>
    <cellStyle name="Calculation 15 3 2 3 3" xfId="20076"/>
    <cellStyle name="Calculation 15 3 2 3_Table 2A-1_EFT (Annual)" xfId="14818"/>
    <cellStyle name="Calculation 15 3 2 4" xfId="10527"/>
    <cellStyle name="Calculation 15 3 2 4 2" xfId="22643"/>
    <cellStyle name="Calculation 15 3 2 5" xfId="17530"/>
    <cellStyle name="Calculation 15 3 2_Table 2A-1_EFT (Annual)" xfId="3863"/>
    <cellStyle name="Calculation 15 3 3" xfId="917"/>
    <cellStyle name="Calculation 15 3 3 2" xfId="4478"/>
    <cellStyle name="Calculation 15 3 3 2 2" xfId="12740"/>
    <cellStyle name="Calculation 15 3 3 2 2 2" xfId="24750"/>
    <cellStyle name="Calculation 15 3 3 2 3" xfId="19637"/>
    <cellStyle name="Calculation 15 3 3 2_Table 2A-1_EFT (Annual)" xfId="14817"/>
    <cellStyle name="Calculation 15 3 3 3" xfId="10087"/>
    <cellStyle name="Calculation 15 3 3 3 2" xfId="22204"/>
    <cellStyle name="Calculation 15 3 3 4" xfId="17091"/>
    <cellStyle name="Calculation 15 3 3_Table 2A-1_EFT (Annual)" xfId="3637"/>
    <cellStyle name="Calculation 15 3 4" xfId="2101"/>
    <cellStyle name="Calculation 15 3 4 2" xfId="5662"/>
    <cellStyle name="Calculation 15 3 4 2 2" xfId="13877"/>
    <cellStyle name="Calculation 15 3 4 2 2 2" xfId="25865"/>
    <cellStyle name="Calculation 15 3 4 2 3" xfId="20752"/>
    <cellStyle name="Calculation 15 3 4 2_Table 2A-1_EFT (Annual)" xfId="14816"/>
    <cellStyle name="Calculation 15 3 4 3" xfId="11221"/>
    <cellStyle name="Calculation 15 3 4 3 2" xfId="23319"/>
    <cellStyle name="Calculation 15 3 4 4" xfId="18206"/>
    <cellStyle name="Calculation 15 3 4_Table 2A-1_EFT (Annual)" xfId="4257"/>
    <cellStyle name="Calculation 15 3 5" xfId="3949"/>
    <cellStyle name="Calculation 15 3 5 2" xfId="12277"/>
    <cellStyle name="Calculation 15 3 5 2 2" xfId="24301"/>
    <cellStyle name="Calculation 15 3 5 3" xfId="19188"/>
    <cellStyle name="Calculation 15 3 5_Table 2A-1_EFT (Annual)" xfId="14815"/>
    <cellStyle name="Calculation 15 3 6" xfId="9614"/>
    <cellStyle name="Calculation 15 3 6 2" xfId="21755"/>
    <cellStyle name="Calculation 15 3 7" xfId="16642"/>
    <cellStyle name="Calculation 15 3_Table 2A-1_EFT (Annual)" xfId="2909"/>
    <cellStyle name="Calculation 15 4" xfId="1196"/>
    <cellStyle name="Calculation 15 4 2" xfId="2466"/>
    <cellStyle name="Calculation 15 4 2 2" xfId="6027"/>
    <cellStyle name="Calculation 15 4 2 2 2" xfId="14221"/>
    <cellStyle name="Calculation 15 4 2 2 2 2" xfId="26193"/>
    <cellStyle name="Calculation 15 4 2 2 3" xfId="21080"/>
    <cellStyle name="Calculation 15 4 2 2_Table 2A-1_EFT (Annual)" xfId="14814"/>
    <cellStyle name="Calculation 15 4 2 3" xfId="11563"/>
    <cellStyle name="Calculation 15 4 2 3 2" xfId="23647"/>
    <cellStyle name="Calculation 15 4 2 4" xfId="18534"/>
    <cellStyle name="Calculation 15 4 2_Table 2A-1_EFT (Annual)" xfId="4256"/>
    <cellStyle name="Calculation 15 4 3" xfId="4757"/>
    <cellStyle name="Calculation 15 4 3 2" xfId="13017"/>
    <cellStyle name="Calculation 15 4 3 2 2" xfId="25023"/>
    <cellStyle name="Calculation 15 4 3 3" xfId="19910"/>
    <cellStyle name="Calculation 15 4 3_Table 2A-1_EFT (Annual)" xfId="14813"/>
    <cellStyle name="Calculation 15 4 4" xfId="10361"/>
    <cellStyle name="Calculation 15 4 4 2" xfId="22477"/>
    <cellStyle name="Calculation 15 4 5" xfId="17364"/>
    <cellStyle name="Calculation 15 4_Table 2A-1_EFT (Annual)" xfId="3636"/>
    <cellStyle name="Calculation 15 5" xfId="758"/>
    <cellStyle name="Calculation 15 5 2" xfId="4319"/>
    <cellStyle name="Calculation 15 5 2 2" xfId="12599"/>
    <cellStyle name="Calculation 15 5 2 2 2" xfId="24616"/>
    <cellStyle name="Calculation 15 5 2 3" xfId="19503"/>
    <cellStyle name="Calculation 15 5 2_Table 2A-1_EFT (Annual)" xfId="14812"/>
    <cellStyle name="Calculation 15 5 3" xfId="9947"/>
    <cellStyle name="Calculation 15 5 3 2" xfId="22070"/>
    <cellStyle name="Calculation 15 5 4" xfId="16957"/>
    <cellStyle name="Calculation 15 5_Table 2A-1_EFT (Annual)" xfId="3861"/>
    <cellStyle name="Calculation 15 6" xfId="1784"/>
    <cellStyle name="Calculation 15 6 2" xfId="5345"/>
    <cellStyle name="Calculation 15 6 2 2" xfId="13560"/>
    <cellStyle name="Calculation 15 6 2 2 2" xfId="25548"/>
    <cellStyle name="Calculation 15 6 2 3" xfId="20435"/>
    <cellStyle name="Calculation 15 6 2_Table 2A-1_EFT (Annual)" xfId="14811"/>
    <cellStyle name="Calculation 15 6 3" xfId="10904"/>
    <cellStyle name="Calculation 15 6 3 2" xfId="23002"/>
    <cellStyle name="Calculation 15 6 4" xfId="17889"/>
    <cellStyle name="Calculation 15 6_Table 2A-1_EFT (Annual)" xfId="3635"/>
    <cellStyle name="Calculation 15 7" xfId="3737"/>
    <cellStyle name="Calculation 15 7 2" xfId="12105"/>
    <cellStyle name="Calculation 15 7 2 2" xfId="24135"/>
    <cellStyle name="Calculation 15 7 3" xfId="19022"/>
    <cellStyle name="Calculation 15 7_Table 2A-1_EFT (Annual)" xfId="14810"/>
    <cellStyle name="Calculation 15 8" xfId="9424"/>
    <cellStyle name="Calculation 15 8 2" xfId="21589"/>
    <cellStyle name="Calculation 15 9" xfId="16476"/>
    <cellStyle name="Calculation 15_Table 2A-1_EFT (Annual)" xfId="2907"/>
    <cellStyle name="Calculation 16" xfId="157"/>
    <cellStyle name="Calculation 16 2" xfId="550"/>
    <cellStyle name="Calculation 16 2 2" xfId="1527"/>
    <cellStyle name="Calculation 16 2 2 2" xfId="2797"/>
    <cellStyle name="Calculation 16 2 2 2 2" xfId="6358"/>
    <cellStyle name="Calculation 16 2 2 2 2 2" xfId="14552"/>
    <cellStyle name="Calculation 16 2 2 2 2 2 2" xfId="26524"/>
    <cellStyle name="Calculation 16 2 2 2 2 3" xfId="21411"/>
    <cellStyle name="Calculation 16 2 2 2 2_Table 2A-1_EFT (Annual)" xfId="14809"/>
    <cellStyle name="Calculation 16 2 2 2 3" xfId="11894"/>
    <cellStyle name="Calculation 16 2 2 2 3 2" xfId="23978"/>
    <cellStyle name="Calculation 16 2 2 2 4" xfId="18865"/>
    <cellStyle name="Calculation 16 2 2 2_Table 2A-1_EFT (Annual)" xfId="3860"/>
    <cellStyle name="Calculation 16 2 2 3" xfId="5088"/>
    <cellStyle name="Calculation 16 2 2 3 2" xfId="13348"/>
    <cellStyle name="Calculation 16 2 2 3 2 2" xfId="25354"/>
    <cellStyle name="Calculation 16 2 2 3 3" xfId="20241"/>
    <cellStyle name="Calculation 16 2 2 3_Table 2A-1_EFT (Annual)" xfId="14808"/>
    <cellStyle name="Calculation 16 2 2 4" xfId="10692"/>
    <cellStyle name="Calculation 16 2 2 4 2" xfId="22808"/>
    <cellStyle name="Calculation 16 2 2 5" xfId="17695"/>
    <cellStyle name="Calculation 16 2 2_Table 2A-1_EFT (Annual)" xfId="4255"/>
    <cellStyle name="Calculation 16 2 3" xfId="1056"/>
    <cellStyle name="Calculation 16 2 3 2" xfId="4617"/>
    <cellStyle name="Calculation 16 2 3 2 2" xfId="12877"/>
    <cellStyle name="Calculation 16 2 3 2 2 2" xfId="24883"/>
    <cellStyle name="Calculation 16 2 3 2 3" xfId="19770"/>
    <cellStyle name="Calculation 16 2 3 2_Table 2A-1_EFT (Annual)" xfId="14807"/>
    <cellStyle name="Calculation 16 2 3 3" xfId="10221"/>
    <cellStyle name="Calculation 16 2 3 3 2" xfId="22337"/>
    <cellStyle name="Calculation 16 2 3 4" xfId="17224"/>
    <cellStyle name="Calculation 16 2 3_Table 2A-1_EFT (Annual)" xfId="3634"/>
    <cellStyle name="Calculation 16 2 4" xfId="2266"/>
    <cellStyle name="Calculation 16 2 4 2" xfId="5827"/>
    <cellStyle name="Calculation 16 2 4 2 2" xfId="14042"/>
    <cellStyle name="Calculation 16 2 4 2 2 2" xfId="26030"/>
    <cellStyle name="Calculation 16 2 4 2 3" xfId="20917"/>
    <cellStyle name="Calculation 16 2 4 2_Table 2A-1_EFT (Annual)" xfId="14806"/>
    <cellStyle name="Calculation 16 2 4 3" xfId="11386"/>
    <cellStyle name="Calculation 16 2 4 3 2" xfId="23484"/>
    <cellStyle name="Calculation 16 2 4 4" xfId="18371"/>
    <cellStyle name="Calculation 16 2 4_Table 2A-1_EFT (Annual)" xfId="4254"/>
    <cellStyle name="Calculation 16 2 5" xfId="4120"/>
    <cellStyle name="Calculation 16 2 5 2" xfId="12444"/>
    <cellStyle name="Calculation 16 2 5 2 2" xfId="24466"/>
    <cellStyle name="Calculation 16 2 5 3" xfId="19353"/>
    <cellStyle name="Calculation 16 2 5_Table 2A-1_EFT (Annual)" xfId="14805"/>
    <cellStyle name="Calculation 16 2 6" xfId="9783"/>
    <cellStyle name="Calculation 16 2 6 2" xfId="21920"/>
    <cellStyle name="Calculation 16 2 7" xfId="16807"/>
    <cellStyle name="Calculation 16 2_Table 2A-1_EFT (Annual)" xfId="2911"/>
    <cellStyle name="Calculation 16 3" xfId="388"/>
    <cellStyle name="Calculation 16 3 2" xfId="1371"/>
    <cellStyle name="Calculation 16 3 2 2" xfId="2641"/>
    <cellStyle name="Calculation 16 3 2 2 2" xfId="6202"/>
    <cellStyle name="Calculation 16 3 2 2 2 2" xfId="14396"/>
    <cellStyle name="Calculation 16 3 2 2 2 2 2" xfId="26368"/>
    <cellStyle name="Calculation 16 3 2 2 2 3" xfId="21255"/>
    <cellStyle name="Calculation 16 3 2 2 2_Table 2A-1_EFT (Annual)" xfId="14804"/>
    <cellStyle name="Calculation 16 3 2 2 3" xfId="11738"/>
    <cellStyle name="Calculation 16 3 2 2 3 2" xfId="23822"/>
    <cellStyle name="Calculation 16 3 2 2 4" xfId="18709"/>
    <cellStyle name="Calculation 16 3 2 2_Table 2A-1_EFT (Annual)" xfId="3859"/>
    <cellStyle name="Calculation 16 3 2 3" xfId="4932"/>
    <cellStyle name="Calculation 16 3 2 3 2" xfId="13192"/>
    <cellStyle name="Calculation 16 3 2 3 2 2" xfId="25198"/>
    <cellStyle name="Calculation 16 3 2 3 3" xfId="20085"/>
    <cellStyle name="Calculation 16 3 2 3_Table 2A-1_EFT (Annual)" xfId="14803"/>
    <cellStyle name="Calculation 16 3 2 4" xfId="10536"/>
    <cellStyle name="Calculation 16 3 2 4 2" xfId="22652"/>
    <cellStyle name="Calculation 16 3 2 5" xfId="17539"/>
    <cellStyle name="Calculation 16 3 2_Table 2A-1_EFT (Annual)" xfId="4253"/>
    <cellStyle name="Calculation 16 3 3" xfId="924"/>
    <cellStyle name="Calculation 16 3 3 2" xfId="4485"/>
    <cellStyle name="Calculation 16 3 3 2 2" xfId="12747"/>
    <cellStyle name="Calculation 16 3 3 2 2 2" xfId="24757"/>
    <cellStyle name="Calculation 16 3 3 2 3" xfId="19644"/>
    <cellStyle name="Calculation 16 3 3 2_Table 2A-1_EFT (Annual)" xfId="14802"/>
    <cellStyle name="Calculation 16 3 3 3" xfId="10094"/>
    <cellStyle name="Calculation 16 3 3 3 2" xfId="22211"/>
    <cellStyle name="Calculation 16 3 3 4" xfId="17098"/>
    <cellStyle name="Calculation 16 3 3_Table 2A-1_EFT (Annual)" xfId="3633"/>
    <cellStyle name="Calculation 16 3 4" xfId="2110"/>
    <cellStyle name="Calculation 16 3 4 2" xfId="5671"/>
    <cellStyle name="Calculation 16 3 4 2 2" xfId="13886"/>
    <cellStyle name="Calculation 16 3 4 2 2 2" xfId="25874"/>
    <cellStyle name="Calculation 16 3 4 2 3" xfId="20761"/>
    <cellStyle name="Calculation 16 3 4 2_Table 2A-1_EFT (Annual)" xfId="14801"/>
    <cellStyle name="Calculation 16 3 4 3" xfId="11230"/>
    <cellStyle name="Calculation 16 3 4 3 2" xfId="23328"/>
    <cellStyle name="Calculation 16 3 4 4" xfId="18215"/>
    <cellStyle name="Calculation 16 3 4_Table 2A-1_EFT (Annual)" xfId="4252"/>
    <cellStyle name="Calculation 16 3 5" xfId="3958"/>
    <cellStyle name="Calculation 16 3 5 2" xfId="12286"/>
    <cellStyle name="Calculation 16 3 5 2 2" xfId="24310"/>
    <cellStyle name="Calculation 16 3 5 3" xfId="19197"/>
    <cellStyle name="Calculation 16 3 5_Table 2A-1_EFT (Annual)" xfId="14800"/>
    <cellStyle name="Calculation 16 3 6" xfId="9623"/>
    <cellStyle name="Calculation 16 3 6 2" xfId="21764"/>
    <cellStyle name="Calculation 16 3 7" xfId="16651"/>
    <cellStyle name="Calculation 16 3_Table 2A-1_EFT (Annual)" xfId="2912"/>
    <cellStyle name="Calculation 16 4" xfId="1205"/>
    <cellStyle name="Calculation 16 4 2" xfId="2475"/>
    <cellStyle name="Calculation 16 4 2 2" xfId="6036"/>
    <cellStyle name="Calculation 16 4 2 2 2" xfId="14230"/>
    <cellStyle name="Calculation 16 4 2 2 2 2" xfId="26202"/>
    <cellStyle name="Calculation 16 4 2 2 3" xfId="21089"/>
    <cellStyle name="Calculation 16 4 2 2_Table 2A-1_EFT (Annual)" xfId="14799"/>
    <cellStyle name="Calculation 16 4 2 3" xfId="11572"/>
    <cellStyle name="Calculation 16 4 2 3 2" xfId="23656"/>
    <cellStyle name="Calculation 16 4 2 4" xfId="18543"/>
    <cellStyle name="Calculation 16 4 2_Table 2A-1_EFT (Annual)" xfId="3632"/>
    <cellStyle name="Calculation 16 4 3" xfId="4766"/>
    <cellStyle name="Calculation 16 4 3 2" xfId="13026"/>
    <cellStyle name="Calculation 16 4 3 2 2" xfId="25032"/>
    <cellStyle name="Calculation 16 4 3 3" xfId="19919"/>
    <cellStyle name="Calculation 16 4 3_Table 2A-1_EFT (Annual)" xfId="14798"/>
    <cellStyle name="Calculation 16 4 4" xfId="10370"/>
    <cellStyle name="Calculation 16 4 4 2" xfId="22486"/>
    <cellStyle name="Calculation 16 4 5" xfId="17373"/>
    <cellStyle name="Calculation 16 4_Table 2A-1_EFT (Annual)" xfId="3649"/>
    <cellStyle name="Calculation 16 5" xfId="765"/>
    <cellStyle name="Calculation 16 5 2" xfId="4326"/>
    <cellStyle name="Calculation 16 5 2 2" xfId="12606"/>
    <cellStyle name="Calculation 16 5 2 2 2" xfId="24623"/>
    <cellStyle name="Calculation 16 5 2 3" xfId="19510"/>
    <cellStyle name="Calculation 16 5 2_Table 2A-1_EFT (Annual)" xfId="14797"/>
    <cellStyle name="Calculation 16 5 3" xfId="9954"/>
    <cellStyle name="Calculation 16 5 3 2" xfId="22077"/>
    <cellStyle name="Calculation 16 5 4" xfId="16964"/>
    <cellStyle name="Calculation 16 5_Table 2A-1_EFT (Annual)" xfId="3660"/>
    <cellStyle name="Calculation 16 6" xfId="1847"/>
    <cellStyle name="Calculation 16 6 2" xfId="5408"/>
    <cellStyle name="Calculation 16 6 2 2" xfId="13623"/>
    <cellStyle name="Calculation 16 6 2 2 2" xfId="25611"/>
    <cellStyle name="Calculation 16 6 2 3" xfId="20498"/>
    <cellStyle name="Calculation 16 6 2_Table 2A-1_EFT (Annual)" xfId="14796"/>
    <cellStyle name="Calculation 16 6 3" xfId="10967"/>
    <cellStyle name="Calculation 16 6 3 2" xfId="23065"/>
    <cellStyle name="Calculation 16 6 4" xfId="17952"/>
    <cellStyle name="Calculation 16 6_Table 2A-1_EFT (Annual)" xfId="3631"/>
    <cellStyle name="Calculation 16 7" xfId="3746"/>
    <cellStyle name="Calculation 16 7 2" xfId="12114"/>
    <cellStyle name="Calculation 16 7 2 2" xfId="24144"/>
    <cellStyle name="Calculation 16 7 3" xfId="19031"/>
    <cellStyle name="Calculation 16 7_Table 2A-1_EFT (Annual)" xfId="14795"/>
    <cellStyle name="Calculation 16 8" xfId="9433"/>
    <cellStyle name="Calculation 16 8 2" xfId="21598"/>
    <cellStyle name="Calculation 16 9" xfId="16485"/>
    <cellStyle name="Calculation 16_Table 2A-1_EFT (Annual)" xfId="2910"/>
    <cellStyle name="Calculation 17" xfId="165"/>
    <cellStyle name="Calculation 17 2" xfId="558"/>
    <cellStyle name="Calculation 17 2 2" xfId="1535"/>
    <cellStyle name="Calculation 17 2 2 2" xfId="2805"/>
    <cellStyle name="Calculation 17 2 2 2 2" xfId="6366"/>
    <cellStyle name="Calculation 17 2 2 2 2 2" xfId="14560"/>
    <cellStyle name="Calculation 17 2 2 2 2 2 2" xfId="26532"/>
    <cellStyle name="Calculation 17 2 2 2 2 3" xfId="21419"/>
    <cellStyle name="Calculation 17 2 2 2 2_Table 2A-1_EFT (Annual)" xfId="14794"/>
    <cellStyle name="Calculation 17 2 2 2 3" xfId="11902"/>
    <cellStyle name="Calculation 17 2 2 2 3 2" xfId="23986"/>
    <cellStyle name="Calculation 17 2 2 2 4" xfId="18873"/>
    <cellStyle name="Calculation 17 2 2 2_Table 2A-1_EFT (Annual)" xfId="3687"/>
    <cellStyle name="Calculation 17 2 2 3" xfId="5096"/>
    <cellStyle name="Calculation 17 2 2 3 2" xfId="13356"/>
    <cellStyle name="Calculation 17 2 2 3 2 2" xfId="25362"/>
    <cellStyle name="Calculation 17 2 2 3 3" xfId="20249"/>
    <cellStyle name="Calculation 17 2 2 3_Table 2A-1_EFT (Annual)" xfId="14793"/>
    <cellStyle name="Calculation 17 2 2 4" xfId="10700"/>
    <cellStyle name="Calculation 17 2 2 4 2" xfId="22816"/>
    <cellStyle name="Calculation 17 2 2 5" xfId="17703"/>
    <cellStyle name="Calculation 17 2 2_Table 2A-1_EFT (Annual)" xfId="3658"/>
    <cellStyle name="Calculation 17 2 3" xfId="1062"/>
    <cellStyle name="Calculation 17 2 3 2" xfId="4623"/>
    <cellStyle name="Calculation 17 2 3 2 2" xfId="12883"/>
    <cellStyle name="Calculation 17 2 3 2 2 2" xfId="24889"/>
    <cellStyle name="Calculation 17 2 3 2 3" xfId="19776"/>
    <cellStyle name="Calculation 17 2 3 2_Table 2A-1_EFT (Annual)" xfId="14792"/>
    <cellStyle name="Calculation 17 2 3 3" xfId="10227"/>
    <cellStyle name="Calculation 17 2 3 3 2" xfId="22343"/>
    <cellStyle name="Calculation 17 2 3 4" xfId="17230"/>
    <cellStyle name="Calculation 17 2 3_Table 2A-1_EFT (Annual)" xfId="3630"/>
    <cellStyle name="Calculation 17 2 4" xfId="2274"/>
    <cellStyle name="Calculation 17 2 4 2" xfId="5835"/>
    <cellStyle name="Calculation 17 2 4 2 2" xfId="14050"/>
    <cellStyle name="Calculation 17 2 4 2 2 2" xfId="26038"/>
    <cellStyle name="Calculation 17 2 4 2 3" xfId="20925"/>
    <cellStyle name="Calculation 17 2 4 2_Table 2A-1_EFT (Annual)" xfId="14791"/>
    <cellStyle name="Calculation 17 2 4 3" xfId="11394"/>
    <cellStyle name="Calculation 17 2 4 3 2" xfId="23492"/>
    <cellStyle name="Calculation 17 2 4 4" xfId="18379"/>
    <cellStyle name="Calculation 17 2 4_Table 2A-1_EFT (Annual)" xfId="3647"/>
    <cellStyle name="Calculation 17 2 5" xfId="4128"/>
    <cellStyle name="Calculation 17 2 5 2" xfId="12452"/>
    <cellStyle name="Calculation 17 2 5 2 2" xfId="24474"/>
    <cellStyle name="Calculation 17 2 5 3" xfId="19361"/>
    <cellStyle name="Calculation 17 2 5_Table 2A-1_EFT (Annual)" xfId="14790"/>
    <cellStyle name="Calculation 17 2 6" xfId="9791"/>
    <cellStyle name="Calculation 17 2 6 2" xfId="21928"/>
    <cellStyle name="Calculation 17 2 7" xfId="16815"/>
    <cellStyle name="Calculation 17 2_Table 2A-1_EFT (Annual)" xfId="2914"/>
    <cellStyle name="Calculation 17 3" xfId="396"/>
    <cellStyle name="Calculation 17 3 2" xfId="1379"/>
    <cellStyle name="Calculation 17 3 2 2" xfId="2649"/>
    <cellStyle name="Calculation 17 3 2 2 2" xfId="6210"/>
    <cellStyle name="Calculation 17 3 2 2 2 2" xfId="14404"/>
    <cellStyle name="Calculation 17 3 2 2 2 2 2" xfId="26376"/>
    <cellStyle name="Calculation 17 3 2 2 2 3" xfId="21263"/>
    <cellStyle name="Calculation 17 3 2 2 2_Table 2A-1_EFT (Annual)" xfId="14789"/>
    <cellStyle name="Calculation 17 3 2 2 3" xfId="11746"/>
    <cellStyle name="Calculation 17 3 2 2 3 2" xfId="23830"/>
    <cellStyle name="Calculation 17 3 2 2 4" xfId="18717"/>
    <cellStyle name="Calculation 17 3 2 2_Table 2A-1_EFT (Annual)" xfId="3628"/>
    <cellStyle name="Calculation 17 3 2 3" xfId="4940"/>
    <cellStyle name="Calculation 17 3 2 3 2" xfId="13200"/>
    <cellStyle name="Calculation 17 3 2 3 2 2" xfId="25206"/>
    <cellStyle name="Calculation 17 3 2 3 3" xfId="20093"/>
    <cellStyle name="Calculation 17 3 2 3_Table 2A-1_EFT (Annual)" xfId="14788"/>
    <cellStyle name="Calculation 17 3 2 4" xfId="10544"/>
    <cellStyle name="Calculation 17 3 2 4 2" xfId="22660"/>
    <cellStyle name="Calculation 17 3 2 5" xfId="17547"/>
    <cellStyle name="Calculation 17 3 2_Table 2A-1_EFT (Annual)" xfId="3629"/>
    <cellStyle name="Calculation 17 3 3" xfId="930"/>
    <cellStyle name="Calculation 17 3 3 2" xfId="4491"/>
    <cellStyle name="Calculation 17 3 3 2 2" xfId="12753"/>
    <cellStyle name="Calculation 17 3 3 2 2 2" xfId="24763"/>
    <cellStyle name="Calculation 17 3 3 2 3" xfId="19650"/>
    <cellStyle name="Calculation 17 3 3 2_Table 2A-1_EFT (Annual)" xfId="14787"/>
    <cellStyle name="Calculation 17 3 3 3" xfId="10100"/>
    <cellStyle name="Calculation 17 3 3 3 2" xfId="22217"/>
    <cellStyle name="Calculation 17 3 3 4" xfId="17104"/>
    <cellStyle name="Calculation 17 3 3_Table 2A-1_EFT (Annual)" xfId="4251"/>
    <cellStyle name="Calculation 17 3 4" xfId="2118"/>
    <cellStyle name="Calculation 17 3 4 2" xfId="5679"/>
    <cellStyle name="Calculation 17 3 4 2 2" xfId="13894"/>
    <cellStyle name="Calculation 17 3 4 2 2 2" xfId="25882"/>
    <cellStyle name="Calculation 17 3 4 2 3" xfId="20769"/>
    <cellStyle name="Calculation 17 3 4 2_Table 2A-1_EFT (Annual)" xfId="14786"/>
    <cellStyle name="Calculation 17 3 4 3" xfId="11238"/>
    <cellStyle name="Calculation 17 3 4 3 2" xfId="23336"/>
    <cellStyle name="Calculation 17 3 4 4" xfId="18223"/>
    <cellStyle name="Calculation 17 3 4_Table 2A-1_EFT (Annual)" xfId="3858"/>
    <cellStyle name="Calculation 17 3 5" xfId="3966"/>
    <cellStyle name="Calculation 17 3 5 2" xfId="12294"/>
    <cellStyle name="Calculation 17 3 5 2 2" xfId="24318"/>
    <cellStyle name="Calculation 17 3 5 3" xfId="19205"/>
    <cellStyle name="Calculation 17 3 5_Table 2A-1_EFT (Annual)" xfId="14785"/>
    <cellStyle name="Calculation 17 3 6" xfId="9631"/>
    <cellStyle name="Calculation 17 3 6 2" xfId="21772"/>
    <cellStyle name="Calculation 17 3 7" xfId="16659"/>
    <cellStyle name="Calculation 17 3_Table 2A-1_EFT (Annual)" xfId="2915"/>
    <cellStyle name="Calculation 17 4" xfId="1213"/>
    <cellStyle name="Calculation 17 4 2" xfId="2483"/>
    <cellStyle name="Calculation 17 4 2 2" xfId="6044"/>
    <cellStyle name="Calculation 17 4 2 2 2" xfId="14238"/>
    <cellStyle name="Calculation 17 4 2 2 2 2" xfId="26210"/>
    <cellStyle name="Calculation 17 4 2 2 3" xfId="21097"/>
    <cellStyle name="Calculation 17 4 2 2_Table 2A-1_EFT (Annual)" xfId="14784"/>
    <cellStyle name="Calculation 17 4 2 3" xfId="11580"/>
    <cellStyle name="Calculation 17 4 2 3 2" xfId="23664"/>
    <cellStyle name="Calculation 17 4 2 4" xfId="18551"/>
    <cellStyle name="Calculation 17 4 2_Table 2A-1_EFT (Annual)" xfId="4249"/>
    <cellStyle name="Calculation 17 4 3" xfId="4774"/>
    <cellStyle name="Calculation 17 4 3 2" xfId="13034"/>
    <cellStyle name="Calculation 17 4 3 2 2" xfId="25040"/>
    <cellStyle name="Calculation 17 4 3 3" xfId="19927"/>
    <cellStyle name="Calculation 17 4 3_Table 2A-1_EFT (Annual)" xfId="14783"/>
    <cellStyle name="Calculation 17 4 4" xfId="10378"/>
    <cellStyle name="Calculation 17 4 4 2" xfId="22494"/>
    <cellStyle name="Calculation 17 4 5" xfId="17381"/>
    <cellStyle name="Calculation 17 4_Table 2A-1_EFT (Annual)" xfId="3627"/>
    <cellStyle name="Calculation 17 5" xfId="771"/>
    <cellStyle name="Calculation 17 5 2" xfId="4332"/>
    <cellStyle name="Calculation 17 5 2 2" xfId="12612"/>
    <cellStyle name="Calculation 17 5 2 2 2" xfId="24629"/>
    <cellStyle name="Calculation 17 5 2 3" xfId="19516"/>
    <cellStyle name="Calculation 17 5 2_Table 2A-1_EFT (Annual)" xfId="14782"/>
    <cellStyle name="Calculation 17 5 3" xfId="9960"/>
    <cellStyle name="Calculation 17 5 3 2" xfId="22083"/>
    <cellStyle name="Calculation 17 5 4" xfId="16970"/>
    <cellStyle name="Calculation 17 5_Table 2A-1_EFT (Annual)" xfId="3856"/>
    <cellStyle name="Calculation 17 6" xfId="1952"/>
    <cellStyle name="Calculation 17 6 2" xfId="5513"/>
    <cellStyle name="Calculation 17 6 2 2" xfId="13728"/>
    <cellStyle name="Calculation 17 6 2 2 2" xfId="25716"/>
    <cellStyle name="Calculation 17 6 2 3" xfId="20603"/>
    <cellStyle name="Calculation 17 6 2_Table 2A-1_EFT (Annual)" xfId="14781"/>
    <cellStyle name="Calculation 17 6 3" xfId="11072"/>
    <cellStyle name="Calculation 17 6 3 2" xfId="23170"/>
    <cellStyle name="Calculation 17 6 4" xfId="18057"/>
    <cellStyle name="Calculation 17 6_Table 2A-1_EFT (Annual)" xfId="3626"/>
    <cellStyle name="Calculation 17 7" xfId="3754"/>
    <cellStyle name="Calculation 17 7 2" xfId="12122"/>
    <cellStyle name="Calculation 17 7 2 2" xfId="24152"/>
    <cellStyle name="Calculation 17 7 3" xfId="19039"/>
    <cellStyle name="Calculation 17 7_Table 2A-1_EFT (Annual)" xfId="14780"/>
    <cellStyle name="Calculation 17 8" xfId="9441"/>
    <cellStyle name="Calculation 17 8 2" xfId="21606"/>
    <cellStyle name="Calculation 17 9" xfId="16493"/>
    <cellStyle name="Calculation 17_Table 2A-1_EFT (Annual)" xfId="2913"/>
    <cellStyle name="Calculation 18" xfId="169"/>
    <cellStyle name="Calculation 18 2" xfId="562"/>
    <cellStyle name="Calculation 18 2 2" xfId="1539"/>
    <cellStyle name="Calculation 18 2 2 2" xfId="2809"/>
    <cellStyle name="Calculation 18 2 2 2 2" xfId="6370"/>
    <cellStyle name="Calculation 18 2 2 2 2 2" xfId="14564"/>
    <cellStyle name="Calculation 18 2 2 2 2 2 2" xfId="26536"/>
    <cellStyle name="Calculation 18 2 2 2 2 3" xfId="21423"/>
    <cellStyle name="Calculation 18 2 2 2 2_Table 2A-1_EFT (Annual)" xfId="14779"/>
    <cellStyle name="Calculation 18 2 2 2 3" xfId="11906"/>
    <cellStyle name="Calculation 18 2 2 2 3 2" xfId="23990"/>
    <cellStyle name="Calculation 18 2 2 2 4" xfId="18877"/>
    <cellStyle name="Calculation 18 2 2 2_Table 2A-1_EFT (Annual)" xfId="3855"/>
    <cellStyle name="Calculation 18 2 2 3" xfId="5100"/>
    <cellStyle name="Calculation 18 2 2 3 2" xfId="13360"/>
    <cellStyle name="Calculation 18 2 2 3 2 2" xfId="25366"/>
    <cellStyle name="Calculation 18 2 2 3 3" xfId="20253"/>
    <cellStyle name="Calculation 18 2 2 3_Table 2A-1_EFT (Annual)" xfId="14778"/>
    <cellStyle name="Calculation 18 2 2 4" xfId="10704"/>
    <cellStyle name="Calculation 18 2 2 4 2" xfId="22820"/>
    <cellStyle name="Calculation 18 2 2 5" xfId="17707"/>
    <cellStyle name="Calculation 18 2 2_Table 2A-1_EFT (Annual)" xfId="4248"/>
    <cellStyle name="Calculation 18 2 3" xfId="1065"/>
    <cellStyle name="Calculation 18 2 3 2" xfId="4626"/>
    <cellStyle name="Calculation 18 2 3 2 2" xfId="12886"/>
    <cellStyle name="Calculation 18 2 3 2 2 2" xfId="24892"/>
    <cellStyle name="Calculation 18 2 3 2 3" xfId="19779"/>
    <cellStyle name="Calculation 18 2 3 2_Table 2A-1_EFT (Annual)" xfId="14777"/>
    <cellStyle name="Calculation 18 2 3 3" xfId="10230"/>
    <cellStyle name="Calculation 18 2 3 3 2" xfId="22346"/>
    <cellStyle name="Calculation 18 2 3 4" xfId="17233"/>
    <cellStyle name="Calculation 18 2 3_Table 2A-1_EFT (Annual)" xfId="3625"/>
    <cellStyle name="Calculation 18 2 4" xfId="2278"/>
    <cellStyle name="Calculation 18 2 4 2" xfId="5839"/>
    <cellStyle name="Calculation 18 2 4 2 2" xfId="14054"/>
    <cellStyle name="Calculation 18 2 4 2 2 2" xfId="26042"/>
    <cellStyle name="Calculation 18 2 4 2 3" xfId="20929"/>
    <cellStyle name="Calculation 18 2 4 2_Table 2A-1_EFT (Annual)" xfId="14776"/>
    <cellStyle name="Calculation 18 2 4 3" xfId="11398"/>
    <cellStyle name="Calculation 18 2 4 3 2" xfId="23496"/>
    <cellStyle name="Calculation 18 2 4 4" xfId="18383"/>
    <cellStyle name="Calculation 18 2 4_Table 2A-1_EFT (Annual)" xfId="4247"/>
    <cellStyle name="Calculation 18 2 5" xfId="4132"/>
    <cellStyle name="Calculation 18 2 5 2" xfId="12456"/>
    <cellStyle name="Calculation 18 2 5 2 2" xfId="24478"/>
    <cellStyle name="Calculation 18 2 5 3" xfId="19365"/>
    <cellStyle name="Calculation 18 2 5_Table 2A-1_EFT (Annual)" xfId="14775"/>
    <cellStyle name="Calculation 18 2 6" xfId="9795"/>
    <cellStyle name="Calculation 18 2 6 2" xfId="21932"/>
    <cellStyle name="Calculation 18 2 7" xfId="16819"/>
    <cellStyle name="Calculation 18 2_Table 2A-1_EFT (Annual)" xfId="2917"/>
    <cellStyle name="Calculation 18 3" xfId="400"/>
    <cellStyle name="Calculation 18 3 2" xfId="1383"/>
    <cellStyle name="Calculation 18 3 2 2" xfId="2653"/>
    <cellStyle name="Calculation 18 3 2 2 2" xfId="6214"/>
    <cellStyle name="Calculation 18 3 2 2 2 2" xfId="14408"/>
    <cellStyle name="Calculation 18 3 2 2 2 2 2" xfId="26380"/>
    <cellStyle name="Calculation 18 3 2 2 2 3" xfId="21267"/>
    <cellStyle name="Calculation 18 3 2 2 2_Table 2A-1_EFT (Annual)" xfId="14774"/>
    <cellStyle name="Calculation 18 3 2 2 3" xfId="11750"/>
    <cellStyle name="Calculation 18 3 2 2 3 2" xfId="23834"/>
    <cellStyle name="Calculation 18 3 2 2 4" xfId="18721"/>
    <cellStyle name="Calculation 18 3 2 2_Table 2A-1_EFT (Annual)" xfId="3854"/>
    <cellStyle name="Calculation 18 3 2 3" xfId="4944"/>
    <cellStyle name="Calculation 18 3 2 3 2" xfId="13204"/>
    <cellStyle name="Calculation 18 3 2 3 2 2" xfId="25210"/>
    <cellStyle name="Calculation 18 3 2 3 3" xfId="20097"/>
    <cellStyle name="Calculation 18 3 2 3_Table 2A-1_EFT (Annual)" xfId="14773"/>
    <cellStyle name="Calculation 18 3 2 4" xfId="10548"/>
    <cellStyle name="Calculation 18 3 2 4 2" xfId="22664"/>
    <cellStyle name="Calculation 18 3 2 5" xfId="17551"/>
    <cellStyle name="Calculation 18 3 2_Table 2A-1_EFT (Annual)" xfId="4246"/>
    <cellStyle name="Calculation 18 3 3" xfId="933"/>
    <cellStyle name="Calculation 18 3 3 2" xfId="4494"/>
    <cellStyle name="Calculation 18 3 3 2 2" xfId="12756"/>
    <cellStyle name="Calculation 18 3 3 2 2 2" xfId="24766"/>
    <cellStyle name="Calculation 18 3 3 2 3" xfId="19653"/>
    <cellStyle name="Calculation 18 3 3 2_Table 2A-1_EFT (Annual)" xfId="14772"/>
    <cellStyle name="Calculation 18 3 3 3" xfId="10103"/>
    <cellStyle name="Calculation 18 3 3 3 2" xfId="22220"/>
    <cellStyle name="Calculation 18 3 3 4" xfId="17107"/>
    <cellStyle name="Calculation 18 3 3_Table 2A-1_EFT (Annual)" xfId="3624"/>
    <cellStyle name="Calculation 18 3 4" xfId="2122"/>
    <cellStyle name="Calculation 18 3 4 2" xfId="5683"/>
    <cellStyle name="Calculation 18 3 4 2 2" xfId="13898"/>
    <cellStyle name="Calculation 18 3 4 2 2 2" xfId="25886"/>
    <cellStyle name="Calculation 18 3 4 2 3" xfId="20773"/>
    <cellStyle name="Calculation 18 3 4 2_Table 2A-1_EFT (Annual)" xfId="14771"/>
    <cellStyle name="Calculation 18 3 4 3" xfId="11242"/>
    <cellStyle name="Calculation 18 3 4 3 2" xfId="23340"/>
    <cellStyle name="Calculation 18 3 4 4" xfId="18227"/>
    <cellStyle name="Calculation 18 3 4_Table 2A-1_EFT (Annual)" xfId="4245"/>
    <cellStyle name="Calculation 18 3 5" xfId="3970"/>
    <cellStyle name="Calculation 18 3 5 2" xfId="12298"/>
    <cellStyle name="Calculation 18 3 5 2 2" xfId="24322"/>
    <cellStyle name="Calculation 18 3 5 3" xfId="19209"/>
    <cellStyle name="Calculation 18 3 5_Table 2A-1_EFT (Annual)" xfId="14770"/>
    <cellStyle name="Calculation 18 3 6" xfId="9635"/>
    <cellStyle name="Calculation 18 3 6 2" xfId="21776"/>
    <cellStyle name="Calculation 18 3 7" xfId="16663"/>
    <cellStyle name="Calculation 18 3_Table 2A-1_EFT (Annual)" xfId="2918"/>
    <cellStyle name="Calculation 18 4" xfId="1217"/>
    <cellStyle name="Calculation 18 4 2" xfId="2487"/>
    <cellStyle name="Calculation 18 4 2 2" xfId="6048"/>
    <cellStyle name="Calculation 18 4 2 2 2" xfId="14242"/>
    <cellStyle name="Calculation 18 4 2 2 2 2" xfId="26214"/>
    <cellStyle name="Calculation 18 4 2 2 3" xfId="21101"/>
    <cellStyle name="Calculation 18 4 2 2_Table 2A-1_EFT (Annual)" xfId="9893"/>
    <cellStyle name="Calculation 18 4 2 3" xfId="11584"/>
    <cellStyle name="Calculation 18 4 2 3 2" xfId="23668"/>
    <cellStyle name="Calculation 18 4 2 4" xfId="18555"/>
    <cellStyle name="Calculation 18 4 2_Table 2A-1_EFT (Annual)" xfId="4244"/>
    <cellStyle name="Calculation 18 4 3" xfId="4778"/>
    <cellStyle name="Calculation 18 4 3 2" xfId="13038"/>
    <cellStyle name="Calculation 18 4 3 2 2" xfId="25044"/>
    <cellStyle name="Calculation 18 4 3 3" xfId="19931"/>
    <cellStyle name="Calculation 18 4 3_Table 2A-1_EFT (Annual)" xfId="9353"/>
    <cellStyle name="Calculation 18 4 4" xfId="10382"/>
    <cellStyle name="Calculation 18 4 4 2" xfId="22498"/>
    <cellStyle name="Calculation 18 4 5" xfId="17385"/>
    <cellStyle name="Calculation 18 4_Table 2A-1_EFT (Annual)" xfId="3623"/>
    <cellStyle name="Calculation 18 5" xfId="774"/>
    <cellStyle name="Calculation 18 5 2" xfId="4335"/>
    <cellStyle name="Calculation 18 5 2 2" xfId="12615"/>
    <cellStyle name="Calculation 18 5 2 2 2" xfId="24632"/>
    <cellStyle name="Calculation 18 5 2 3" xfId="19519"/>
    <cellStyle name="Calculation 18 5 2_Table 2A-1_EFT (Annual)" xfId="14762"/>
    <cellStyle name="Calculation 18 5 3" xfId="9963"/>
    <cellStyle name="Calculation 18 5 3 2" xfId="22086"/>
    <cellStyle name="Calculation 18 5 4" xfId="16973"/>
    <cellStyle name="Calculation 18 5_Table 2A-1_EFT (Annual)" xfId="3853"/>
    <cellStyle name="Calculation 18 6" xfId="1956"/>
    <cellStyle name="Calculation 18 6 2" xfId="5517"/>
    <cellStyle name="Calculation 18 6 2 2" xfId="13732"/>
    <cellStyle name="Calculation 18 6 2 2 2" xfId="25720"/>
    <cellStyle name="Calculation 18 6 2 3" xfId="20607"/>
    <cellStyle name="Calculation 18 6 2_Table 2A-1_EFT (Annual)" xfId="13446"/>
    <cellStyle name="Calculation 18 6 3" xfId="11076"/>
    <cellStyle name="Calculation 18 6 3 2" xfId="23174"/>
    <cellStyle name="Calculation 18 6 4" xfId="18061"/>
    <cellStyle name="Calculation 18 6_Table 2A-1_EFT (Annual)" xfId="3622"/>
    <cellStyle name="Calculation 18 7" xfId="3758"/>
    <cellStyle name="Calculation 18 7 2" xfId="12126"/>
    <cellStyle name="Calculation 18 7 2 2" xfId="24156"/>
    <cellStyle name="Calculation 18 7 3" xfId="19043"/>
    <cellStyle name="Calculation 18 7_Table 2A-1_EFT (Annual)" xfId="14769"/>
    <cellStyle name="Calculation 18 8" xfId="9445"/>
    <cellStyle name="Calculation 18 8 2" xfId="21610"/>
    <cellStyle name="Calculation 18 9" xfId="16497"/>
    <cellStyle name="Calculation 18_Table 2A-1_EFT (Annual)" xfId="2916"/>
    <cellStyle name="Calculation 19" xfId="178"/>
    <cellStyle name="Calculation 19 2" xfId="571"/>
    <cellStyle name="Calculation 19 2 2" xfId="1548"/>
    <cellStyle name="Calculation 19 2 2 2" xfId="2818"/>
    <cellStyle name="Calculation 19 2 2 2 2" xfId="6379"/>
    <cellStyle name="Calculation 19 2 2 2 2 2" xfId="14573"/>
    <cellStyle name="Calculation 19 2 2 2 2 2 2" xfId="26545"/>
    <cellStyle name="Calculation 19 2 2 2 2 3" xfId="21432"/>
    <cellStyle name="Calculation 19 2 2 2 2_Table 2A-1_EFT (Annual)" xfId="14766"/>
    <cellStyle name="Calculation 19 2 2 2 3" xfId="11915"/>
    <cellStyle name="Calculation 19 2 2 2 3 2" xfId="23999"/>
    <cellStyle name="Calculation 19 2 2 2 4" xfId="18886"/>
    <cellStyle name="Calculation 19 2 2 2_Table 2A-1_EFT (Annual)" xfId="3852"/>
    <cellStyle name="Calculation 19 2 2 3" xfId="5109"/>
    <cellStyle name="Calculation 19 2 2 3 2" xfId="13369"/>
    <cellStyle name="Calculation 19 2 2 3 2 2" xfId="25375"/>
    <cellStyle name="Calculation 19 2 2 3 3" xfId="20262"/>
    <cellStyle name="Calculation 19 2 2 3_Table 2A-1_EFT (Annual)" xfId="14768"/>
    <cellStyle name="Calculation 19 2 2 4" xfId="10713"/>
    <cellStyle name="Calculation 19 2 2 4 2" xfId="22829"/>
    <cellStyle name="Calculation 19 2 2 5" xfId="17716"/>
    <cellStyle name="Calculation 19 2 2_Table 2A-1_EFT (Annual)" xfId="4243"/>
    <cellStyle name="Calculation 19 2 3" xfId="1073"/>
    <cellStyle name="Calculation 19 2 3 2" xfId="4634"/>
    <cellStyle name="Calculation 19 2 3 2 2" xfId="12894"/>
    <cellStyle name="Calculation 19 2 3 2 2 2" xfId="24900"/>
    <cellStyle name="Calculation 19 2 3 2 3" xfId="19787"/>
    <cellStyle name="Calculation 19 2 3 2_Table 2A-1_EFT (Annual)" xfId="14767"/>
    <cellStyle name="Calculation 19 2 3 3" xfId="10238"/>
    <cellStyle name="Calculation 19 2 3 3 2" xfId="22354"/>
    <cellStyle name="Calculation 19 2 3 4" xfId="17241"/>
    <cellStyle name="Calculation 19 2 3_Table 2A-1_EFT (Annual)" xfId="3621"/>
    <cellStyle name="Calculation 19 2 4" xfId="2287"/>
    <cellStyle name="Calculation 19 2 4 2" xfId="5848"/>
    <cellStyle name="Calculation 19 2 4 2 2" xfId="14063"/>
    <cellStyle name="Calculation 19 2 4 2 2 2" xfId="26051"/>
    <cellStyle name="Calculation 19 2 4 2 3" xfId="20938"/>
    <cellStyle name="Calculation 19 2 4 2_Table 2A-1_EFT (Annual)" xfId="14148"/>
    <cellStyle name="Calculation 19 2 4 3" xfId="11407"/>
    <cellStyle name="Calculation 19 2 4 3 2" xfId="23505"/>
    <cellStyle name="Calculation 19 2 4 4" xfId="18392"/>
    <cellStyle name="Calculation 19 2 4_Table 2A-1_EFT (Annual)" xfId="4242"/>
    <cellStyle name="Calculation 19 2 5" xfId="4141"/>
    <cellStyle name="Calculation 19 2 5 2" xfId="12465"/>
    <cellStyle name="Calculation 19 2 5 2 2" xfId="24487"/>
    <cellStyle name="Calculation 19 2 5 3" xfId="19374"/>
    <cellStyle name="Calculation 19 2 5_Table 2A-1_EFT (Annual)" xfId="10032"/>
    <cellStyle name="Calculation 19 2 6" xfId="9804"/>
    <cellStyle name="Calculation 19 2 6 2" xfId="21941"/>
    <cellStyle name="Calculation 19 2 7" xfId="16828"/>
    <cellStyle name="Calculation 19 2_Table 2A-1_EFT (Annual)" xfId="2920"/>
    <cellStyle name="Calculation 19 3" xfId="409"/>
    <cellStyle name="Calculation 19 3 2" xfId="1392"/>
    <cellStyle name="Calculation 19 3 2 2" xfId="2662"/>
    <cellStyle name="Calculation 19 3 2 2 2" xfId="6223"/>
    <cellStyle name="Calculation 19 3 2 2 2 2" xfId="14417"/>
    <cellStyle name="Calculation 19 3 2 2 2 2 2" xfId="26389"/>
    <cellStyle name="Calculation 19 3 2 2 2 3" xfId="21276"/>
    <cellStyle name="Calculation 19 3 2 2 2_Table 2A-1_EFT (Annual)" xfId="13477"/>
    <cellStyle name="Calculation 19 3 2 2 3" xfId="11759"/>
    <cellStyle name="Calculation 19 3 2 2 3 2" xfId="23843"/>
    <cellStyle name="Calculation 19 3 2 2 4" xfId="18730"/>
    <cellStyle name="Calculation 19 3 2 2_Table 2A-1_EFT (Annual)" xfId="3851"/>
    <cellStyle name="Calculation 19 3 2 3" xfId="4953"/>
    <cellStyle name="Calculation 19 3 2 3 2" xfId="13213"/>
    <cellStyle name="Calculation 19 3 2 3 2 2" xfId="25219"/>
    <cellStyle name="Calculation 19 3 2 3 3" xfId="20106"/>
    <cellStyle name="Calculation 19 3 2 3_Table 2A-1_EFT (Annual)" xfId="14765"/>
    <cellStyle name="Calculation 19 3 2 4" xfId="10557"/>
    <cellStyle name="Calculation 19 3 2 4 2" xfId="22673"/>
    <cellStyle name="Calculation 19 3 2 5" xfId="17560"/>
    <cellStyle name="Calculation 19 3 2_Table 2A-1_EFT (Annual)" xfId="4241"/>
    <cellStyle name="Calculation 19 3 3" xfId="941"/>
    <cellStyle name="Calculation 19 3 3 2" xfId="4502"/>
    <cellStyle name="Calculation 19 3 3 2 2" xfId="12764"/>
    <cellStyle name="Calculation 19 3 3 2 2 2" xfId="24774"/>
    <cellStyle name="Calculation 19 3 3 2 3" xfId="19661"/>
    <cellStyle name="Calculation 19 3 3 2_Table 2A-1_EFT (Annual)" xfId="14144"/>
    <cellStyle name="Calculation 19 3 3 3" xfId="10111"/>
    <cellStyle name="Calculation 19 3 3 3 2" xfId="22228"/>
    <cellStyle name="Calculation 19 3 3 4" xfId="17115"/>
    <cellStyle name="Calculation 19 3 3_Table 2A-1_EFT (Annual)" xfId="3620"/>
    <cellStyle name="Calculation 19 3 4" xfId="2131"/>
    <cellStyle name="Calculation 19 3 4 2" xfId="5692"/>
    <cellStyle name="Calculation 19 3 4 2 2" xfId="13907"/>
    <cellStyle name="Calculation 19 3 4 2 2 2" xfId="25895"/>
    <cellStyle name="Calculation 19 3 4 2 3" xfId="20782"/>
    <cellStyle name="Calculation 19 3 4 2_Table 2A-1_EFT (Annual)" xfId="14763"/>
    <cellStyle name="Calculation 19 3 4 3" xfId="11251"/>
    <cellStyle name="Calculation 19 3 4 3 2" xfId="23349"/>
    <cellStyle name="Calculation 19 3 4 4" xfId="18236"/>
    <cellStyle name="Calculation 19 3 4_Table 2A-1_EFT (Annual)" xfId="4240"/>
    <cellStyle name="Calculation 19 3 5" xfId="3979"/>
    <cellStyle name="Calculation 19 3 5 2" xfId="12307"/>
    <cellStyle name="Calculation 19 3 5 2 2" xfId="24331"/>
    <cellStyle name="Calculation 19 3 5 3" xfId="19218"/>
    <cellStyle name="Calculation 19 3 5_Table 2A-1_EFT (Annual)" xfId="14764"/>
    <cellStyle name="Calculation 19 3 6" xfId="9644"/>
    <cellStyle name="Calculation 19 3 6 2" xfId="21785"/>
    <cellStyle name="Calculation 19 3 7" xfId="16672"/>
    <cellStyle name="Calculation 19 3_Table 2A-1_EFT (Annual)" xfId="2921"/>
    <cellStyle name="Calculation 19 4" xfId="1226"/>
    <cellStyle name="Calculation 19 4 2" xfId="2496"/>
    <cellStyle name="Calculation 19 4 2 2" xfId="6057"/>
    <cellStyle name="Calculation 19 4 2 2 2" xfId="14251"/>
    <cellStyle name="Calculation 19 4 2 2 2 2" xfId="26223"/>
    <cellStyle name="Calculation 19 4 2 2 3" xfId="21110"/>
    <cellStyle name="Calculation 19 4 2 2_Table 2A-1_EFT (Annual)" xfId="12798"/>
    <cellStyle name="Calculation 19 4 2 3" xfId="11593"/>
    <cellStyle name="Calculation 19 4 2 3 2" xfId="23677"/>
    <cellStyle name="Calculation 19 4 2 4" xfId="18564"/>
    <cellStyle name="Calculation 19 4 2_Table 2A-1_EFT (Annual)" xfId="4239"/>
    <cellStyle name="Calculation 19 4 3" xfId="4787"/>
    <cellStyle name="Calculation 19 4 3 2" xfId="13047"/>
    <cellStyle name="Calculation 19 4 3 2 2" xfId="25053"/>
    <cellStyle name="Calculation 19 4 3 3" xfId="19940"/>
    <cellStyle name="Calculation 19 4 3_Table 2A-1_EFT (Annual)" xfId="14154"/>
    <cellStyle name="Calculation 19 4 4" xfId="10391"/>
    <cellStyle name="Calculation 19 4 4 2" xfId="22507"/>
    <cellStyle name="Calculation 19 4 5" xfId="17394"/>
    <cellStyle name="Calculation 19 4_Table 2A-1_EFT (Annual)" xfId="3619"/>
    <cellStyle name="Calculation 19 5" xfId="782"/>
    <cellStyle name="Calculation 19 5 2" xfId="4343"/>
    <cellStyle name="Calculation 19 5 2 2" xfId="12623"/>
    <cellStyle name="Calculation 19 5 2 2 2" xfId="24640"/>
    <cellStyle name="Calculation 19 5 2 3" xfId="19527"/>
    <cellStyle name="Calculation 19 5 2_Table 2A-1_EFT (Annual)" xfId="9686"/>
    <cellStyle name="Calculation 19 5 3" xfId="9971"/>
    <cellStyle name="Calculation 19 5 3 2" xfId="22094"/>
    <cellStyle name="Calculation 19 5 4" xfId="16981"/>
    <cellStyle name="Calculation 19 5_Table 2A-1_EFT (Annual)" xfId="3850"/>
    <cellStyle name="Calculation 19 6" xfId="1965"/>
    <cellStyle name="Calculation 19 6 2" xfId="5526"/>
    <cellStyle name="Calculation 19 6 2 2" xfId="13741"/>
    <cellStyle name="Calculation 19 6 2 2 2" xfId="25729"/>
    <cellStyle name="Calculation 19 6 2 3" xfId="20616"/>
    <cellStyle name="Calculation 19 6 2_Table 2A-1_EFT (Annual)" xfId="14761"/>
    <cellStyle name="Calculation 19 6 3" xfId="11085"/>
    <cellStyle name="Calculation 19 6 3 2" xfId="23183"/>
    <cellStyle name="Calculation 19 6 4" xfId="18070"/>
    <cellStyle name="Calculation 19 6_Table 2A-1_EFT (Annual)" xfId="3618"/>
    <cellStyle name="Calculation 19 7" xfId="3767"/>
    <cellStyle name="Calculation 19 7 2" xfId="12135"/>
    <cellStyle name="Calculation 19 7 2 2" xfId="24165"/>
    <cellStyle name="Calculation 19 7 3" xfId="19052"/>
    <cellStyle name="Calculation 19 7_Table 2A-1_EFT (Annual)" xfId="9352"/>
    <cellStyle name="Calculation 19 8" xfId="9454"/>
    <cellStyle name="Calculation 19 8 2" xfId="21619"/>
    <cellStyle name="Calculation 19 9" xfId="16506"/>
    <cellStyle name="Calculation 19_Table 2A-1_EFT (Annual)" xfId="2919"/>
    <cellStyle name="Calculation 2" xfId="94"/>
    <cellStyle name="Calculation 2 10" xfId="21518"/>
    <cellStyle name="Calculation 2 2" xfId="493"/>
    <cellStyle name="Calculation 2 2 2" xfId="1470"/>
    <cellStyle name="Calculation 2 2 2 2" xfId="2740"/>
    <cellStyle name="Calculation 2 2 2 2 2" xfId="6301"/>
    <cellStyle name="Calculation 2 2 2 2 2 2" xfId="14495"/>
    <cellStyle name="Calculation 2 2 2 2 2 2 2" xfId="26467"/>
    <cellStyle name="Calculation 2 2 2 2 2 3" xfId="21354"/>
    <cellStyle name="Calculation 2 2 2 2 2_Table 2A-1_EFT (Annual)" xfId="14760"/>
    <cellStyle name="Calculation 2 2 2 2 3" xfId="11837"/>
    <cellStyle name="Calculation 2 2 2 2 3 2" xfId="23921"/>
    <cellStyle name="Calculation 2 2 2 2 4" xfId="18808"/>
    <cellStyle name="Calculation 2 2 2 2_Table 2A-1_EFT (Annual)" xfId="3849"/>
    <cellStyle name="Calculation 2 2 2 3" xfId="5031"/>
    <cellStyle name="Calculation 2 2 2 3 2" xfId="13291"/>
    <cellStyle name="Calculation 2 2 2 3 2 2" xfId="25297"/>
    <cellStyle name="Calculation 2 2 2 3 3" xfId="20184"/>
    <cellStyle name="Calculation 2 2 2 3_Table 2A-1_EFT (Annual)" xfId="14759"/>
    <cellStyle name="Calculation 2 2 2 4" xfId="10635"/>
    <cellStyle name="Calculation 2 2 2 4 2" xfId="22751"/>
    <cellStyle name="Calculation 2 2 2 5" xfId="17638"/>
    <cellStyle name="Calculation 2 2 2_Table 2A-1_EFT (Annual)" xfId="4238"/>
    <cellStyle name="Calculation 2 2 3" xfId="1009"/>
    <cellStyle name="Calculation 2 2 3 2" xfId="4570"/>
    <cellStyle name="Calculation 2 2 3 2 2" xfId="12830"/>
    <cellStyle name="Calculation 2 2 3 2 2 2" xfId="24836"/>
    <cellStyle name="Calculation 2 2 3 2 3" xfId="19723"/>
    <cellStyle name="Calculation 2 2 3 2_Table 2A-1_EFT (Annual)" xfId="14758"/>
    <cellStyle name="Calculation 2 2 3 3" xfId="10174"/>
    <cellStyle name="Calculation 2 2 3 3 2" xfId="22290"/>
    <cellStyle name="Calculation 2 2 3 4" xfId="17177"/>
    <cellStyle name="Calculation 2 2 3_Table 2A-1_EFT (Annual)" xfId="3617"/>
    <cellStyle name="Calculation 2 2 4" xfId="2209"/>
    <cellStyle name="Calculation 2 2 4 2" xfId="5770"/>
    <cellStyle name="Calculation 2 2 4 2 2" xfId="13985"/>
    <cellStyle name="Calculation 2 2 4 2 2 2" xfId="25973"/>
    <cellStyle name="Calculation 2 2 4 2 3" xfId="20860"/>
    <cellStyle name="Calculation 2 2 4 2_Table 2A-1_EFT (Annual)" xfId="14757"/>
    <cellStyle name="Calculation 2 2 4 3" xfId="11329"/>
    <cellStyle name="Calculation 2 2 4 3 2" xfId="23427"/>
    <cellStyle name="Calculation 2 2 4 4" xfId="18314"/>
    <cellStyle name="Calculation 2 2 4_Table 2A-1_EFT (Annual)" xfId="4237"/>
    <cellStyle name="Calculation 2 2 5" xfId="4063"/>
    <cellStyle name="Calculation 2 2 5 2" xfId="12387"/>
    <cellStyle name="Calculation 2 2 5 2 2" xfId="24409"/>
    <cellStyle name="Calculation 2 2 5 3" xfId="19296"/>
    <cellStyle name="Calculation 2 2 5_Table 2A-1_EFT (Annual)" xfId="14756"/>
    <cellStyle name="Calculation 2 2 6" xfId="9726"/>
    <cellStyle name="Calculation 2 2 6 2" xfId="21863"/>
    <cellStyle name="Calculation 2 2 7" xfId="16750"/>
    <cellStyle name="Calculation 2 2_Table 2A-1_EFT (Annual)" xfId="2923"/>
    <cellStyle name="Calculation 2 3" xfId="326"/>
    <cellStyle name="Calculation 2 3 2" xfId="1314"/>
    <cellStyle name="Calculation 2 3 2 2" xfId="2584"/>
    <cellStyle name="Calculation 2 3 2 2 2" xfId="6145"/>
    <cellStyle name="Calculation 2 3 2 2 2 2" xfId="14339"/>
    <cellStyle name="Calculation 2 3 2 2 2 2 2" xfId="26311"/>
    <cellStyle name="Calculation 2 3 2 2 2 3" xfId="21198"/>
    <cellStyle name="Calculation 2 3 2 2 2_Table 2A-1_EFT (Annual)" xfId="14755"/>
    <cellStyle name="Calculation 2 3 2 2 3" xfId="11681"/>
    <cellStyle name="Calculation 2 3 2 2 3 2" xfId="23765"/>
    <cellStyle name="Calculation 2 3 2 2 4" xfId="18652"/>
    <cellStyle name="Calculation 2 3 2 2_Table 2A-1_EFT (Annual)" xfId="3848"/>
    <cellStyle name="Calculation 2 3 2 3" xfId="4875"/>
    <cellStyle name="Calculation 2 3 2 3 2" xfId="13135"/>
    <cellStyle name="Calculation 2 3 2 3 2 2" xfId="25141"/>
    <cellStyle name="Calculation 2 3 2 3 3" xfId="20028"/>
    <cellStyle name="Calculation 2 3 2 3_Table 2A-1_EFT (Annual)" xfId="14754"/>
    <cellStyle name="Calculation 2 3 2 4" xfId="10479"/>
    <cellStyle name="Calculation 2 3 2 4 2" xfId="22595"/>
    <cellStyle name="Calculation 2 3 2 5" xfId="17482"/>
    <cellStyle name="Calculation 2 3 2_Table 2A-1_EFT (Annual)" xfId="4236"/>
    <cellStyle name="Calculation 2 3 3" xfId="872"/>
    <cellStyle name="Calculation 2 3 3 2" xfId="4433"/>
    <cellStyle name="Calculation 2 3 3 2 2" xfId="12698"/>
    <cellStyle name="Calculation 2 3 3 2 2 2" xfId="24710"/>
    <cellStyle name="Calculation 2 3 3 2 3" xfId="19597"/>
    <cellStyle name="Calculation 2 3 3 2_Table 2A-1_EFT (Annual)" xfId="14753"/>
    <cellStyle name="Calculation 2 3 3 3" xfId="10045"/>
    <cellStyle name="Calculation 2 3 3 3 2" xfId="22164"/>
    <cellStyle name="Calculation 2 3 3 4" xfId="17051"/>
    <cellStyle name="Calculation 2 3 3_Table 2A-1_EFT (Annual)" xfId="3616"/>
    <cellStyle name="Calculation 2 3 4" xfId="2053"/>
    <cellStyle name="Calculation 2 3 4 2" xfId="5614"/>
    <cellStyle name="Calculation 2 3 4 2 2" xfId="13829"/>
    <cellStyle name="Calculation 2 3 4 2 2 2" xfId="25817"/>
    <cellStyle name="Calculation 2 3 4 2 3" xfId="20704"/>
    <cellStyle name="Calculation 2 3 4 2_Table 2A-1_EFT (Annual)" xfId="14752"/>
    <cellStyle name="Calculation 2 3 4 3" xfId="11173"/>
    <cellStyle name="Calculation 2 3 4 3 2" xfId="23271"/>
    <cellStyle name="Calculation 2 3 4 4" xfId="18158"/>
    <cellStyle name="Calculation 2 3 4_Table 2A-1_EFT (Annual)" xfId="4235"/>
    <cellStyle name="Calculation 2 3 5" xfId="3896"/>
    <cellStyle name="Calculation 2 3 5 2" xfId="12228"/>
    <cellStyle name="Calculation 2 3 5 2 2" xfId="24253"/>
    <cellStyle name="Calculation 2 3 5 3" xfId="19140"/>
    <cellStyle name="Calculation 2 3 5_Table 2A-1_EFT (Annual)" xfId="14751"/>
    <cellStyle name="Calculation 2 3 6" xfId="9565"/>
    <cellStyle name="Calculation 2 3 6 2" xfId="21707"/>
    <cellStyle name="Calculation 2 3 7" xfId="16594"/>
    <cellStyle name="Calculation 2 3_Table 2A-1_EFT (Annual)" xfId="2924"/>
    <cellStyle name="Calculation 2 4" xfId="1148"/>
    <cellStyle name="Calculation 2 4 2" xfId="2418"/>
    <cellStyle name="Calculation 2 4 2 2" xfId="5979"/>
    <cellStyle name="Calculation 2 4 2 2 2" xfId="14173"/>
    <cellStyle name="Calculation 2 4 2 2 2 2" xfId="26145"/>
    <cellStyle name="Calculation 2 4 2 2 3" xfId="21032"/>
    <cellStyle name="Calculation 2 4 2 2_Table 2A-1_EFT (Annual)" xfId="14750"/>
    <cellStyle name="Calculation 2 4 2 3" xfId="11515"/>
    <cellStyle name="Calculation 2 4 2 3 2" xfId="23599"/>
    <cellStyle name="Calculation 2 4 2 4" xfId="18486"/>
    <cellStyle name="Calculation 2 4 2_Table 2A-1_EFT (Annual)" xfId="4234"/>
    <cellStyle name="Calculation 2 4 3" xfId="4709"/>
    <cellStyle name="Calculation 2 4 3 2" xfId="12969"/>
    <cellStyle name="Calculation 2 4 3 2 2" xfId="24975"/>
    <cellStyle name="Calculation 2 4 3 3" xfId="19862"/>
    <cellStyle name="Calculation 2 4 3_Table 2A-1_EFT (Annual)" xfId="14749"/>
    <cellStyle name="Calculation 2 4 4" xfId="10313"/>
    <cellStyle name="Calculation 2 4 4 2" xfId="22429"/>
    <cellStyle name="Calculation 2 4 5" xfId="17316"/>
    <cellStyle name="Calculation 2 4_Table 2A-1_EFT (Annual)" xfId="3615"/>
    <cellStyle name="Calculation 2 5" xfId="713"/>
    <cellStyle name="Calculation 2 5 2" xfId="4274"/>
    <cellStyle name="Calculation 2 5 2 2" xfId="12558"/>
    <cellStyle name="Calculation 2 5 2 2 2" xfId="24576"/>
    <cellStyle name="Calculation 2 5 2 3" xfId="19463"/>
    <cellStyle name="Calculation 2 5 2_Table 2A-1_EFT (Annual)" xfId="14748"/>
    <cellStyle name="Calculation 2 5 3" xfId="9905"/>
    <cellStyle name="Calculation 2 5 3 2" xfId="22030"/>
    <cellStyle name="Calculation 2 5 4" xfId="16917"/>
    <cellStyle name="Calculation 2 5_Table 2A-1_EFT (Annual)" xfId="3847"/>
    <cellStyle name="Calculation 2 6" xfId="1945"/>
    <cellStyle name="Calculation 2 6 2" xfId="5506"/>
    <cellStyle name="Calculation 2 6 2 2" xfId="13721"/>
    <cellStyle name="Calculation 2 6 2 2 2" xfId="25709"/>
    <cellStyle name="Calculation 2 6 2 3" xfId="20596"/>
    <cellStyle name="Calculation 2 6 2_Table 2A-1_EFT (Annual)" xfId="14747"/>
    <cellStyle name="Calculation 2 6 3" xfId="11065"/>
    <cellStyle name="Calculation 2 6 3 2" xfId="23163"/>
    <cellStyle name="Calculation 2 6 4" xfId="18050"/>
    <cellStyle name="Calculation 2 6_Table 2A-1_EFT (Annual)" xfId="3614"/>
    <cellStyle name="Calculation 2 7" xfId="3683"/>
    <cellStyle name="Calculation 2 7 2" xfId="12056"/>
    <cellStyle name="Calculation 2 7 2 2" xfId="24087"/>
    <cellStyle name="Calculation 2 7 3" xfId="18974"/>
    <cellStyle name="Calculation 2 7_Table 2A-1_EFT (Annual)" xfId="14746"/>
    <cellStyle name="Calculation 2 8" xfId="9373"/>
    <cellStyle name="Calculation 2 8 2" xfId="21541"/>
    <cellStyle name="Calculation 2 9" xfId="16428"/>
    <cellStyle name="Calculation 2_Table 2A-1_EFT (Annual)" xfId="2922"/>
    <cellStyle name="Calculation 20" xfId="179"/>
    <cellStyle name="Calculation 20 2" xfId="572"/>
    <cellStyle name="Calculation 20 2 2" xfId="1549"/>
    <cellStyle name="Calculation 20 2 2 2" xfId="2819"/>
    <cellStyle name="Calculation 20 2 2 2 2" xfId="6380"/>
    <cellStyle name="Calculation 20 2 2 2 2 2" xfId="14574"/>
    <cellStyle name="Calculation 20 2 2 2 2 2 2" xfId="26546"/>
    <cellStyle name="Calculation 20 2 2 2 2 3" xfId="21433"/>
    <cellStyle name="Calculation 20 2 2 2 2_Table 2A-1_EFT (Annual)" xfId="14745"/>
    <cellStyle name="Calculation 20 2 2 2 3" xfId="11916"/>
    <cellStyle name="Calculation 20 2 2 2 3 2" xfId="24000"/>
    <cellStyle name="Calculation 20 2 2 2 4" xfId="18887"/>
    <cellStyle name="Calculation 20 2 2 2_Table 2A-1_EFT (Annual)" xfId="3846"/>
    <cellStyle name="Calculation 20 2 2 3" xfId="5110"/>
    <cellStyle name="Calculation 20 2 2 3 2" xfId="13370"/>
    <cellStyle name="Calculation 20 2 2 3 2 2" xfId="25376"/>
    <cellStyle name="Calculation 20 2 2 3 3" xfId="20263"/>
    <cellStyle name="Calculation 20 2 2 3_Table 2A-1_EFT (Annual)" xfId="14744"/>
    <cellStyle name="Calculation 20 2 2 4" xfId="10714"/>
    <cellStyle name="Calculation 20 2 2 4 2" xfId="22830"/>
    <cellStyle name="Calculation 20 2 2 5" xfId="17717"/>
    <cellStyle name="Calculation 20 2 2_Table 2A-1_EFT (Annual)" xfId="4233"/>
    <cellStyle name="Calculation 20 2 3" xfId="1074"/>
    <cellStyle name="Calculation 20 2 3 2" xfId="4635"/>
    <cellStyle name="Calculation 20 2 3 2 2" xfId="12895"/>
    <cellStyle name="Calculation 20 2 3 2 2 2" xfId="24901"/>
    <cellStyle name="Calculation 20 2 3 2 3" xfId="19788"/>
    <cellStyle name="Calculation 20 2 3 2_Table 2A-1_EFT (Annual)" xfId="14743"/>
    <cellStyle name="Calculation 20 2 3 3" xfId="10239"/>
    <cellStyle name="Calculation 20 2 3 3 2" xfId="22355"/>
    <cellStyle name="Calculation 20 2 3 4" xfId="17242"/>
    <cellStyle name="Calculation 20 2 3_Table 2A-1_EFT (Annual)" xfId="3613"/>
    <cellStyle name="Calculation 20 2 4" xfId="2288"/>
    <cellStyle name="Calculation 20 2 4 2" xfId="5849"/>
    <cellStyle name="Calculation 20 2 4 2 2" xfId="14064"/>
    <cellStyle name="Calculation 20 2 4 2 2 2" xfId="26052"/>
    <cellStyle name="Calculation 20 2 4 2 3" xfId="20939"/>
    <cellStyle name="Calculation 20 2 4 2_Table 2A-1_EFT (Annual)" xfId="14742"/>
    <cellStyle name="Calculation 20 2 4 3" xfId="11408"/>
    <cellStyle name="Calculation 20 2 4 3 2" xfId="23506"/>
    <cellStyle name="Calculation 20 2 4 4" xfId="18393"/>
    <cellStyle name="Calculation 20 2 4_Table 2A-1_EFT (Annual)" xfId="4232"/>
    <cellStyle name="Calculation 20 2 5" xfId="4142"/>
    <cellStyle name="Calculation 20 2 5 2" xfId="12466"/>
    <cellStyle name="Calculation 20 2 5 2 2" xfId="24488"/>
    <cellStyle name="Calculation 20 2 5 3" xfId="19375"/>
    <cellStyle name="Calculation 20 2 5_Table 2A-1_EFT (Annual)" xfId="14741"/>
    <cellStyle name="Calculation 20 2 6" xfId="9805"/>
    <cellStyle name="Calculation 20 2 6 2" xfId="21942"/>
    <cellStyle name="Calculation 20 2 7" xfId="16829"/>
    <cellStyle name="Calculation 20 2_Table 2A-1_EFT (Annual)" xfId="2926"/>
    <cellStyle name="Calculation 20 3" xfId="410"/>
    <cellStyle name="Calculation 20 3 2" xfId="1393"/>
    <cellStyle name="Calculation 20 3 2 2" xfId="2663"/>
    <cellStyle name="Calculation 20 3 2 2 2" xfId="6224"/>
    <cellStyle name="Calculation 20 3 2 2 2 2" xfId="14418"/>
    <cellStyle name="Calculation 20 3 2 2 2 2 2" xfId="26390"/>
    <cellStyle name="Calculation 20 3 2 2 2 3" xfId="21277"/>
    <cellStyle name="Calculation 20 3 2 2 2_Table 2A-1_EFT (Annual)" xfId="14740"/>
    <cellStyle name="Calculation 20 3 2 2 3" xfId="11760"/>
    <cellStyle name="Calculation 20 3 2 2 3 2" xfId="23844"/>
    <cellStyle name="Calculation 20 3 2 2 4" xfId="18731"/>
    <cellStyle name="Calculation 20 3 2 2_Table 2A-1_EFT (Annual)" xfId="3845"/>
    <cellStyle name="Calculation 20 3 2 3" xfId="4954"/>
    <cellStyle name="Calculation 20 3 2 3 2" xfId="13214"/>
    <cellStyle name="Calculation 20 3 2 3 2 2" xfId="25220"/>
    <cellStyle name="Calculation 20 3 2 3 3" xfId="20107"/>
    <cellStyle name="Calculation 20 3 2 3_Table 2A-1_EFT (Annual)" xfId="14739"/>
    <cellStyle name="Calculation 20 3 2 4" xfId="10558"/>
    <cellStyle name="Calculation 20 3 2 4 2" xfId="22674"/>
    <cellStyle name="Calculation 20 3 2 5" xfId="17561"/>
    <cellStyle name="Calculation 20 3 2_Table 2A-1_EFT (Annual)" xfId="4231"/>
    <cellStyle name="Calculation 20 3 3" xfId="942"/>
    <cellStyle name="Calculation 20 3 3 2" xfId="4503"/>
    <cellStyle name="Calculation 20 3 3 2 2" xfId="12765"/>
    <cellStyle name="Calculation 20 3 3 2 2 2" xfId="24775"/>
    <cellStyle name="Calculation 20 3 3 2 3" xfId="19662"/>
    <cellStyle name="Calculation 20 3 3 2_Table 2A-1_EFT (Annual)" xfId="14738"/>
    <cellStyle name="Calculation 20 3 3 3" xfId="10112"/>
    <cellStyle name="Calculation 20 3 3 3 2" xfId="22229"/>
    <cellStyle name="Calculation 20 3 3 4" xfId="17116"/>
    <cellStyle name="Calculation 20 3 3_Table 2A-1_EFT (Annual)" xfId="3612"/>
    <cellStyle name="Calculation 20 3 4" xfId="2132"/>
    <cellStyle name="Calculation 20 3 4 2" xfId="5693"/>
    <cellStyle name="Calculation 20 3 4 2 2" xfId="13908"/>
    <cellStyle name="Calculation 20 3 4 2 2 2" xfId="25896"/>
    <cellStyle name="Calculation 20 3 4 2 3" xfId="20783"/>
    <cellStyle name="Calculation 20 3 4 2_Table 2A-1_EFT (Annual)" xfId="14737"/>
    <cellStyle name="Calculation 20 3 4 3" xfId="11252"/>
    <cellStyle name="Calculation 20 3 4 3 2" xfId="23350"/>
    <cellStyle name="Calculation 20 3 4 4" xfId="18237"/>
    <cellStyle name="Calculation 20 3 4_Table 2A-1_EFT (Annual)" xfId="4230"/>
    <cellStyle name="Calculation 20 3 5" xfId="3980"/>
    <cellStyle name="Calculation 20 3 5 2" xfId="12308"/>
    <cellStyle name="Calculation 20 3 5 2 2" xfId="24332"/>
    <cellStyle name="Calculation 20 3 5 3" xfId="19219"/>
    <cellStyle name="Calculation 20 3 5_Table 2A-1_EFT (Annual)" xfId="14735"/>
    <cellStyle name="Calculation 20 3 6" xfId="9645"/>
    <cellStyle name="Calculation 20 3 6 2" xfId="21786"/>
    <cellStyle name="Calculation 20 3 7" xfId="16673"/>
    <cellStyle name="Calculation 20 3_Table 2A-1_EFT (Annual)" xfId="2927"/>
    <cellStyle name="Calculation 20 4" xfId="1227"/>
    <cellStyle name="Calculation 20 4 2" xfId="2497"/>
    <cellStyle name="Calculation 20 4 2 2" xfId="6058"/>
    <cellStyle name="Calculation 20 4 2 2 2" xfId="14252"/>
    <cellStyle name="Calculation 20 4 2 2 2 2" xfId="26224"/>
    <cellStyle name="Calculation 20 4 2 2 3" xfId="21111"/>
    <cellStyle name="Calculation 20 4 2 2_Table 2A-1_EFT (Annual)" xfId="14736"/>
    <cellStyle name="Calculation 20 4 2 3" xfId="11594"/>
    <cellStyle name="Calculation 20 4 2 3 2" xfId="23678"/>
    <cellStyle name="Calculation 20 4 2 4" xfId="18565"/>
    <cellStyle name="Calculation 20 4 2_Table 2A-1_EFT (Annual)" xfId="4229"/>
    <cellStyle name="Calculation 20 4 3" xfId="4788"/>
    <cellStyle name="Calculation 20 4 3 2" xfId="13048"/>
    <cellStyle name="Calculation 20 4 3 2 2" xfId="25054"/>
    <cellStyle name="Calculation 20 4 3 3" xfId="19941"/>
    <cellStyle name="Calculation 20 4 3_Table 2A-1_EFT (Annual)" xfId="14734"/>
    <cellStyle name="Calculation 20 4 4" xfId="10392"/>
    <cellStyle name="Calculation 20 4 4 2" xfId="22508"/>
    <cellStyle name="Calculation 20 4 5" xfId="17395"/>
    <cellStyle name="Calculation 20 4_Table 2A-1_EFT (Annual)" xfId="3611"/>
    <cellStyle name="Calculation 20 5" xfId="783"/>
    <cellStyle name="Calculation 20 5 2" xfId="4344"/>
    <cellStyle name="Calculation 20 5 2 2" xfId="12624"/>
    <cellStyle name="Calculation 20 5 2 2 2" xfId="24641"/>
    <cellStyle name="Calculation 20 5 2 3" xfId="19528"/>
    <cellStyle name="Calculation 20 5 2_Table 2A-1_EFT (Annual)" xfId="14733"/>
    <cellStyle name="Calculation 20 5 3" xfId="9972"/>
    <cellStyle name="Calculation 20 5 3 2" xfId="22095"/>
    <cellStyle name="Calculation 20 5 4" xfId="16982"/>
    <cellStyle name="Calculation 20 5_Table 2A-1_EFT (Annual)" xfId="3844"/>
    <cellStyle name="Calculation 20 6" xfId="1966"/>
    <cellStyle name="Calculation 20 6 2" xfId="5527"/>
    <cellStyle name="Calculation 20 6 2 2" xfId="13742"/>
    <cellStyle name="Calculation 20 6 2 2 2" xfId="25730"/>
    <cellStyle name="Calculation 20 6 2 3" xfId="20617"/>
    <cellStyle name="Calculation 20 6 2_Table 2A-1_EFT (Annual)" xfId="14732"/>
    <cellStyle name="Calculation 20 6 3" xfId="11086"/>
    <cellStyle name="Calculation 20 6 3 2" xfId="23184"/>
    <cellStyle name="Calculation 20 6 4" xfId="18071"/>
    <cellStyle name="Calculation 20 6_Table 2A-1_EFT (Annual)" xfId="3610"/>
    <cellStyle name="Calculation 20 7" xfId="3768"/>
    <cellStyle name="Calculation 20 7 2" xfId="12136"/>
    <cellStyle name="Calculation 20 7 2 2" xfId="24166"/>
    <cellStyle name="Calculation 20 7 3" xfId="19053"/>
    <cellStyle name="Calculation 20 7_Table 2A-1_EFT (Annual)" xfId="14731"/>
    <cellStyle name="Calculation 20 8" xfId="9455"/>
    <cellStyle name="Calculation 20 8 2" xfId="21620"/>
    <cellStyle name="Calculation 20 9" xfId="16507"/>
    <cellStyle name="Calculation 20_Table 2A-1_EFT (Annual)" xfId="2925"/>
    <cellStyle name="Calculation 21" xfId="177"/>
    <cellStyle name="Calculation 21 2" xfId="570"/>
    <cellStyle name="Calculation 21 2 2" xfId="1547"/>
    <cellStyle name="Calculation 21 2 2 2" xfId="2817"/>
    <cellStyle name="Calculation 21 2 2 2 2" xfId="6378"/>
    <cellStyle name="Calculation 21 2 2 2 2 2" xfId="14572"/>
    <cellStyle name="Calculation 21 2 2 2 2 2 2" xfId="26544"/>
    <cellStyle name="Calculation 21 2 2 2 2 3" xfId="21431"/>
    <cellStyle name="Calculation 21 2 2 2 2_Table 2A-1_EFT (Annual)" xfId="14730"/>
    <cellStyle name="Calculation 21 2 2 2 3" xfId="11914"/>
    <cellStyle name="Calculation 21 2 2 2 3 2" xfId="23998"/>
    <cellStyle name="Calculation 21 2 2 2 4" xfId="18885"/>
    <cellStyle name="Calculation 21 2 2 2_Table 2A-1_EFT (Annual)" xfId="6497"/>
    <cellStyle name="Calculation 21 2 2 3" xfId="5108"/>
    <cellStyle name="Calculation 21 2 2 3 2" xfId="13368"/>
    <cellStyle name="Calculation 21 2 2 3 2 2" xfId="25374"/>
    <cellStyle name="Calculation 21 2 2 3 3" xfId="20261"/>
    <cellStyle name="Calculation 21 2 2 3_Table 2A-1_EFT (Annual)" xfId="14729"/>
    <cellStyle name="Calculation 21 2 2 4" xfId="10712"/>
    <cellStyle name="Calculation 21 2 2 4 2" xfId="22828"/>
    <cellStyle name="Calculation 21 2 2 5" xfId="17715"/>
    <cellStyle name="Calculation 21 2 2_Table 2A-1_EFT (Annual)" xfId="6496"/>
    <cellStyle name="Calculation 21 2 3" xfId="1072"/>
    <cellStyle name="Calculation 21 2 3 2" xfId="4633"/>
    <cellStyle name="Calculation 21 2 3 2 2" xfId="12893"/>
    <cellStyle name="Calculation 21 2 3 2 2 2" xfId="24899"/>
    <cellStyle name="Calculation 21 2 3 2 3" xfId="19786"/>
    <cellStyle name="Calculation 21 2 3 2_Table 2A-1_EFT (Annual)" xfId="14728"/>
    <cellStyle name="Calculation 21 2 3 3" xfId="10237"/>
    <cellStyle name="Calculation 21 2 3 3 2" xfId="22353"/>
    <cellStyle name="Calculation 21 2 3 4" xfId="17240"/>
    <cellStyle name="Calculation 21 2 3_Table 2A-1_EFT (Annual)" xfId="6498"/>
    <cellStyle name="Calculation 21 2 4" xfId="2286"/>
    <cellStyle name="Calculation 21 2 4 2" xfId="5847"/>
    <cellStyle name="Calculation 21 2 4 2 2" xfId="14062"/>
    <cellStyle name="Calculation 21 2 4 2 2 2" xfId="26050"/>
    <cellStyle name="Calculation 21 2 4 2 3" xfId="20937"/>
    <cellStyle name="Calculation 21 2 4 2_Table 2A-1_EFT (Annual)" xfId="14727"/>
    <cellStyle name="Calculation 21 2 4 3" xfId="11406"/>
    <cellStyle name="Calculation 21 2 4 3 2" xfId="23504"/>
    <cellStyle name="Calculation 21 2 4 4" xfId="18391"/>
    <cellStyle name="Calculation 21 2 4_Table 2A-1_EFT (Annual)" xfId="6499"/>
    <cellStyle name="Calculation 21 2 5" xfId="4140"/>
    <cellStyle name="Calculation 21 2 5 2" xfId="12464"/>
    <cellStyle name="Calculation 21 2 5 2 2" xfId="24486"/>
    <cellStyle name="Calculation 21 2 5 3" xfId="19373"/>
    <cellStyle name="Calculation 21 2 5_Table 2A-1_EFT (Annual)" xfId="14726"/>
    <cellStyle name="Calculation 21 2 6" xfId="9803"/>
    <cellStyle name="Calculation 21 2 6 2" xfId="21940"/>
    <cellStyle name="Calculation 21 2 7" xfId="16827"/>
    <cellStyle name="Calculation 21 2_Table 2A-1_EFT (Annual)" xfId="2929"/>
    <cellStyle name="Calculation 21 3" xfId="408"/>
    <cellStyle name="Calculation 21 3 2" xfId="1391"/>
    <cellStyle name="Calculation 21 3 2 2" xfId="2661"/>
    <cellStyle name="Calculation 21 3 2 2 2" xfId="6222"/>
    <cellStyle name="Calculation 21 3 2 2 2 2" xfId="14416"/>
    <cellStyle name="Calculation 21 3 2 2 2 2 2" xfId="26388"/>
    <cellStyle name="Calculation 21 3 2 2 2 3" xfId="21275"/>
    <cellStyle name="Calculation 21 3 2 2 2_Table 2A-1_EFT (Annual)" xfId="14725"/>
    <cellStyle name="Calculation 21 3 2 2 3" xfId="11758"/>
    <cellStyle name="Calculation 21 3 2 2 3 2" xfId="23842"/>
    <cellStyle name="Calculation 21 3 2 2 4" xfId="18729"/>
    <cellStyle name="Calculation 21 3 2 2_Table 2A-1_EFT (Annual)" xfId="6501"/>
    <cellStyle name="Calculation 21 3 2 3" xfId="4952"/>
    <cellStyle name="Calculation 21 3 2 3 2" xfId="13212"/>
    <cellStyle name="Calculation 21 3 2 3 2 2" xfId="25218"/>
    <cellStyle name="Calculation 21 3 2 3 3" xfId="20105"/>
    <cellStyle name="Calculation 21 3 2 3_Table 2A-1_EFT (Annual)" xfId="14724"/>
    <cellStyle name="Calculation 21 3 2 4" xfId="10556"/>
    <cellStyle name="Calculation 21 3 2 4 2" xfId="22672"/>
    <cellStyle name="Calculation 21 3 2 5" xfId="17559"/>
    <cellStyle name="Calculation 21 3 2_Table 2A-1_EFT (Annual)" xfId="6500"/>
    <cellStyle name="Calculation 21 3 3" xfId="940"/>
    <cellStyle name="Calculation 21 3 3 2" xfId="4501"/>
    <cellStyle name="Calculation 21 3 3 2 2" xfId="12763"/>
    <cellStyle name="Calculation 21 3 3 2 2 2" xfId="24773"/>
    <cellStyle name="Calculation 21 3 3 2 3" xfId="19660"/>
    <cellStyle name="Calculation 21 3 3 2_Table 2A-1_EFT (Annual)" xfId="14723"/>
    <cellStyle name="Calculation 21 3 3 3" xfId="10110"/>
    <cellStyle name="Calculation 21 3 3 3 2" xfId="22227"/>
    <cellStyle name="Calculation 21 3 3 4" xfId="17114"/>
    <cellStyle name="Calculation 21 3 3_Table 2A-1_EFT (Annual)" xfId="6502"/>
    <cellStyle name="Calculation 21 3 4" xfId="2130"/>
    <cellStyle name="Calculation 21 3 4 2" xfId="5691"/>
    <cellStyle name="Calculation 21 3 4 2 2" xfId="13906"/>
    <cellStyle name="Calculation 21 3 4 2 2 2" xfId="25894"/>
    <cellStyle name="Calculation 21 3 4 2 3" xfId="20781"/>
    <cellStyle name="Calculation 21 3 4 2_Table 2A-1_EFT (Annual)" xfId="14722"/>
    <cellStyle name="Calculation 21 3 4 3" xfId="11250"/>
    <cellStyle name="Calculation 21 3 4 3 2" xfId="23348"/>
    <cellStyle name="Calculation 21 3 4 4" xfId="18235"/>
    <cellStyle name="Calculation 21 3 4_Table 2A-1_EFT (Annual)" xfId="6503"/>
    <cellStyle name="Calculation 21 3 5" xfId="3978"/>
    <cellStyle name="Calculation 21 3 5 2" xfId="12306"/>
    <cellStyle name="Calculation 21 3 5 2 2" xfId="24330"/>
    <cellStyle name="Calculation 21 3 5 3" xfId="19217"/>
    <cellStyle name="Calculation 21 3 5_Table 2A-1_EFT (Annual)" xfId="14721"/>
    <cellStyle name="Calculation 21 3 6" xfId="9643"/>
    <cellStyle name="Calculation 21 3 6 2" xfId="21784"/>
    <cellStyle name="Calculation 21 3 7" xfId="16671"/>
    <cellStyle name="Calculation 21 3_Table 2A-1_EFT (Annual)" xfId="2930"/>
    <cellStyle name="Calculation 21 4" xfId="1225"/>
    <cellStyle name="Calculation 21 4 2" xfId="2495"/>
    <cellStyle name="Calculation 21 4 2 2" xfId="6056"/>
    <cellStyle name="Calculation 21 4 2 2 2" xfId="14250"/>
    <cellStyle name="Calculation 21 4 2 2 2 2" xfId="26222"/>
    <cellStyle name="Calculation 21 4 2 2 3" xfId="21109"/>
    <cellStyle name="Calculation 21 4 2 2_Table 2A-1_EFT (Annual)" xfId="14720"/>
    <cellStyle name="Calculation 21 4 2 3" xfId="11592"/>
    <cellStyle name="Calculation 21 4 2 3 2" xfId="23676"/>
    <cellStyle name="Calculation 21 4 2 4" xfId="18563"/>
    <cellStyle name="Calculation 21 4 2_Table 2A-1_EFT (Annual)" xfId="6505"/>
    <cellStyle name="Calculation 21 4 3" xfId="4786"/>
    <cellStyle name="Calculation 21 4 3 2" xfId="13046"/>
    <cellStyle name="Calculation 21 4 3 2 2" xfId="25052"/>
    <cellStyle name="Calculation 21 4 3 3" xfId="19939"/>
    <cellStyle name="Calculation 21 4 3_Table 2A-1_EFT (Annual)" xfId="14719"/>
    <cellStyle name="Calculation 21 4 4" xfId="10390"/>
    <cellStyle name="Calculation 21 4 4 2" xfId="22506"/>
    <cellStyle name="Calculation 21 4 5" xfId="17393"/>
    <cellStyle name="Calculation 21 4_Table 2A-1_EFT (Annual)" xfId="6504"/>
    <cellStyle name="Calculation 21 5" xfId="781"/>
    <cellStyle name="Calculation 21 5 2" xfId="4342"/>
    <cellStyle name="Calculation 21 5 2 2" xfId="12622"/>
    <cellStyle name="Calculation 21 5 2 2 2" xfId="24639"/>
    <cellStyle name="Calculation 21 5 2 3" xfId="19526"/>
    <cellStyle name="Calculation 21 5 2_Table 2A-1_EFT (Annual)" xfId="14718"/>
    <cellStyle name="Calculation 21 5 3" xfId="9970"/>
    <cellStyle name="Calculation 21 5 3 2" xfId="22093"/>
    <cellStyle name="Calculation 21 5 4" xfId="16980"/>
    <cellStyle name="Calculation 21 5_Table 2A-1_EFT (Annual)" xfId="6506"/>
    <cellStyle name="Calculation 21 6" xfId="1964"/>
    <cellStyle name="Calculation 21 6 2" xfId="5525"/>
    <cellStyle name="Calculation 21 6 2 2" xfId="13740"/>
    <cellStyle name="Calculation 21 6 2 2 2" xfId="25728"/>
    <cellStyle name="Calculation 21 6 2 3" xfId="20615"/>
    <cellStyle name="Calculation 21 6 2_Table 2A-1_EFT (Annual)" xfId="14717"/>
    <cellStyle name="Calculation 21 6 3" xfId="11084"/>
    <cellStyle name="Calculation 21 6 3 2" xfId="23182"/>
    <cellStyle name="Calculation 21 6 4" xfId="18069"/>
    <cellStyle name="Calculation 21 6_Table 2A-1_EFT (Annual)" xfId="6507"/>
    <cellStyle name="Calculation 21 7" xfId="3766"/>
    <cellStyle name="Calculation 21 7 2" xfId="12134"/>
    <cellStyle name="Calculation 21 7 2 2" xfId="24164"/>
    <cellStyle name="Calculation 21 7 3" xfId="19051"/>
    <cellStyle name="Calculation 21 7_Table 2A-1_EFT (Annual)" xfId="14716"/>
    <cellStyle name="Calculation 21 8" xfId="9453"/>
    <cellStyle name="Calculation 21 8 2" xfId="21618"/>
    <cellStyle name="Calculation 21 9" xfId="16505"/>
    <cellStyle name="Calculation 21_Table 2A-1_EFT (Annual)" xfId="2928"/>
    <cellStyle name="Calculation 22" xfId="211"/>
    <cellStyle name="Calculation 22 2" xfId="604"/>
    <cellStyle name="Calculation 22 2 2" xfId="1581"/>
    <cellStyle name="Calculation 22 2 2 2" xfId="2851"/>
    <cellStyle name="Calculation 22 2 2 2 2" xfId="6412"/>
    <cellStyle name="Calculation 22 2 2 2 2 2" xfId="14606"/>
    <cellStyle name="Calculation 22 2 2 2 2 2 2" xfId="26578"/>
    <cellStyle name="Calculation 22 2 2 2 2 3" xfId="21465"/>
    <cellStyle name="Calculation 22 2 2 2 2_Table 2A-1_EFT (Annual)" xfId="14715"/>
    <cellStyle name="Calculation 22 2 2 2 3" xfId="11948"/>
    <cellStyle name="Calculation 22 2 2 2 3 2" xfId="24032"/>
    <cellStyle name="Calculation 22 2 2 2 4" xfId="18919"/>
    <cellStyle name="Calculation 22 2 2 2_Table 2A-1_EFT (Annual)" xfId="6509"/>
    <cellStyle name="Calculation 22 2 2 3" xfId="5142"/>
    <cellStyle name="Calculation 22 2 2 3 2" xfId="13402"/>
    <cellStyle name="Calculation 22 2 2 3 2 2" xfId="25408"/>
    <cellStyle name="Calculation 22 2 2 3 3" xfId="20295"/>
    <cellStyle name="Calculation 22 2 2 3_Table 2A-1_EFT (Annual)" xfId="14714"/>
    <cellStyle name="Calculation 22 2 2 4" xfId="10746"/>
    <cellStyle name="Calculation 22 2 2 4 2" xfId="22862"/>
    <cellStyle name="Calculation 22 2 2 5" xfId="17749"/>
    <cellStyle name="Calculation 22 2 2_Table 2A-1_EFT (Annual)" xfId="6508"/>
    <cellStyle name="Calculation 22 2 3" xfId="1099"/>
    <cellStyle name="Calculation 22 2 3 2" xfId="4660"/>
    <cellStyle name="Calculation 22 2 3 2 2" xfId="12920"/>
    <cellStyle name="Calculation 22 2 3 2 2 2" xfId="24926"/>
    <cellStyle name="Calculation 22 2 3 2 3" xfId="19813"/>
    <cellStyle name="Calculation 22 2 3 2_Table 2A-1_EFT (Annual)" xfId="14713"/>
    <cellStyle name="Calculation 22 2 3 3" xfId="10264"/>
    <cellStyle name="Calculation 22 2 3 3 2" xfId="22380"/>
    <cellStyle name="Calculation 22 2 3 4" xfId="17267"/>
    <cellStyle name="Calculation 22 2 3_Table 2A-1_EFT (Annual)" xfId="6510"/>
    <cellStyle name="Calculation 22 2 4" xfId="2320"/>
    <cellStyle name="Calculation 22 2 4 2" xfId="5881"/>
    <cellStyle name="Calculation 22 2 4 2 2" xfId="14096"/>
    <cellStyle name="Calculation 22 2 4 2 2 2" xfId="26084"/>
    <cellStyle name="Calculation 22 2 4 2 3" xfId="20971"/>
    <cellStyle name="Calculation 22 2 4 2_Table 2A-1_EFT (Annual)" xfId="14712"/>
    <cellStyle name="Calculation 22 2 4 3" xfId="11440"/>
    <cellStyle name="Calculation 22 2 4 3 2" xfId="23538"/>
    <cellStyle name="Calculation 22 2 4 4" xfId="18425"/>
    <cellStyle name="Calculation 22 2 4_Table 2A-1_EFT (Annual)" xfId="6511"/>
    <cellStyle name="Calculation 22 2 5" xfId="4174"/>
    <cellStyle name="Calculation 22 2 5 2" xfId="12498"/>
    <cellStyle name="Calculation 22 2 5 2 2" xfId="24520"/>
    <cellStyle name="Calculation 22 2 5 3" xfId="19407"/>
    <cellStyle name="Calculation 22 2 5_Table 2A-1_EFT (Annual)" xfId="14711"/>
    <cellStyle name="Calculation 22 2 6" xfId="9837"/>
    <cellStyle name="Calculation 22 2 6 2" xfId="21974"/>
    <cellStyle name="Calculation 22 2 7" xfId="16861"/>
    <cellStyle name="Calculation 22 2_Table 2A-1_EFT (Annual)" xfId="2932"/>
    <cellStyle name="Calculation 22 3" xfId="439"/>
    <cellStyle name="Calculation 22 3 2" xfId="1422"/>
    <cellStyle name="Calculation 22 3 2 2" xfId="2692"/>
    <cellStyle name="Calculation 22 3 2 2 2" xfId="6253"/>
    <cellStyle name="Calculation 22 3 2 2 2 2" xfId="14447"/>
    <cellStyle name="Calculation 22 3 2 2 2 2 2" xfId="26419"/>
    <cellStyle name="Calculation 22 3 2 2 2 3" xfId="21306"/>
    <cellStyle name="Calculation 22 3 2 2 2_Table 2A-1_EFT (Annual)" xfId="14710"/>
    <cellStyle name="Calculation 22 3 2 2 3" xfId="11789"/>
    <cellStyle name="Calculation 22 3 2 2 3 2" xfId="23873"/>
    <cellStyle name="Calculation 22 3 2 2 4" xfId="18760"/>
    <cellStyle name="Calculation 22 3 2 2_Table 2A-1_EFT (Annual)" xfId="6513"/>
    <cellStyle name="Calculation 22 3 2 3" xfId="4983"/>
    <cellStyle name="Calculation 22 3 2 3 2" xfId="13243"/>
    <cellStyle name="Calculation 22 3 2 3 2 2" xfId="25249"/>
    <cellStyle name="Calculation 22 3 2 3 3" xfId="20136"/>
    <cellStyle name="Calculation 22 3 2 3_Table 2A-1_EFT (Annual)" xfId="14709"/>
    <cellStyle name="Calculation 22 3 2 4" xfId="10587"/>
    <cellStyle name="Calculation 22 3 2 4 2" xfId="22703"/>
    <cellStyle name="Calculation 22 3 2 5" xfId="17590"/>
    <cellStyle name="Calculation 22 3 2_Table 2A-1_EFT (Annual)" xfId="6512"/>
    <cellStyle name="Calculation 22 3 3" xfId="964"/>
    <cellStyle name="Calculation 22 3 3 2" xfId="4525"/>
    <cellStyle name="Calculation 22 3 3 2 2" xfId="12787"/>
    <cellStyle name="Calculation 22 3 3 2 2 2" xfId="24797"/>
    <cellStyle name="Calculation 22 3 3 2 3" xfId="19684"/>
    <cellStyle name="Calculation 22 3 3 2_Table 2A-1_EFT (Annual)" xfId="14708"/>
    <cellStyle name="Calculation 22 3 3 3" xfId="10134"/>
    <cellStyle name="Calculation 22 3 3 3 2" xfId="22251"/>
    <cellStyle name="Calculation 22 3 3 4" xfId="17138"/>
    <cellStyle name="Calculation 22 3 3_Table 2A-1_EFT (Annual)" xfId="6514"/>
    <cellStyle name="Calculation 22 3 4" xfId="2161"/>
    <cellStyle name="Calculation 22 3 4 2" xfId="5722"/>
    <cellStyle name="Calculation 22 3 4 2 2" xfId="13937"/>
    <cellStyle name="Calculation 22 3 4 2 2 2" xfId="25925"/>
    <cellStyle name="Calculation 22 3 4 2 3" xfId="20812"/>
    <cellStyle name="Calculation 22 3 4 2_Table 2A-1_EFT (Annual)" xfId="14707"/>
    <cellStyle name="Calculation 22 3 4 3" xfId="11281"/>
    <cellStyle name="Calculation 22 3 4 3 2" xfId="23379"/>
    <cellStyle name="Calculation 22 3 4 4" xfId="18266"/>
    <cellStyle name="Calculation 22 3 4_Table 2A-1_EFT (Annual)" xfId="6515"/>
    <cellStyle name="Calculation 22 3 5" xfId="4009"/>
    <cellStyle name="Calculation 22 3 5 2" xfId="12337"/>
    <cellStyle name="Calculation 22 3 5 2 2" xfId="24361"/>
    <cellStyle name="Calculation 22 3 5 3" xfId="19248"/>
    <cellStyle name="Calculation 22 3 5_Table 2A-1_EFT (Annual)" xfId="14706"/>
    <cellStyle name="Calculation 22 3 6" xfId="9674"/>
    <cellStyle name="Calculation 22 3 6 2" xfId="21815"/>
    <cellStyle name="Calculation 22 3 7" xfId="16702"/>
    <cellStyle name="Calculation 22 3_Table 2A-1_EFT (Annual)" xfId="2933"/>
    <cellStyle name="Calculation 22 4" xfId="1259"/>
    <cellStyle name="Calculation 22 4 2" xfId="2529"/>
    <cellStyle name="Calculation 22 4 2 2" xfId="6090"/>
    <cellStyle name="Calculation 22 4 2 2 2" xfId="14284"/>
    <cellStyle name="Calculation 22 4 2 2 2 2" xfId="26256"/>
    <cellStyle name="Calculation 22 4 2 2 3" xfId="21143"/>
    <cellStyle name="Calculation 22 4 2 2_Table 2A-1_EFT (Annual)" xfId="14705"/>
    <cellStyle name="Calculation 22 4 2 3" xfId="11626"/>
    <cellStyle name="Calculation 22 4 2 3 2" xfId="23710"/>
    <cellStyle name="Calculation 22 4 2 4" xfId="18597"/>
    <cellStyle name="Calculation 22 4 2_Table 2A-1_EFT (Annual)" xfId="6517"/>
    <cellStyle name="Calculation 22 4 3" xfId="4820"/>
    <cellStyle name="Calculation 22 4 3 2" xfId="13080"/>
    <cellStyle name="Calculation 22 4 3 2 2" xfId="25086"/>
    <cellStyle name="Calculation 22 4 3 3" xfId="19973"/>
    <cellStyle name="Calculation 22 4 3_Table 2A-1_EFT (Annual)" xfId="14704"/>
    <cellStyle name="Calculation 22 4 4" xfId="10424"/>
    <cellStyle name="Calculation 22 4 4 2" xfId="22540"/>
    <cellStyle name="Calculation 22 4 5" xfId="17427"/>
    <cellStyle name="Calculation 22 4_Table 2A-1_EFT (Annual)" xfId="6516"/>
    <cellStyle name="Calculation 22 5" xfId="808"/>
    <cellStyle name="Calculation 22 5 2" xfId="4369"/>
    <cellStyle name="Calculation 22 5 2 2" xfId="12649"/>
    <cellStyle name="Calculation 22 5 2 2 2" xfId="24666"/>
    <cellStyle name="Calculation 22 5 2 3" xfId="19553"/>
    <cellStyle name="Calculation 22 5 2_Table 2A-1_EFT (Annual)" xfId="14703"/>
    <cellStyle name="Calculation 22 5 3" xfId="9997"/>
    <cellStyle name="Calculation 22 5 3 2" xfId="22120"/>
    <cellStyle name="Calculation 22 5 4" xfId="17007"/>
    <cellStyle name="Calculation 22 5_Table 2A-1_EFT (Annual)" xfId="6518"/>
    <cellStyle name="Calculation 22 6" xfId="1998"/>
    <cellStyle name="Calculation 22 6 2" xfId="5559"/>
    <cellStyle name="Calculation 22 6 2 2" xfId="13774"/>
    <cellStyle name="Calculation 22 6 2 2 2" xfId="25762"/>
    <cellStyle name="Calculation 22 6 2 3" xfId="20649"/>
    <cellStyle name="Calculation 22 6 2_Table 2A-1_EFT (Annual)" xfId="14702"/>
    <cellStyle name="Calculation 22 6 3" xfId="11118"/>
    <cellStyle name="Calculation 22 6 3 2" xfId="23216"/>
    <cellStyle name="Calculation 22 6 4" xfId="18103"/>
    <cellStyle name="Calculation 22 6_Table 2A-1_EFT (Annual)" xfId="6519"/>
    <cellStyle name="Calculation 22 7" xfId="3800"/>
    <cellStyle name="Calculation 22 7 2" xfId="12168"/>
    <cellStyle name="Calculation 22 7 2 2" xfId="24198"/>
    <cellStyle name="Calculation 22 7 3" xfId="19085"/>
    <cellStyle name="Calculation 22 7_Table 2A-1_EFT (Annual)" xfId="14701"/>
    <cellStyle name="Calculation 22 8" xfId="9487"/>
    <cellStyle name="Calculation 22 8 2" xfId="21652"/>
    <cellStyle name="Calculation 22 9" xfId="16539"/>
    <cellStyle name="Calculation 22_Table 2A-1_EFT (Annual)" xfId="2931"/>
    <cellStyle name="Calculation 23" xfId="217"/>
    <cellStyle name="Calculation 23 2" xfId="610"/>
    <cellStyle name="Calculation 23 2 2" xfId="1587"/>
    <cellStyle name="Calculation 23 2 2 2" xfId="2857"/>
    <cellStyle name="Calculation 23 2 2 2 2" xfId="6418"/>
    <cellStyle name="Calculation 23 2 2 2 2 2" xfId="14612"/>
    <cellStyle name="Calculation 23 2 2 2 2 2 2" xfId="26584"/>
    <cellStyle name="Calculation 23 2 2 2 2 3" xfId="21471"/>
    <cellStyle name="Calculation 23 2 2 2 2_Table 2A-1_EFT (Annual)" xfId="14700"/>
    <cellStyle name="Calculation 23 2 2 2 3" xfId="11954"/>
    <cellStyle name="Calculation 23 2 2 2 3 2" xfId="24038"/>
    <cellStyle name="Calculation 23 2 2 2 4" xfId="18925"/>
    <cellStyle name="Calculation 23 2 2 2_Table 2A-1_EFT (Annual)" xfId="6521"/>
    <cellStyle name="Calculation 23 2 2 3" xfId="5148"/>
    <cellStyle name="Calculation 23 2 2 3 2" xfId="13408"/>
    <cellStyle name="Calculation 23 2 2 3 2 2" xfId="25414"/>
    <cellStyle name="Calculation 23 2 2 3 3" xfId="20301"/>
    <cellStyle name="Calculation 23 2 2 3_Table 2A-1_EFT (Annual)" xfId="14699"/>
    <cellStyle name="Calculation 23 2 2 4" xfId="10752"/>
    <cellStyle name="Calculation 23 2 2 4 2" xfId="22868"/>
    <cellStyle name="Calculation 23 2 2 5" xfId="17755"/>
    <cellStyle name="Calculation 23 2 2_Table 2A-1_EFT (Annual)" xfId="6520"/>
    <cellStyle name="Calculation 23 2 3" xfId="1105"/>
    <cellStyle name="Calculation 23 2 3 2" xfId="4666"/>
    <cellStyle name="Calculation 23 2 3 2 2" xfId="12926"/>
    <cellStyle name="Calculation 23 2 3 2 2 2" xfId="24932"/>
    <cellStyle name="Calculation 23 2 3 2 3" xfId="19819"/>
    <cellStyle name="Calculation 23 2 3 2_Table 2A-1_EFT (Annual)" xfId="14698"/>
    <cellStyle name="Calculation 23 2 3 3" xfId="10270"/>
    <cellStyle name="Calculation 23 2 3 3 2" xfId="22386"/>
    <cellStyle name="Calculation 23 2 3 4" xfId="17273"/>
    <cellStyle name="Calculation 23 2 3_Table 2A-1_EFT (Annual)" xfId="6522"/>
    <cellStyle name="Calculation 23 2 4" xfId="2326"/>
    <cellStyle name="Calculation 23 2 4 2" xfId="5887"/>
    <cellStyle name="Calculation 23 2 4 2 2" xfId="14102"/>
    <cellStyle name="Calculation 23 2 4 2 2 2" xfId="26090"/>
    <cellStyle name="Calculation 23 2 4 2 3" xfId="20977"/>
    <cellStyle name="Calculation 23 2 4 2_Table 2A-1_EFT (Annual)" xfId="14697"/>
    <cellStyle name="Calculation 23 2 4 3" xfId="11446"/>
    <cellStyle name="Calculation 23 2 4 3 2" xfId="23544"/>
    <cellStyle name="Calculation 23 2 4 4" xfId="18431"/>
    <cellStyle name="Calculation 23 2 4_Table 2A-1_EFT (Annual)" xfId="6523"/>
    <cellStyle name="Calculation 23 2 5" xfId="4180"/>
    <cellStyle name="Calculation 23 2 5 2" xfId="12504"/>
    <cellStyle name="Calculation 23 2 5 2 2" xfId="24526"/>
    <cellStyle name="Calculation 23 2 5 3" xfId="19413"/>
    <cellStyle name="Calculation 23 2 5_Table 2A-1_EFT (Annual)" xfId="14696"/>
    <cellStyle name="Calculation 23 2 6" xfId="9843"/>
    <cellStyle name="Calculation 23 2 6 2" xfId="21980"/>
    <cellStyle name="Calculation 23 2 7" xfId="16867"/>
    <cellStyle name="Calculation 23 2_Table 2A-1_EFT (Annual)" xfId="2935"/>
    <cellStyle name="Calculation 23 3" xfId="445"/>
    <cellStyle name="Calculation 23 3 2" xfId="1428"/>
    <cellStyle name="Calculation 23 3 2 2" xfId="2698"/>
    <cellStyle name="Calculation 23 3 2 2 2" xfId="6259"/>
    <cellStyle name="Calculation 23 3 2 2 2 2" xfId="14453"/>
    <cellStyle name="Calculation 23 3 2 2 2 2 2" xfId="26425"/>
    <cellStyle name="Calculation 23 3 2 2 2 3" xfId="21312"/>
    <cellStyle name="Calculation 23 3 2 2 2_Table 2A-1_EFT (Annual)" xfId="14695"/>
    <cellStyle name="Calculation 23 3 2 2 3" xfId="11795"/>
    <cellStyle name="Calculation 23 3 2 2 3 2" xfId="23879"/>
    <cellStyle name="Calculation 23 3 2 2 4" xfId="18766"/>
    <cellStyle name="Calculation 23 3 2 2_Table 2A-1_EFT (Annual)" xfId="6525"/>
    <cellStyle name="Calculation 23 3 2 3" xfId="4989"/>
    <cellStyle name="Calculation 23 3 2 3 2" xfId="13249"/>
    <cellStyle name="Calculation 23 3 2 3 2 2" xfId="25255"/>
    <cellStyle name="Calculation 23 3 2 3 3" xfId="20142"/>
    <cellStyle name="Calculation 23 3 2 3_Table 2A-1_EFT (Annual)" xfId="14694"/>
    <cellStyle name="Calculation 23 3 2 4" xfId="10593"/>
    <cellStyle name="Calculation 23 3 2 4 2" xfId="22709"/>
    <cellStyle name="Calculation 23 3 2 5" xfId="17596"/>
    <cellStyle name="Calculation 23 3 2_Table 2A-1_EFT (Annual)" xfId="6524"/>
    <cellStyle name="Calculation 23 3 3" xfId="970"/>
    <cellStyle name="Calculation 23 3 3 2" xfId="4531"/>
    <cellStyle name="Calculation 23 3 3 2 2" xfId="12793"/>
    <cellStyle name="Calculation 23 3 3 2 2 2" xfId="24803"/>
    <cellStyle name="Calculation 23 3 3 2 3" xfId="19690"/>
    <cellStyle name="Calculation 23 3 3 2_Table 2A-1_EFT (Annual)" xfId="14693"/>
    <cellStyle name="Calculation 23 3 3 3" xfId="10140"/>
    <cellStyle name="Calculation 23 3 3 3 2" xfId="22257"/>
    <cellStyle name="Calculation 23 3 3 4" xfId="17144"/>
    <cellStyle name="Calculation 23 3 3_Table 2A-1_EFT (Annual)" xfId="6526"/>
    <cellStyle name="Calculation 23 3 4" xfId="2167"/>
    <cellStyle name="Calculation 23 3 4 2" xfId="5728"/>
    <cellStyle name="Calculation 23 3 4 2 2" xfId="13943"/>
    <cellStyle name="Calculation 23 3 4 2 2 2" xfId="25931"/>
    <cellStyle name="Calculation 23 3 4 2 3" xfId="20818"/>
    <cellStyle name="Calculation 23 3 4 2_Table 2A-1_EFT (Annual)" xfId="14692"/>
    <cellStyle name="Calculation 23 3 4 3" xfId="11287"/>
    <cellStyle name="Calculation 23 3 4 3 2" xfId="23385"/>
    <cellStyle name="Calculation 23 3 4 4" xfId="18272"/>
    <cellStyle name="Calculation 23 3 4_Table 2A-1_EFT (Annual)" xfId="6527"/>
    <cellStyle name="Calculation 23 3 5" xfId="4015"/>
    <cellStyle name="Calculation 23 3 5 2" xfId="12343"/>
    <cellStyle name="Calculation 23 3 5 2 2" xfId="24367"/>
    <cellStyle name="Calculation 23 3 5 3" xfId="19254"/>
    <cellStyle name="Calculation 23 3 5_Table 2A-1_EFT (Annual)" xfId="14691"/>
    <cellStyle name="Calculation 23 3 6" xfId="9680"/>
    <cellStyle name="Calculation 23 3 6 2" xfId="21821"/>
    <cellStyle name="Calculation 23 3 7" xfId="16708"/>
    <cellStyle name="Calculation 23 3_Table 2A-1_EFT (Annual)" xfId="2936"/>
    <cellStyle name="Calculation 23 4" xfId="1265"/>
    <cellStyle name="Calculation 23 4 2" xfId="2535"/>
    <cellStyle name="Calculation 23 4 2 2" xfId="6096"/>
    <cellStyle name="Calculation 23 4 2 2 2" xfId="14290"/>
    <cellStyle name="Calculation 23 4 2 2 2 2" xfId="26262"/>
    <cellStyle name="Calculation 23 4 2 2 3" xfId="21149"/>
    <cellStyle name="Calculation 23 4 2 2_Table 2A-1_EFT (Annual)" xfId="14690"/>
    <cellStyle name="Calculation 23 4 2 3" xfId="11632"/>
    <cellStyle name="Calculation 23 4 2 3 2" xfId="23716"/>
    <cellStyle name="Calculation 23 4 2 4" xfId="18603"/>
    <cellStyle name="Calculation 23 4 2_Table 2A-1_EFT (Annual)" xfId="6529"/>
    <cellStyle name="Calculation 23 4 3" xfId="4826"/>
    <cellStyle name="Calculation 23 4 3 2" xfId="13086"/>
    <cellStyle name="Calculation 23 4 3 2 2" xfId="25092"/>
    <cellStyle name="Calculation 23 4 3 3" xfId="19979"/>
    <cellStyle name="Calculation 23 4 3_Table 2A-1_EFT (Annual)" xfId="14689"/>
    <cellStyle name="Calculation 23 4 4" xfId="10430"/>
    <cellStyle name="Calculation 23 4 4 2" xfId="22546"/>
    <cellStyle name="Calculation 23 4 5" xfId="17433"/>
    <cellStyle name="Calculation 23 4_Table 2A-1_EFT (Annual)" xfId="6528"/>
    <cellStyle name="Calculation 23 5" xfId="814"/>
    <cellStyle name="Calculation 23 5 2" xfId="4375"/>
    <cellStyle name="Calculation 23 5 2 2" xfId="12655"/>
    <cellStyle name="Calculation 23 5 2 2 2" xfId="24672"/>
    <cellStyle name="Calculation 23 5 2 3" xfId="19559"/>
    <cellStyle name="Calculation 23 5 2_Table 2A-1_EFT (Annual)" xfId="14688"/>
    <cellStyle name="Calculation 23 5 3" xfId="10003"/>
    <cellStyle name="Calculation 23 5 3 2" xfId="22126"/>
    <cellStyle name="Calculation 23 5 4" xfId="17013"/>
    <cellStyle name="Calculation 23 5_Table 2A-1_EFT (Annual)" xfId="6530"/>
    <cellStyle name="Calculation 23 6" xfId="2004"/>
    <cellStyle name="Calculation 23 6 2" xfId="5565"/>
    <cellStyle name="Calculation 23 6 2 2" xfId="13780"/>
    <cellStyle name="Calculation 23 6 2 2 2" xfId="25768"/>
    <cellStyle name="Calculation 23 6 2 3" xfId="20655"/>
    <cellStyle name="Calculation 23 6 2_Table 2A-1_EFT (Annual)" xfId="14687"/>
    <cellStyle name="Calculation 23 6 3" xfId="11124"/>
    <cellStyle name="Calculation 23 6 3 2" xfId="23222"/>
    <cellStyle name="Calculation 23 6 4" xfId="18109"/>
    <cellStyle name="Calculation 23 6_Table 2A-1_EFT (Annual)" xfId="6531"/>
    <cellStyle name="Calculation 23 7" xfId="3806"/>
    <cellStyle name="Calculation 23 7 2" xfId="12174"/>
    <cellStyle name="Calculation 23 7 2 2" xfId="24204"/>
    <cellStyle name="Calculation 23 7 3" xfId="19091"/>
    <cellStyle name="Calculation 23 7_Table 2A-1_EFT (Annual)" xfId="14686"/>
    <cellStyle name="Calculation 23 8" xfId="9493"/>
    <cellStyle name="Calculation 23 8 2" xfId="21658"/>
    <cellStyle name="Calculation 23 9" xfId="16545"/>
    <cellStyle name="Calculation 23_Table 2A-1_EFT (Annual)" xfId="2934"/>
    <cellStyle name="Calculation 24" xfId="196"/>
    <cellStyle name="Calculation 24 2" xfId="589"/>
    <cellStyle name="Calculation 24 2 2" xfId="1566"/>
    <cellStyle name="Calculation 24 2 2 2" xfId="2836"/>
    <cellStyle name="Calculation 24 2 2 2 2" xfId="6397"/>
    <cellStyle name="Calculation 24 2 2 2 2 2" xfId="14591"/>
    <cellStyle name="Calculation 24 2 2 2 2 2 2" xfId="26563"/>
    <cellStyle name="Calculation 24 2 2 2 2 3" xfId="21450"/>
    <cellStyle name="Calculation 24 2 2 2 2_Table 2A-1_EFT (Annual)" xfId="14685"/>
    <cellStyle name="Calculation 24 2 2 2 3" xfId="11933"/>
    <cellStyle name="Calculation 24 2 2 2 3 2" xfId="24017"/>
    <cellStyle name="Calculation 24 2 2 2 4" xfId="18904"/>
    <cellStyle name="Calculation 24 2 2 2_Table 2A-1_EFT (Annual)" xfId="6533"/>
    <cellStyle name="Calculation 24 2 2 3" xfId="5127"/>
    <cellStyle name="Calculation 24 2 2 3 2" xfId="13387"/>
    <cellStyle name="Calculation 24 2 2 3 2 2" xfId="25393"/>
    <cellStyle name="Calculation 24 2 2 3 3" xfId="20280"/>
    <cellStyle name="Calculation 24 2 2 3_Table 2A-1_EFT (Annual)" xfId="14684"/>
    <cellStyle name="Calculation 24 2 2 4" xfId="10731"/>
    <cellStyle name="Calculation 24 2 2 4 2" xfId="22847"/>
    <cellStyle name="Calculation 24 2 2 5" xfId="17734"/>
    <cellStyle name="Calculation 24 2 2_Table 2A-1_EFT (Annual)" xfId="6532"/>
    <cellStyle name="Calculation 24 2 3" xfId="1088"/>
    <cellStyle name="Calculation 24 2 3 2" xfId="4649"/>
    <cellStyle name="Calculation 24 2 3 2 2" xfId="12909"/>
    <cellStyle name="Calculation 24 2 3 2 2 2" xfId="24915"/>
    <cellStyle name="Calculation 24 2 3 2 3" xfId="19802"/>
    <cellStyle name="Calculation 24 2 3 2_Table 2A-1_EFT (Annual)" xfId="14683"/>
    <cellStyle name="Calculation 24 2 3 3" xfId="10253"/>
    <cellStyle name="Calculation 24 2 3 3 2" xfId="22369"/>
    <cellStyle name="Calculation 24 2 3 4" xfId="17256"/>
    <cellStyle name="Calculation 24 2 3_Table 2A-1_EFT (Annual)" xfId="6534"/>
    <cellStyle name="Calculation 24 2 4" xfId="2305"/>
    <cellStyle name="Calculation 24 2 4 2" xfId="5866"/>
    <cellStyle name="Calculation 24 2 4 2 2" xfId="14081"/>
    <cellStyle name="Calculation 24 2 4 2 2 2" xfId="26069"/>
    <cellStyle name="Calculation 24 2 4 2 3" xfId="20956"/>
    <cellStyle name="Calculation 24 2 4 2_Table 2A-1_EFT (Annual)" xfId="14682"/>
    <cellStyle name="Calculation 24 2 4 3" xfId="11425"/>
    <cellStyle name="Calculation 24 2 4 3 2" xfId="23523"/>
    <cellStyle name="Calculation 24 2 4 4" xfId="18410"/>
    <cellStyle name="Calculation 24 2 4_Table 2A-1_EFT (Annual)" xfId="6535"/>
    <cellStyle name="Calculation 24 2 5" xfId="4159"/>
    <cellStyle name="Calculation 24 2 5 2" xfId="12483"/>
    <cellStyle name="Calculation 24 2 5 2 2" xfId="24505"/>
    <cellStyle name="Calculation 24 2 5 3" xfId="19392"/>
    <cellStyle name="Calculation 24 2 5_Table 2A-1_EFT (Annual)" xfId="14681"/>
    <cellStyle name="Calculation 24 2 6" xfId="9822"/>
    <cellStyle name="Calculation 24 2 6 2" xfId="21959"/>
    <cellStyle name="Calculation 24 2 7" xfId="16846"/>
    <cellStyle name="Calculation 24 2_Table 2A-1_EFT (Annual)" xfId="2938"/>
    <cellStyle name="Calculation 24 3" xfId="425"/>
    <cellStyle name="Calculation 24 3 2" xfId="1408"/>
    <cellStyle name="Calculation 24 3 2 2" xfId="2678"/>
    <cellStyle name="Calculation 24 3 2 2 2" xfId="6239"/>
    <cellStyle name="Calculation 24 3 2 2 2 2" xfId="14433"/>
    <cellStyle name="Calculation 24 3 2 2 2 2 2" xfId="26405"/>
    <cellStyle name="Calculation 24 3 2 2 2 3" xfId="21292"/>
    <cellStyle name="Calculation 24 3 2 2 2_Table 2A-1_EFT (Annual)" xfId="14680"/>
    <cellStyle name="Calculation 24 3 2 2 3" xfId="11775"/>
    <cellStyle name="Calculation 24 3 2 2 3 2" xfId="23859"/>
    <cellStyle name="Calculation 24 3 2 2 4" xfId="18746"/>
    <cellStyle name="Calculation 24 3 2 2_Table 2A-1_EFT (Annual)" xfId="6537"/>
    <cellStyle name="Calculation 24 3 2 3" xfId="4969"/>
    <cellStyle name="Calculation 24 3 2 3 2" xfId="13229"/>
    <cellStyle name="Calculation 24 3 2 3 2 2" xfId="25235"/>
    <cellStyle name="Calculation 24 3 2 3 3" xfId="20122"/>
    <cellStyle name="Calculation 24 3 2 3_Table 2A-1_EFT (Annual)" xfId="14679"/>
    <cellStyle name="Calculation 24 3 2 4" xfId="10573"/>
    <cellStyle name="Calculation 24 3 2 4 2" xfId="22689"/>
    <cellStyle name="Calculation 24 3 2 5" xfId="17576"/>
    <cellStyle name="Calculation 24 3 2_Table 2A-1_EFT (Annual)" xfId="6536"/>
    <cellStyle name="Calculation 24 3 3" xfId="954"/>
    <cellStyle name="Calculation 24 3 3 2" xfId="4515"/>
    <cellStyle name="Calculation 24 3 3 2 2" xfId="12777"/>
    <cellStyle name="Calculation 24 3 3 2 2 2" xfId="24787"/>
    <cellStyle name="Calculation 24 3 3 2 3" xfId="19674"/>
    <cellStyle name="Calculation 24 3 3 2_Table 2A-1_EFT (Annual)" xfId="14678"/>
    <cellStyle name="Calculation 24 3 3 3" xfId="10124"/>
    <cellStyle name="Calculation 24 3 3 3 2" xfId="22241"/>
    <cellStyle name="Calculation 24 3 3 4" xfId="17128"/>
    <cellStyle name="Calculation 24 3 3_Table 2A-1_EFT (Annual)" xfId="6538"/>
    <cellStyle name="Calculation 24 3 4" xfId="2147"/>
    <cellStyle name="Calculation 24 3 4 2" xfId="5708"/>
    <cellStyle name="Calculation 24 3 4 2 2" xfId="13923"/>
    <cellStyle name="Calculation 24 3 4 2 2 2" xfId="25911"/>
    <cellStyle name="Calculation 24 3 4 2 3" xfId="20798"/>
    <cellStyle name="Calculation 24 3 4 2_Table 2A-1_EFT (Annual)" xfId="14677"/>
    <cellStyle name="Calculation 24 3 4 3" xfId="11267"/>
    <cellStyle name="Calculation 24 3 4 3 2" xfId="23365"/>
    <cellStyle name="Calculation 24 3 4 4" xfId="18252"/>
    <cellStyle name="Calculation 24 3 4_Table 2A-1_EFT (Annual)" xfId="6539"/>
    <cellStyle name="Calculation 24 3 5" xfId="3995"/>
    <cellStyle name="Calculation 24 3 5 2" xfId="12323"/>
    <cellStyle name="Calculation 24 3 5 2 2" xfId="24347"/>
    <cellStyle name="Calculation 24 3 5 3" xfId="19234"/>
    <cellStyle name="Calculation 24 3 5_Table 2A-1_EFT (Annual)" xfId="14676"/>
    <cellStyle name="Calculation 24 3 6" xfId="9660"/>
    <cellStyle name="Calculation 24 3 6 2" xfId="21801"/>
    <cellStyle name="Calculation 24 3 7" xfId="16688"/>
    <cellStyle name="Calculation 24 3_Table 2A-1_EFT (Annual)" xfId="2939"/>
    <cellStyle name="Calculation 24 4" xfId="1244"/>
    <cellStyle name="Calculation 24 4 2" xfId="2514"/>
    <cellStyle name="Calculation 24 4 2 2" xfId="6075"/>
    <cellStyle name="Calculation 24 4 2 2 2" xfId="14269"/>
    <cellStyle name="Calculation 24 4 2 2 2 2" xfId="26241"/>
    <cellStyle name="Calculation 24 4 2 2 3" xfId="21128"/>
    <cellStyle name="Calculation 24 4 2 2_Table 2A-1_EFT (Annual)" xfId="14675"/>
    <cellStyle name="Calculation 24 4 2 3" xfId="11611"/>
    <cellStyle name="Calculation 24 4 2 3 2" xfId="23695"/>
    <cellStyle name="Calculation 24 4 2 4" xfId="18582"/>
    <cellStyle name="Calculation 24 4 2_Table 2A-1_EFT (Annual)" xfId="6541"/>
    <cellStyle name="Calculation 24 4 3" xfId="4805"/>
    <cellStyle name="Calculation 24 4 3 2" xfId="13065"/>
    <cellStyle name="Calculation 24 4 3 2 2" xfId="25071"/>
    <cellStyle name="Calculation 24 4 3 3" xfId="19958"/>
    <cellStyle name="Calculation 24 4 3_Table 2A-1_EFT (Annual)" xfId="14674"/>
    <cellStyle name="Calculation 24 4 4" xfId="10409"/>
    <cellStyle name="Calculation 24 4 4 2" xfId="22525"/>
    <cellStyle name="Calculation 24 4 5" xfId="17412"/>
    <cellStyle name="Calculation 24 4_Table 2A-1_EFT (Annual)" xfId="6540"/>
    <cellStyle name="Calculation 24 5" xfId="797"/>
    <cellStyle name="Calculation 24 5 2" xfId="4358"/>
    <cellStyle name="Calculation 24 5 2 2" xfId="12638"/>
    <cellStyle name="Calculation 24 5 2 2 2" xfId="24655"/>
    <cellStyle name="Calculation 24 5 2 3" xfId="19542"/>
    <cellStyle name="Calculation 24 5 2_Table 2A-1_EFT (Annual)" xfId="14673"/>
    <cellStyle name="Calculation 24 5 3" xfId="9986"/>
    <cellStyle name="Calculation 24 5 3 2" xfId="22109"/>
    <cellStyle name="Calculation 24 5 4" xfId="16996"/>
    <cellStyle name="Calculation 24 5_Table 2A-1_EFT (Annual)" xfId="6542"/>
    <cellStyle name="Calculation 24 6" xfId="1983"/>
    <cellStyle name="Calculation 24 6 2" xfId="5544"/>
    <cellStyle name="Calculation 24 6 2 2" xfId="13759"/>
    <cellStyle name="Calculation 24 6 2 2 2" xfId="25747"/>
    <cellStyle name="Calculation 24 6 2 3" xfId="20634"/>
    <cellStyle name="Calculation 24 6 2_Table 2A-1_EFT (Annual)" xfId="14672"/>
    <cellStyle name="Calculation 24 6 3" xfId="11103"/>
    <cellStyle name="Calculation 24 6 3 2" xfId="23201"/>
    <cellStyle name="Calculation 24 6 4" xfId="18088"/>
    <cellStyle name="Calculation 24 6_Table 2A-1_EFT (Annual)" xfId="6543"/>
    <cellStyle name="Calculation 24 7" xfId="3785"/>
    <cellStyle name="Calculation 24 7 2" xfId="12153"/>
    <cellStyle name="Calculation 24 7 2 2" xfId="24183"/>
    <cellStyle name="Calculation 24 7 3" xfId="19070"/>
    <cellStyle name="Calculation 24 7_Table 2A-1_EFT (Annual)" xfId="14671"/>
    <cellStyle name="Calculation 24 8" xfId="9472"/>
    <cellStyle name="Calculation 24 8 2" xfId="21637"/>
    <cellStyle name="Calculation 24 9" xfId="16524"/>
    <cellStyle name="Calculation 24_Table 2A-1_EFT (Annual)" xfId="2937"/>
    <cellStyle name="Calculation 25" xfId="232"/>
    <cellStyle name="Calculation 25 2" xfId="619"/>
    <cellStyle name="Calculation 25 2 2" xfId="1596"/>
    <cellStyle name="Calculation 25 2 2 2" xfId="2866"/>
    <cellStyle name="Calculation 25 2 2 2 2" xfId="6427"/>
    <cellStyle name="Calculation 25 2 2 2 2 2" xfId="14621"/>
    <cellStyle name="Calculation 25 2 2 2 2 2 2" xfId="26593"/>
    <cellStyle name="Calculation 25 2 2 2 2 3" xfId="21480"/>
    <cellStyle name="Calculation 25 2 2 2 2_Table 2A-1_EFT (Annual)" xfId="14670"/>
    <cellStyle name="Calculation 25 2 2 2 3" xfId="11963"/>
    <cellStyle name="Calculation 25 2 2 2 3 2" xfId="24047"/>
    <cellStyle name="Calculation 25 2 2 2 4" xfId="18934"/>
    <cellStyle name="Calculation 25 2 2 2_Table 2A-1_EFT (Annual)" xfId="6545"/>
    <cellStyle name="Calculation 25 2 2 3" xfId="5157"/>
    <cellStyle name="Calculation 25 2 2 3 2" xfId="13417"/>
    <cellStyle name="Calculation 25 2 2 3 2 2" xfId="25423"/>
    <cellStyle name="Calculation 25 2 2 3 3" xfId="20310"/>
    <cellStyle name="Calculation 25 2 2 3_Table 2A-1_EFT (Annual)" xfId="14669"/>
    <cellStyle name="Calculation 25 2 2 4" xfId="10761"/>
    <cellStyle name="Calculation 25 2 2 4 2" xfId="22877"/>
    <cellStyle name="Calculation 25 2 2 5" xfId="17764"/>
    <cellStyle name="Calculation 25 2 2_Table 2A-1_EFT (Annual)" xfId="6544"/>
    <cellStyle name="Calculation 25 2 3" xfId="1112"/>
    <cellStyle name="Calculation 25 2 3 2" xfId="4673"/>
    <cellStyle name="Calculation 25 2 3 2 2" xfId="12933"/>
    <cellStyle name="Calculation 25 2 3 2 2 2" xfId="24939"/>
    <cellStyle name="Calculation 25 2 3 2 3" xfId="19826"/>
    <cellStyle name="Calculation 25 2 3 2_Table 2A-1_EFT (Annual)" xfId="14668"/>
    <cellStyle name="Calculation 25 2 3 3" xfId="10277"/>
    <cellStyle name="Calculation 25 2 3 3 2" xfId="22393"/>
    <cellStyle name="Calculation 25 2 3 4" xfId="17280"/>
    <cellStyle name="Calculation 25 2 3_Table 2A-1_EFT (Annual)" xfId="6546"/>
    <cellStyle name="Calculation 25 2 4" xfId="2335"/>
    <cellStyle name="Calculation 25 2 4 2" xfId="5896"/>
    <cellStyle name="Calculation 25 2 4 2 2" xfId="14111"/>
    <cellStyle name="Calculation 25 2 4 2 2 2" xfId="26099"/>
    <cellStyle name="Calculation 25 2 4 2 3" xfId="20986"/>
    <cellStyle name="Calculation 25 2 4 2_Table 2A-1_EFT (Annual)" xfId="14667"/>
    <cellStyle name="Calculation 25 2 4 3" xfId="11455"/>
    <cellStyle name="Calculation 25 2 4 3 2" xfId="23553"/>
    <cellStyle name="Calculation 25 2 4 4" xfId="18440"/>
    <cellStyle name="Calculation 25 2 4_Table 2A-1_EFT (Annual)" xfId="6547"/>
    <cellStyle name="Calculation 25 2 5" xfId="4189"/>
    <cellStyle name="Calculation 25 2 5 2" xfId="12513"/>
    <cellStyle name="Calculation 25 2 5 2 2" xfId="24535"/>
    <cellStyle name="Calculation 25 2 5 3" xfId="19422"/>
    <cellStyle name="Calculation 25 2 5_Table 2A-1_EFT (Annual)" xfId="14666"/>
    <cellStyle name="Calculation 25 2 6" xfId="9852"/>
    <cellStyle name="Calculation 25 2 6 2" xfId="21989"/>
    <cellStyle name="Calculation 25 2 7" xfId="16876"/>
    <cellStyle name="Calculation 25 2_Table 2A-1_EFT (Annual)" xfId="2941"/>
    <cellStyle name="Calculation 25 3" xfId="459"/>
    <cellStyle name="Calculation 25 3 2" xfId="1436"/>
    <cellStyle name="Calculation 25 3 2 2" xfId="2706"/>
    <cellStyle name="Calculation 25 3 2 2 2" xfId="6267"/>
    <cellStyle name="Calculation 25 3 2 2 2 2" xfId="14461"/>
    <cellStyle name="Calculation 25 3 2 2 2 2 2" xfId="26433"/>
    <cellStyle name="Calculation 25 3 2 2 2 3" xfId="21320"/>
    <cellStyle name="Calculation 25 3 2 2 2_Table 2A-1_EFT (Annual)" xfId="14665"/>
    <cellStyle name="Calculation 25 3 2 2 3" xfId="11803"/>
    <cellStyle name="Calculation 25 3 2 2 3 2" xfId="23887"/>
    <cellStyle name="Calculation 25 3 2 2 4" xfId="18774"/>
    <cellStyle name="Calculation 25 3 2 2_Table 2A-1_EFT (Annual)" xfId="6549"/>
    <cellStyle name="Calculation 25 3 2 3" xfId="4997"/>
    <cellStyle name="Calculation 25 3 2 3 2" xfId="13257"/>
    <cellStyle name="Calculation 25 3 2 3 2 2" xfId="25263"/>
    <cellStyle name="Calculation 25 3 2 3 3" xfId="20150"/>
    <cellStyle name="Calculation 25 3 2 3_Table 2A-1_EFT (Annual)" xfId="14664"/>
    <cellStyle name="Calculation 25 3 2 4" xfId="10601"/>
    <cellStyle name="Calculation 25 3 2 4 2" xfId="22717"/>
    <cellStyle name="Calculation 25 3 2 5" xfId="17604"/>
    <cellStyle name="Calculation 25 3 2_Table 2A-1_EFT (Annual)" xfId="6548"/>
    <cellStyle name="Calculation 25 3 3" xfId="983"/>
    <cellStyle name="Calculation 25 3 3 2" xfId="4544"/>
    <cellStyle name="Calculation 25 3 3 2 2" xfId="12804"/>
    <cellStyle name="Calculation 25 3 3 2 2 2" xfId="24810"/>
    <cellStyle name="Calculation 25 3 3 2 3" xfId="19697"/>
    <cellStyle name="Calculation 25 3 3 2_Table 2A-1_EFT (Annual)" xfId="14663"/>
    <cellStyle name="Calculation 25 3 3 3" xfId="10148"/>
    <cellStyle name="Calculation 25 3 3 3 2" xfId="22264"/>
    <cellStyle name="Calculation 25 3 3 4" xfId="17151"/>
    <cellStyle name="Calculation 25 3 3_Table 2A-1_EFT (Annual)" xfId="6550"/>
    <cellStyle name="Calculation 25 3 4" xfId="2175"/>
    <cellStyle name="Calculation 25 3 4 2" xfId="5736"/>
    <cellStyle name="Calculation 25 3 4 2 2" xfId="13951"/>
    <cellStyle name="Calculation 25 3 4 2 2 2" xfId="25939"/>
    <cellStyle name="Calculation 25 3 4 2 3" xfId="20826"/>
    <cellStyle name="Calculation 25 3 4 2_Table 2A-1_EFT (Annual)" xfId="14662"/>
    <cellStyle name="Calculation 25 3 4 3" xfId="11295"/>
    <cellStyle name="Calculation 25 3 4 3 2" xfId="23393"/>
    <cellStyle name="Calculation 25 3 4 4" xfId="18280"/>
    <cellStyle name="Calculation 25 3 4_Table 2A-1_EFT (Annual)" xfId="6551"/>
    <cellStyle name="Calculation 25 3 5" xfId="4029"/>
    <cellStyle name="Calculation 25 3 5 2" xfId="12353"/>
    <cellStyle name="Calculation 25 3 5 2 2" xfId="24375"/>
    <cellStyle name="Calculation 25 3 5 3" xfId="19262"/>
    <cellStyle name="Calculation 25 3 5_Table 2A-1_EFT (Annual)" xfId="14661"/>
    <cellStyle name="Calculation 25 3 6" xfId="9692"/>
    <cellStyle name="Calculation 25 3 6 2" xfId="21829"/>
    <cellStyle name="Calculation 25 3 7" xfId="16716"/>
    <cellStyle name="Calculation 25 3_Table 2A-1_EFT (Annual)" xfId="2942"/>
    <cellStyle name="Calculation 25 4" xfId="1274"/>
    <cellStyle name="Calculation 25 4 2" xfId="2544"/>
    <cellStyle name="Calculation 25 4 2 2" xfId="6105"/>
    <cellStyle name="Calculation 25 4 2 2 2" xfId="14299"/>
    <cellStyle name="Calculation 25 4 2 2 2 2" xfId="26271"/>
    <cellStyle name="Calculation 25 4 2 2 3" xfId="21158"/>
    <cellStyle name="Calculation 25 4 2 2_Table 2A-1_EFT (Annual)" xfId="14660"/>
    <cellStyle name="Calculation 25 4 2 3" xfId="11641"/>
    <cellStyle name="Calculation 25 4 2 3 2" xfId="23725"/>
    <cellStyle name="Calculation 25 4 2 4" xfId="18612"/>
    <cellStyle name="Calculation 25 4 2_Table 2A-1_EFT (Annual)" xfId="6553"/>
    <cellStyle name="Calculation 25 4 3" xfId="4835"/>
    <cellStyle name="Calculation 25 4 3 2" xfId="13095"/>
    <cellStyle name="Calculation 25 4 3 2 2" xfId="25101"/>
    <cellStyle name="Calculation 25 4 3 3" xfId="19988"/>
    <cellStyle name="Calculation 25 4 3_Table 2A-1_EFT (Annual)" xfId="14659"/>
    <cellStyle name="Calculation 25 4 4" xfId="10439"/>
    <cellStyle name="Calculation 25 4 4 2" xfId="22555"/>
    <cellStyle name="Calculation 25 4 5" xfId="17442"/>
    <cellStyle name="Calculation 25 4_Table 2A-1_EFT (Annual)" xfId="6552"/>
    <cellStyle name="Calculation 25 5" xfId="827"/>
    <cellStyle name="Calculation 25 5 2" xfId="4388"/>
    <cellStyle name="Calculation 25 5 2 2" xfId="12662"/>
    <cellStyle name="Calculation 25 5 2 2 2" xfId="24679"/>
    <cellStyle name="Calculation 25 5 2 3" xfId="19566"/>
    <cellStyle name="Calculation 25 5 2_Table 2A-1_EFT (Annual)" xfId="14658"/>
    <cellStyle name="Calculation 25 5 3" xfId="10011"/>
    <cellStyle name="Calculation 25 5 3 2" xfId="22133"/>
    <cellStyle name="Calculation 25 5 4" xfId="17020"/>
    <cellStyle name="Calculation 25 5_Table 2A-1_EFT (Annual)" xfId="6554"/>
    <cellStyle name="Calculation 25 6" xfId="2013"/>
    <cellStyle name="Calculation 25 6 2" xfId="5574"/>
    <cellStyle name="Calculation 25 6 2 2" xfId="13789"/>
    <cellStyle name="Calculation 25 6 2 2 2" xfId="25777"/>
    <cellStyle name="Calculation 25 6 2 3" xfId="20664"/>
    <cellStyle name="Calculation 25 6 2_Table 2A-1_EFT (Annual)" xfId="14657"/>
    <cellStyle name="Calculation 25 6 3" xfId="11133"/>
    <cellStyle name="Calculation 25 6 3 2" xfId="23231"/>
    <cellStyle name="Calculation 25 6 4" xfId="18118"/>
    <cellStyle name="Calculation 25 6_Table 2A-1_EFT (Annual)" xfId="6555"/>
    <cellStyle name="Calculation 25 7" xfId="3821"/>
    <cellStyle name="Calculation 25 7 2" xfId="12184"/>
    <cellStyle name="Calculation 25 7 2 2" xfId="24213"/>
    <cellStyle name="Calculation 25 7 3" xfId="19100"/>
    <cellStyle name="Calculation 25 7_Table 2A-1_EFT (Annual)" xfId="14656"/>
    <cellStyle name="Calculation 25 8" xfId="9503"/>
    <cellStyle name="Calculation 25 8 2" xfId="21667"/>
    <cellStyle name="Calculation 25 9" xfId="16554"/>
    <cellStyle name="Calculation 25_Table 2A-1_EFT (Annual)" xfId="2940"/>
    <cellStyle name="Calculation 26" xfId="227"/>
    <cellStyle name="Calculation 26 2" xfId="618"/>
    <cellStyle name="Calculation 26 2 2" xfId="1595"/>
    <cellStyle name="Calculation 26 2 2 2" xfId="2865"/>
    <cellStyle name="Calculation 26 2 2 2 2" xfId="6426"/>
    <cellStyle name="Calculation 26 2 2 2 2 2" xfId="14620"/>
    <cellStyle name="Calculation 26 2 2 2 2 2 2" xfId="26592"/>
    <cellStyle name="Calculation 26 2 2 2 2 3" xfId="21479"/>
    <cellStyle name="Calculation 26 2 2 2 2_Table 2A-1_EFT (Annual)" xfId="14655"/>
    <cellStyle name="Calculation 26 2 2 2 3" xfId="11962"/>
    <cellStyle name="Calculation 26 2 2 2 3 2" xfId="24046"/>
    <cellStyle name="Calculation 26 2 2 2 4" xfId="18933"/>
    <cellStyle name="Calculation 26 2 2 2_Table 2A-1_EFT (Annual)" xfId="6557"/>
    <cellStyle name="Calculation 26 2 2 3" xfId="5156"/>
    <cellStyle name="Calculation 26 2 2 3 2" xfId="13416"/>
    <cellStyle name="Calculation 26 2 2 3 2 2" xfId="25422"/>
    <cellStyle name="Calculation 26 2 2 3 3" xfId="20309"/>
    <cellStyle name="Calculation 26 2 2 3_Table 2A-1_EFT (Annual)" xfId="14654"/>
    <cellStyle name="Calculation 26 2 2 4" xfId="10760"/>
    <cellStyle name="Calculation 26 2 2 4 2" xfId="22876"/>
    <cellStyle name="Calculation 26 2 2 5" xfId="17763"/>
    <cellStyle name="Calculation 26 2 2_Table 2A-1_EFT (Annual)" xfId="6556"/>
    <cellStyle name="Calculation 26 2 3" xfId="1111"/>
    <cellStyle name="Calculation 26 2 3 2" xfId="4672"/>
    <cellStyle name="Calculation 26 2 3 2 2" xfId="12932"/>
    <cellStyle name="Calculation 26 2 3 2 2 2" xfId="24938"/>
    <cellStyle name="Calculation 26 2 3 2 3" xfId="19825"/>
    <cellStyle name="Calculation 26 2 3 2_Table 2A-1_EFT (Annual)" xfId="14653"/>
    <cellStyle name="Calculation 26 2 3 3" xfId="10276"/>
    <cellStyle name="Calculation 26 2 3 3 2" xfId="22392"/>
    <cellStyle name="Calculation 26 2 3 4" xfId="17279"/>
    <cellStyle name="Calculation 26 2 3_Table 2A-1_EFT (Annual)" xfId="6558"/>
    <cellStyle name="Calculation 26 2 4" xfId="2334"/>
    <cellStyle name="Calculation 26 2 4 2" xfId="5895"/>
    <cellStyle name="Calculation 26 2 4 2 2" xfId="14110"/>
    <cellStyle name="Calculation 26 2 4 2 2 2" xfId="26098"/>
    <cellStyle name="Calculation 26 2 4 2 3" xfId="20985"/>
    <cellStyle name="Calculation 26 2 4 2_Table 2A-1_EFT (Annual)" xfId="14652"/>
    <cellStyle name="Calculation 26 2 4 3" xfId="11454"/>
    <cellStyle name="Calculation 26 2 4 3 2" xfId="23552"/>
    <cellStyle name="Calculation 26 2 4 4" xfId="18439"/>
    <cellStyle name="Calculation 26 2 4_Table 2A-1_EFT (Annual)" xfId="6559"/>
    <cellStyle name="Calculation 26 2 5" xfId="4188"/>
    <cellStyle name="Calculation 26 2 5 2" xfId="12512"/>
    <cellStyle name="Calculation 26 2 5 2 2" xfId="24534"/>
    <cellStyle name="Calculation 26 2 5 3" xfId="19421"/>
    <cellStyle name="Calculation 26 2 5_Table 2A-1_EFT (Annual)" xfId="14651"/>
    <cellStyle name="Calculation 26 2 6" xfId="9851"/>
    <cellStyle name="Calculation 26 2 6 2" xfId="21988"/>
    <cellStyle name="Calculation 26 2 7" xfId="16875"/>
    <cellStyle name="Calculation 26 2_Table 2A-1_EFT (Annual)" xfId="2944"/>
    <cellStyle name="Calculation 26 3" xfId="454"/>
    <cellStyle name="Calculation 26 3 2" xfId="1435"/>
    <cellStyle name="Calculation 26 3 2 2" xfId="2705"/>
    <cellStyle name="Calculation 26 3 2 2 2" xfId="6266"/>
    <cellStyle name="Calculation 26 3 2 2 2 2" xfId="14460"/>
    <cellStyle name="Calculation 26 3 2 2 2 2 2" xfId="26432"/>
    <cellStyle name="Calculation 26 3 2 2 2 3" xfId="21319"/>
    <cellStyle name="Calculation 26 3 2 2 2_Table 2A-1_EFT (Annual)" xfId="14650"/>
    <cellStyle name="Calculation 26 3 2 2 3" xfId="11802"/>
    <cellStyle name="Calculation 26 3 2 2 3 2" xfId="23886"/>
    <cellStyle name="Calculation 26 3 2 2 4" xfId="18773"/>
    <cellStyle name="Calculation 26 3 2 2_Table 2A-1_EFT (Annual)" xfId="6561"/>
    <cellStyle name="Calculation 26 3 2 3" xfId="4996"/>
    <cellStyle name="Calculation 26 3 2 3 2" xfId="13256"/>
    <cellStyle name="Calculation 26 3 2 3 2 2" xfId="25262"/>
    <cellStyle name="Calculation 26 3 2 3 3" xfId="20149"/>
    <cellStyle name="Calculation 26 3 2 3_Table 2A-1_EFT (Annual)" xfId="14649"/>
    <cellStyle name="Calculation 26 3 2 4" xfId="10600"/>
    <cellStyle name="Calculation 26 3 2 4 2" xfId="22716"/>
    <cellStyle name="Calculation 26 3 2 5" xfId="17603"/>
    <cellStyle name="Calculation 26 3 2_Table 2A-1_EFT (Annual)" xfId="6560"/>
    <cellStyle name="Calculation 26 3 3" xfId="978"/>
    <cellStyle name="Calculation 26 3 3 2" xfId="4539"/>
    <cellStyle name="Calculation 26 3 3 2 2" xfId="12801"/>
    <cellStyle name="Calculation 26 3 3 2 2 2" xfId="24809"/>
    <cellStyle name="Calculation 26 3 3 2 3" xfId="19696"/>
    <cellStyle name="Calculation 26 3 3 2_Table 2A-1_EFT (Annual)" xfId="14648"/>
    <cellStyle name="Calculation 26 3 3 3" xfId="10146"/>
    <cellStyle name="Calculation 26 3 3 3 2" xfId="22263"/>
    <cellStyle name="Calculation 26 3 3 4" xfId="17150"/>
    <cellStyle name="Calculation 26 3 3_Table 2A-1_EFT (Annual)" xfId="6562"/>
    <cellStyle name="Calculation 26 3 4" xfId="2174"/>
    <cellStyle name="Calculation 26 3 4 2" xfId="5735"/>
    <cellStyle name="Calculation 26 3 4 2 2" xfId="13950"/>
    <cellStyle name="Calculation 26 3 4 2 2 2" xfId="25938"/>
    <cellStyle name="Calculation 26 3 4 2 3" xfId="20825"/>
    <cellStyle name="Calculation 26 3 4 2_Table 2A-1_EFT (Annual)" xfId="14647"/>
    <cellStyle name="Calculation 26 3 4 3" xfId="11294"/>
    <cellStyle name="Calculation 26 3 4 3 2" xfId="23392"/>
    <cellStyle name="Calculation 26 3 4 4" xfId="18279"/>
    <cellStyle name="Calculation 26 3 4_Table 2A-1_EFT (Annual)" xfId="6563"/>
    <cellStyle name="Calculation 26 3 5" xfId="4024"/>
    <cellStyle name="Calculation 26 3 5 2" xfId="12350"/>
    <cellStyle name="Calculation 26 3 5 2 2" xfId="24374"/>
    <cellStyle name="Calculation 26 3 5 3" xfId="19261"/>
    <cellStyle name="Calculation 26 3 5_Table 2A-1_EFT (Annual)" xfId="9351"/>
    <cellStyle name="Calculation 26 3 6" xfId="9689"/>
    <cellStyle name="Calculation 26 3 6 2" xfId="21828"/>
    <cellStyle name="Calculation 26 3 7" xfId="16715"/>
    <cellStyle name="Calculation 26 3_Table 2A-1_EFT (Annual)" xfId="2945"/>
    <cellStyle name="Calculation 26 4" xfId="1273"/>
    <cellStyle name="Calculation 26 4 2" xfId="2543"/>
    <cellStyle name="Calculation 26 4 2 2" xfId="6104"/>
    <cellStyle name="Calculation 26 4 2 2 2" xfId="14298"/>
    <cellStyle name="Calculation 26 4 2 2 2 2" xfId="26270"/>
    <cellStyle name="Calculation 26 4 2 2 3" xfId="21157"/>
    <cellStyle name="Calculation 26 4 2 2_Table 2A-1_EFT (Annual)" xfId="9350"/>
    <cellStyle name="Calculation 26 4 2 3" xfId="11640"/>
    <cellStyle name="Calculation 26 4 2 3 2" xfId="23724"/>
    <cellStyle name="Calculation 26 4 2 4" xfId="18611"/>
    <cellStyle name="Calculation 26 4 2_Table 2A-1_EFT (Annual)" xfId="6565"/>
    <cellStyle name="Calculation 26 4 3" xfId="4834"/>
    <cellStyle name="Calculation 26 4 3 2" xfId="13094"/>
    <cellStyle name="Calculation 26 4 3 2 2" xfId="25100"/>
    <cellStyle name="Calculation 26 4 3 3" xfId="19987"/>
    <cellStyle name="Calculation 26 4 3_Table 2A-1_EFT (Annual)" xfId="12039"/>
    <cellStyle name="Calculation 26 4 4" xfId="10438"/>
    <cellStyle name="Calculation 26 4 4 2" xfId="22554"/>
    <cellStyle name="Calculation 26 4 5" xfId="17441"/>
    <cellStyle name="Calculation 26 4_Table 2A-1_EFT (Annual)" xfId="6564"/>
    <cellStyle name="Calculation 26 5" xfId="822"/>
    <cellStyle name="Calculation 26 5 2" xfId="4383"/>
    <cellStyle name="Calculation 26 5 2 2" xfId="12661"/>
    <cellStyle name="Calculation 26 5 2 2 2" xfId="24678"/>
    <cellStyle name="Calculation 26 5 2 3" xfId="19565"/>
    <cellStyle name="Calculation 26 5 2_Table 2A-1_EFT (Annual)" xfId="10788"/>
    <cellStyle name="Calculation 26 5 3" xfId="10009"/>
    <cellStyle name="Calculation 26 5 3 2" xfId="22132"/>
    <cellStyle name="Calculation 26 5 4" xfId="17019"/>
    <cellStyle name="Calculation 26 5_Table 2A-1_EFT (Annual)" xfId="6566"/>
    <cellStyle name="Calculation 26 6" xfId="2012"/>
    <cellStyle name="Calculation 26 6 2" xfId="5573"/>
    <cellStyle name="Calculation 26 6 2 2" xfId="13788"/>
    <cellStyle name="Calculation 26 6 2 2 2" xfId="25776"/>
    <cellStyle name="Calculation 26 6 2 3" xfId="20663"/>
    <cellStyle name="Calculation 26 6 2_Table 2A-1_EFT (Annual)" xfId="12038"/>
    <cellStyle name="Calculation 26 6 3" xfId="11132"/>
    <cellStyle name="Calculation 26 6 3 2" xfId="23230"/>
    <cellStyle name="Calculation 26 6 4" xfId="18117"/>
    <cellStyle name="Calculation 26 6_Table 2A-1_EFT (Annual)" xfId="6567"/>
    <cellStyle name="Calculation 26 7" xfId="3816"/>
    <cellStyle name="Calculation 26 7 2" xfId="12182"/>
    <cellStyle name="Calculation 26 7 2 2" xfId="24212"/>
    <cellStyle name="Calculation 26 7 3" xfId="19099"/>
    <cellStyle name="Calculation 26 7_Table 2A-1_EFT (Annual)" xfId="10895"/>
    <cellStyle name="Calculation 26 8" xfId="9501"/>
    <cellStyle name="Calculation 26 8 2" xfId="21666"/>
    <cellStyle name="Calculation 26 9" xfId="16553"/>
    <cellStyle name="Calculation 26_Table 2A-1_EFT (Annual)" xfId="2943"/>
    <cellStyle name="Calculation 27" xfId="223"/>
    <cellStyle name="Calculation 27 2" xfId="616"/>
    <cellStyle name="Calculation 27 2 2" xfId="1593"/>
    <cellStyle name="Calculation 27 2 2 2" xfId="2863"/>
    <cellStyle name="Calculation 27 2 2 2 2" xfId="6424"/>
    <cellStyle name="Calculation 27 2 2 2 2 2" xfId="14618"/>
    <cellStyle name="Calculation 27 2 2 2 2 2 2" xfId="26590"/>
    <cellStyle name="Calculation 27 2 2 2 2 3" xfId="21477"/>
    <cellStyle name="Calculation 27 2 2 2 2_Table 2A-1_EFT (Annual)" xfId="10830"/>
    <cellStyle name="Calculation 27 2 2 2 3" xfId="11960"/>
    <cellStyle name="Calculation 27 2 2 2 3 2" xfId="24044"/>
    <cellStyle name="Calculation 27 2 2 2 4" xfId="18931"/>
    <cellStyle name="Calculation 27 2 2 2_Table 2A-1_EFT (Annual)" xfId="6569"/>
    <cellStyle name="Calculation 27 2 2 3" xfId="5154"/>
    <cellStyle name="Calculation 27 2 2 3 2" xfId="13414"/>
    <cellStyle name="Calculation 27 2 2 3 2 2" xfId="25420"/>
    <cellStyle name="Calculation 27 2 2 3 3" xfId="20307"/>
    <cellStyle name="Calculation 27 2 2 3_Table 2A-1_EFT (Annual)" xfId="12683"/>
    <cellStyle name="Calculation 27 2 2 4" xfId="10758"/>
    <cellStyle name="Calculation 27 2 2 4 2" xfId="22874"/>
    <cellStyle name="Calculation 27 2 2 5" xfId="17761"/>
    <cellStyle name="Calculation 27 2 2_Table 2A-1_EFT (Annual)" xfId="6568"/>
    <cellStyle name="Calculation 27 2 3" xfId="1109"/>
    <cellStyle name="Calculation 27 2 3 2" xfId="4670"/>
    <cellStyle name="Calculation 27 2 3 2 2" xfId="12930"/>
    <cellStyle name="Calculation 27 2 3 2 2 2" xfId="24936"/>
    <cellStyle name="Calculation 27 2 3 2 3" xfId="19823"/>
    <cellStyle name="Calculation 27 2 3 2_Table 2A-1_EFT (Annual)" xfId="11492"/>
    <cellStyle name="Calculation 27 2 3 3" xfId="10274"/>
    <cellStyle name="Calculation 27 2 3 3 2" xfId="22390"/>
    <cellStyle name="Calculation 27 2 3 4" xfId="17277"/>
    <cellStyle name="Calculation 27 2 3_Table 2A-1_EFT (Annual)" xfId="6570"/>
    <cellStyle name="Calculation 27 2 4" xfId="2332"/>
    <cellStyle name="Calculation 27 2 4 2" xfId="5893"/>
    <cellStyle name="Calculation 27 2 4 2 2" xfId="14108"/>
    <cellStyle name="Calculation 27 2 4 2 2 2" xfId="26096"/>
    <cellStyle name="Calculation 27 2 4 2 3" xfId="20983"/>
    <cellStyle name="Calculation 27 2 4 2_Table 2A-1_EFT (Annual)" xfId="12035"/>
    <cellStyle name="Calculation 27 2 4 3" xfId="11452"/>
    <cellStyle name="Calculation 27 2 4 3 2" xfId="23550"/>
    <cellStyle name="Calculation 27 2 4 4" xfId="18437"/>
    <cellStyle name="Calculation 27 2 4_Table 2A-1_EFT (Annual)" xfId="6571"/>
    <cellStyle name="Calculation 27 2 5" xfId="4186"/>
    <cellStyle name="Calculation 27 2 5 2" xfId="12510"/>
    <cellStyle name="Calculation 27 2 5 2 2" xfId="24532"/>
    <cellStyle name="Calculation 27 2 5 3" xfId="19419"/>
    <cellStyle name="Calculation 27 2 5_Table 2A-1_EFT (Annual)" xfId="12037"/>
    <cellStyle name="Calculation 27 2 6" xfId="9849"/>
    <cellStyle name="Calculation 27 2 6 2" xfId="21986"/>
    <cellStyle name="Calculation 27 2 7" xfId="16873"/>
    <cellStyle name="Calculation 27 2_Table 2A-1_EFT (Annual)" xfId="2947"/>
    <cellStyle name="Calculation 27 3" xfId="450"/>
    <cellStyle name="Calculation 27 3 2" xfId="1433"/>
    <cellStyle name="Calculation 27 3 2 2" xfId="2703"/>
    <cellStyle name="Calculation 27 3 2 2 2" xfId="6264"/>
    <cellStyle name="Calculation 27 3 2 2 2 2" xfId="14458"/>
    <cellStyle name="Calculation 27 3 2 2 2 2 2" xfId="26430"/>
    <cellStyle name="Calculation 27 3 2 2 2 3" xfId="21317"/>
    <cellStyle name="Calculation 27 3 2 2 2_Table 2A-1_EFT (Annual)" xfId="12036"/>
    <cellStyle name="Calculation 27 3 2 2 3" xfId="11800"/>
    <cellStyle name="Calculation 27 3 2 2 3 2" xfId="23884"/>
    <cellStyle name="Calculation 27 3 2 2 4" xfId="18771"/>
    <cellStyle name="Calculation 27 3 2 2_Table 2A-1_EFT (Annual)" xfId="6573"/>
    <cellStyle name="Calculation 27 3 2 3" xfId="4994"/>
    <cellStyle name="Calculation 27 3 2 3 2" xfId="13254"/>
    <cellStyle name="Calculation 27 3 2 3 2 2" xfId="25260"/>
    <cellStyle name="Calculation 27 3 2 3 3" xfId="20147"/>
    <cellStyle name="Calculation 27 3 2 3_Table 2A-1_EFT (Annual)" xfId="11487"/>
    <cellStyle name="Calculation 27 3 2 4" xfId="10598"/>
    <cellStyle name="Calculation 27 3 2 4 2" xfId="22714"/>
    <cellStyle name="Calculation 27 3 2 5" xfId="17601"/>
    <cellStyle name="Calculation 27 3 2_Table 2A-1_EFT (Annual)" xfId="6572"/>
    <cellStyle name="Calculation 27 3 3" xfId="974"/>
    <cellStyle name="Calculation 27 3 3 2" xfId="4535"/>
    <cellStyle name="Calculation 27 3 3 2 2" xfId="12797"/>
    <cellStyle name="Calculation 27 3 3 2 2 2" xfId="24807"/>
    <cellStyle name="Calculation 27 3 3 2 3" xfId="19694"/>
    <cellStyle name="Calculation 27 3 3 2_Table 2A-1_EFT (Annual)" xfId="12237"/>
    <cellStyle name="Calculation 27 3 3 3" xfId="10144"/>
    <cellStyle name="Calculation 27 3 3 3 2" xfId="22261"/>
    <cellStyle name="Calculation 27 3 3 4" xfId="17148"/>
    <cellStyle name="Calculation 27 3 3_Table 2A-1_EFT (Annual)" xfId="6574"/>
    <cellStyle name="Calculation 27 3 4" xfId="2172"/>
    <cellStyle name="Calculation 27 3 4 2" xfId="5733"/>
    <cellStyle name="Calculation 27 3 4 2 2" xfId="13948"/>
    <cellStyle name="Calculation 27 3 4 2 2 2" xfId="25936"/>
    <cellStyle name="Calculation 27 3 4 2 3" xfId="20823"/>
    <cellStyle name="Calculation 27 3 4 2_Table 2A-1_EFT (Annual)" xfId="10838"/>
    <cellStyle name="Calculation 27 3 4 3" xfId="11292"/>
    <cellStyle name="Calculation 27 3 4 3 2" xfId="23390"/>
    <cellStyle name="Calculation 27 3 4 4" xfId="18277"/>
    <cellStyle name="Calculation 27 3 4_Table 2A-1_EFT (Annual)" xfId="6575"/>
    <cellStyle name="Calculation 27 3 5" xfId="4020"/>
    <cellStyle name="Calculation 27 3 5 2" xfId="12348"/>
    <cellStyle name="Calculation 27 3 5 2 2" xfId="24372"/>
    <cellStyle name="Calculation 27 3 5 3" xfId="19259"/>
    <cellStyle name="Calculation 27 3 5_Table 2A-1_EFT (Annual)" xfId="12705"/>
    <cellStyle name="Calculation 27 3 6" xfId="9685"/>
    <cellStyle name="Calculation 27 3 6 2" xfId="21826"/>
    <cellStyle name="Calculation 27 3 7" xfId="16713"/>
    <cellStyle name="Calculation 27 3_Table 2A-1_EFT (Annual)" xfId="2948"/>
    <cellStyle name="Calculation 27 4" xfId="1271"/>
    <cellStyle name="Calculation 27 4 2" xfId="2541"/>
    <cellStyle name="Calculation 27 4 2 2" xfId="6102"/>
    <cellStyle name="Calculation 27 4 2 2 2" xfId="14296"/>
    <cellStyle name="Calculation 27 4 2 2 2 2" xfId="26268"/>
    <cellStyle name="Calculation 27 4 2 2 3" xfId="21155"/>
    <cellStyle name="Calculation 27 4 2 2_Table 2A-1_EFT (Annual)" xfId="10052"/>
    <cellStyle name="Calculation 27 4 2 3" xfId="11638"/>
    <cellStyle name="Calculation 27 4 2 3 2" xfId="23722"/>
    <cellStyle name="Calculation 27 4 2 4" xfId="18609"/>
    <cellStyle name="Calculation 27 4 2_Table 2A-1_EFT (Annual)" xfId="6577"/>
    <cellStyle name="Calculation 27 4 3" xfId="4832"/>
    <cellStyle name="Calculation 27 4 3 2" xfId="13092"/>
    <cellStyle name="Calculation 27 4 3 2 2" xfId="25098"/>
    <cellStyle name="Calculation 27 4 3 3" xfId="19985"/>
    <cellStyle name="Calculation 27 4 3_Table 2A-1_EFT (Annual)" xfId="9383"/>
    <cellStyle name="Calculation 27 4 4" xfId="10436"/>
    <cellStyle name="Calculation 27 4 4 2" xfId="22552"/>
    <cellStyle name="Calculation 27 4 5" xfId="17439"/>
    <cellStyle name="Calculation 27 4_Table 2A-1_EFT (Annual)" xfId="6576"/>
    <cellStyle name="Calculation 27 5" xfId="818"/>
    <cellStyle name="Calculation 27 5 2" xfId="4379"/>
    <cellStyle name="Calculation 27 5 2 2" xfId="12659"/>
    <cellStyle name="Calculation 27 5 2 2 2" xfId="24676"/>
    <cellStyle name="Calculation 27 5 2 3" xfId="19563"/>
    <cellStyle name="Calculation 27 5 2_Table 2A-1_EFT (Annual)" xfId="12027"/>
    <cellStyle name="Calculation 27 5 3" xfId="10007"/>
    <cellStyle name="Calculation 27 5 3 2" xfId="22130"/>
    <cellStyle name="Calculation 27 5 4" xfId="17017"/>
    <cellStyle name="Calculation 27 5_Table 2A-1_EFT (Annual)" xfId="6578"/>
    <cellStyle name="Calculation 27 6" xfId="2010"/>
    <cellStyle name="Calculation 27 6 2" xfId="5571"/>
    <cellStyle name="Calculation 27 6 2 2" xfId="13786"/>
    <cellStyle name="Calculation 27 6 2 2 2" xfId="25774"/>
    <cellStyle name="Calculation 27 6 2 3" xfId="20661"/>
    <cellStyle name="Calculation 27 6 2_Table 2A-1_EFT (Annual)" xfId="13447"/>
    <cellStyle name="Calculation 27 6 3" xfId="11130"/>
    <cellStyle name="Calculation 27 6 3 2" xfId="23228"/>
    <cellStyle name="Calculation 27 6 4" xfId="18115"/>
    <cellStyle name="Calculation 27 6_Table 2A-1_EFT (Annual)" xfId="6579"/>
    <cellStyle name="Calculation 27 7" xfId="3812"/>
    <cellStyle name="Calculation 27 7 2" xfId="12180"/>
    <cellStyle name="Calculation 27 7 2 2" xfId="24210"/>
    <cellStyle name="Calculation 27 7 3" xfId="19097"/>
    <cellStyle name="Calculation 27 7_Table 2A-1_EFT (Annual)" xfId="12034"/>
    <cellStyle name="Calculation 27 8" xfId="9499"/>
    <cellStyle name="Calculation 27 8 2" xfId="21664"/>
    <cellStyle name="Calculation 27 9" xfId="16551"/>
    <cellStyle name="Calculation 27_Table 2A-1_EFT (Annual)" xfId="2946"/>
    <cellStyle name="Calculation 28" xfId="218"/>
    <cellStyle name="Calculation 28 2" xfId="611"/>
    <cellStyle name="Calculation 28 2 2" xfId="1588"/>
    <cellStyle name="Calculation 28 2 2 2" xfId="2858"/>
    <cellStyle name="Calculation 28 2 2 2 2" xfId="6419"/>
    <cellStyle name="Calculation 28 2 2 2 2 2" xfId="14613"/>
    <cellStyle name="Calculation 28 2 2 2 2 2 2" xfId="26585"/>
    <cellStyle name="Calculation 28 2 2 2 2 3" xfId="21472"/>
    <cellStyle name="Calculation 28 2 2 2 2_Table 2A-1_EFT (Annual)" xfId="12031"/>
    <cellStyle name="Calculation 28 2 2 2 3" xfId="11955"/>
    <cellStyle name="Calculation 28 2 2 2 3 2" xfId="24039"/>
    <cellStyle name="Calculation 28 2 2 2 4" xfId="18926"/>
    <cellStyle name="Calculation 28 2 2 2_Table 2A-1_EFT (Annual)" xfId="6581"/>
    <cellStyle name="Calculation 28 2 2 3" xfId="5149"/>
    <cellStyle name="Calculation 28 2 2 3 2" xfId="13409"/>
    <cellStyle name="Calculation 28 2 2 3 2 2" xfId="25415"/>
    <cellStyle name="Calculation 28 2 2 3 3" xfId="20302"/>
    <cellStyle name="Calculation 28 2 2 3_Table 2A-1_EFT (Annual)" xfId="12033"/>
    <cellStyle name="Calculation 28 2 2 4" xfId="10753"/>
    <cellStyle name="Calculation 28 2 2 4 2" xfId="22869"/>
    <cellStyle name="Calculation 28 2 2 5" xfId="17756"/>
    <cellStyle name="Calculation 28 2 2_Table 2A-1_EFT (Annual)" xfId="6580"/>
    <cellStyle name="Calculation 28 2 3" xfId="1106"/>
    <cellStyle name="Calculation 28 2 3 2" xfId="4667"/>
    <cellStyle name="Calculation 28 2 3 2 2" xfId="12927"/>
    <cellStyle name="Calculation 28 2 3 2 2 2" xfId="24933"/>
    <cellStyle name="Calculation 28 2 3 2 3" xfId="19820"/>
    <cellStyle name="Calculation 28 2 3 2_Table 2A-1_EFT (Annual)" xfId="12032"/>
    <cellStyle name="Calculation 28 2 3 3" xfId="10271"/>
    <cellStyle name="Calculation 28 2 3 3 2" xfId="22387"/>
    <cellStyle name="Calculation 28 2 3 4" xfId="17274"/>
    <cellStyle name="Calculation 28 2 3_Table 2A-1_EFT (Annual)" xfId="6582"/>
    <cellStyle name="Calculation 28 2 4" xfId="2327"/>
    <cellStyle name="Calculation 28 2 4 2" xfId="5888"/>
    <cellStyle name="Calculation 28 2 4 2 2" xfId="14103"/>
    <cellStyle name="Calculation 28 2 4 2 2 2" xfId="26091"/>
    <cellStyle name="Calculation 28 2 4 2 3" xfId="20978"/>
    <cellStyle name="Calculation 28 2 4 2_Table 2A-1_EFT (Annual)" xfId="14149"/>
    <cellStyle name="Calculation 28 2 4 3" xfId="11447"/>
    <cellStyle name="Calculation 28 2 4 3 2" xfId="23545"/>
    <cellStyle name="Calculation 28 2 4 4" xfId="18432"/>
    <cellStyle name="Calculation 28 2 4_Table 2A-1_EFT (Annual)" xfId="6583"/>
    <cellStyle name="Calculation 28 2 5" xfId="4181"/>
    <cellStyle name="Calculation 28 2 5 2" xfId="12505"/>
    <cellStyle name="Calculation 28 2 5 2 2" xfId="24527"/>
    <cellStyle name="Calculation 28 2 5 3" xfId="19414"/>
    <cellStyle name="Calculation 28 2 5_Table 2A-1_EFT (Annual)" xfId="10033"/>
    <cellStyle name="Calculation 28 2 6" xfId="9844"/>
    <cellStyle name="Calculation 28 2 6 2" xfId="21981"/>
    <cellStyle name="Calculation 28 2 7" xfId="16868"/>
    <cellStyle name="Calculation 28 2_Table 2A-1_EFT (Annual)" xfId="2950"/>
    <cellStyle name="Calculation 28 3" xfId="446"/>
    <cellStyle name="Calculation 28 3 2" xfId="1429"/>
    <cellStyle name="Calculation 28 3 2 2" xfId="2699"/>
    <cellStyle name="Calculation 28 3 2 2 2" xfId="6260"/>
    <cellStyle name="Calculation 28 3 2 2 2 2" xfId="14454"/>
    <cellStyle name="Calculation 28 3 2 2 2 2 2" xfId="26426"/>
    <cellStyle name="Calculation 28 3 2 2 2 3" xfId="21313"/>
    <cellStyle name="Calculation 28 3 2 2 2_Table 2A-1_EFT (Annual)" xfId="13478"/>
    <cellStyle name="Calculation 28 3 2 2 3" xfId="11796"/>
    <cellStyle name="Calculation 28 3 2 2 3 2" xfId="23880"/>
    <cellStyle name="Calculation 28 3 2 2 4" xfId="18767"/>
    <cellStyle name="Calculation 28 3 2 2_Table 2A-1_EFT (Annual)" xfId="6585"/>
    <cellStyle name="Calculation 28 3 2 3" xfId="4990"/>
    <cellStyle name="Calculation 28 3 2 3 2" xfId="13250"/>
    <cellStyle name="Calculation 28 3 2 3 2 2" xfId="25256"/>
    <cellStyle name="Calculation 28 3 2 3 3" xfId="20143"/>
    <cellStyle name="Calculation 28 3 2 3_Table 2A-1_EFT (Annual)" xfId="12030"/>
    <cellStyle name="Calculation 28 3 2 4" xfId="10594"/>
    <cellStyle name="Calculation 28 3 2 4 2" xfId="22710"/>
    <cellStyle name="Calculation 28 3 2 5" xfId="17597"/>
    <cellStyle name="Calculation 28 3 2_Table 2A-1_EFT (Annual)" xfId="6584"/>
    <cellStyle name="Calculation 28 3 3" xfId="971"/>
    <cellStyle name="Calculation 28 3 3 2" xfId="4532"/>
    <cellStyle name="Calculation 28 3 3 2 2" xfId="12794"/>
    <cellStyle name="Calculation 28 3 3 2 2 2" xfId="24804"/>
    <cellStyle name="Calculation 28 3 3 2 3" xfId="19691"/>
    <cellStyle name="Calculation 28 3 3 2_Table 2A-1_EFT (Annual)" xfId="14145"/>
    <cellStyle name="Calculation 28 3 3 3" xfId="10141"/>
    <cellStyle name="Calculation 28 3 3 3 2" xfId="22258"/>
    <cellStyle name="Calculation 28 3 3 4" xfId="17145"/>
    <cellStyle name="Calculation 28 3 3_Table 2A-1_EFT (Annual)" xfId="6586"/>
    <cellStyle name="Calculation 28 3 4" xfId="2168"/>
    <cellStyle name="Calculation 28 3 4 2" xfId="5729"/>
    <cellStyle name="Calculation 28 3 4 2 2" xfId="13944"/>
    <cellStyle name="Calculation 28 3 4 2 2 2" xfId="25932"/>
    <cellStyle name="Calculation 28 3 4 2 3" xfId="20819"/>
    <cellStyle name="Calculation 28 3 4 2_Table 2A-1_EFT (Annual)" xfId="12028"/>
    <cellStyle name="Calculation 28 3 4 3" xfId="11288"/>
    <cellStyle name="Calculation 28 3 4 3 2" xfId="23386"/>
    <cellStyle name="Calculation 28 3 4 4" xfId="18273"/>
    <cellStyle name="Calculation 28 3 4_Table 2A-1_EFT (Annual)" xfId="6587"/>
    <cellStyle name="Calculation 28 3 5" xfId="4016"/>
    <cellStyle name="Calculation 28 3 5 2" xfId="12344"/>
    <cellStyle name="Calculation 28 3 5 2 2" xfId="24368"/>
    <cellStyle name="Calculation 28 3 5 3" xfId="19255"/>
    <cellStyle name="Calculation 28 3 5_Table 2A-1_EFT (Annual)" xfId="12029"/>
    <cellStyle name="Calculation 28 3 6" xfId="9681"/>
    <cellStyle name="Calculation 28 3 6 2" xfId="21822"/>
    <cellStyle name="Calculation 28 3 7" xfId="16709"/>
    <cellStyle name="Calculation 28 3_Table 2A-1_EFT (Annual)" xfId="2951"/>
    <cellStyle name="Calculation 28 4" xfId="1266"/>
    <cellStyle name="Calculation 28 4 2" xfId="2536"/>
    <cellStyle name="Calculation 28 4 2 2" xfId="6097"/>
    <cellStyle name="Calculation 28 4 2 2 2" xfId="14291"/>
    <cellStyle name="Calculation 28 4 2 2 2 2" xfId="26263"/>
    <cellStyle name="Calculation 28 4 2 2 3" xfId="21150"/>
    <cellStyle name="Calculation 28 4 2 2_Table 2A-1_EFT (Annual)" xfId="12799"/>
    <cellStyle name="Calculation 28 4 2 3" xfId="11633"/>
    <cellStyle name="Calculation 28 4 2 3 2" xfId="23717"/>
    <cellStyle name="Calculation 28 4 2 4" xfId="18604"/>
    <cellStyle name="Calculation 28 4 2_Table 2A-1_EFT (Annual)" xfId="6589"/>
    <cellStyle name="Calculation 28 4 3" xfId="4827"/>
    <cellStyle name="Calculation 28 4 3 2" xfId="13087"/>
    <cellStyle name="Calculation 28 4 3 2 2" xfId="25093"/>
    <cellStyle name="Calculation 28 4 3 3" xfId="19980"/>
    <cellStyle name="Calculation 28 4 3_Table 2A-1_EFT (Annual)" xfId="14155"/>
    <cellStyle name="Calculation 28 4 4" xfId="10431"/>
    <cellStyle name="Calculation 28 4 4 2" xfId="22547"/>
    <cellStyle name="Calculation 28 4 5" xfId="17434"/>
    <cellStyle name="Calculation 28 4_Table 2A-1_EFT (Annual)" xfId="6588"/>
    <cellStyle name="Calculation 28 5" xfId="815"/>
    <cellStyle name="Calculation 28 5 2" xfId="4376"/>
    <cellStyle name="Calculation 28 5 2 2" xfId="12656"/>
    <cellStyle name="Calculation 28 5 2 2 2" xfId="24673"/>
    <cellStyle name="Calculation 28 5 2 3" xfId="19560"/>
    <cellStyle name="Calculation 28 5 2_Table 2A-1_EFT (Annual)" xfId="9687"/>
    <cellStyle name="Calculation 28 5 3" xfId="10004"/>
    <cellStyle name="Calculation 28 5 3 2" xfId="22127"/>
    <cellStyle name="Calculation 28 5 4" xfId="17014"/>
    <cellStyle name="Calculation 28 5_Table 2A-1_EFT (Annual)" xfId="6590"/>
    <cellStyle name="Calculation 28 6" xfId="2005"/>
    <cellStyle name="Calculation 28 6 2" xfId="5566"/>
    <cellStyle name="Calculation 28 6 2 2" xfId="13781"/>
    <cellStyle name="Calculation 28 6 2 2 2" xfId="25769"/>
    <cellStyle name="Calculation 28 6 2 3" xfId="20656"/>
    <cellStyle name="Calculation 28 6 2_Table 2A-1_EFT (Annual)" xfId="12018"/>
    <cellStyle name="Calculation 28 6 3" xfId="11125"/>
    <cellStyle name="Calculation 28 6 3 2" xfId="23223"/>
    <cellStyle name="Calculation 28 6 4" xfId="18110"/>
    <cellStyle name="Calculation 28 6_Table 2A-1_EFT (Annual)" xfId="6591"/>
    <cellStyle name="Calculation 28 7" xfId="3807"/>
    <cellStyle name="Calculation 28 7 2" xfId="12175"/>
    <cellStyle name="Calculation 28 7 2 2" xfId="24205"/>
    <cellStyle name="Calculation 28 7 3" xfId="19092"/>
    <cellStyle name="Calculation 28 7_Table 2A-1_EFT (Annual)" xfId="12026"/>
    <cellStyle name="Calculation 28 8" xfId="9494"/>
    <cellStyle name="Calculation 28 8 2" xfId="21659"/>
    <cellStyle name="Calculation 28 9" xfId="16546"/>
    <cellStyle name="Calculation 28_Table 2A-1_EFT (Annual)" xfId="2949"/>
    <cellStyle name="Calculation 29" xfId="247"/>
    <cellStyle name="Calculation 29 2" xfId="634"/>
    <cellStyle name="Calculation 29 2 2" xfId="1611"/>
    <cellStyle name="Calculation 29 2 2 2" xfId="2881"/>
    <cellStyle name="Calculation 29 2 2 2 2" xfId="6442"/>
    <cellStyle name="Calculation 29 2 2 2 2 2" xfId="14636"/>
    <cellStyle name="Calculation 29 2 2 2 2 2 2" xfId="26608"/>
    <cellStyle name="Calculation 29 2 2 2 2 3" xfId="21495"/>
    <cellStyle name="Calculation 29 2 2 2 2_Table 2A-1_EFT (Annual)" xfId="13552"/>
    <cellStyle name="Calculation 29 2 2 2 3" xfId="11978"/>
    <cellStyle name="Calculation 29 2 2 2 3 2" xfId="24062"/>
    <cellStyle name="Calculation 29 2 2 2 4" xfId="18949"/>
    <cellStyle name="Calculation 29 2 2 2_Table 2A-1_EFT (Annual)" xfId="6593"/>
    <cellStyle name="Calculation 29 2 2 3" xfId="5172"/>
    <cellStyle name="Calculation 29 2 2 3 2" xfId="13432"/>
    <cellStyle name="Calculation 29 2 2 3 2 2" xfId="25438"/>
    <cellStyle name="Calculation 29 2 2 3 3" xfId="20325"/>
    <cellStyle name="Calculation 29 2 2 3_Table 2A-1_EFT (Annual)" xfId="9880"/>
    <cellStyle name="Calculation 29 2 2 4" xfId="10776"/>
    <cellStyle name="Calculation 29 2 2 4 2" xfId="22892"/>
    <cellStyle name="Calculation 29 2 2 5" xfId="17779"/>
    <cellStyle name="Calculation 29 2 2_Table 2A-1_EFT (Annual)" xfId="6592"/>
    <cellStyle name="Calculation 29 2 3" xfId="1124"/>
    <cellStyle name="Calculation 29 2 3 2" xfId="4685"/>
    <cellStyle name="Calculation 29 2 3 2 2" xfId="12945"/>
    <cellStyle name="Calculation 29 2 3 2 2 2" xfId="24951"/>
    <cellStyle name="Calculation 29 2 3 2 3" xfId="19838"/>
    <cellStyle name="Calculation 29 2 3 2_Table 2A-1_EFT (Annual)" xfId="12025"/>
    <cellStyle name="Calculation 29 2 3 3" xfId="10289"/>
    <cellStyle name="Calculation 29 2 3 3 2" xfId="22405"/>
    <cellStyle name="Calculation 29 2 3 4" xfId="17292"/>
    <cellStyle name="Calculation 29 2 3_Table 2A-1_EFT (Annual)" xfId="6594"/>
    <cellStyle name="Calculation 29 2 4" xfId="2350"/>
    <cellStyle name="Calculation 29 2 4 2" xfId="5911"/>
    <cellStyle name="Calculation 29 2 4 2 2" xfId="14126"/>
    <cellStyle name="Calculation 29 2 4 2 2 2" xfId="26114"/>
    <cellStyle name="Calculation 29 2 4 2 3" xfId="21001"/>
    <cellStyle name="Calculation 29 2 4 2_Table 2A-1_EFT (Annual)" xfId="12023"/>
    <cellStyle name="Calculation 29 2 4 3" xfId="11470"/>
    <cellStyle name="Calculation 29 2 4 3 2" xfId="23568"/>
    <cellStyle name="Calculation 29 2 4 4" xfId="18455"/>
    <cellStyle name="Calculation 29 2 4_Table 2A-1_EFT (Annual)" xfId="6595"/>
    <cellStyle name="Calculation 29 2 5" xfId="4204"/>
    <cellStyle name="Calculation 29 2 5 2" xfId="12528"/>
    <cellStyle name="Calculation 29 2 5 2 2" xfId="24550"/>
    <cellStyle name="Calculation 29 2 5 3" xfId="19437"/>
    <cellStyle name="Calculation 29 2 5_Table 2A-1_EFT (Annual)" xfId="12024"/>
    <cellStyle name="Calculation 29 2 6" xfId="9867"/>
    <cellStyle name="Calculation 29 2 6 2" xfId="22004"/>
    <cellStyle name="Calculation 29 2 7" xfId="16891"/>
    <cellStyle name="Calculation 29 2_Table 2A-1_EFT (Annual)" xfId="2953"/>
    <cellStyle name="Calculation 29 3" xfId="473"/>
    <cellStyle name="Calculation 29 3 2" xfId="1450"/>
    <cellStyle name="Calculation 29 3 2 2" xfId="2720"/>
    <cellStyle name="Calculation 29 3 2 2 2" xfId="6281"/>
    <cellStyle name="Calculation 29 3 2 2 2 2" xfId="14475"/>
    <cellStyle name="Calculation 29 3 2 2 2 2 2" xfId="26447"/>
    <cellStyle name="Calculation 29 3 2 2 2 3" xfId="21334"/>
    <cellStyle name="Calculation 29 3 2 2 2_Table 2A-1_EFT (Annual)" xfId="12019"/>
    <cellStyle name="Calculation 29 3 2 2 3" xfId="11817"/>
    <cellStyle name="Calculation 29 3 2 2 3 2" xfId="23901"/>
    <cellStyle name="Calculation 29 3 2 2 4" xfId="18788"/>
    <cellStyle name="Calculation 29 3 2 2_Table 2A-1_EFT (Annual)" xfId="6597"/>
    <cellStyle name="Calculation 29 3 2 3" xfId="5011"/>
    <cellStyle name="Calculation 29 3 2 3 2" xfId="13271"/>
    <cellStyle name="Calculation 29 3 2 3 2 2" xfId="25277"/>
    <cellStyle name="Calculation 29 3 2 3 3" xfId="20164"/>
    <cellStyle name="Calculation 29 3 2 3_Table 2A-1_EFT (Annual)" xfId="12022"/>
    <cellStyle name="Calculation 29 3 2 4" xfId="10615"/>
    <cellStyle name="Calculation 29 3 2 4 2" xfId="22731"/>
    <cellStyle name="Calculation 29 3 2 5" xfId="17618"/>
    <cellStyle name="Calculation 29 3 2_Table 2A-1_EFT (Annual)" xfId="6596"/>
    <cellStyle name="Calculation 29 3 3" xfId="994"/>
    <cellStyle name="Calculation 29 3 3 2" xfId="4555"/>
    <cellStyle name="Calculation 29 3 3 2 2" xfId="12815"/>
    <cellStyle name="Calculation 29 3 3 2 2 2" xfId="24821"/>
    <cellStyle name="Calculation 29 3 3 2 3" xfId="19708"/>
    <cellStyle name="Calculation 29 3 3 2_Table 2A-1_EFT (Annual)" xfId="12021"/>
    <cellStyle name="Calculation 29 3 3 3" xfId="10159"/>
    <cellStyle name="Calculation 29 3 3 3 2" xfId="22275"/>
    <cellStyle name="Calculation 29 3 3 4" xfId="17162"/>
    <cellStyle name="Calculation 29 3 3_Table 2A-1_EFT (Annual)" xfId="6598"/>
    <cellStyle name="Calculation 29 3 4" xfId="2189"/>
    <cellStyle name="Calculation 29 3 4 2" xfId="5750"/>
    <cellStyle name="Calculation 29 3 4 2 2" xfId="13965"/>
    <cellStyle name="Calculation 29 3 4 2 2 2" xfId="25953"/>
    <cellStyle name="Calculation 29 3 4 2 3" xfId="20840"/>
    <cellStyle name="Calculation 29 3 4 2_Table 2A-1_EFT (Annual)" xfId="14143"/>
    <cellStyle name="Calculation 29 3 4 3" xfId="11309"/>
    <cellStyle name="Calculation 29 3 4 3 2" xfId="23407"/>
    <cellStyle name="Calculation 29 3 4 4" xfId="18294"/>
    <cellStyle name="Calculation 29 3 4_Table 2A-1_EFT (Annual)" xfId="6599"/>
    <cellStyle name="Calculation 29 3 5" xfId="4043"/>
    <cellStyle name="Calculation 29 3 5 2" xfId="12367"/>
    <cellStyle name="Calculation 29 3 5 2 2" xfId="24389"/>
    <cellStyle name="Calculation 29 3 5 3" xfId="19276"/>
    <cellStyle name="Calculation 29 3 5_Table 2A-1_EFT (Annual)" xfId="9913"/>
    <cellStyle name="Calculation 29 3 6" xfId="9706"/>
    <cellStyle name="Calculation 29 3 6 2" xfId="21843"/>
    <cellStyle name="Calculation 29 3 7" xfId="16730"/>
    <cellStyle name="Calculation 29 3_Table 2A-1_EFT (Annual)" xfId="2954"/>
    <cellStyle name="Calculation 29 4" xfId="1289"/>
    <cellStyle name="Calculation 29 4 2" xfId="2559"/>
    <cellStyle name="Calculation 29 4 2 2" xfId="6120"/>
    <cellStyle name="Calculation 29 4 2 2 2" xfId="14314"/>
    <cellStyle name="Calculation 29 4 2 2 2 2" xfId="26286"/>
    <cellStyle name="Calculation 29 4 2 2 3" xfId="21173"/>
    <cellStyle name="Calculation 29 4 2 2_Table 2A-1_EFT (Annual)" xfId="13494"/>
    <cellStyle name="Calculation 29 4 2 3" xfId="11656"/>
    <cellStyle name="Calculation 29 4 2 3 2" xfId="23740"/>
    <cellStyle name="Calculation 29 4 2 4" xfId="18627"/>
    <cellStyle name="Calculation 29 4 2_Table 2A-1_EFT (Annual)" xfId="6601"/>
    <cellStyle name="Calculation 29 4 3" xfId="4850"/>
    <cellStyle name="Calculation 29 4 3 2" xfId="13110"/>
    <cellStyle name="Calculation 29 4 3 2 2" xfId="25116"/>
    <cellStyle name="Calculation 29 4 3 3" xfId="20003"/>
    <cellStyle name="Calculation 29 4 3_Table 2A-1_EFT (Annual)" xfId="12020"/>
    <cellStyle name="Calculation 29 4 4" xfId="10454"/>
    <cellStyle name="Calculation 29 4 4 2" xfId="22570"/>
    <cellStyle name="Calculation 29 4 5" xfId="17457"/>
    <cellStyle name="Calculation 29 4_Table 2A-1_EFT (Annual)" xfId="6600"/>
    <cellStyle name="Calculation 29 5" xfId="839"/>
    <cellStyle name="Calculation 29 5 2" xfId="4400"/>
    <cellStyle name="Calculation 29 5 2 2" xfId="12674"/>
    <cellStyle name="Calculation 29 5 2 2 2" xfId="24691"/>
    <cellStyle name="Calculation 29 5 2 3" xfId="19578"/>
    <cellStyle name="Calculation 29 5 2_Table 2A-1_EFT (Annual)" xfId="14153"/>
    <cellStyle name="Calculation 29 5 3" xfId="10023"/>
    <cellStyle name="Calculation 29 5 3 2" xfId="22145"/>
    <cellStyle name="Calculation 29 5 4" xfId="17032"/>
    <cellStyle name="Calculation 29 5_Table 2A-1_EFT (Annual)" xfId="6602"/>
    <cellStyle name="Calculation 29 6" xfId="2028"/>
    <cellStyle name="Calculation 29 6 2" xfId="5589"/>
    <cellStyle name="Calculation 29 6 2 2" xfId="13804"/>
    <cellStyle name="Calculation 29 6 2 2 2" xfId="25792"/>
    <cellStyle name="Calculation 29 6 2 3" xfId="20679"/>
    <cellStyle name="Calculation 29 6 2_Table 2A-1_EFT (Annual)" xfId="9574"/>
    <cellStyle name="Calculation 29 6 3" xfId="11148"/>
    <cellStyle name="Calculation 29 6 3 2" xfId="23246"/>
    <cellStyle name="Calculation 29 6 4" xfId="18133"/>
    <cellStyle name="Calculation 29 6_Table 2A-1_EFT (Annual)" xfId="6603"/>
    <cellStyle name="Calculation 29 7" xfId="3836"/>
    <cellStyle name="Calculation 29 7 2" xfId="12199"/>
    <cellStyle name="Calculation 29 7 2 2" xfId="24228"/>
    <cellStyle name="Calculation 29 7 3" xfId="19115"/>
    <cellStyle name="Calculation 29 7_Table 2A-1_EFT (Annual)" xfId="9355"/>
    <cellStyle name="Calculation 29 8" xfId="9518"/>
    <cellStyle name="Calculation 29 8 2" xfId="21682"/>
    <cellStyle name="Calculation 29 9" xfId="16569"/>
    <cellStyle name="Calculation 29_Table 2A-1_EFT (Annual)" xfId="2952"/>
    <cellStyle name="Calculation 3" xfId="83"/>
    <cellStyle name="Calculation 3 10" xfId="21523"/>
    <cellStyle name="Calculation 3 2" xfId="482"/>
    <cellStyle name="Calculation 3 2 2" xfId="1459"/>
    <cellStyle name="Calculation 3 2 2 2" xfId="2729"/>
    <cellStyle name="Calculation 3 2 2 2 2" xfId="6290"/>
    <cellStyle name="Calculation 3 2 2 2 2 2" xfId="14484"/>
    <cellStyle name="Calculation 3 2 2 2 2 2 2" xfId="26456"/>
    <cellStyle name="Calculation 3 2 2 2 2 3" xfId="21343"/>
    <cellStyle name="Calculation 3 2 2 2 2_Table 2A-1_EFT (Annual)" xfId="12016"/>
    <cellStyle name="Calculation 3 2 2 2 3" xfId="11826"/>
    <cellStyle name="Calculation 3 2 2 2 3 2" xfId="23910"/>
    <cellStyle name="Calculation 3 2 2 2 4" xfId="18797"/>
    <cellStyle name="Calculation 3 2 2 2_Table 2A-1_EFT (Annual)" xfId="6605"/>
    <cellStyle name="Calculation 3 2 2 3" xfId="5020"/>
    <cellStyle name="Calculation 3 2 2 3 2" xfId="13280"/>
    <cellStyle name="Calculation 3 2 2 3 2 2" xfId="25286"/>
    <cellStyle name="Calculation 3 2 2 3 3" xfId="20173"/>
    <cellStyle name="Calculation 3 2 2 3_Table 2A-1_EFT (Annual)" xfId="12017"/>
    <cellStyle name="Calculation 3 2 2 4" xfId="10624"/>
    <cellStyle name="Calculation 3 2 2 4 2" xfId="22740"/>
    <cellStyle name="Calculation 3 2 2 5" xfId="17627"/>
    <cellStyle name="Calculation 3 2 2_Table 2A-1_EFT (Annual)" xfId="6604"/>
    <cellStyle name="Calculation 3 2 3" xfId="1002"/>
    <cellStyle name="Calculation 3 2 3 2" xfId="4563"/>
    <cellStyle name="Calculation 3 2 3 2 2" xfId="12823"/>
    <cellStyle name="Calculation 3 2 3 2 2 2" xfId="24829"/>
    <cellStyle name="Calculation 3 2 3 2 3" xfId="19716"/>
    <cellStyle name="Calculation 3 2 3 2_Table 2A-1_EFT (Annual)" xfId="9879"/>
    <cellStyle name="Calculation 3 2 3 3" xfId="10167"/>
    <cellStyle name="Calculation 3 2 3 3 2" xfId="22283"/>
    <cellStyle name="Calculation 3 2 3 4" xfId="17170"/>
    <cellStyle name="Calculation 3 2 3_Table 2A-1_EFT (Annual)" xfId="6606"/>
    <cellStyle name="Calculation 3 2 4" xfId="2198"/>
    <cellStyle name="Calculation 3 2 4 2" xfId="5759"/>
    <cellStyle name="Calculation 3 2 4 2 2" xfId="13974"/>
    <cellStyle name="Calculation 3 2 4 2 2 2" xfId="25962"/>
    <cellStyle name="Calculation 3 2 4 2 3" xfId="20849"/>
    <cellStyle name="Calculation 3 2 4 2_Table 2A-1_EFT (Annual)" xfId="12015"/>
    <cellStyle name="Calculation 3 2 4 3" xfId="11318"/>
    <cellStyle name="Calculation 3 2 4 3 2" xfId="23416"/>
    <cellStyle name="Calculation 3 2 4 4" xfId="18303"/>
    <cellStyle name="Calculation 3 2 4_Table 2A-1_EFT (Annual)" xfId="6607"/>
    <cellStyle name="Calculation 3 2 5" xfId="4052"/>
    <cellStyle name="Calculation 3 2 5 2" xfId="12376"/>
    <cellStyle name="Calculation 3 2 5 2 2" xfId="24398"/>
    <cellStyle name="Calculation 3 2 5 3" xfId="19285"/>
    <cellStyle name="Calculation 3 2 5_Table 2A-1_EFT (Annual)" xfId="10831"/>
    <cellStyle name="Calculation 3 2 6" xfId="9715"/>
    <cellStyle name="Calculation 3 2 6 2" xfId="21852"/>
    <cellStyle name="Calculation 3 2 7" xfId="16739"/>
    <cellStyle name="Calculation 3 2_Table 2A-1_EFT (Annual)" xfId="2956"/>
    <cellStyle name="Calculation 3 3" xfId="315"/>
    <cellStyle name="Calculation 3 3 2" xfId="1303"/>
    <cellStyle name="Calculation 3 3 2 2" xfId="2573"/>
    <cellStyle name="Calculation 3 3 2 2 2" xfId="6134"/>
    <cellStyle name="Calculation 3 3 2 2 2 2" xfId="14328"/>
    <cellStyle name="Calculation 3 3 2 2 2 2 2" xfId="26300"/>
    <cellStyle name="Calculation 3 3 2 2 2 3" xfId="21187"/>
    <cellStyle name="Calculation 3 3 2 2 2_Table 2A-1_EFT (Annual)" xfId="11493"/>
    <cellStyle name="Calculation 3 3 2 2 3" xfId="11670"/>
    <cellStyle name="Calculation 3 3 2 2 3 2" xfId="23754"/>
    <cellStyle name="Calculation 3 3 2 2 4" xfId="18641"/>
    <cellStyle name="Calculation 3 3 2 2_Table 2A-1_EFT (Annual)" xfId="6609"/>
    <cellStyle name="Calculation 3 3 2 3" xfId="4864"/>
    <cellStyle name="Calculation 3 3 2 3 2" xfId="13124"/>
    <cellStyle name="Calculation 3 3 2 3 2 2" xfId="25130"/>
    <cellStyle name="Calculation 3 3 2 3 3" xfId="20017"/>
    <cellStyle name="Calculation 3 3 2 3_Table 2A-1_EFT (Annual)" xfId="9546"/>
    <cellStyle name="Calculation 3 3 2 4" xfId="10468"/>
    <cellStyle name="Calculation 3 3 2 4 2" xfId="22584"/>
    <cellStyle name="Calculation 3 3 2 5" xfId="17471"/>
    <cellStyle name="Calculation 3 3 2_Table 2A-1_EFT (Annual)" xfId="6608"/>
    <cellStyle name="Calculation 3 3 3" xfId="865"/>
    <cellStyle name="Calculation 3 3 3 2" xfId="4426"/>
    <cellStyle name="Calculation 3 3 3 2 2" xfId="12691"/>
    <cellStyle name="Calculation 3 3 3 2 2 2" xfId="24703"/>
    <cellStyle name="Calculation 3 3 3 2 3" xfId="19590"/>
    <cellStyle name="Calculation 3 3 3 2_Table 2A-1_EFT (Annual)" xfId="12014"/>
    <cellStyle name="Calculation 3 3 3 3" xfId="10038"/>
    <cellStyle name="Calculation 3 3 3 3 2" xfId="22157"/>
    <cellStyle name="Calculation 3 3 3 4" xfId="17044"/>
    <cellStyle name="Calculation 3 3 3_Table 2A-1_EFT (Annual)" xfId="6610"/>
    <cellStyle name="Calculation 3 3 4" xfId="2042"/>
    <cellStyle name="Calculation 3 3 4 2" xfId="5603"/>
    <cellStyle name="Calculation 3 3 4 2 2" xfId="13818"/>
    <cellStyle name="Calculation 3 3 4 2 2 2" xfId="25806"/>
    <cellStyle name="Calculation 3 3 4 2 3" xfId="20693"/>
    <cellStyle name="Calculation 3 3 4 2_Table 2A-1_EFT (Annual)" xfId="12012"/>
    <cellStyle name="Calculation 3 3 4 3" xfId="11162"/>
    <cellStyle name="Calculation 3 3 4 3 2" xfId="23260"/>
    <cellStyle name="Calculation 3 3 4 4" xfId="18147"/>
    <cellStyle name="Calculation 3 3 4_Table 2A-1_EFT (Annual)" xfId="6611"/>
    <cellStyle name="Calculation 3 3 5" xfId="3885"/>
    <cellStyle name="Calculation 3 3 5 2" xfId="12217"/>
    <cellStyle name="Calculation 3 3 5 2 2" xfId="24242"/>
    <cellStyle name="Calculation 3 3 5 3" xfId="19129"/>
    <cellStyle name="Calculation 3 3 5_Table 2A-1_EFT (Annual)" xfId="12013"/>
    <cellStyle name="Calculation 3 3 6" xfId="9554"/>
    <cellStyle name="Calculation 3 3 6 2" xfId="21696"/>
    <cellStyle name="Calculation 3 3 7" xfId="16583"/>
    <cellStyle name="Calculation 3 3_Table 2A-1_EFT (Annual)" xfId="2957"/>
    <cellStyle name="Calculation 3 4" xfId="1137"/>
    <cellStyle name="Calculation 3 4 2" xfId="2407"/>
    <cellStyle name="Calculation 3 4 2 2" xfId="5968"/>
    <cellStyle name="Calculation 3 4 2 2 2" xfId="14162"/>
    <cellStyle name="Calculation 3 4 2 2 2 2" xfId="26134"/>
    <cellStyle name="Calculation 3 4 2 2 3" xfId="21021"/>
    <cellStyle name="Calculation 3 4 2 2_Table 2A-1_EFT (Annual)" xfId="12009"/>
    <cellStyle name="Calculation 3 4 2 3" xfId="11504"/>
    <cellStyle name="Calculation 3 4 2 3 2" xfId="23588"/>
    <cellStyle name="Calculation 3 4 2 4" xfId="18475"/>
    <cellStyle name="Calculation 3 4 2_Table 2A-1_EFT (Annual)" xfId="6613"/>
    <cellStyle name="Calculation 3 4 3" xfId="4698"/>
    <cellStyle name="Calculation 3 4 3 2" xfId="12958"/>
    <cellStyle name="Calculation 3 4 3 2 2" xfId="24964"/>
    <cellStyle name="Calculation 3 4 3 3" xfId="19851"/>
    <cellStyle name="Calculation 3 4 3_Table 2A-1_EFT (Annual)" xfId="12011"/>
    <cellStyle name="Calculation 3 4 4" xfId="10302"/>
    <cellStyle name="Calculation 3 4 4 2" xfId="22418"/>
    <cellStyle name="Calculation 3 4 5" xfId="17305"/>
    <cellStyle name="Calculation 3 4_Table 2A-1_EFT (Annual)" xfId="6612"/>
    <cellStyle name="Calculation 3 5" xfId="706"/>
    <cellStyle name="Calculation 3 5 2" xfId="4267"/>
    <cellStyle name="Calculation 3 5 2 2" xfId="12551"/>
    <cellStyle name="Calculation 3 5 2 2 2" xfId="24569"/>
    <cellStyle name="Calculation 3 5 2 3" xfId="19456"/>
    <cellStyle name="Calculation 3 5 2_Table 2A-1_EFT (Annual)" xfId="12010"/>
    <cellStyle name="Calculation 3 5 3" xfId="9898"/>
    <cellStyle name="Calculation 3 5 3 2" xfId="22023"/>
    <cellStyle name="Calculation 3 5 4" xfId="16910"/>
    <cellStyle name="Calculation 3 5_Table 2A-1_EFT (Annual)" xfId="6614"/>
    <cellStyle name="Calculation 3 6" xfId="1876"/>
    <cellStyle name="Calculation 3 6 2" xfId="5437"/>
    <cellStyle name="Calculation 3 6 2 2" xfId="13652"/>
    <cellStyle name="Calculation 3 6 2 2 2" xfId="25640"/>
    <cellStyle name="Calculation 3 6 2 3" xfId="20527"/>
    <cellStyle name="Calculation 3 6 2_Table 2A-1_EFT (Annual)" xfId="14152"/>
    <cellStyle name="Calculation 3 6 3" xfId="10996"/>
    <cellStyle name="Calculation 3 6 3 2" xfId="23094"/>
    <cellStyle name="Calculation 3 6 4" xfId="17981"/>
    <cellStyle name="Calculation 3 6_Table 2A-1_EFT (Annual)" xfId="6615"/>
    <cellStyle name="Calculation 3 7" xfId="3672"/>
    <cellStyle name="Calculation 3 7 2" xfId="12045"/>
    <cellStyle name="Calculation 3 7 2 2" xfId="24076"/>
    <cellStyle name="Calculation 3 7 3" xfId="18963"/>
    <cellStyle name="Calculation 3 7_Table 2A-1_EFT (Annual)" xfId="10053"/>
    <cellStyle name="Calculation 3 8" xfId="9362"/>
    <cellStyle name="Calculation 3 8 2" xfId="21530"/>
    <cellStyle name="Calculation 3 9" xfId="16417"/>
    <cellStyle name="Calculation 3_Table 2A-1_EFT (Annual)" xfId="2955"/>
    <cellStyle name="Calculation 30" xfId="244"/>
    <cellStyle name="Calculation 30 2" xfId="631"/>
    <cellStyle name="Calculation 30 2 2" xfId="1608"/>
    <cellStyle name="Calculation 30 2 2 2" xfId="2878"/>
    <cellStyle name="Calculation 30 2 2 2 2" xfId="6439"/>
    <cellStyle name="Calculation 30 2 2 2 2 2" xfId="14633"/>
    <cellStyle name="Calculation 30 2 2 2 2 2 2" xfId="26605"/>
    <cellStyle name="Calculation 30 2 2 2 2 3" xfId="21492"/>
    <cellStyle name="Calculation 30 2 2 2 2_Table 2A-1_EFT (Annual)" xfId="12008"/>
    <cellStyle name="Calculation 30 2 2 2 3" xfId="11975"/>
    <cellStyle name="Calculation 30 2 2 2 3 2" xfId="24059"/>
    <cellStyle name="Calculation 30 2 2 2 4" xfId="18946"/>
    <cellStyle name="Calculation 30 2 2 2_Table 2A-1_EFT (Annual)" xfId="6617"/>
    <cellStyle name="Calculation 30 2 2 3" xfId="5169"/>
    <cellStyle name="Calculation 30 2 2 3 2" xfId="13429"/>
    <cellStyle name="Calculation 30 2 2 3 2 2" xfId="25435"/>
    <cellStyle name="Calculation 30 2 2 3 3" xfId="20322"/>
    <cellStyle name="Calculation 30 2 2 3_Table 2A-1_EFT (Annual)" xfId="10789"/>
    <cellStyle name="Calculation 30 2 2 4" xfId="10773"/>
    <cellStyle name="Calculation 30 2 2 4 2" xfId="22889"/>
    <cellStyle name="Calculation 30 2 2 5" xfId="17776"/>
    <cellStyle name="Calculation 30 2 2_Table 2A-1_EFT (Annual)" xfId="6616"/>
    <cellStyle name="Calculation 30 2 3" xfId="1121"/>
    <cellStyle name="Calculation 30 2 3 2" xfId="4682"/>
    <cellStyle name="Calculation 30 2 3 2 2" xfId="12942"/>
    <cellStyle name="Calculation 30 2 3 2 2 2" xfId="24948"/>
    <cellStyle name="Calculation 30 2 3 2 3" xfId="19835"/>
    <cellStyle name="Calculation 30 2 3 2_Table 2A-1_EFT (Annual)" xfId="12007"/>
    <cellStyle name="Calculation 30 2 3 3" xfId="10286"/>
    <cellStyle name="Calculation 30 2 3 3 2" xfId="22402"/>
    <cellStyle name="Calculation 30 2 3 4" xfId="17289"/>
    <cellStyle name="Calculation 30 2 3_Table 2A-1_EFT (Annual)" xfId="6618"/>
    <cellStyle name="Calculation 30 2 4" xfId="2347"/>
    <cellStyle name="Calculation 30 2 4 2" xfId="5908"/>
    <cellStyle name="Calculation 30 2 4 2 2" xfId="14123"/>
    <cellStyle name="Calculation 30 2 4 2 2 2" xfId="26111"/>
    <cellStyle name="Calculation 30 2 4 2 3" xfId="20998"/>
    <cellStyle name="Calculation 30 2 4 2_Table 2A-1_EFT (Annual)" xfId="9878"/>
    <cellStyle name="Calculation 30 2 4 3" xfId="11467"/>
    <cellStyle name="Calculation 30 2 4 3 2" xfId="23565"/>
    <cellStyle name="Calculation 30 2 4 4" xfId="18452"/>
    <cellStyle name="Calculation 30 2 4_Table 2A-1_EFT (Annual)" xfId="6619"/>
    <cellStyle name="Calculation 30 2 5" xfId="4201"/>
    <cellStyle name="Calculation 30 2 5 2" xfId="12525"/>
    <cellStyle name="Calculation 30 2 5 2 2" xfId="24547"/>
    <cellStyle name="Calculation 30 2 5 3" xfId="19434"/>
    <cellStyle name="Calculation 30 2 5_Table 2A-1_EFT (Annual)" xfId="12211"/>
    <cellStyle name="Calculation 30 2 6" xfId="9864"/>
    <cellStyle name="Calculation 30 2 6 2" xfId="22001"/>
    <cellStyle name="Calculation 30 2 7" xfId="16888"/>
    <cellStyle name="Calculation 30 2_Table 2A-1_EFT (Annual)" xfId="2959"/>
    <cellStyle name="Calculation 30 3" xfId="470"/>
    <cellStyle name="Calculation 30 3 2" xfId="1447"/>
    <cellStyle name="Calculation 30 3 2 2" xfId="2717"/>
    <cellStyle name="Calculation 30 3 2 2 2" xfId="6278"/>
    <cellStyle name="Calculation 30 3 2 2 2 2" xfId="14472"/>
    <cellStyle name="Calculation 30 3 2 2 2 2 2" xfId="26444"/>
    <cellStyle name="Calculation 30 3 2 2 2 3" xfId="21331"/>
    <cellStyle name="Calculation 30 3 2 2 2_Table 2A-1_EFT (Annual)" xfId="12684"/>
    <cellStyle name="Calculation 30 3 2 2 3" xfId="11814"/>
    <cellStyle name="Calculation 30 3 2 2 3 2" xfId="23898"/>
    <cellStyle name="Calculation 30 3 2 2 4" xfId="18785"/>
    <cellStyle name="Calculation 30 3 2 2_Table 2A-1_EFT (Annual)" xfId="6621"/>
    <cellStyle name="Calculation 30 3 2 3" xfId="5008"/>
    <cellStyle name="Calculation 30 3 2 3 2" xfId="13268"/>
    <cellStyle name="Calculation 30 3 2 3 2 2" xfId="25274"/>
    <cellStyle name="Calculation 30 3 2 3 3" xfId="20161"/>
    <cellStyle name="Calculation 30 3 2 3_Table 2A-1_EFT (Annual)" xfId="14147"/>
    <cellStyle name="Calculation 30 3 2 4" xfId="10612"/>
    <cellStyle name="Calculation 30 3 2 4 2" xfId="22728"/>
    <cellStyle name="Calculation 30 3 2 5" xfId="17615"/>
    <cellStyle name="Calculation 30 3 2_Table 2A-1_EFT (Annual)" xfId="6620"/>
    <cellStyle name="Calculation 30 3 3" xfId="991"/>
    <cellStyle name="Calculation 30 3 3 2" xfId="4552"/>
    <cellStyle name="Calculation 30 3 3 2 2" xfId="12812"/>
    <cellStyle name="Calculation 30 3 3 2 2 2" xfId="24818"/>
    <cellStyle name="Calculation 30 3 3 2 3" xfId="19705"/>
    <cellStyle name="Calculation 30 3 3 2_Table 2A-1_EFT (Annual)" xfId="9545"/>
    <cellStyle name="Calculation 30 3 3 3" xfId="10156"/>
    <cellStyle name="Calculation 30 3 3 3 2" xfId="22272"/>
    <cellStyle name="Calculation 30 3 3 4" xfId="17159"/>
    <cellStyle name="Calculation 30 3 3_Table 2A-1_EFT (Annual)" xfId="6622"/>
    <cellStyle name="Calculation 30 3 4" xfId="2186"/>
    <cellStyle name="Calculation 30 3 4 2" xfId="5747"/>
    <cellStyle name="Calculation 30 3 4 2 2" xfId="13962"/>
    <cellStyle name="Calculation 30 3 4 2 2 2" xfId="25950"/>
    <cellStyle name="Calculation 30 3 4 2 3" xfId="20837"/>
    <cellStyle name="Calculation 30 3 4 2_Table 2A-1_EFT (Annual)" xfId="12006"/>
    <cellStyle name="Calculation 30 3 4 3" xfId="11306"/>
    <cellStyle name="Calculation 30 3 4 3 2" xfId="23404"/>
    <cellStyle name="Calculation 30 3 4 4" xfId="18291"/>
    <cellStyle name="Calculation 30 3 4_Table 2A-1_EFT (Annual)" xfId="6623"/>
    <cellStyle name="Calculation 30 3 5" xfId="4040"/>
    <cellStyle name="Calculation 30 3 5 2" xfId="12364"/>
    <cellStyle name="Calculation 30 3 5 2 2" xfId="24386"/>
    <cellStyle name="Calculation 30 3 5 3" xfId="19273"/>
    <cellStyle name="Calculation 30 3 5_Table 2A-1_EFT (Annual)" xfId="10800"/>
    <cellStyle name="Calculation 30 3 6" xfId="9703"/>
    <cellStyle name="Calculation 30 3 6 2" xfId="21840"/>
    <cellStyle name="Calculation 30 3 7" xfId="16727"/>
    <cellStyle name="Calculation 30 3_Table 2A-1_EFT (Annual)" xfId="2960"/>
    <cellStyle name="Calculation 30 4" xfId="1286"/>
    <cellStyle name="Calculation 30 4 2" xfId="2556"/>
    <cellStyle name="Calculation 30 4 2 2" xfId="6117"/>
    <cellStyle name="Calculation 30 4 2 2 2" xfId="14311"/>
    <cellStyle name="Calculation 30 4 2 2 2 2" xfId="26283"/>
    <cellStyle name="Calculation 30 4 2 2 3" xfId="21170"/>
    <cellStyle name="Calculation 30 4 2 2_Table 2A-1_EFT (Annual)" xfId="14142"/>
    <cellStyle name="Calculation 30 4 2 3" xfId="11653"/>
    <cellStyle name="Calculation 30 4 2 3 2" xfId="23737"/>
    <cellStyle name="Calculation 30 4 2 4" xfId="18624"/>
    <cellStyle name="Calculation 30 4 2_Table 2A-1_EFT (Annual)" xfId="6625"/>
    <cellStyle name="Calculation 30 4 3" xfId="4847"/>
    <cellStyle name="Calculation 30 4 3 2" xfId="13107"/>
    <cellStyle name="Calculation 30 4 3 2 2" xfId="25113"/>
    <cellStyle name="Calculation 30 4 3 3" xfId="20000"/>
    <cellStyle name="Calculation 30 4 3_Table 2A-1_EFT (Annual)" xfId="9912"/>
    <cellStyle name="Calculation 30 4 4" xfId="10451"/>
    <cellStyle name="Calculation 30 4 4 2" xfId="22567"/>
    <cellStyle name="Calculation 30 4 5" xfId="17454"/>
    <cellStyle name="Calculation 30 4_Table 2A-1_EFT (Annual)" xfId="6624"/>
    <cellStyle name="Calculation 30 5" xfId="836"/>
    <cellStyle name="Calculation 30 5 2" xfId="4397"/>
    <cellStyle name="Calculation 30 5 2 2" xfId="12671"/>
    <cellStyle name="Calculation 30 5 2 2 2" xfId="24688"/>
    <cellStyle name="Calculation 30 5 2 3" xfId="19575"/>
    <cellStyle name="Calculation 30 5 2_Table 2A-1_EFT (Annual)" xfId="12005"/>
    <cellStyle name="Calculation 30 5 3" xfId="10020"/>
    <cellStyle name="Calculation 30 5 3 2" xfId="22142"/>
    <cellStyle name="Calculation 30 5 4" xfId="17029"/>
    <cellStyle name="Calculation 30 5_Table 2A-1_EFT (Annual)" xfId="6626"/>
    <cellStyle name="Calculation 30 6" xfId="2025"/>
    <cellStyle name="Calculation 30 6 2" xfId="5586"/>
    <cellStyle name="Calculation 30 6 2 2" xfId="13801"/>
    <cellStyle name="Calculation 30 6 2 2 2" xfId="25789"/>
    <cellStyle name="Calculation 30 6 2 3" xfId="20676"/>
    <cellStyle name="Calculation 30 6 2_Table 2A-1_EFT (Annual)" xfId="12003"/>
    <cellStyle name="Calculation 30 6 3" xfId="11145"/>
    <cellStyle name="Calculation 30 6 3 2" xfId="23243"/>
    <cellStyle name="Calculation 30 6 4" xfId="18130"/>
    <cellStyle name="Calculation 30 6_Table 2A-1_EFT (Annual)" xfId="6627"/>
    <cellStyle name="Calculation 30 7" xfId="3833"/>
    <cellStyle name="Calculation 30 7 2" xfId="12196"/>
    <cellStyle name="Calculation 30 7 2 2" xfId="24225"/>
    <cellStyle name="Calculation 30 7 3" xfId="19112"/>
    <cellStyle name="Calculation 30 7_Table 2A-1_EFT (Annual)" xfId="12004"/>
    <cellStyle name="Calculation 30 8" xfId="9515"/>
    <cellStyle name="Calculation 30 8 2" xfId="21679"/>
    <cellStyle name="Calculation 30 9" xfId="16566"/>
    <cellStyle name="Calculation 30_Table 2A-1_EFT (Annual)" xfId="2958"/>
    <cellStyle name="Calculation 31" xfId="192"/>
    <cellStyle name="Calculation 31 2" xfId="585"/>
    <cellStyle name="Calculation 31 2 2" xfId="1562"/>
    <cellStyle name="Calculation 31 2 2 2" xfId="2832"/>
    <cellStyle name="Calculation 31 2 2 2 2" xfId="6393"/>
    <cellStyle name="Calculation 31 2 2 2 2 2" xfId="14587"/>
    <cellStyle name="Calculation 31 2 2 2 2 2 2" xfId="26559"/>
    <cellStyle name="Calculation 31 2 2 2 2 3" xfId="21446"/>
    <cellStyle name="Calculation 31 2 2 2 2_Table 2A-1_EFT (Annual)" xfId="9354"/>
    <cellStyle name="Calculation 31 2 2 2 3" xfId="11929"/>
    <cellStyle name="Calculation 31 2 2 2 3 2" xfId="24013"/>
    <cellStyle name="Calculation 31 2 2 2 4" xfId="18900"/>
    <cellStyle name="Calculation 31 2 2 2_Table 2A-1_EFT (Annual)" xfId="6629"/>
    <cellStyle name="Calculation 31 2 2 3" xfId="5123"/>
    <cellStyle name="Calculation 31 2 2 3 2" xfId="13383"/>
    <cellStyle name="Calculation 31 2 2 3 2 2" xfId="25389"/>
    <cellStyle name="Calculation 31 2 2 3 3" xfId="20276"/>
    <cellStyle name="Calculation 31 2 2 3_Table 2A-1_EFT (Annual)" xfId="12002"/>
    <cellStyle name="Calculation 31 2 2 4" xfId="10727"/>
    <cellStyle name="Calculation 31 2 2 4 2" xfId="22843"/>
    <cellStyle name="Calculation 31 2 2 5" xfId="17730"/>
    <cellStyle name="Calculation 31 2 2_Table 2A-1_EFT (Annual)" xfId="6628"/>
    <cellStyle name="Calculation 31 2 3" xfId="1084"/>
    <cellStyle name="Calculation 31 2 3 2" xfId="4645"/>
    <cellStyle name="Calculation 31 2 3 2 2" xfId="12905"/>
    <cellStyle name="Calculation 31 2 3 2 2 2" xfId="24911"/>
    <cellStyle name="Calculation 31 2 3 2 3" xfId="19798"/>
    <cellStyle name="Calculation 31 2 3 2_Table 2A-1_EFT (Annual)" xfId="9356"/>
    <cellStyle name="Calculation 31 2 3 3" xfId="10249"/>
    <cellStyle name="Calculation 31 2 3 3 2" xfId="22365"/>
    <cellStyle name="Calculation 31 2 3 4" xfId="17252"/>
    <cellStyle name="Calculation 31 2 3_Table 2A-1_EFT (Annual)" xfId="6630"/>
    <cellStyle name="Calculation 31 2 4" xfId="2301"/>
    <cellStyle name="Calculation 31 2 4 2" xfId="5862"/>
    <cellStyle name="Calculation 31 2 4 2 2" xfId="14077"/>
    <cellStyle name="Calculation 31 2 4 2 2 2" xfId="26065"/>
    <cellStyle name="Calculation 31 2 4 2 3" xfId="20952"/>
    <cellStyle name="Calculation 31 2 4 2_Table 2A-1_EFT (Annual)" xfId="13443"/>
    <cellStyle name="Calculation 31 2 4 3" xfId="11421"/>
    <cellStyle name="Calculation 31 2 4 3 2" xfId="23519"/>
    <cellStyle name="Calculation 31 2 4 4" xfId="18406"/>
    <cellStyle name="Calculation 31 2 4_Table 2A-1_EFT (Annual)" xfId="6631"/>
    <cellStyle name="Calculation 31 2 5" xfId="4155"/>
    <cellStyle name="Calculation 31 2 5 2" xfId="12479"/>
    <cellStyle name="Calculation 31 2 5 2 2" xfId="24501"/>
    <cellStyle name="Calculation 31 2 5 3" xfId="19388"/>
    <cellStyle name="Calculation 31 2 5_Table 2A-1_EFT (Annual)" xfId="11481"/>
    <cellStyle name="Calculation 31 2 6" xfId="9818"/>
    <cellStyle name="Calculation 31 2 6 2" xfId="21955"/>
    <cellStyle name="Calculation 31 2 7" xfId="16842"/>
    <cellStyle name="Calculation 31 2_Table 2A-1_EFT (Annual)" xfId="2962"/>
    <cellStyle name="Calculation 31 3" xfId="422"/>
    <cellStyle name="Calculation 31 3 2" xfId="1405"/>
    <cellStyle name="Calculation 31 3 2 2" xfId="2675"/>
    <cellStyle name="Calculation 31 3 2 2 2" xfId="6236"/>
    <cellStyle name="Calculation 31 3 2 2 2 2" xfId="14430"/>
    <cellStyle name="Calculation 31 3 2 2 2 2 2" xfId="26402"/>
    <cellStyle name="Calculation 31 3 2 2 2 3" xfId="21289"/>
    <cellStyle name="Calculation 31 3 2 2 2_Table 2A-1_EFT (Annual)" xfId="13483"/>
    <cellStyle name="Calculation 31 3 2 2 3" xfId="11772"/>
    <cellStyle name="Calculation 31 3 2 2 3 2" xfId="23856"/>
    <cellStyle name="Calculation 31 3 2 2 4" xfId="18743"/>
    <cellStyle name="Calculation 31 3 2 2_Table 2A-1_EFT (Annual)" xfId="6633"/>
    <cellStyle name="Calculation 31 3 2 3" xfId="4966"/>
    <cellStyle name="Calculation 31 3 2 3 2" xfId="13226"/>
    <cellStyle name="Calculation 31 3 2 3 2 2" xfId="25232"/>
    <cellStyle name="Calculation 31 3 2 3 3" xfId="20119"/>
    <cellStyle name="Calculation 31 3 2 3_Table 2A-1_EFT (Annual)" xfId="12001"/>
    <cellStyle name="Calculation 31 3 2 4" xfId="10570"/>
    <cellStyle name="Calculation 31 3 2 4 2" xfId="22686"/>
    <cellStyle name="Calculation 31 3 2 5" xfId="17573"/>
    <cellStyle name="Calculation 31 3 2_Table 2A-1_EFT (Annual)" xfId="6632"/>
    <cellStyle name="Calculation 31 3 3" xfId="951"/>
    <cellStyle name="Calculation 31 3 3 2" xfId="4512"/>
    <cellStyle name="Calculation 31 3 3 2 2" xfId="12774"/>
    <cellStyle name="Calculation 31 3 3 2 2 2" xfId="24784"/>
    <cellStyle name="Calculation 31 3 3 2 3" xfId="19671"/>
    <cellStyle name="Calculation 31 3 3 2_Table 2A-1_EFT (Annual)" xfId="14146"/>
    <cellStyle name="Calculation 31 3 3 3" xfId="10121"/>
    <cellStyle name="Calculation 31 3 3 3 2" xfId="22238"/>
    <cellStyle name="Calculation 31 3 3 4" xfId="17125"/>
    <cellStyle name="Calculation 31 3 3_Table 2A-1_EFT (Annual)" xfId="6634"/>
    <cellStyle name="Calculation 31 3 4" xfId="2144"/>
    <cellStyle name="Calculation 31 3 4 2" xfId="5705"/>
    <cellStyle name="Calculation 31 3 4 2 2" xfId="13920"/>
    <cellStyle name="Calculation 31 3 4 2 2 2" xfId="25908"/>
    <cellStyle name="Calculation 31 3 4 2 3" xfId="20795"/>
    <cellStyle name="Calculation 31 3 4 2_Table 2A-1_EFT (Annual)" xfId="9524"/>
    <cellStyle name="Calculation 31 3 4 3" xfId="11264"/>
    <cellStyle name="Calculation 31 3 4 3 2" xfId="23362"/>
    <cellStyle name="Calculation 31 3 4 4" xfId="18249"/>
    <cellStyle name="Calculation 31 3 4_Table 2A-1_EFT (Annual)" xfId="6635"/>
    <cellStyle name="Calculation 31 3 5" xfId="3992"/>
    <cellStyle name="Calculation 31 3 5 2" xfId="12320"/>
    <cellStyle name="Calculation 31 3 5 2 2" xfId="24344"/>
    <cellStyle name="Calculation 31 3 5 3" xfId="19231"/>
    <cellStyle name="Calculation 31 3 5_Table 2A-1_EFT (Annual)" xfId="11997"/>
    <cellStyle name="Calculation 31 3 6" xfId="9657"/>
    <cellStyle name="Calculation 31 3 6 2" xfId="21798"/>
    <cellStyle name="Calculation 31 3 7" xfId="16685"/>
    <cellStyle name="Calculation 31 3_Table 2A-1_EFT (Annual)" xfId="2963"/>
    <cellStyle name="Calculation 31 4" xfId="1240"/>
    <cellStyle name="Calculation 31 4 2" xfId="2510"/>
    <cellStyle name="Calculation 31 4 2 2" xfId="6071"/>
    <cellStyle name="Calculation 31 4 2 2 2" xfId="14265"/>
    <cellStyle name="Calculation 31 4 2 2 2 2" xfId="26237"/>
    <cellStyle name="Calculation 31 4 2 2 3" xfId="21124"/>
    <cellStyle name="Calculation 31 4 2 2_Table 2A-1_EFT (Annual)" xfId="10792"/>
    <cellStyle name="Calculation 31 4 2 3" xfId="11607"/>
    <cellStyle name="Calculation 31 4 2 3 2" xfId="23691"/>
    <cellStyle name="Calculation 31 4 2 4" xfId="18578"/>
    <cellStyle name="Calculation 31 4 2_Table 2A-1_EFT (Annual)" xfId="6637"/>
    <cellStyle name="Calculation 31 4 3" xfId="4801"/>
    <cellStyle name="Calculation 31 4 3 2" xfId="13061"/>
    <cellStyle name="Calculation 31 4 3 2 2" xfId="25067"/>
    <cellStyle name="Calculation 31 4 3 3" xfId="19954"/>
    <cellStyle name="Calculation 31 4 3_Table 2A-1_EFT (Annual)" xfId="12542"/>
    <cellStyle name="Calculation 31 4 4" xfId="10405"/>
    <cellStyle name="Calculation 31 4 4 2" xfId="22521"/>
    <cellStyle name="Calculation 31 4 5" xfId="17408"/>
    <cellStyle name="Calculation 31 4_Table 2A-1_EFT (Annual)" xfId="6636"/>
    <cellStyle name="Calculation 31 5" xfId="793"/>
    <cellStyle name="Calculation 31 5 2" xfId="4354"/>
    <cellStyle name="Calculation 31 5 2 2" xfId="12634"/>
    <cellStyle name="Calculation 31 5 2 2 2" xfId="24651"/>
    <cellStyle name="Calculation 31 5 2 3" xfId="19538"/>
    <cellStyle name="Calculation 31 5 2_Table 2A-1_EFT (Annual)" xfId="10898"/>
    <cellStyle name="Calculation 31 5 3" xfId="9982"/>
    <cellStyle name="Calculation 31 5 3 2" xfId="22105"/>
    <cellStyle name="Calculation 31 5 4" xfId="16992"/>
    <cellStyle name="Calculation 31 5_Table 2A-1_EFT (Annual)" xfId="6638"/>
    <cellStyle name="Calculation 31 6" xfId="1979"/>
    <cellStyle name="Calculation 31 6 2" xfId="5540"/>
    <cellStyle name="Calculation 31 6 2 2" xfId="13755"/>
    <cellStyle name="Calculation 31 6 2 2 2" xfId="25743"/>
    <cellStyle name="Calculation 31 6 2 3" xfId="20630"/>
    <cellStyle name="Calculation 31 6 2_Table 2A-1_EFT (Annual)" xfId="12213"/>
    <cellStyle name="Calculation 31 6 3" xfId="11099"/>
    <cellStyle name="Calculation 31 6 3 2" xfId="23197"/>
    <cellStyle name="Calculation 31 6 4" xfId="18084"/>
    <cellStyle name="Calculation 31 6_Table 2A-1_EFT (Annual)" xfId="6639"/>
    <cellStyle name="Calculation 31 7" xfId="3781"/>
    <cellStyle name="Calculation 31 7 2" xfId="12149"/>
    <cellStyle name="Calculation 31 7 2 2" xfId="24179"/>
    <cellStyle name="Calculation 31 7 3" xfId="19066"/>
    <cellStyle name="Calculation 31 7_Table 2A-1_EFT (Annual)" xfId="13486"/>
    <cellStyle name="Calculation 31 8" xfId="9468"/>
    <cellStyle name="Calculation 31 8 2" xfId="21633"/>
    <cellStyle name="Calculation 31 9" xfId="16520"/>
    <cellStyle name="Calculation 31_Table 2A-1_EFT (Annual)" xfId="2961"/>
    <cellStyle name="Calculation 32" xfId="248"/>
    <cellStyle name="Calculation 32 2" xfId="635"/>
    <cellStyle name="Calculation 32 2 2" xfId="1612"/>
    <cellStyle name="Calculation 32 2 2 2" xfId="2882"/>
    <cellStyle name="Calculation 32 2 2 2 2" xfId="6443"/>
    <cellStyle name="Calculation 32 2 2 2 2 2" xfId="14637"/>
    <cellStyle name="Calculation 32 2 2 2 2 2 2" xfId="26609"/>
    <cellStyle name="Calculation 32 2 2 2 2 3" xfId="21496"/>
    <cellStyle name="Calculation 32 2 2 2 2_Table 2A-1_EFT (Annual)" xfId="11496"/>
    <cellStyle name="Calculation 32 2 2 2 3" xfId="11979"/>
    <cellStyle name="Calculation 32 2 2 2 3 2" xfId="24063"/>
    <cellStyle name="Calculation 32 2 2 2 4" xfId="18950"/>
    <cellStyle name="Calculation 32 2 2 2_Table 2A-1_EFT (Annual)" xfId="6641"/>
    <cellStyle name="Calculation 32 2 2 3" xfId="5173"/>
    <cellStyle name="Calculation 32 2 2 3 2" xfId="13433"/>
    <cellStyle name="Calculation 32 2 2 3 2 2" xfId="25439"/>
    <cellStyle name="Calculation 32 2 2 3 3" xfId="20326"/>
    <cellStyle name="Calculation 32 2 2 3_Table 2A-1_EFT (Annual)" xfId="9550"/>
    <cellStyle name="Calculation 32 2 2 4" xfId="10777"/>
    <cellStyle name="Calculation 32 2 2 4 2" xfId="22893"/>
    <cellStyle name="Calculation 32 2 2 5" xfId="17780"/>
    <cellStyle name="Calculation 32 2 2_Table 2A-1_EFT (Annual)" xfId="6640"/>
    <cellStyle name="Calculation 32 2 3" xfId="1125"/>
    <cellStyle name="Calculation 32 2 3 2" xfId="4686"/>
    <cellStyle name="Calculation 32 2 3 2 2" xfId="12946"/>
    <cellStyle name="Calculation 32 2 3 2 2 2" xfId="24952"/>
    <cellStyle name="Calculation 32 2 3 2 3" xfId="19839"/>
    <cellStyle name="Calculation 32 2 3 2_Table 2A-1_EFT (Annual)" xfId="12000"/>
    <cellStyle name="Calculation 32 2 3 3" xfId="10290"/>
    <cellStyle name="Calculation 32 2 3 3 2" xfId="22406"/>
    <cellStyle name="Calculation 32 2 3 4" xfId="17293"/>
    <cellStyle name="Calculation 32 2 3_Table 2A-1_EFT (Annual)" xfId="6642"/>
    <cellStyle name="Calculation 32 2 4" xfId="2351"/>
    <cellStyle name="Calculation 32 2 4 2" xfId="5912"/>
    <cellStyle name="Calculation 32 2 4 2 2" xfId="14127"/>
    <cellStyle name="Calculation 32 2 4 2 2 2" xfId="26115"/>
    <cellStyle name="Calculation 32 2 4 2 3" xfId="21002"/>
    <cellStyle name="Calculation 32 2 4 2_Table 2A-1_EFT (Annual)" xfId="11998"/>
    <cellStyle name="Calculation 32 2 4 3" xfId="11471"/>
    <cellStyle name="Calculation 32 2 4 3 2" xfId="23569"/>
    <cellStyle name="Calculation 32 2 4 4" xfId="18456"/>
    <cellStyle name="Calculation 32 2 4_Table 2A-1_EFT (Annual)" xfId="6643"/>
    <cellStyle name="Calculation 32 2 5" xfId="4205"/>
    <cellStyle name="Calculation 32 2 5 2" xfId="12529"/>
    <cellStyle name="Calculation 32 2 5 2 2" xfId="24551"/>
    <cellStyle name="Calculation 32 2 5 3" xfId="19438"/>
    <cellStyle name="Calculation 32 2 5_Table 2A-1_EFT (Annual)" xfId="11999"/>
    <cellStyle name="Calculation 32 2 6" xfId="9868"/>
    <cellStyle name="Calculation 32 2 6 2" xfId="22005"/>
    <cellStyle name="Calculation 32 2 7" xfId="16892"/>
    <cellStyle name="Calculation 32 2_Table 2A-1_EFT (Annual)" xfId="2965"/>
    <cellStyle name="Calculation 32 3" xfId="474"/>
    <cellStyle name="Calculation 32 3 2" xfId="1451"/>
    <cellStyle name="Calculation 32 3 2 2" xfId="2721"/>
    <cellStyle name="Calculation 32 3 2 2 2" xfId="6282"/>
    <cellStyle name="Calculation 32 3 2 2 2 2" xfId="14476"/>
    <cellStyle name="Calculation 32 3 2 2 2 2 2" xfId="26448"/>
    <cellStyle name="Calculation 32 3 2 2 2 3" xfId="21335"/>
    <cellStyle name="Calculation 32 3 2 2 2_Table 2A-1_EFT (Annual)" xfId="12352"/>
    <cellStyle name="Calculation 32 3 2 2 3" xfId="11818"/>
    <cellStyle name="Calculation 32 3 2 2 3 2" xfId="23902"/>
    <cellStyle name="Calculation 32 3 2 2 4" xfId="18789"/>
    <cellStyle name="Calculation 32 3 2 2_Table 2A-1_EFT (Annual)" xfId="6645"/>
    <cellStyle name="Calculation 32 3 2 3" xfId="5012"/>
    <cellStyle name="Calculation 32 3 2 3 2" xfId="13272"/>
    <cellStyle name="Calculation 32 3 2 3 2 2" xfId="25278"/>
    <cellStyle name="Calculation 32 3 2 3 3" xfId="20165"/>
    <cellStyle name="Calculation 32 3 2 3_Table 2A-1_EFT (Annual)" xfId="13516"/>
    <cellStyle name="Calculation 32 3 2 4" xfId="10616"/>
    <cellStyle name="Calculation 32 3 2 4 2" xfId="22732"/>
    <cellStyle name="Calculation 32 3 2 5" xfId="17619"/>
    <cellStyle name="Calculation 32 3 2_Table 2A-1_EFT (Annual)" xfId="6644"/>
    <cellStyle name="Calculation 32 3 3" xfId="995"/>
    <cellStyle name="Calculation 32 3 3 2" xfId="4556"/>
    <cellStyle name="Calculation 32 3 3 2 2" xfId="12816"/>
    <cellStyle name="Calculation 32 3 3 2 2 2" xfId="24822"/>
    <cellStyle name="Calculation 32 3 3 2 3" xfId="19709"/>
    <cellStyle name="Calculation 32 3 3 2_Table 2A-1_EFT (Annual)" xfId="12803"/>
    <cellStyle name="Calculation 32 3 3 3" xfId="10160"/>
    <cellStyle name="Calculation 32 3 3 3 2" xfId="22276"/>
    <cellStyle name="Calculation 32 3 3 4" xfId="17163"/>
    <cellStyle name="Calculation 32 3 3_Table 2A-1_EFT (Annual)" xfId="6646"/>
    <cellStyle name="Calculation 32 3 4" xfId="2190"/>
    <cellStyle name="Calculation 32 3 4 2" xfId="5751"/>
    <cellStyle name="Calculation 32 3 4 2 2" xfId="13966"/>
    <cellStyle name="Calculation 32 3 4 2 2 2" xfId="25954"/>
    <cellStyle name="Calculation 32 3 4 2 3" xfId="20841"/>
    <cellStyle name="Calculation 32 3 4 2_Table 2A-1_EFT (Annual)" xfId="11499"/>
    <cellStyle name="Calculation 32 3 4 3" xfId="11310"/>
    <cellStyle name="Calculation 32 3 4 3 2" xfId="23408"/>
    <cellStyle name="Calculation 32 3 4 4" xfId="18295"/>
    <cellStyle name="Calculation 32 3 4_Table 2A-1_EFT (Annual)" xfId="6647"/>
    <cellStyle name="Calculation 32 3 5" xfId="4044"/>
    <cellStyle name="Calculation 32 3 5 2" xfId="12368"/>
    <cellStyle name="Calculation 32 3 5 2 2" xfId="24390"/>
    <cellStyle name="Calculation 32 3 5 3" xfId="19277"/>
    <cellStyle name="Calculation 32 3 5_Table 2A-1_EFT (Annual)" xfId="9691"/>
    <cellStyle name="Calculation 32 3 6" xfId="9707"/>
    <cellStyle name="Calculation 32 3 6 2" xfId="21844"/>
    <cellStyle name="Calculation 32 3 7" xfId="16731"/>
    <cellStyle name="Calculation 32 3_Table 2A-1_EFT (Annual)" xfId="2966"/>
    <cellStyle name="Calculation 32 4" xfId="1290"/>
    <cellStyle name="Calculation 32 4 2" xfId="2560"/>
    <cellStyle name="Calculation 32 4 2 2" xfId="6121"/>
    <cellStyle name="Calculation 32 4 2 2 2" xfId="14315"/>
    <cellStyle name="Calculation 32 4 2 2 2 2" xfId="26287"/>
    <cellStyle name="Calculation 32 4 2 2 3" xfId="21174"/>
    <cellStyle name="Calculation 32 4 2 2_Table 2A-1_EFT (Annual)" xfId="12040"/>
    <cellStyle name="Calculation 32 4 2 3" xfId="11657"/>
    <cellStyle name="Calculation 32 4 2 3 2" xfId="23741"/>
    <cellStyle name="Calculation 32 4 2 4" xfId="18628"/>
    <cellStyle name="Calculation 32 4 2_Table 2A-1_EFT (Annual)" xfId="6649"/>
    <cellStyle name="Calculation 32 4 3" xfId="4851"/>
    <cellStyle name="Calculation 32 4 3 2" xfId="13111"/>
    <cellStyle name="Calculation 32 4 3 2 2" xfId="25117"/>
    <cellStyle name="Calculation 32 4 3 3" xfId="20004"/>
    <cellStyle name="Calculation 32 4 3_Table 2A-1_EFT (Annual)" xfId="13449"/>
    <cellStyle name="Calculation 32 4 4" xfId="10455"/>
    <cellStyle name="Calculation 32 4 4 2" xfId="22571"/>
    <cellStyle name="Calculation 32 4 5" xfId="17458"/>
    <cellStyle name="Calculation 32 4_Table 2A-1_EFT (Annual)" xfId="6648"/>
    <cellStyle name="Calculation 32 5" xfId="840"/>
    <cellStyle name="Calculation 32 5 2" xfId="4401"/>
    <cellStyle name="Calculation 32 5 2 2" xfId="12675"/>
    <cellStyle name="Calculation 32 5 2 2 2" xfId="24692"/>
    <cellStyle name="Calculation 32 5 2 3" xfId="19579"/>
    <cellStyle name="Calculation 32 5 2_Table 2A-1_EFT (Annual)" xfId="12541"/>
    <cellStyle name="Calculation 32 5 3" xfId="10024"/>
    <cellStyle name="Calculation 32 5 3 2" xfId="22146"/>
    <cellStyle name="Calculation 32 5 4" xfId="17033"/>
    <cellStyle name="Calculation 32 5_Table 2A-1_EFT (Annual)" xfId="6650"/>
    <cellStyle name="Calculation 32 6" xfId="2029"/>
    <cellStyle name="Calculation 32 6 2" xfId="5590"/>
    <cellStyle name="Calculation 32 6 2 2" xfId="13805"/>
    <cellStyle name="Calculation 32 6 2 2 2" xfId="25793"/>
    <cellStyle name="Calculation 32 6 2 3" xfId="20680"/>
    <cellStyle name="Calculation 32 6 2_Table 2A-1_EFT (Annual)" xfId="10897"/>
    <cellStyle name="Calculation 32 6 3" xfId="11149"/>
    <cellStyle name="Calculation 32 6 3 2" xfId="23247"/>
    <cellStyle name="Calculation 32 6 4" xfId="18134"/>
    <cellStyle name="Calculation 32 6_Table 2A-1_EFT (Annual)" xfId="6651"/>
    <cellStyle name="Calculation 32 7" xfId="3837"/>
    <cellStyle name="Calculation 32 7 2" xfId="12200"/>
    <cellStyle name="Calculation 32 7 2 2" xfId="24229"/>
    <cellStyle name="Calculation 32 7 3" xfId="19116"/>
    <cellStyle name="Calculation 32 7_Table 2A-1_EFT (Annual)" xfId="11996"/>
    <cellStyle name="Calculation 32 8" xfId="9519"/>
    <cellStyle name="Calculation 32 8 2" xfId="21683"/>
    <cellStyle name="Calculation 32 9" xfId="16570"/>
    <cellStyle name="Calculation 32_Table 2A-1_EFT (Annual)" xfId="2964"/>
    <cellStyle name="Calculation 33" xfId="226"/>
    <cellStyle name="Calculation 33 2" xfId="617"/>
    <cellStyle name="Calculation 33 2 2" xfId="1594"/>
    <cellStyle name="Calculation 33 2 2 2" xfId="2864"/>
    <cellStyle name="Calculation 33 2 2 2 2" xfId="6425"/>
    <cellStyle name="Calculation 33 2 2 2 2 2" xfId="14619"/>
    <cellStyle name="Calculation 33 2 2 2 2 2 2" xfId="26591"/>
    <cellStyle name="Calculation 33 2 2 2 2 3" xfId="21478"/>
    <cellStyle name="Calculation 33 2 2 2 2_Table 2A-1_EFT (Annual)" xfId="12686"/>
    <cellStyle name="Calculation 33 2 2 2 3" xfId="11961"/>
    <cellStyle name="Calculation 33 2 2 2 3 2" xfId="24045"/>
    <cellStyle name="Calculation 33 2 2 2 4" xfId="18932"/>
    <cellStyle name="Calculation 33 2 2 2_Table 2A-1_EFT (Annual)" xfId="6653"/>
    <cellStyle name="Calculation 33 2 2 3" xfId="5155"/>
    <cellStyle name="Calculation 33 2 2 3 2" xfId="13415"/>
    <cellStyle name="Calculation 33 2 2 3 2 2" xfId="25421"/>
    <cellStyle name="Calculation 33 2 2 3 3" xfId="20308"/>
    <cellStyle name="Calculation 33 2 2 3_Table 2A-1_EFT (Annual)" xfId="14151"/>
    <cellStyle name="Calculation 33 2 2 4" xfId="10759"/>
    <cellStyle name="Calculation 33 2 2 4 2" xfId="22875"/>
    <cellStyle name="Calculation 33 2 2 5" xfId="17762"/>
    <cellStyle name="Calculation 33 2 2_Table 2A-1_EFT (Annual)" xfId="6652"/>
    <cellStyle name="Calculation 33 2 3" xfId="1110"/>
    <cellStyle name="Calculation 33 2 3 2" xfId="4671"/>
    <cellStyle name="Calculation 33 2 3 2 2" xfId="12931"/>
    <cellStyle name="Calculation 33 2 3 2 2 2" xfId="24937"/>
    <cellStyle name="Calculation 33 2 3 2 3" xfId="19824"/>
    <cellStyle name="Calculation 33 2 3 2_Table 2A-1_EFT (Annual)" xfId="9549"/>
    <cellStyle name="Calculation 33 2 3 3" xfId="10275"/>
    <cellStyle name="Calculation 33 2 3 3 2" xfId="22391"/>
    <cellStyle name="Calculation 33 2 3 4" xfId="17278"/>
    <cellStyle name="Calculation 33 2 3_Table 2A-1_EFT (Annual)" xfId="6654"/>
    <cellStyle name="Calculation 33 2 4" xfId="2333"/>
    <cellStyle name="Calculation 33 2 4 2" xfId="5894"/>
    <cellStyle name="Calculation 33 2 4 2 2" xfId="14109"/>
    <cellStyle name="Calculation 33 2 4 2 2 2" xfId="26097"/>
    <cellStyle name="Calculation 33 2 4 2 3" xfId="20984"/>
    <cellStyle name="Calculation 33 2 4 2_Table 2A-1_EFT (Annual)" xfId="11995"/>
    <cellStyle name="Calculation 33 2 4 3" xfId="11453"/>
    <cellStyle name="Calculation 33 2 4 3 2" xfId="23551"/>
    <cellStyle name="Calculation 33 2 4 4" xfId="18438"/>
    <cellStyle name="Calculation 33 2 4_Table 2A-1_EFT (Annual)" xfId="6655"/>
    <cellStyle name="Calculation 33 2 5" xfId="4187"/>
    <cellStyle name="Calculation 33 2 5 2" xfId="12511"/>
    <cellStyle name="Calculation 33 2 5 2 2" xfId="24533"/>
    <cellStyle name="Calculation 33 2 5 3" xfId="19420"/>
    <cellStyle name="Calculation 33 2 5_Table 2A-1_EFT (Annual)" xfId="10823"/>
    <cellStyle name="Calculation 33 2 6" xfId="9850"/>
    <cellStyle name="Calculation 33 2 6 2" xfId="21987"/>
    <cellStyle name="Calculation 33 2 7" xfId="16874"/>
    <cellStyle name="Calculation 33 2_Table 2A-1_EFT (Annual)" xfId="2968"/>
    <cellStyle name="Calculation 33 3" xfId="453"/>
    <cellStyle name="Calculation 33 3 2" xfId="1434"/>
    <cellStyle name="Calculation 33 3 2 2" xfId="2704"/>
    <cellStyle name="Calculation 33 3 2 2 2" xfId="6265"/>
    <cellStyle name="Calculation 33 3 2 2 2 2" xfId="14459"/>
    <cellStyle name="Calculation 33 3 2 2 2 2 2" xfId="26431"/>
    <cellStyle name="Calculation 33 3 2 2 2 3" xfId="21318"/>
    <cellStyle name="Calculation 33 3 2 2 2_Table 2A-1_EFT (Annual)" xfId="11490"/>
    <cellStyle name="Calculation 33 3 2 2 3" xfId="11801"/>
    <cellStyle name="Calculation 33 3 2 2 3 2" xfId="23885"/>
    <cellStyle name="Calculation 33 3 2 2 4" xfId="18772"/>
    <cellStyle name="Calculation 33 3 2 2_Table 2A-1_EFT (Annual)" xfId="6657"/>
    <cellStyle name="Calculation 33 3 2 3" xfId="4995"/>
    <cellStyle name="Calculation 33 3 2 3 2" xfId="13255"/>
    <cellStyle name="Calculation 33 3 2 3 2 2" xfId="25261"/>
    <cellStyle name="Calculation 33 3 2 3 3" xfId="20148"/>
    <cellStyle name="Calculation 33 3 2 3_Table 2A-1_EFT (Annual)" xfId="11994"/>
    <cellStyle name="Calculation 33 3 2 4" xfId="10599"/>
    <cellStyle name="Calculation 33 3 2 4 2" xfId="22715"/>
    <cellStyle name="Calculation 33 3 2 5" xfId="17602"/>
    <cellStyle name="Calculation 33 3 2_Table 2A-1_EFT (Annual)" xfId="6656"/>
    <cellStyle name="Calculation 33 3 3" xfId="977"/>
    <cellStyle name="Calculation 33 3 3 2" xfId="4538"/>
    <cellStyle name="Calculation 33 3 3 2 2" xfId="12800"/>
    <cellStyle name="Calculation 33 3 3 2 2 2" xfId="24808"/>
    <cellStyle name="Calculation 33 3 3 2 3" xfId="19695"/>
    <cellStyle name="Calculation 33 3 3 2_Table 2A-1_EFT (Annual)" xfId="13515"/>
    <cellStyle name="Calculation 33 3 3 3" xfId="10145"/>
    <cellStyle name="Calculation 33 3 3 3 2" xfId="22262"/>
    <cellStyle name="Calculation 33 3 3 4" xfId="17149"/>
    <cellStyle name="Calculation 33 3 3_Table 2A-1_EFT (Annual)" xfId="6658"/>
    <cellStyle name="Calculation 33 3 4" xfId="2173"/>
    <cellStyle name="Calculation 33 3 4 2" xfId="5734"/>
    <cellStyle name="Calculation 33 3 4 2 2" xfId="13949"/>
    <cellStyle name="Calculation 33 3 4 2 2 2" xfId="25937"/>
    <cellStyle name="Calculation 33 3 4 2 3" xfId="20824"/>
    <cellStyle name="Calculation 33 3 4 2_Table 2A-1_EFT (Annual)" xfId="12802"/>
    <cellStyle name="Calculation 33 3 4 3" xfId="11293"/>
    <cellStyle name="Calculation 33 3 4 3 2" xfId="23391"/>
    <cellStyle name="Calculation 33 3 4 4" xfId="18278"/>
    <cellStyle name="Calculation 33 3 4_Table 2A-1_EFT (Annual)" xfId="6659"/>
    <cellStyle name="Calculation 33 3 5" xfId="4023"/>
    <cellStyle name="Calculation 33 3 5 2" xfId="12349"/>
    <cellStyle name="Calculation 33 3 5 2 2" xfId="24373"/>
    <cellStyle name="Calculation 33 3 5 3" xfId="19260"/>
    <cellStyle name="Calculation 33 3 5_Table 2A-1_EFT (Annual)" xfId="14157"/>
    <cellStyle name="Calculation 33 3 6" xfId="9688"/>
    <cellStyle name="Calculation 33 3 6 2" xfId="21827"/>
    <cellStyle name="Calculation 33 3 7" xfId="16714"/>
    <cellStyle name="Calculation 33 3_Table 2A-1_EFT (Annual)" xfId="2969"/>
    <cellStyle name="Calculation 33 4" xfId="1272"/>
    <cellStyle name="Calculation 33 4 2" xfId="2542"/>
    <cellStyle name="Calculation 33 4 2 2" xfId="6103"/>
    <cellStyle name="Calculation 33 4 2 2 2" xfId="14297"/>
    <cellStyle name="Calculation 33 4 2 2 2 2" xfId="26269"/>
    <cellStyle name="Calculation 33 4 2 2 3" xfId="21156"/>
    <cellStyle name="Calculation 33 4 2 2_Table 2A-1_EFT (Annual)" xfId="9502"/>
    <cellStyle name="Calculation 33 4 2 3" xfId="11639"/>
    <cellStyle name="Calculation 33 4 2 3 2" xfId="23723"/>
    <cellStyle name="Calculation 33 4 2 4" xfId="18610"/>
    <cellStyle name="Calculation 33 4 2_Table 2A-1_EFT (Annual)" xfId="6661"/>
    <cellStyle name="Calculation 33 4 3" xfId="4833"/>
    <cellStyle name="Calculation 33 4 3 2" xfId="13093"/>
    <cellStyle name="Calculation 33 4 3 2 2" xfId="25099"/>
    <cellStyle name="Calculation 33 4 3 3" xfId="19986"/>
    <cellStyle name="Calculation 33 4 3_Table 2A-1_EFT (Annual)" xfId="11989"/>
    <cellStyle name="Calculation 33 4 4" xfId="10437"/>
    <cellStyle name="Calculation 33 4 4 2" xfId="22553"/>
    <cellStyle name="Calculation 33 4 5" xfId="17440"/>
    <cellStyle name="Calculation 33 4_Table 2A-1_EFT (Annual)" xfId="6660"/>
    <cellStyle name="Calculation 33 5" xfId="821"/>
    <cellStyle name="Calculation 33 5 2" xfId="4382"/>
    <cellStyle name="Calculation 33 5 2 2" xfId="12660"/>
    <cellStyle name="Calculation 33 5 2 2 2" xfId="24677"/>
    <cellStyle name="Calculation 33 5 2 3" xfId="19564"/>
    <cellStyle name="Calculation 33 5 2_Table 2A-1_EFT (Annual)" xfId="13448"/>
    <cellStyle name="Calculation 33 5 3" xfId="10008"/>
    <cellStyle name="Calculation 33 5 3 2" xfId="22131"/>
    <cellStyle name="Calculation 33 5 4" xfId="17018"/>
    <cellStyle name="Calculation 33 5_Table 2A-1_EFT (Annual)" xfId="6662"/>
    <cellStyle name="Calculation 33 6" xfId="2011"/>
    <cellStyle name="Calculation 33 6 2" xfId="5572"/>
    <cellStyle name="Calculation 33 6 2 2" xfId="13787"/>
    <cellStyle name="Calculation 33 6 2 2 2" xfId="25775"/>
    <cellStyle name="Calculation 33 6 2 3" xfId="20662"/>
    <cellStyle name="Calculation 33 6 2_Table 2A-1_EFT (Annual)" xfId="12540"/>
    <cellStyle name="Calculation 33 6 3" xfId="11131"/>
    <cellStyle name="Calculation 33 6 3 2" xfId="23229"/>
    <cellStyle name="Calculation 33 6 4" xfId="18116"/>
    <cellStyle name="Calculation 33 6_Table 2A-1_EFT (Annual)" xfId="6663"/>
    <cellStyle name="Calculation 33 7" xfId="3815"/>
    <cellStyle name="Calculation 33 7 2" xfId="12181"/>
    <cellStyle name="Calculation 33 7 2 2" xfId="24211"/>
    <cellStyle name="Calculation 33 7 3" xfId="19098"/>
    <cellStyle name="Calculation 33 7_Table 2A-1_EFT (Annual)" xfId="13554"/>
    <cellStyle name="Calculation 33 8" xfId="9500"/>
    <cellStyle name="Calculation 33 8 2" xfId="21665"/>
    <cellStyle name="Calculation 33 9" xfId="16552"/>
    <cellStyle name="Calculation 33_Table 2A-1_EFT (Annual)" xfId="2967"/>
    <cellStyle name="Calculation 34" xfId="234"/>
    <cellStyle name="Calculation 34 2" xfId="621"/>
    <cellStyle name="Calculation 34 2 2" xfId="1598"/>
    <cellStyle name="Calculation 34 2 2 2" xfId="2868"/>
    <cellStyle name="Calculation 34 2 2 2 2" xfId="6429"/>
    <cellStyle name="Calculation 34 2 2 2 2 2" xfId="14623"/>
    <cellStyle name="Calculation 34 2 2 2 2 2 2" xfId="26595"/>
    <cellStyle name="Calculation 34 2 2 2 2 3" xfId="21482"/>
    <cellStyle name="Calculation 34 2 2 2 2_Table 2A-1_EFT (Annual)" xfId="13485"/>
    <cellStyle name="Calculation 34 2 2 2 3" xfId="11965"/>
    <cellStyle name="Calculation 34 2 2 2 3 2" xfId="24049"/>
    <cellStyle name="Calculation 34 2 2 2 4" xfId="18936"/>
    <cellStyle name="Calculation 34 2 2 2_Table 2A-1_EFT (Annual)" xfId="6665"/>
    <cellStyle name="Calculation 34 2 2 3" xfId="5159"/>
    <cellStyle name="Calculation 34 2 2 3 2" xfId="13419"/>
    <cellStyle name="Calculation 34 2 2 3 2 2" xfId="25425"/>
    <cellStyle name="Calculation 34 2 2 3 3" xfId="20312"/>
    <cellStyle name="Calculation 34 2 2 3_Table 2A-1_EFT (Annual)" xfId="11993"/>
    <cellStyle name="Calculation 34 2 2 4" xfId="10763"/>
    <cellStyle name="Calculation 34 2 2 4 2" xfId="22879"/>
    <cellStyle name="Calculation 34 2 2 5" xfId="17766"/>
    <cellStyle name="Calculation 34 2 2_Table 2A-1_EFT (Annual)" xfId="6664"/>
    <cellStyle name="Calculation 34 2 3" xfId="1113"/>
    <cellStyle name="Calculation 34 2 3 2" xfId="4674"/>
    <cellStyle name="Calculation 34 2 3 2 2" xfId="12934"/>
    <cellStyle name="Calculation 34 2 3 2 2 2" xfId="24940"/>
    <cellStyle name="Calculation 34 2 3 2 3" xfId="19827"/>
    <cellStyle name="Calculation 34 2 3 2_Table 2A-1_EFT (Annual)" xfId="14150"/>
    <cellStyle name="Calculation 34 2 3 3" xfId="10278"/>
    <cellStyle name="Calculation 34 2 3 3 2" xfId="22394"/>
    <cellStyle name="Calculation 34 2 3 4" xfId="17281"/>
    <cellStyle name="Calculation 34 2 3_Table 2A-1_EFT (Annual)" xfId="6666"/>
    <cellStyle name="Calculation 34 2 4" xfId="2337"/>
    <cellStyle name="Calculation 34 2 4 2" xfId="5898"/>
    <cellStyle name="Calculation 34 2 4 2 2" xfId="14113"/>
    <cellStyle name="Calculation 34 2 4 2 2 2" xfId="26101"/>
    <cellStyle name="Calculation 34 2 4 2 3" xfId="20988"/>
    <cellStyle name="Calculation 34 2 4 2_Table 2A-1_EFT (Annual)" xfId="9548"/>
    <cellStyle name="Calculation 34 2 4 3" xfId="11457"/>
    <cellStyle name="Calculation 34 2 4 3 2" xfId="23555"/>
    <cellStyle name="Calculation 34 2 4 4" xfId="18442"/>
    <cellStyle name="Calculation 34 2 4_Table 2A-1_EFT (Annual)" xfId="6667"/>
    <cellStyle name="Calculation 34 2 5" xfId="4191"/>
    <cellStyle name="Calculation 34 2 5 2" xfId="12515"/>
    <cellStyle name="Calculation 34 2 5 2 2" xfId="24537"/>
    <cellStyle name="Calculation 34 2 5 3" xfId="19424"/>
    <cellStyle name="Calculation 34 2 5_Table 2A-1_EFT (Annual)" xfId="12183"/>
    <cellStyle name="Calculation 34 2 6" xfId="9854"/>
    <cellStyle name="Calculation 34 2 6 2" xfId="21991"/>
    <cellStyle name="Calculation 34 2 7" xfId="16878"/>
    <cellStyle name="Calculation 34 2_Table 2A-1_EFT (Annual)" xfId="2971"/>
    <cellStyle name="Calculation 34 3" xfId="1276"/>
    <cellStyle name="Calculation 34 3 2" xfId="2546"/>
    <cellStyle name="Calculation 34 3 2 2" xfId="6107"/>
    <cellStyle name="Calculation 34 3 2 2 2" xfId="14301"/>
    <cellStyle name="Calculation 34 3 2 2 2 2" xfId="26273"/>
    <cellStyle name="Calculation 34 3 2 2 3" xfId="21160"/>
    <cellStyle name="Calculation 34 3 2 2_Table 2A-1_EFT (Annual)" xfId="11991"/>
    <cellStyle name="Calculation 34 3 2 3" xfId="11643"/>
    <cellStyle name="Calculation 34 3 2 3 2" xfId="23727"/>
    <cellStyle name="Calculation 34 3 2 4" xfId="18614"/>
    <cellStyle name="Calculation 34 3 2_Table 2A-1_EFT (Annual)" xfId="6669"/>
    <cellStyle name="Calculation 34 3 3" xfId="4837"/>
    <cellStyle name="Calculation 34 3 3 2" xfId="13097"/>
    <cellStyle name="Calculation 34 3 3 2 2" xfId="25103"/>
    <cellStyle name="Calculation 34 3 3 3" xfId="19990"/>
    <cellStyle name="Calculation 34 3 3_Table 2A-1_EFT (Annual)" xfId="11992"/>
    <cellStyle name="Calculation 34 3 4" xfId="10441"/>
    <cellStyle name="Calculation 34 3 4 2" xfId="22557"/>
    <cellStyle name="Calculation 34 3 5" xfId="17444"/>
    <cellStyle name="Calculation 34 3_Table 2A-1_EFT (Annual)" xfId="6668"/>
    <cellStyle name="Calculation 34 4" xfId="828"/>
    <cellStyle name="Calculation 34 4 2" xfId="4389"/>
    <cellStyle name="Calculation 34 4 2 2" xfId="12663"/>
    <cellStyle name="Calculation 34 4 2 2 2" xfId="24680"/>
    <cellStyle name="Calculation 34 4 2 3" xfId="19567"/>
    <cellStyle name="Calculation 34 4 2_Table 2A-1_EFT (Annual)" xfId="10010"/>
    <cellStyle name="Calculation 34 4 3" xfId="10012"/>
    <cellStyle name="Calculation 34 4 3 2" xfId="22134"/>
    <cellStyle name="Calculation 34 4 4" xfId="17021"/>
    <cellStyle name="Calculation 34 4_Table 2A-1_EFT (Annual)" xfId="6670"/>
    <cellStyle name="Calculation 34 5" xfId="2015"/>
    <cellStyle name="Calculation 34 5 2" xfId="5576"/>
    <cellStyle name="Calculation 34 5 2 2" xfId="13791"/>
    <cellStyle name="Calculation 34 5 2 2 2" xfId="25779"/>
    <cellStyle name="Calculation 34 5 2 3" xfId="20666"/>
    <cellStyle name="Calculation 34 5 2_Table 2A-1_EFT (Annual)" xfId="11990"/>
    <cellStyle name="Calculation 34 5 3" xfId="11135"/>
    <cellStyle name="Calculation 34 5 3 2" xfId="23233"/>
    <cellStyle name="Calculation 34 5 4" xfId="18120"/>
    <cellStyle name="Calculation 34 5_Table 2A-1_EFT (Annual)" xfId="6671"/>
    <cellStyle name="Calculation 34 6" xfId="3823"/>
    <cellStyle name="Calculation 34 6 2" xfId="12186"/>
    <cellStyle name="Calculation 34 6 2 2" xfId="24215"/>
    <cellStyle name="Calculation 34 6 3" xfId="19102"/>
    <cellStyle name="Calculation 34 6_Table 2A-1_EFT (Annual)" xfId="10859"/>
    <cellStyle name="Calculation 34 7" xfId="9505"/>
    <cellStyle name="Calculation 34 7 2" xfId="21669"/>
    <cellStyle name="Calculation 34 8" xfId="16556"/>
    <cellStyle name="Calculation 34_Table 2A-1_EFT (Annual)" xfId="2970"/>
    <cellStyle name="Calculation 35" xfId="280"/>
    <cellStyle name="Calculation 35 2" xfId="1295"/>
    <cellStyle name="Calculation 35 2 2" xfId="2565"/>
    <cellStyle name="Calculation 35 2 2 2" xfId="6126"/>
    <cellStyle name="Calculation 35 2 2 2 2" xfId="14320"/>
    <cellStyle name="Calculation 35 2 2 2 2 2" xfId="26292"/>
    <cellStyle name="Calculation 35 2 2 2 3" xfId="21179"/>
    <cellStyle name="Calculation 35 2 2 2_Table 2A-1_EFT (Annual)" xfId="11498"/>
    <cellStyle name="Calculation 35 2 2 3" xfId="11662"/>
    <cellStyle name="Calculation 35 2 2 3 2" xfId="23746"/>
    <cellStyle name="Calculation 35 2 2 4" xfId="18633"/>
    <cellStyle name="Calculation 35 2 2_Table 2A-1_EFT (Annual)" xfId="6673"/>
    <cellStyle name="Calculation 35 2 3" xfId="4856"/>
    <cellStyle name="Calculation 35 2 3 2" xfId="13116"/>
    <cellStyle name="Calculation 35 2 3 2 2" xfId="25122"/>
    <cellStyle name="Calculation 35 2 3 3" xfId="20009"/>
    <cellStyle name="Calculation 35 2 3_Table 2A-1_EFT (Annual)" xfId="9690"/>
    <cellStyle name="Calculation 35 2 4" xfId="10460"/>
    <cellStyle name="Calculation 35 2 4 2" xfId="22576"/>
    <cellStyle name="Calculation 35 2 5" xfId="17463"/>
    <cellStyle name="Calculation 35 2_Table 2A-1_EFT (Annual)" xfId="6672"/>
    <cellStyle name="Calculation 35 3" xfId="845"/>
    <cellStyle name="Calculation 35 3 2" xfId="4406"/>
    <cellStyle name="Calculation 35 3 2 2" xfId="12679"/>
    <cellStyle name="Calculation 35 3 2 2 2" xfId="24696"/>
    <cellStyle name="Calculation 35 3 2 3" xfId="19583"/>
    <cellStyle name="Calculation 35 3 2_Table 2A-1_EFT (Annual)" xfId="9333"/>
    <cellStyle name="Calculation 35 3 3" xfId="10028"/>
    <cellStyle name="Calculation 35 3 3 2" xfId="22150"/>
    <cellStyle name="Calculation 35 3 4" xfId="17037"/>
    <cellStyle name="Calculation 35 3_Table 2A-1_EFT (Annual)" xfId="6674"/>
    <cellStyle name="Calculation 35 4" xfId="2034"/>
    <cellStyle name="Calculation 35 4 2" xfId="5595"/>
    <cellStyle name="Calculation 35 4 2 2" xfId="13810"/>
    <cellStyle name="Calculation 35 4 2 2 2" xfId="25798"/>
    <cellStyle name="Calculation 35 4 2 3" xfId="20685"/>
    <cellStyle name="Calculation 35 4 2_Table 2A-1_EFT (Annual)" xfId="9349"/>
    <cellStyle name="Calculation 35 4 3" xfId="11154"/>
    <cellStyle name="Calculation 35 4 3 2" xfId="23252"/>
    <cellStyle name="Calculation 35 4 4" xfId="18139"/>
    <cellStyle name="Calculation 35 4_Table 2A-1_EFT (Annual)" xfId="6675"/>
    <cellStyle name="Calculation 35 5" xfId="3857"/>
    <cellStyle name="Calculation 35 5 2" xfId="12205"/>
    <cellStyle name="Calculation 35 5 2 2" xfId="24234"/>
    <cellStyle name="Calculation 35 5 3" xfId="19121"/>
    <cellStyle name="Calculation 35 5_Table 2A-1_EFT (Annual)" xfId="9541"/>
    <cellStyle name="Calculation 35 6" xfId="9534"/>
    <cellStyle name="Calculation 35 6 2" xfId="21688"/>
    <cellStyle name="Calculation 35 7" xfId="16575"/>
    <cellStyle name="Calculation 35_Table 2A-1_EFT (Annual)" xfId="2972"/>
    <cellStyle name="Calculation 36" xfId="644"/>
    <cellStyle name="Calculation 36 2" xfId="1621"/>
    <cellStyle name="Calculation 36 2 2" xfId="2891"/>
    <cellStyle name="Calculation 36 2 2 2" xfId="6452"/>
    <cellStyle name="Calculation 36 2 2 2 2" xfId="14646"/>
    <cellStyle name="Calculation 36 2 2 2 2 2" xfId="26618"/>
    <cellStyle name="Calculation 36 2 2 2 3" xfId="21505"/>
    <cellStyle name="Calculation 36 2 2 2_Table 2A-1_EFT (Annual)" xfId="9348"/>
    <cellStyle name="Calculation 36 2 2 3" xfId="11988"/>
    <cellStyle name="Calculation 36 2 2 3 2" xfId="24072"/>
    <cellStyle name="Calculation 36 2 2 4" xfId="18959"/>
    <cellStyle name="Calculation 36 2 2_Table 2A-1_EFT (Annual)" xfId="6677"/>
    <cellStyle name="Calculation 36 2 3" xfId="5182"/>
    <cellStyle name="Calculation 36 2 3 2" xfId="13442"/>
    <cellStyle name="Calculation 36 2 3 2 2" xfId="25448"/>
    <cellStyle name="Calculation 36 2 3 3" xfId="20335"/>
    <cellStyle name="Calculation 36 2 3_Table 2A-1_EFT (Annual)" xfId="9539"/>
    <cellStyle name="Calculation 36 2 4" xfId="10786"/>
    <cellStyle name="Calculation 36 2 4 2" xfId="22902"/>
    <cellStyle name="Calculation 36 2 5" xfId="17789"/>
    <cellStyle name="Calculation 36 2_Table 2A-1_EFT (Annual)" xfId="6676"/>
    <cellStyle name="Calculation 36 3" xfId="1133"/>
    <cellStyle name="Calculation 36 3 2" xfId="4694"/>
    <cellStyle name="Calculation 36 3 2 2" xfId="12954"/>
    <cellStyle name="Calculation 36 3 2 2 2" xfId="24960"/>
    <cellStyle name="Calculation 36 3 2 3" xfId="19847"/>
    <cellStyle name="Calculation 36 3 2_Table 2A-1_EFT (Annual)" xfId="9538"/>
    <cellStyle name="Calculation 36 3 3" xfId="10298"/>
    <cellStyle name="Calculation 36 3 3 2" xfId="22414"/>
    <cellStyle name="Calculation 36 3 4" xfId="17301"/>
    <cellStyle name="Calculation 36 3_Table 2A-1_EFT (Annual)" xfId="6678"/>
    <cellStyle name="Calculation 36 4" xfId="2360"/>
    <cellStyle name="Calculation 36 4 2" xfId="5921"/>
    <cellStyle name="Calculation 36 4 2 2" xfId="14136"/>
    <cellStyle name="Calculation 36 4 2 2 2" xfId="26124"/>
    <cellStyle name="Calculation 36 4 2 3" xfId="21011"/>
    <cellStyle name="Calculation 36 4 2_Table 2A-1_EFT (Annual)" xfId="9537"/>
    <cellStyle name="Calculation 36 4 3" xfId="11480"/>
    <cellStyle name="Calculation 36 4 3 2" xfId="23578"/>
    <cellStyle name="Calculation 36 4 4" xfId="18465"/>
    <cellStyle name="Calculation 36 4_Table 2A-1_EFT (Annual)" xfId="6679"/>
    <cellStyle name="Calculation 36 5" xfId="4214"/>
    <cellStyle name="Calculation 36 5 2" xfId="12538"/>
    <cellStyle name="Calculation 36 5 2 2" xfId="24560"/>
    <cellStyle name="Calculation 36 5 3" xfId="19447"/>
    <cellStyle name="Calculation 36 5_Table 2A-1_EFT (Annual)" xfId="9889"/>
    <cellStyle name="Calculation 36 6" xfId="9877"/>
    <cellStyle name="Calculation 36 6 2" xfId="22014"/>
    <cellStyle name="Calculation 36 7" xfId="16901"/>
    <cellStyle name="Calculation 36_Table 2A-1_EFT (Annual)" xfId="2973"/>
    <cellStyle name="Calculation 37" xfId="684"/>
    <cellStyle name="Calculation 37 2" xfId="2362"/>
    <cellStyle name="Calculation 37 2 2" xfId="5923"/>
    <cellStyle name="Calculation 37 2 2 2" xfId="14137"/>
    <cellStyle name="Calculation 37 2 2 2 2" xfId="26125"/>
    <cellStyle name="Calculation 37 2 2 3" xfId="21012"/>
    <cellStyle name="Calculation 37 2 2_Table 2A-1_EFT (Annual)" xfId="9536"/>
    <cellStyle name="Calculation 37 2 3" xfId="11482"/>
    <cellStyle name="Calculation 37 2 3 2" xfId="23579"/>
    <cellStyle name="Calculation 37 2 4" xfId="18466"/>
    <cellStyle name="Calculation 37 2_Table 2A-1_EFT (Annual)" xfId="6681"/>
    <cellStyle name="Calculation 37 3" xfId="4250"/>
    <cellStyle name="Calculation 37 3 2" xfId="12543"/>
    <cellStyle name="Calculation 37 3 2 2" xfId="24561"/>
    <cellStyle name="Calculation 37 3 3" xfId="19448"/>
    <cellStyle name="Calculation 37 3_Table 2A-1_EFT (Annual)" xfId="9888"/>
    <cellStyle name="Calculation 37 4" xfId="9886"/>
    <cellStyle name="Calculation 37 4 2" xfId="22015"/>
    <cellStyle name="Calculation 37 5" xfId="16902"/>
    <cellStyle name="Calculation 37_Table 2A-1_EFT (Annual)" xfId="6680"/>
    <cellStyle name="Calculation 38" xfId="15998"/>
    <cellStyle name="Calculation 4" xfId="122"/>
    <cellStyle name="Calculation 4 10" xfId="21506"/>
    <cellStyle name="Calculation 4 2" xfId="515"/>
    <cellStyle name="Calculation 4 2 2" xfId="1492"/>
    <cellStyle name="Calculation 4 2 2 2" xfId="2762"/>
    <cellStyle name="Calculation 4 2 2 2 2" xfId="6323"/>
    <cellStyle name="Calculation 4 2 2 2 2 2" xfId="14517"/>
    <cellStyle name="Calculation 4 2 2 2 2 2 2" xfId="26489"/>
    <cellStyle name="Calculation 4 2 2 2 2 3" xfId="21376"/>
    <cellStyle name="Calculation 4 2 2 2 2_Table 2A-1_EFT (Annual)" xfId="9347"/>
    <cellStyle name="Calculation 4 2 2 2 3" xfId="11859"/>
    <cellStyle name="Calculation 4 2 2 2 3 2" xfId="23943"/>
    <cellStyle name="Calculation 4 2 2 2 4" xfId="18830"/>
    <cellStyle name="Calculation 4 2 2 2_Table 2A-1_EFT (Annual)" xfId="6683"/>
    <cellStyle name="Calculation 4 2 2 3" xfId="5053"/>
    <cellStyle name="Calculation 4 2 2 3 2" xfId="13313"/>
    <cellStyle name="Calculation 4 2 2 3 2 2" xfId="25319"/>
    <cellStyle name="Calculation 4 2 2 3 3" xfId="20206"/>
    <cellStyle name="Calculation 4 2 2 3_Table 2A-1_EFT (Annual)" xfId="9535"/>
    <cellStyle name="Calculation 4 2 2 4" xfId="10657"/>
    <cellStyle name="Calculation 4 2 2 4 2" xfId="22773"/>
    <cellStyle name="Calculation 4 2 2 5" xfId="17660"/>
    <cellStyle name="Calculation 4 2 2_Table 2A-1_EFT (Annual)" xfId="6682"/>
    <cellStyle name="Calculation 4 2 3" xfId="1026"/>
    <cellStyle name="Calculation 4 2 3 2" xfId="4587"/>
    <cellStyle name="Calculation 4 2 3 2 2" xfId="12847"/>
    <cellStyle name="Calculation 4 2 3 2 2 2" xfId="24853"/>
    <cellStyle name="Calculation 4 2 3 2 3" xfId="19740"/>
    <cellStyle name="Calculation 4 2 3 2_Table 2A-1_EFT (Annual)" xfId="10791"/>
    <cellStyle name="Calculation 4 2 3 3" xfId="10191"/>
    <cellStyle name="Calculation 4 2 3 3 2" xfId="22307"/>
    <cellStyle name="Calculation 4 2 3 4" xfId="17194"/>
    <cellStyle name="Calculation 4 2 3_Table 2A-1_EFT (Annual)" xfId="6684"/>
    <cellStyle name="Calculation 4 2 4" xfId="2231"/>
    <cellStyle name="Calculation 4 2 4 2" xfId="5792"/>
    <cellStyle name="Calculation 4 2 4 2 2" xfId="14007"/>
    <cellStyle name="Calculation 4 2 4 2 2 2" xfId="25995"/>
    <cellStyle name="Calculation 4 2 4 2 3" xfId="20882"/>
    <cellStyle name="Calculation 4 2 4 2_Table 2A-1_EFT (Annual)" xfId="10896"/>
    <cellStyle name="Calculation 4 2 4 3" xfId="11351"/>
    <cellStyle name="Calculation 4 2 4 3 2" xfId="23449"/>
    <cellStyle name="Calculation 4 2 4 4" xfId="18336"/>
    <cellStyle name="Calculation 4 2 4_Table 2A-1_EFT (Annual)" xfId="6685"/>
    <cellStyle name="Calculation 4 2 5" xfId="4085"/>
    <cellStyle name="Calculation 4 2 5 2" xfId="12409"/>
    <cellStyle name="Calculation 4 2 5 2 2" xfId="24431"/>
    <cellStyle name="Calculation 4 2 5 3" xfId="19318"/>
    <cellStyle name="Calculation 4 2 5_Table 2A-1_EFT (Annual)" xfId="12212"/>
    <cellStyle name="Calculation 4 2 6" xfId="9748"/>
    <cellStyle name="Calculation 4 2 6 2" xfId="21885"/>
    <cellStyle name="Calculation 4 2 7" xfId="16772"/>
    <cellStyle name="Calculation 4 2_Table 2A-1_EFT (Annual)" xfId="2975"/>
    <cellStyle name="Calculation 4 3" xfId="353"/>
    <cellStyle name="Calculation 4 3 2" xfId="1336"/>
    <cellStyle name="Calculation 4 3 2 2" xfId="2606"/>
    <cellStyle name="Calculation 4 3 2 2 2" xfId="6167"/>
    <cellStyle name="Calculation 4 3 2 2 2 2" xfId="14361"/>
    <cellStyle name="Calculation 4 3 2 2 2 2 2" xfId="26333"/>
    <cellStyle name="Calculation 4 3 2 2 2 3" xfId="21220"/>
    <cellStyle name="Calculation 4 3 2 2 2_Table 2A-1_EFT (Annual)" xfId="11495"/>
    <cellStyle name="Calculation 4 3 2 2 3" xfId="11703"/>
    <cellStyle name="Calculation 4 3 2 2 3 2" xfId="23787"/>
    <cellStyle name="Calculation 4 3 2 2 4" xfId="18674"/>
    <cellStyle name="Calculation 4 3 2 2_Table 2A-1_EFT (Annual)" xfId="6687"/>
    <cellStyle name="Calculation 4 3 2 3" xfId="4897"/>
    <cellStyle name="Calculation 4 3 2 3 2" xfId="13157"/>
    <cellStyle name="Calculation 4 3 2 3 2 2" xfId="25163"/>
    <cellStyle name="Calculation 4 3 2 3 3" xfId="20050"/>
    <cellStyle name="Calculation 4 3 2 3_Table 2A-1_EFT (Annual)" xfId="9547"/>
    <cellStyle name="Calculation 4 3 2 4" xfId="10501"/>
    <cellStyle name="Calculation 4 3 2 4 2" xfId="22617"/>
    <cellStyle name="Calculation 4 3 2 5" xfId="17504"/>
    <cellStyle name="Calculation 4 3 2_Table 2A-1_EFT (Annual)" xfId="6686"/>
    <cellStyle name="Calculation 4 3 3" xfId="894"/>
    <cellStyle name="Calculation 4 3 3 2" xfId="4455"/>
    <cellStyle name="Calculation 4 3 3 2 2" xfId="12717"/>
    <cellStyle name="Calculation 4 3 3 2 2 2" xfId="24727"/>
    <cellStyle name="Calculation 4 3 3 2 3" xfId="19614"/>
    <cellStyle name="Calculation 4 3 3 2_Table 2A-1_EFT (Annual)" xfId="10822"/>
    <cellStyle name="Calculation 4 3 3 3" xfId="10064"/>
    <cellStyle name="Calculation 4 3 3 3 2" xfId="22181"/>
    <cellStyle name="Calculation 4 3 3 4" xfId="17068"/>
    <cellStyle name="Calculation 4 3 3_Table 2A-1_EFT (Annual)" xfId="6688"/>
    <cellStyle name="Calculation 4 3 4" xfId="2075"/>
    <cellStyle name="Calculation 4 3 4 2" xfId="5636"/>
    <cellStyle name="Calculation 4 3 4 2 2" xfId="13851"/>
    <cellStyle name="Calculation 4 3 4 2 2 2" xfId="25839"/>
    <cellStyle name="Calculation 4 3 4 2 3" xfId="20726"/>
    <cellStyle name="Calculation 4 3 4 2_Table 2A-1_EFT (Annual)" xfId="11489"/>
    <cellStyle name="Calculation 4 3 4 3" xfId="11195"/>
    <cellStyle name="Calculation 4 3 4 3 2" xfId="23293"/>
    <cellStyle name="Calculation 4 3 4 4" xfId="18180"/>
    <cellStyle name="Calculation 4 3 4_Table 2A-1_EFT (Annual)" xfId="6689"/>
    <cellStyle name="Calculation 4 3 5" xfId="3923"/>
    <cellStyle name="Calculation 4 3 5 2" xfId="12251"/>
    <cellStyle name="Calculation 4 3 5 2 2" xfId="24275"/>
    <cellStyle name="Calculation 4 3 5 3" xfId="19162"/>
    <cellStyle name="Calculation 4 3 5_Table 2A-1_EFT (Annual)" xfId="12351"/>
    <cellStyle name="Calculation 4 3 6" xfId="9588"/>
    <cellStyle name="Calculation 4 3 6 2" xfId="21729"/>
    <cellStyle name="Calculation 4 3 7" xfId="16616"/>
    <cellStyle name="Calculation 4 3_Table 2A-1_EFT (Annual)" xfId="2976"/>
    <cellStyle name="Calculation 4 4" xfId="1170"/>
    <cellStyle name="Calculation 4 4 2" xfId="2440"/>
    <cellStyle name="Calculation 4 4 2 2" xfId="6001"/>
    <cellStyle name="Calculation 4 4 2 2 2" xfId="14195"/>
    <cellStyle name="Calculation 4 4 2 2 2 2" xfId="26167"/>
    <cellStyle name="Calculation 4 4 2 2 3" xfId="21054"/>
    <cellStyle name="Calculation 4 4 2 2_Table 2A-1_EFT (Annual)" xfId="14156"/>
    <cellStyle name="Calculation 4 4 2 3" xfId="11537"/>
    <cellStyle name="Calculation 4 4 2 3 2" xfId="23621"/>
    <cellStyle name="Calculation 4 4 2 4" xfId="18508"/>
    <cellStyle name="Calculation 4 4 2_Table 2A-1_EFT (Annual)" xfId="6691"/>
    <cellStyle name="Calculation 4 4 3" xfId="4731"/>
    <cellStyle name="Calculation 4 4 3 2" xfId="12991"/>
    <cellStyle name="Calculation 4 4 3 2 2" xfId="24997"/>
    <cellStyle name="Calculation 4 4 3 3" xfId="19884"/>
    <cellStyle name="Calculation 4 4 3_Table 2A-1_EFT (Annual)" xfId="10147"/>
    <cellStyle name="Calculation 4 4 4" xfId="10335"/>
    <cellStyle name="Calculation 4 4 4 2" xfId="22451"/>
    <cellStyle name="Calculation 4 4 5" xfId="17338"/>
    <cellStyle name="Calculation 4 4_Table 2A-1_EFT (Annual)" xfId="6690"/>
    <cellStyle name="Calculation 4 5" xfId="735"/>
    <cellStyle name="Calculation 4 5 2" xfId="4296"/>
    <cellStyle name="Calculation 4 5 2 2" xfId="12576"/>
    <cellStyle name="Calculation 4 5 2 2 2" xfId="24593"/>
    <cellStyle name="Calculation 4 5 2 3" xfId="19480"/>
    <cellStyle name="Calculation 4 5 2_Table 2A-1_EFT (Annual)" xfId="9358"/>
    <cellStyle name="Calculation 4 5 3" xfId="9924"/>
    <cellStyle name="Calculation 4 5 3 2" xfId="22047"/>
    <cellStyle name="Calculation 4 5 4" xfId="16934"/>
    <cellStyle name="Calculation 4 5_Table 2A-1_EFT (Annual)" xfId="6692"/>
    <cellStyle name="Calculation 4 6" xfId="1797"/>
    <cellStyle name="Calculation 4 6 2" xfId="5358"/>
    <cellStyle name="Calculation 4 6 2 2" xfId="13573"/>
    <cellStyle name="Calculation 4 6 2 2 2" xfId="25561"/>
    <cellStyle name="Calculation 4 6 2 3" xfId="20448"/>
    <cellStyle name="Calculation 4 6 2_Table 2A-1_EFT (Annual)" xfId="10790"/>
    <cellStyle name="Calculation 4 6 3" xfId="10917"/>
    <cellStyle name="Calculation 4 6 3 2" xfId="23015"/>
    <cellStyle name="Calculation 4 6 4" xfId="17902"/>
    <cellStyle name="Calculation 4 6_Table 2A-1_EFT (Annual)" xfId="6693"/>
    <cellStyle name="Calculation 4 7" xfId="3711"/>
    <cellStyle name="Calculation 4 7 2" xfId="12079"/>
    <cellStyle name="Calculation 4 7 2 2" xfId="24109"/>
    <cellStyle name="Calculation 4 7 3" xfId="18996"/>
    <cellStyle name="Calculation 4 7_Table 2A-1_EFT (Annual)" xfId="13553"/>
    <cellStyle name="Calculation 4 8" xfId="9398"/>
    <cellStyle name="Calculation 4 8 2" xfId="21563"/>
    <cellStyle name="Calculation 4 9" xfId="16450"/>
    <cellStyle name="Calculation 4_Table 2A-1_EFT (Annual)" xfId="2974"/>
    <cellStyle name="Calculation 5" xfId="111"/>
    <cellStyle name="Calculation 5 10" xfId="21512"/>
    <cellStyle name="Calculation 5 2" xfId="504"/>
    <cellStyle name="Calculation 5 2 2" xfId="1481"/>
    <cellStyle name="Calculation 5 2 2 2" xfId="2751"/>
    <cellStyle name="Calculation 5 2 2 2 2" xfId="6312"/>
    <cellStyle name="Calculation 5 2 2 2 2 2" xfId="14506"/>
    <cellStyle name="Calculation 5 2 2 2 2 2 2" xfId="26478"/>
    <cellStyle name="Calculation 5 2 2 2 2 3" xfId="21365"/>
    <cellStyle name="Calculation 5 2 2 2 2_Table 2A-1_EFT (Annual)" xfId="12685"/>
    <cellStyle name="Calculation 5 2 2 2 3" xfId="11848"/>
    <cellStyle name="Calculation 5 2 2 2 3 2" xfId="23932"/>
    <cellStyle name="Calculation 5 2 2 2 4" xfId="18819"/>
    <cellStyle name="Calculation 5 2 2 2_Table 2A-1_EFT (Annual)" xfId="6695"/>
    <cellStyle name="Calculation 5 2 2 3" xfId="5042"/>
    <cellStyle name="Calculation 5 2 2 3 2" xfId="13302"/>
    <cellStyle name="Calculation 5 2 2 3 2 2" xfId="25308"/>
    <cellStyle name="Calculation 5 2 2 3 3" xfId="20195"/>
    <cellStyle name="Calculation 5 2 2 3_Table 2A-1_EFT (Annual)" xfId="11494"/>
    <cellStyle name="Calculation 5 2 2 4" xfId="10646"/>
    <cellStyle name="Calculation 5 2 2 4 2" xfId="22762"/>
    <cellStyle name="Calculation 5 2 2 5" xfId="17649"/>
    <cellStyle name="Calculation 5 2 2_Table 2A-1_EFT (Annual)" xfId="6694"/>
    <cellStyle name="Calculation 5 2 3" xfId="1018"/>
    <cellStyle name="Calculation 5 2 3 2" xfId="4579"/>
    <cellStyle name="Calculation 5 2 3 2 2" xfId="12839"/>
    <cellStyle name="Calculation 5 2 3 2 2 2" xfId="24845"/>
    <cellStyle name="Calculation 5 2 3 2 3" xfId="19732"/>
    <cellStyle name="Calculation 5 2 3 2_Table 2A-1_EFT (Annual)" xfId="12065"/>
    <cellStyle name="Calculation 5 2 3 3" xfId="10183"/>
    <cellStyle name="Calculation 5 2 3 3 2" xfId="22299"/>
    <cellStyle name="Calculation 5 2 3 4" xfId="17186"/>
    <cellStyle name="Calculation 5 2 3_Table 2A-1_EFT (Annual)" xfId="6696"/>
    <cellStyle name="Calculation 5 2 4" xfId="2220"/>
    <cellStyle name="Calculation 5 2 4 2" xfId="5781"/>
    <cellStyle name="Calculation 5 2 4 2 2" xfId="13996"/>
    <cellStyle name="Calculation 5 2 4 2 2 2" xfId="25984"/>
    <cellStyle name="Calculation 5 2 4 2 3" xfId="20871"/>
    <cellStyle name="Calculation 5 2 4 2_Table 2A-1_EFT (Annual)" xfId="12565"/>
    <cellStyle name="Calculation 5 2 4 3" xfId="11340"/>
    <cellStyle name="Calculation 5 2 4 3 2" xfId="23438"/>
    <cellStyle name="Calculation 5 2 4 4" xfId="18325"/>
    <cellStyle name="Calculation 5 2 4_Table 2A-1_EFT (Annual)" xfId="6697"/>
    <cellStyle name="Calculation 5 2 5" xfId="4074"/>
    <cellStyle name="Calculation 5 2 5 2" xfId="12398"/>
    <cellStyle name="Calculation 5 2 5 2 2" xfId="24420"/>
    <cellStyle name="Calculation 5 2 5 3" xfId="19307"/>
    <cellStyle name="Calculation 5 2 5_Table 2A-1_EFT (Annual)" xfId="11488"/>
    <cellStyle name="Calculation 5 2 6" xfId="9737"/>
    <cellStyle name="Calculation 5 2 6 2" xfId="21874"/>
    <cellStyle name="Calculation 5 2 7" xfId="16761"/>
    <cellStyle name="Calculation 5 2_Table 2A-1_EFT (Annual)" xfId="2978"/>
    <cellStyle name="Calculation 5 3" xfId="342"/>
    <cellStyle name="Calculation 5 3 2" xfId="1325"/>
    <cellStyle name="Calculation 5 3 2 2" xfId="2595"/>
    <cellStyle name="Calculation 5 3 2 2 2" xfId="6156"/>
    <cellStyle name="Calculation 5 3 2 2 2 2" xfId="14350"/>
    <cellStyle name="Calculation 5 3 2 2 2 2 2" xfId="26322"/>
    <cellStyle name="Calculation 5 3 2 2 2 3" xfId="21209"/>
    <cellStyle name="Calculation 5 3 2 2 2_Table 2A-1_EFT (Annual)" xfId="12706"/>
    <cellStyle name="Calculation 5 3 2 2 3" xfId="11692"/>
    <cellStyle name="Calculation 5 3 2 2 3 2" xfId="23776"/>
    <cellStyle name="Calculation 5 3 2 2 4" xfId="18663"/>
    <cellStyle name="Calculation 5 3 2 2_Table 2A-1_EFT (Annual)" xfId="6699"/>
    <cellStyle name="Calculation 5 3 2 3" xfId="4886"/>
    <cellStyle name="Calculation 5 3 2 3 2" xfId="13146"/>
    <cellStyle name="Calculation 5 3 2 3 2 2" xfId="25152"/>
    <cellStyle name="Calculation 5 3 2 3 3" xfId="20039"/>
    <cellStyle name="Calculation 5 3 2 3_Table 2A-1_EFT (Annual)" xfId="11497"/>
    <cellStyle name="Calculation 5 3 2 4" xfId="10490"/>
    <cellStyle name="Calculation 5 3 2 4 2" xfId="22606"/>
    <cellStyle name="Calculation 5 3 2 5" xfId="17493"/>
    <cellStyle name="Calculation 5 3 2_Table 2A-1_EFT (Annual)" xfId="6698"/>
    <cellStyle name="Calculation 5 3 3" xfId="886"/>
    <cellStyle name="Calculation 5 3 3 2" xfId="4447"/>
    <cellStyle name="Calculation 5 3 3 2 2" xfId="12709"/>
    <cellStyle name="Calculation 5 3 3 2 2 2" xfId="24719"/>
    <cellStyle name="Calculation 5 3 3 2 3" xfId="19606"/>
    <cellStyle name="Calculation 5 3 3 2_Table 2A-1_EFT (Annual)" xfId="9384"/>
    <cellStyle name="Calculation 5 3 3 3" xfId="10056"/>
    <cellStyle name="Calculation 5 3 3 3 2" xfId="22173"/>
    <cellStyle name="Calculation 5 3 3 4" xfId="17060"/>
    <cellStyle name="Calculation 5 3 3_Table 2A-1_EFT (Annual)" xfId="6700"/>
    <cellStyle name="Calculation 5 3 4" xfId="2064"/>
    <cellStyle name="Calculation 5 3 4 2" xfId="5625"/>
    <cellStyle name="Calculation 5 3 4 2 2" xfId="13840"/>
    <cellStyle name="Calculation 5 3 4 2 2 2" xfId="25828"/>
    <cellStyle name="Calculation 5 3 4 2 3" xfId="20715"/>
    <cellStyle name="Calculation 5 3 4 2_Table 2A-1_EFT (Annual)" xfId="13445"/>
    <cellStyle name="Calculation 5 3 4 3" xfId="11184"/>
    <cellStyle name="Calculation 5 3 4 3 2" xfId="23282"/>
    <cellStyle name="Calculation 5 3 4 4" xfId="18169"/>
    <cellStyle name="Calculation 5 3 4_Table 2A-1_EFT (Annual)" xfId="6701"/>
    <cellStyle name="Calculation 5 3 5" xfId="3912"/>
    <cellStyle name="Calculation 5 3 5 2" xfId="12240"/>
    <cellStyle name="Calculation 5 3 5 2 2" xfId="24264"/>
    <cellStyle name="Calculation 5 3 5 3" xfId="19151"/>
    <cellStyle name="Calculation 5 3 5_Table 2A-1_EFT (Annual)" xfId="12539"/>
    <cellStyle name="Calculation 5 3 6" xfId="9577"/>
    <cellStyle name="Calculation 5 3 6 2" xfId="21718"/>
    <cellStyle name="Calculation 5 3 7" xfId="16605"/>
    <cellStyle name="Calculation 5 3_Table 2A-1_EFT (Annual)" xfId="2979"/>
    <cellStyle name="Calculation 5 4" xfId="1159"/>
    <cellStyle name="Calculation 5 4 2" xfId="2429"/>
    <cellStyle name="Calculation 5 4 2 2" xfId="5990"/>
    <cellStyle name="Calculation 5 4 2 2 2" xfId="14184"/>
    <cellStyle name="Calculation 5 4 2 2 2 2" xfId="26156"/>
    <cellStyle name="Calculation 5 4 2 2 3" xfId="21043"/>
    <cellStyle name="Calculation 5 4 2 2_Table 2A-1_EFT (Annual)" xfId="12210"/>
    <cellStyle name="Calculation 5 4 2 3" xfId="11526"/>
    <cellStyle name="Calculation 5 4 2 3 2" xfId="23610"/>
    <cellStyle name="Calculation 5 4 2 4" xfId="18497"/>
    <cellStyle name="Calculation 5 4 2_Table 2A-1_EFT (Annual)" xfId="6703"/>
    <cellStyle name="Calculation 5 4 3" xfId="4720"/>
    <cellStyle name="Calculation 5 4 3 2" xfId="12980"/>
    <cellStyle name="Calculation 5 4 3 2 2" xfId="24986"/>
    <cellStyle name="Calculation 5 4 3 3" xfId="19873"/>
    <cellStyle name="Calculation 5 4 3_Table 2A-1_EFT (Annual)" xfId="10829"/>
    <cellStyle name="Calculation 5 4 4" xfId="10324"/>
    <cellStyle name="Calculation 5 4 4 2" xfId="22440"/>
    <cellStyle name="Calculation 5 4 5" xfId="17327"/>
    <cellStyle name="Calculation 5 4_Table 2A-1_EFT (Annual)" xfId="6702"/>
    <cellStyle name="Calculation 5 5" xfId="727"/>
    <cellStyle name="Calculation 5 5 2" xfId="4288"/>
    <cellStyle name="Calculation 5 5 2 2" xfId="12568"/>
    <cellStyle name="Calculation 5 5 2 2 2" xfId="24585"/>
    <cellStyle name="Calculation 5 5 2 3" xfId="19472"/>
    <cellStyle name="Calculation 5 5 2_Table 2A-1_EFT (Annual)" xfId="11491"/>
    <cellStyle name="Calculation 5 5 3" xfId="9916"/>
    <cellStyle name="Calculation 5 5 3 2" xfId="22039"/>
    <cellStyle name="Calculation 5 5 4" xfId="16926"/>
    <cellStyle name="Calculation 5 5_Table 2A-1_EFT (Annual)" xfId="6704"/>
    <cellStyle name="Calculation 5 6" xfId="1870"/>
    <cellStyle name="Calculation 5 6 2" xfId="5431"/>
    <cellStyle name="Calculation 5 6 2 2" xfId="13646"/>
    <cellStyle name="Calculation 5 6 2 2 2" xfId="25634"/>
    <cellStyle name="Calculation 5 6 2 3" xfId="20521"/>
    <cellStyle name="Calculation 5 6 2_Table 2A-1_EFT (Annual)" xfId="12041"/>
    <cellStyle name="Calculation 5 6 3" xfId="10990"/>
    <cellStyle name="Calculation 5 6 3 2" xfId="23088"/>
    <cellStyle name="Calculation 5 6 4" xfId="17975"/>
    <cellStyle name="Calculation 5 6_Table 2A-1_EFT (Annual)" xfId="6705"/>
    <cellStyle name="Calculation 5 7" xfId="3700"/>
    <cellStyle name="Calculation 5 7 2" xfId="12068"/>
    <cellStyle name="Calculation 5 7 2 2" xfId="24098"/>
    <cellStyle name="Calculation 5 7 3" xfId="18985"/>
    <cellStyle name="Calculation 5 7_Table 2A-1_EFT (Annual)" xfId="10793"/>
    <cellStyle name="Calculation 5 8" xfId="9387"/>
    <cellStyle name="Calculation 5 8 2" xfId="21552"/>
    <cellStyle name="Calculation 5 9" xfId="16439"/>
    <cellStyle name="Calculation 5_Table 2A-1_EFT (Annual)" xfId="2977"/>
    <cellStyle name="Calculation 6" xfId="85"/>
    <cellStyle name="Calculation 6 2" xfId="484"/>
    <cellStyle name="Calculation 6 2 2" xfId="1461"/>
    <cellStyle name="Calculation 6 2 2 2" xfId="2731"/>
    <cellStyle name="Calculation 6 2 2 2 2" xfId="6292"/>
    <cellStyle name="Calculation 6 2 2 2 2 2" xfId="14486"/>
    <cellStyle name="Calculation 6 2 2 2 2 2 2" xfId="26458"/>
    <cellStyle name="Calculation 6 2 2 2 2 3" xfId="21345"/>
    <cellStyle name="Calculation 6 2 2 2 2_Table 2A-1_EFT (Annual)" xfId="13487"/>
    <cellStyle name="Calculation 6 2 2 2 3" xfId="11828"/>
    <cellStyle name="Calculation 6 2 2 2 3 2" xfId="23912"/>
    <cellStyle name="Calculation 6 2 2 2 4" xfId="18799"/>
    <cellStyle name="Calculation 6 2 2 2_Table 2A-1_EFT (Annual)" xfId="6707"/>
    <cellStyle name="Calculation 6 2 2 3" xfId="5022"/>
    <cellStyle name="Calculation 6 2 2 3 2" xfId="13282"/>
    <cellStyle name="Calculation 6 2 2 3 2 2" xfId="25288"/>
    <cellStyle name="Calculation 6 2 2 3 3" xfId="20175"/>
    <cellStyle name="Calculation 6 2 2 3_Table 2A-1_EFT (Annual)" xfId="12687"/>
    <cellStyle name="Calculation 6 2 2 4" xfId="10626"/>
    <cellStyle name="Calculation 6 2 2 4 2" xfId="22742"/>
    <cellStyle name="Calculation 6 2 2 5" xfId="17629"/>
    <cellStyle name="Calculation 6 2 2_Table 2A-1_EFT (Annual)" xfId="6706"/>
    <cellStyle name="Calculation 6 2 3" xfId="1004"/>
    <cellStyle name="Calculation 6 2 3 2" xfId="4565"/>
    <cellStyle name="Calculation 6 2 3 2 2" xfId="12825"/>
    <cellStyle name="Calculation 6 2 3 2 2 2" xfId="24831"/>
    <cellStyle name="Calculation 6 2 3 2 3" xfId="19718"/>
    <cellStyle name="Calculation 6 2 3 2_Table 2A-1_EFT (Annual)" xfId="10034"/>
    <cellStyle name="Calculation 6 2 3 3" xfId="10169"/>
    <cellStyle name="Calculation 6 2 3 3 2" xfId="22285"/>
    <cellStyle name="Calculation 6 2 3 4" xfId="17172"/>
    <cellStyle name="Calculation 6 2 3_Table 2A-1_EFT (Annual)" xfId="6708"/>
    <cellStyle name="Calculation 6 2 4" xfId="2200"/>
    <cellStyle name="Calculation 6 2 4 2" xfId="5761"/>
    <cellStyle name="Calculation 6 2 4 2 2" xfId="13976"/>
    <cellStyle name="Calculation 6 2 4 2 2 2" xfId="25964"/>
    <cellStyle name="Calculation 6 2 4 2 3" xfId="20851"/>
    <cellStyle name="Calculation 6 2 4 2_Table 2A-1_EFT (Annual)" xfId="9357"/>
    <cellStyle name="Calculation 6 2 4 3" xfId="11320"/>
    <cellStyle name="Calculation 6 2 4 3 2" xfId="23418"/>
    <cellStyle name="Calculation 6 2 4 4" xfId="18305"/>
    <cellStyle name="Calculation 6 2 4_Table 2A-1_EFT (Annual)" xfId="6709"/>
    <cellStyle name="Calculation 6 2 5" xfId="4054"/>
    <cellStyle name="Calculation 6 2 5 2" xfId="12378"/>
    <cellStyle name="Calculation 6 2 5 2 2" xfId="24400"/>
    <cellStyle name="Calculation 6 2 5 3" xfId="19287"/>
    <cellStyle name="Calculation 6 2 5_Table 2A-1_EFT (Annual)" xfId="9377"/>
    <cellStyle name="Calculation 6 2 6" xfId="9717"/>
    <cellStyle name="Calculation 6 2 6 2" xfId="21854"/>
    <cellStyle name="Calculation 6 2 7" xfId="16741"/>
    <cellStyle name="Calculation 6 2_Table 2A-1_EFT (Annual)" xfId="2981"/>
    <cellStyle name="Calculation 6 3" xfId="317"/>
    <cellStyle name="Calculation 6 3 2" xfId="1305"/>
    <cellStyle name="Calculation 6 3 2 2" xfId="2575"/>
    <cellStyle name="Calculation 6 3 2 2 2" xfId="6136"/>
    <cellStyle name="Calculation 6 3 2 2 2 2" xfId="14330"/>
    <cellStyle name="Calculation 6 3 2 2 2 2 2" xfId="26302"/>
    <cellStyle name="Calculation 6 3 2 2 2 3" xfId="21189"/>
    <cellStyle name="Calculation 6 3 2 2 2_Table 2A-1_EFT (Annual)" xfId="9346"/>
    <cellStyle name="Calculation 6 3 2 2 3" xfId="11672"/>
    <cellStyle name="Calculation 6 3 2 2 3 2" xfId="23756"/>
    <cellStyle name="Calculation 6 3 2 2 4" xfId="18643"/>
    <cellStyle name="Calculation 6 3 2 2_Table 2A-1_EFT (Annual)" xfId="6711"/>
    <cellStyle name="Calculation 6 3 2 3" xfId="4866"/>
    <cellStyle name="Calculation 6 3 2 3 2" xfId="13126"/>
    <cellStyle name="Calculation 6 3 2 3 2 2" xfId="25132"/>
    <cellStyle name="Calculation 6 3 2 3 3" xfId="20019"/>
    <cellStyle name="Calculation 6 3 2 3_Table 2A-1_EFT (Annual)" xfId="9887"/>
    <cellStyle name="Calculation 6 3 2 4" xfId="10470"/>
    <cellStyle name="Calculation 6 3 2 4 2" xfId="22586"/>
    <cellStyle name="Calculation 6 3 2 5" xfId="17473"/>
    <cellStyle name="Calculation 6 3 2_Table 2A-1_EFT (Annual)" xfId="6710"/>
    <cellStyle name="Calculation 6 3 3" xfId="867"/>
    <cellStyle name="Calculation 6 3 3 2" xfId="4428"/>
    <cellStyle name="Calculation 6 3 3 2 2" xfId="12693"/>
    <cellStyle name="Calculation 6 3 3 2 2 2" xfId="24705"/>
    <cellStyle name="Calculation 6 3 3 2 3" xfId="19592"/>
    <cellStyle name="Calculation 6 3 3 2_Table 2A-1_EFT (Annual)" xfId="9345"/>
    <cellStyle name="Calculation 6 3 3 3" xfId="10040"/>
    <cellStyle name="Calculation 6 3 3 3 2" xfId="22159"/>
    <cellStyle name="Calculation 6 3 3 4" xfId="17046"/>
    <cellStyle name="Calculation 6 3 3_Table 2A-1_EFT (Annual)" xfId="6712"/>
    <cellStyle name="Calculation 6 3 4" xfId="2044"/>
    <cellStyle name="Calculation 6 3 4 2" xfId="5605"/>
    <cellStyle name="Calculation 6 3 4 2 2" xfId="13820"/>
    <cellStyle name="Calculation 6 3 4 2 2 2" xfId="25808"/>
    <cellStyle name="Calculation 6 3 4 2 3" xfId="20695"/>
    <cellStyle name="Calculation 6 3 4 2_Table 2A-1_EFT (Annual)" xfId="9344"/>
    <cellStyle name="Calculation 6 3 4 3" xfId="11164"/>
    <cellStyle name="Calculation 6 3 4 3 2" xfId="23262"/>
    <cellStyle name="Calculation 6 3 4 4" xfId="18149"/>
    <cellStyle name="Calculation 6 3 4_Table 2A-1_EFT (Annual)" xfId="6713"/>
    <cellStyle name="Calculation 6 3 5" xfId="3887"/>
    <cellStyle name="Calculation 6 3 5 2" xfId="12219"/>
    <cellStyle name="Calculation 6 3 5 2 2" xfId="24244"/>
    <cellStyle name="Calculation 6 3 5 3" xfId="19131"/>
    <cellStyle name="Calculation 6 3 5_Table 2A-1_EFT (Annual)" xfId="9533"/>
    <cellStyle name="Calculation 6 3 6" xfId="9556"/>
    <cellStyle name="Calculation 6 3 6 2" xfId="21698"/>
    <cellStyle name="Calculation 6 3 7" xfId="16585"/>
    <cellStyle name="Calculation 6 3_Table 2A-1_EFT (Annual)" xfId="2982"/>
    <cellStyle name="Calculation 6 4" xfId="1139"/>
    <cellStyle name="Calculation 6 4 2" xfId="2409"/>
    <cellStyle name="Calculation 6 4 2 2" xfId="5970"/>
    <cellStyle name="Calculation 6 4 2 2 2" xfId="14164"/>
    <cellStyle name="Calculation 6 4 2 2 2 2" xfId="26136"/>
    <cellStyle name="Calculation 6 4 2 2 3" xfId="21023"/>
    <cellStyle name="Calculation 6 4 2 2_Table 2A-1_EFT (Annual)" xfId="9343"/>
    <cellStyle name="Calculation 6 4 2 3" xfId="11506"/>
    <cellStyle name="Calculation 6 4 2 3 2" xfId="23590"/>
    <cellStyle name="Calculation 6 4 2 4" xfId="18477"/>
    <cellStyle name="Calculation 6 4 2_Table 2A-1_EFT (Annual)" xfId="6715"/>
    <cellStyle name="Calculation 6 4 3" xfId="4700"/>
    <cellStyle name="Calculation 6 4 3 2" xfId="12960"/>
    <cellStyle name="Calculation 6 4 3 2 2" xfId="24966"/>
    <cellStyle name="Calculation 6 4 3 3" xfId="19853"/>
    <cellStyle name="Calculation 6 4 3_Table 2A-1_EFT (Annual)" xfId="9532"/>
    <cellStyle name="Calculation 6 4 4" xfId="10304"/>
    <cellStyle name="Calculation 6 4 4 2" xfId="22420"/>
    <cellStyle name="Calculation 6 4 5" xfId="17307"/>
    <cellStyle name="Calculation 6 4_Table 2A-1_EFT (Annual)" xfId="6714"/>
    <cellStyle name="Calculation 6 5" xfId="708"/>
    <cellStyle name="Calculation 6 5 2" xfId="4269"/>
    <cellStyle name="Calculation 6 5 2 2" xfId="12553"/>
    <cellStyle name="Calculation 6 5 2 2 2" xfId="24571"/>
    <cellStyle name="Calculation 6 5 2 3" xfId="19458"/>
    <cellStyle name="Calculation 6 5 2_Table 2A-1_EFT (Annual)" xfId="9531"/>
    <cellStyle name="Calculation 6 5 3" xfId="9900"/>
    <cellStyle name="Calculation 6 5 3 2" xfId="22025"/>
    <cellStyle name="Calculation 6 5 4" xfId="16912"/>
    <cellStyle name="Calculation 6 5_Table 2A-1_EFT (Annual)" xfId="6716"/>
    <cellStyle name="Calculation 6 6" xfId="1842"/>
    <cellStyle name="Calculation 6 6 2" xfId="5403"/>
    <cellStyle name="Calculation 6 6 2 2" xfId="13618"/>
    <cellStyle name="Calculation 6 6 2 2 2" xfId="25606"/>
    <cellStyle name="Calculation 6 6 2 3" xfId="20493"/>
    <cellStyle name="Calculation 6 6 2_Table 2A-1_EFT (Annual)" xfId="9530"/>
    <cellStyle name="Calculation 6 6 3" xfId="10962"/>
    <cellStyle name="Calculation 6 6 3 2" xfId="23060"/>
    <cellStyle name="Calculation 6 6 4" xfId="17947"/>
    <cellStyle name="Calculation 6 6_Table 2A-1_EFT (Annual)" xfId="6717"/>
    <cellStyle name="Calculation 6 7" xfId="3674"/>
    <cellStyle name="Calculation 6 7 2" xfId="12047"/>
    <cellStyle name="Calculation 6 7 2 2" xfId="24078"/>
    <cellStyle name="Calculation 6 7 3" xfId="18965"/>
    <cellStyle name="Calculation 6 7_Table 2A-1_EFT (Annual)" xfId="9885"/>
    <cellStyle name="Calculation 6 8" xfId="9364"/>
    <cellStyle name="Calculation 6 8 2" xfId="21532"/>
    <cellStyle name="Calculation 6 9" xfId="16419"/>
    <cellStyle name="Calculation 6_Table 2A-1_EFT (Annual)" xfId="2980"/>
    <cellStyle name="Calculation 7" xfId="126"/>
    <cellStyle name="Calculation 7 2" xfId="519"/>
    <cellStyle name="Calculation 7 2 2" xfId="1496"/>
    <cellStyle name="Calculation 7 2 2 2" xfId="2766"/>
    <cellStyle name="Calculation 7 2 2 2 2" xfId="6327"/>
    <cellStyle name="Calculation 7 2 2 2 2 2" xfId="14521"/>
    <cellStyle name="Calculation 7 2 2 2 2 2 2" xfId="26493"/>
    <cellStyle name="Calculation 7 2 2 2 2 3" xfId="21380"/>
    <cellStyle name="Calculation 7 2 2 2 2_Table 2A-1_EFT (Annual)" xfId="9884"/>
    <cellStyle name="Calculation 7 2 2 2 3" xfId="11863"/>
    <cellStyle name="Calculation 7 2 2 2 3 2" xfId="23947"/>
    <cellStyle name="Calculation 7 2 2 2 4" xfId="18834"/>
    <cellStyle name="Calculation 7 2 2 2_Table 2A-1_EFT (Annual)" xfId="6719"/>
    <cellStyle name="Calculation 7 2 2 3" xfId="5057"/>
    <cellStyle name="Calculation 7 2 2 3 2" xfId="13317"/>
    <cellStyle name="Calculation 7 2 2 3 2 2" xfId="25323"/>
    <cellStyle name="Calculation 7 2 2 3 3" xfId="20210"/>
    <cellStyle name="Calculation 7 2 2 3_Table 2A-1_EFT (Annual)" xfId="9342"/>
    <cellStyle name="Calculation 7 2 2 4" xfId="10661"/>
    <cellStyle name="Calculation 7 2 2 4 2" xfId="22777"/>
    <cellStyle name="Calculation 7 2 2 5" xfId="17664"/>
    <cellStyle name="Calculation 7 2 2_Table 2A-1_EFT (Annual)" xfId="6718"/>
    <cellStyle name="Calculation 7 2 3" xfId="1029"/>
    <cellStyle name="Calculation 7 2 3 2" xfId="4590"/>
    <cellStyle name="Calculation 7 2 3 2 2" xfId="12850"/>
    <cellStyle name="Calculation 7 2 3 2 2 2" xfId="24856"/>
    <cellStyle name="Calculation 7 2 3 2 3" xfId="19743"/>
    <cellStyle name="Calculation 7 2 3 2_Table 2A-1_EFT (Annual)" xfId="9341"/>
    <cellStyle name="Calculation 7 2 3 3" xfId="10194"/>
    <cellStyle name="Calculation 7 2 3 3 2" xfId="22310"/>
    <cellStyle name="Calculation 7 2 3 4" xfId="17197"/>
    <cellStyle name="Calculation 7 2 3_Table 2A-1_EFT (Annual)" xfId="6720"/>
    <cellStyle name="Calculation 7 2 4" xfId="2235"/>
    <cellStyle name="Calculation 7 2 4 2" xfId="5796"/>
    <cellStyle name="Calculation 7 2 4 2 2" xfId="14011"/>
    <cellStyle name="Calculation 7 2 4 2 2 2" xfId="25999"/>
    <cellStyle name="Calculation 7 2 4 2 3" xfId="20886"/>
    <cellStyle name="Calculation 7 2 4 2_Table 2A-1_EFT (Annual)" xfId="9340"/>
    <cellStyle name="Calculation 7 2 4 3" xfId="11355"/>
    <cellStyle name="Calculation 7 2 4 3 2" xfId="23453"/>
    <cellStyle name="Calculation 7 2 4 4" xfId="18340"/>
    <cellStyle name="Calculation 7 2 4_Table 2A-1_EFT (Annual)" xfId="6721"/>
    <cellStyle name="Calculation 7 2 5" xfId="4089"/>
    <cellStyle name="Calculation 7 2 5 2" xfId="12413"/>
    <cellStyle name="Calculation 7 2 5 2 2" xfId="24435"/>
    <cellStyle name="Calculation 7 2 5 3" xfId="19322"/>
    <cellStyle name="Calculation 7 2 5_Table 2A-1_EFT (Annual)" xfId="9529"/>
    <cellStyle name="Calculation 7 2 6" xfId="9752"/>
    <cellStyle name="Calculation 7 2 6 2" xfId="21889"/>
    <cellStyle name="Calculation 7 2 7" xfId="16776"/>
    <cellStyle name="Calculation 7 2_Table 2A-1_EFT (Annual)" xfId="2984"/>
    <cellStyle name="Calculation 7 3" xfId="357"/>
    <cellStyle name="Calculation 7 3 2" xfId="1340"/>
    <cellStyle name="Calculation 7 3 2 2" xfId="2610"/>
    <cellStyle name="Calculation 7 3 2 2 2" xfId="6171"/>
    <cellStyle name="Calculation 7 3 2 2 2 2" xfId="14365"/>
    <cellStyle name="Calculation 7 3 2 2 2 2 2" xfId="26337"/>
    <cellStyle name="Calculation 7 3 2 2 2 3" xfId="21224"/>
    <cellStyle name="Calculation 7 3 2 2 2_Table 2A-1_EFT (Annual)" xfId="9883"/>
    <cellStyle name="Calculation 7 3 2 2 3" xfId="11707"/>
    <cellStyle name="Calculation 7 3 2 2 3 2" xfId="23791"/>
    <cellStyle name="Calculation 7 3 2 2 4" xfId="18678"/>
    <cellStyle name="Calculation 7 3 2 2_Table 2A-1_EFT (Annual)" xfId="6723"/>
    <cellStyle name="Calculation 7 3 2 3" xfId="4901"/>
    <cellStyle name="Calculation 7 3 2 3 2" xfId="13161"/>
    <cellStyle name="Calculation 7 3 2 3 2 2" xfId="25167"/>
    <cellStyle name="Calculation 7 3 2 3 3" xfId="20054"/>
    <cellStyle name="Calculation 7 3 2 3_Table 2A-1_EFT (Annual)" xfId="9339"/>
    <cellStyle name="Calculation 7 3 2 4" xfId="10505"/>
    <cellStyle name="Calculation 7 3 2 4 2" xfId="22621"/>
    <cellStyle name="Calculation 7 3 2 5" xfId="17508"/>
    <cellStyle name="Calculation 7 3 2_Table 2A-1_EFT (Annual)" xfId="6722"/>
    <cellStyle name="Calculation 7 3 3" xfId="897"/>
    <cellStyle name="Calculation 7 3 3 2" xfId="4458"/>
    <cellStyle name="Calculation 7 3 3 2 2" xfId="12720"/>
    <cellStyle name="Calculation 7 3 3 2 2 2" xfId="24730"/>
    <cellStyle name="Calculation 7 3 3 2 3" xfId="19617"/>
    <cellStyle name="Calculation 7 3 3 2_Table 2A-1_EFT (Annual)" xfId="9338"/>
    <cellStyle name="Calculation 7 3 3 3" xfId="10067"/>
    <cellStyle name="Calculation 7 3 3 3 2" xfId="22184"/>
    <cellStyle name="Calculation 7 3 3 4" xfId="17071"/>
    <cellStyle name="Calculation 7 3 3_Table 2A-1_EFT (Annual)" xfId="6724"/>
    <cellStyle name="Calculation 7 3 4" xfId="2079"/>
    <cellStyle name="Calculation 7 3 4 2" xfId="5640"/>
    <cellStyle name="Calculation 7 3 4 2 2" xfId="13855"/>
    <cellStyle name="Calculation 7 3 4 2 2 2" xfId="25843"/>
    <cellStyle name="Calculation 7 3 4 2 3" xfId="20730"/>
    <cellStyle name="Calculation 7 3 4 2_Table 2A-1_EFT (Annual)" xfId="9337"/>
    <cellStyle name="Calculation 7 3 4 3" xfId="11199"/>
    <cellStyle name="Calculation 7 3 4 3 2" xfId="23297"/>
    <cellStyle name="Calculation 7 3 4 4" xfId="18184"/>
    <cellStyle name="Calculation 7 3 4_Table 2A-1_EFT (Annual)" xfId="6725"/>
    <cellStyle name="Calculation 7 3 5" xfId="3927"/>
    <cellStyle name="Calculation 7 3 5 2" xfId="12255"/>
    <cellStyle name="Calculation 7 3 5 2 2" xfId="24279"/>
    <cellStyle name="Calculation 7 3 5 3" xfId="19166"/>
    <cellStyle name="Calculation 7 3 5_Table 2A-1_EFT (Annual)" xfId="9528"/>
    <cellStyle name="Calculation 7 3 6" xfId="9592"/>
    <cellStyle name="Calculation 7 3 6 2" xfId="21733"/>
    <cellStyle name="Calculation 7 3 7" xfId="16620"/>
    <cellStyle name="Calculation 7 3_Table 2A-1_EFT (Annual)" xfId="2985"/>
    <cellStyle name="Calculation 7 4" xfId="1174"/>
    <cellStyle name="Calculation 7 4 2" xfId="2444"/>
    <cellStyle name="Calculation 7 4 2 2" xfId="6005"/>
    <cellStyle name="Calculation 7 4 2 2 2" xfId="14199"/>
    <cellStyle name="Calculation 7 4 2 2 2 2" xfId="26171"/>
    <cellStyle name="Calculation 7 4 2 2 3" xfId="21058"/>
    <cellStyle name="Calculation 7 4 2 2_Table 2A-1_EFT (Annual)" xfId="9336"/>
    <cellStyle name="Calculation 7 4 2 3" xfId="11541"/>
    <cellStyle name="Calculation 7 4 2 3 2" xfId="23625"/>
    <cellStyle name="Calculation 7 4 2 4" xfId="18512"/>
    <cellStyle name="Calculation 7 4 2_Table 2A-1_EFT (Annual)" xfId="6727"/>
    <cellStyle name="Calculation 7 4 3" xfId="4735"/>
    <cellStyle name="Calculation 7 4 3 2" xfId="12995"/>
    <cellStyle name="Calculation 7 4 3 2 2" xfId="25001"/>
    <cellStyle name="Calculation 7 4 3 3" xfId="19888"/>
    <cellStyle name="Calculation 7 4 3_Table 2A-1_EFT (Annual)" xfId="9527"/>
    <cellStyle name="Calculation 7 4 4" xfId="10339"/>
    <cellStyle name="Calculation 7 4 4 2" xfId="22455"/>
    <cellStyle name="Calculation 7 4 5" xfId="17342"/>
    <cellStyle name="Calculation 7 4_Table 2A-1_EFT (Annual)" xfId="6726"/>
    <cellStyle name="Calculation 7 5" xfId="738"/>
    <cellStyle name="Calculation 7 5 2" xfId="4299"/>
    <cellStyle name="Calculation 7 5 2 2" xfId="12579"/>
    <cellStyle name="Calculation 7 5 2 2 2" xfId="24596"/>
    <cellStyle name="Calculation 7 5 2 3" xfId="19483"/>
    <cellStyle name="Calculation 7 5 2_Table 2A-1_EFT (Annual)" xfId="9526"/>
    <cellStyle name="Calculation 7 5 3" xfId="9927"/>
    <cellStyle name="Calculation 7 5 3 2" xfId="22050"/>
    <cellStyle name="Calculation 7 5 4" xfId="16937"/>
    <cellStyle name="Calculation 7 5_Table 2A-1_EFT (Annual)" xfId="6728"/>
    <cellStyle name="Calculation 7 6" xfId="1795"/>
    <cellStyle name="Calculation 7 6 2" xfId="5356"/>
    <cellStyle name="Calculation 7 6 2 2" xfId="13571"/>
    <cellStyle name="Calculation 7 6 2 2 2" xfId="25559"/>
    <cellStyle name="Calculation 7 6 2 3" xfId="20446"/>
    <cellStyle name="Calculation 7 6 2_Table 2A-1_EFT (Annual)" xfId="9525"/>
    <cellStyle name="Calculation 7 6 3" xfId="10915"/>
    <cellStyle name="Calculation 7 6 3 2" xfId="23013"/>
    <cellStyle name="Calculation 7 6 4" xfId="17900"/>
    <cellStyle name="Calculation 7 6_Table 2A-1_EFT (Annual)" xfId="6729"/>
    <cellStyle name="Calculation 7 7" xfId="3715"/>
    <cellStyle name="Calculation 7 7 2" xfId="12083"/>
    <cellStyle name="Calculation 7 7 2 2" xfId="24113"/>
    <cellStyle name="Calculation 7 7 3" xfId="19000"/>
    <cellStyle name="Calculation 7 7_Table 2A-1_EFT (Annual)" xfId="9882"/>
    <cellStyle name="Calculation 7 8" xfId="9402"/>
    <cellStyle name="Calculation 7 8 2" xfId="21567"/>
    <cellStyle name="Calculation 7 9" xfId="16454"/>
    <cellStyle name="Calculation 7_Table 2A-1_EFT (Annual)" xfId="2983"/>
    <cellStyle name="Calculation 8" xfId="88"/>
    <cellStyle name="Calculation 8 2" xfId="487"/>
    <cellStyle name="Calculation 8 2 2" xfId="1464"/>
    <cellStyle name="Calculation 8 2 2 2" xfId="2734"/>
    <cellStyle name="Calculation 8 2 2 2 2" xfId="6295"/>
    <cellStyle name="Calculation 8 2 2 2 2 2" xfId="14489"/>
    <cellStyle name="Calculation 8 2 2 2 2 2 2" xfId="26461"/>
    <cellStyle name="Calculation 8 2 2 2 2 3" xfId="21348"/>
    <cellStyle name="Calculation 8 2 2 2 2_Table 2A-1_EFT (Annual)" xfId="9881"/>
    <cellStyle name="Calculation 8 2 2 2 3" xfId="11831"/>
    <cellStyle name="Calculation 8 2 2 2 3 2" xfId="23915"/>
    <cellStyle name="Calculation 8 2 2 2 4" xfId="18802"/>
    <cellStyle name="Calculation 8 2 2 2_Table 2A-1_EFT (Annual)" xfId="6731"/>
    <cellStyle name="Calculation 8 2 2 3" xfId="5025"/>
    <cellStyle name="Calculation 8 2 2 3 2" xfId="13285"/>
    <cellStyle name="Calculation 8 2 2 3 2 2" xfId="25291"/>
    <cellStyle name="Calculation 8 2 2 3 3" xfId="20178"/>
    <cellStyle name="Calculation 8 2 2 3_Table 2A-1_EFT (Annual)" xfId="9335"/>
    <cellStyle name="Calculation 8 2 2 4" xfId="10629"/>
    <cellStyle name="Calculation 8 2 2 4 2" xfId="22745"/>
    <cellStyle name="Calculation 8 2 2 5" xfId="17632"/>
    <cellStyle name="Calculation 8 2 2_Table 2A-1_EFT (Annual)" xfId="6730"/>
    <cellStyle name="Calculation 8 2 3" xfId="1005"/>
    <cellStyle name="Calculation 8 2 3 2" xfId="4566"/>
    <cellStyle name="Calculation 8 2 3 2 2" xfId="12826"/>
    <cellStyle name="Calculation 8 2 3 2 2 2" xfId="24832"/>
    <cellStyle name="Calculation 8 2 3 2 3" xfId="19719"/>
    <cellStyle name="Calculation 8 2 3 2_Table 2A-1_EFT (Annual)" xfId="9334"/>
    <cellStyle name="Calculation 8 2 3 3" xfId="10170"/>
    <cellStyle name="Calculation 8 2 3 3 2" xfId="22286"/>
    <cellStyle name="Calculation 8 2 3 4" xfId="17173"/>
    <cellStyle name="Calculation 8 2 3_Table 2A-1_EFT (Annual)" xfId="6732"/>
    <cellStyle name="Calculation 8 2 4" xfId="2203"/>
    <cellStyle name="Calculation 8 2 4 2" xfId="5764"/>
    <cellStyle name="Calculation 8 2 4 2 2" xfId="13979"/>
    <cellStyle name="Calculation 8 2 4 2 2 2" xfId="25967"/>
    <cellStyle name="Calculation 8 2 4 2 3" xfId="20854"/>
    <cellStyle name="Calculation 8 2 4 2_Table 2A-1_EFT (Annual)" xfId="14900"/>
    <cellStyle name="Calculation 8 2 4 3" xfId="11323"/>
    <cellStyle name="Calculation 8 2 4 3 2" xfId="23421"/>
    <cellStyle name="Calculation 8 2 4 4" xfId="18308"/>
    <cellStyle name="Calculation 8 2 4_Table 2A-1_EFT (Annual)" xfId="6733"/>
    <cellStyle name="Calculation 8 2 5" xfId="4057"/>
    <cellStyle name="Calculation 8 2 5 2" xfId="12381"/>
    <cellStyle name="Calculation 8 2 5 2 2" xfId="24403"/>
    <cellStyle name="Calculation 8 2 5 3" xfId="19290"/>
    <cellStyle name="Calculation 8 2 5_Table 2A-1_EFT (Annual)" xfId="14901"/>
    <cellStyle name="Calculation 8 2 6" xfId="9720"/>
    <cellStyle name="Calculation 8 2 6 2" xfId="21857"/>
    <cellStyle name="Calculation 8 2 7" xfId="16744"/>
    <cellStyle name="Calculation 8 2_Table 2A-1_EFT (Annual)" xfId="2987"/>
    <cellStyle name="Calculation 8 3" xfId="320"/>
    <cellStyle name="Calculation 8 3 2" xfId="1308"/>
    <cellStyle name="Calculation 8 3 2 2" xfId="2578"/>
    <cellStyle name="Calculation 8 3 2 2 2" xfId="6139"/>
    <cellStyle name="Calculation 8 3 2 2 2 2" xfId="14333"/>
    <cellStyle name="Calculation 8 3 2 2 2 2 2" xfId="26305"/>
    <cellStyle name="Calculation 8 3 2 2 2 3" xfId="21192"/>
    <cellStyle name="Calculation 8 3 2 2 2_Table 2A-1_EFT (Annual)" xfId="14902"/>
    <cellStyle name="Calculation 8 3 2 2 3" xfId="11675"/>
    <cellStyle name="Calculation 8 3 2 2 3 2" xfId="23759"/>
    <cellStyle name="Calculation 8 3 2 2 4" xfId="18646"/>
    <cellStyle name="Calculation 8 3 2 2_Table 2A-1_EFT (Annual)" xfId="6735"/>
    <cellStyle name="Calculation 8 3 2 3" xfId="4869"/>
    <cellStyle name="Calculation 8 3 2 3 2" xfId="13129"/>
    <cellStyle name="Calculation 8 3 2 3 2 2" xfId="25135"/>
    <cellStyle name="Calculation 8 3 2 3 3" xfId="20022"/>
    <cellStyle name="Calculation 8 3 2 3_Table 2A-1_EFT (Annual)" xfId="14903"/>
    <cellStyle name="Calculation 8 3 2 4" xfId="10473"/>
    <cellStyle name="Calculation 8 3 2 4 2" xfId="22589"/>
    <cellStyle name="Calculation 8 3 2 5" xfId="17476"/>
    <cellStyle name="Calculation 8 3 2_Table 2A-1_EFT (Annual)" xfId="6734"/>
    <cellStyle name="Calculation 8 3 3" xfId="868"/>
    <cellStyle name="Calculation 8 3 3 2" xfId="4429"/>
    <cellStyle name="Calculation 8 3 3 2 2" xfId="12694"/>
    <cellStyle name="Calculation 8 3 3 2 2 2" xfId="24706"/>
    <cellStyle name="Calculation 8 3 3 2 3" xfId="19593"/>
    <cellStyle name="Calculation 8 3 3 2_Table 2A-1_EFT (Annual)" xfId="14904"/>
    <cellStyle name="Calculation 8 3 3 3" xfId="10041"/>
    <cellStyle name="Calculation 8 3 3 3 2" xfId="22160"/>
    <cellStyle name="Calculation 8 3 3 4" xfId="17047"/>
    <cellStyle name="Calculation 8 3 3_Table 2A-1_EFT (Annual)" xfId="6736"/>
    <cellStyle name="Calculation 8 3 4" xfId="2047"/>
    <cellStyle name="Calculation 8 3 4 2" xfId="5608"/>
    <cellStyle name="Calculation 8 3 4 2 2" xfId="13823"/>
    <cellStyle name="Calculation 8 3 4 2 2 2" xfId="25811"/>
    <cellStyle name="Calculation 8 3 4 2 3" xfId="20698"/>
    <cellStyle name="Calculation 8 3 4 2_Table 2A-1_EFT (Annual)" xfId="14905"/>
    <cellStyle name="Calculation 8 3 4 3" xfId="11167"/>
    <cellStyle name="Calculation 8 3 4 3 2" xfId="23265"/>
    <cellStyle name="Calculation 8 3 4 4" xfId="18152"/>
    <cellStyle name="Calculation 8 3 4_Table 2A-1_EFT (Annual)" xfId="6737"/>
    <cellStyle name="Calculation 8 3 5" xfId="3890"/>
    <cellStyle name="Calculation 8 3 5 2" xfId="12222"/>
    <cellStyle name="Calculation 8 3 5 2 2" xfId="24247"/>
    <cellStyle name="Calculation 8 3 5 3" xfId="19134"/>
    <cellStyle name="Calculation 8 3 5_Table 2A-1_EFT (Annual)" xfId="14906"/>
    <cellStyle name="Calculation 8 3 6" xfId="9559"/>
    <cellStyle name="Calculation 8 3 6 2" xfId="21701"/>
    <cellStyle name="Calculation 8 3 7" xfId="16588"/>
    <cellStyle name="Calculation 8 3_Table 2A-1_EFT (Annual)" xfId="2988"/>
    <cellStyle name="Calculation 8 4" xfId="1142"/>
    <cellStyle name="Calculation 8 4 2" xfId="2412"/>
    <cellStyle name="Calculation 8 4 2 2" xfId="5973"/>
    <cellStyle name="Calculation 8 4 2 2 2" xfId="14167"/>
    <cellStyle name="Calculation 8 4 2 2 2 2" xfId="26139"/>
    <cellStyle name="Calculation 8 4 2 2 3" xfId="21026"/>
    <cellStyle name="Calculation 8 4 2 2_Table 2A-1_EFT (Annual)" xfId="14907"/>
    <cellStyle name="Calculation 8 4 2 3" xfId="11509"/>
    <cellStyle name="Calculation 8 4 2 3 2" xfId="23593"/>
    <cellStyle name="Calculation 8 4 2 4" xfId="18480"/>
    <cellStyle name="Calculation 8 4 2_Table 2A-1_EFT (Annual)" xfId="6739"/>
    <cellStyle name="Calculation 8 4 3" xfId="4703"/>
    <cellStyle name="Calculation 8 4 3 2" xfId="12963"/>
    <cellStyle name="Calculation 8 4 3 2 2" xfId="24969"/>
    <cellStyle name="Calculation 8 4 3 3" xfId="19856"/>
    <cellStyle name="Calculation 8 4 3_Table 2A-1_EFT (Annual)" xfId="14908"/>
    <cellStyle name="Calculation 8 4 4" xfId="10307"/>
    <cellStyle name="Calculation 8 4 4 2" xfId="22423"/>
    <cellStyle name="Calculation 8 4 5" xfId="17310"/>
    <cellStyle name="Calculation 8 4_Table 2A-1_EFT (Annual)" xfId="6738"/>
    <cellStyle name="Calculation 8 5" xfId="709"/>
    <cellStyle name="Calculation 8 5 2" xfId="4270"/>
    <cellStyle name="Calculation 8 5 2 2" xfId="12554"/>
    <cellStyle name="Calculation 8 5 2 2 2" xfId="24572"/>
    <cellStyle name="Calculation 8 5 2 3" xfId="19459"/>
    <cellStyle name="Calculation 8 5 2_Table 2A-1_EFT (Annual)" xfId="14909"/>
    <cellStyle name="Calculation 8 5 3" xfId="9901"/>
    <cellStyle name="Calculation 8 5 3 2" xfId="22026"/>
    <cellStyle name="Calculation 8 5 4" xfId="16913"/>
    <cellStyle name="Calculation 8 5_Table 2A-1_EFT (Annual)" xfId="6740"/>
    <cellStyle name="Calculation 8 6" xfId="1875"/>
    <cellStyle name="Calculation 8 6 2" xfId="5436"/>
    <cellStyle name="Calculation 8 6 2 2" xfId="13651"/>
    <cellStyle name="Calculation 8 6 2 2 2" xfId="25639"/>
    <cellStyle name="Calculation 8 6 2 3" xfId="20526"/>
    <cellStyle name="Calculation 8 6 2_Table 2A-1_EFT (Annual)" xfId="14910"/>
    <cellStyle name="Calculation 8 6 3" xfId="10995"/>
    <cellStyle name="Calculation 8 6 3 2" xfId="23093"/>
    <cellStyle name="Calculation 8 6 4" xfId="17980"/>
    <cellStyle name="Calculation 8 6_Table 2A-1_EFT (Annual)" xfId="6741"/>
    <cellStyle name="Calculation 8 7" xfId="3677"/>
    <cellStyle name="Calculation 8 7 2" xfId="12050"/>
    <cellStyle name="Calculation 8 7 2 2" xfId="24081"/>
    <cellStyle name="Calculation 8 7 3" xfId="18968"/>
    <cellStyle name="Calculation 8 7_Table 2A-1_EFT (Annual)" xfId="14911"/>
    <cellStyle name="Calculation 8 8" xfId="9367"/>
    <cellStyle name="Calculation 8 8 2" xfId="21535"/>
    <cellStyle name="Calculation 8 9" xfId="16422"/>
    <cellStyle name="Calculation 8_Table 2A-1_EFT (Annual)" xfId="2986"/>
    <cellStyle name="Calculation 9" xfId="96"/>
    <cellStyle name="Calculation 9 2" xfId="495"/>
    <cellStyle name="Calculation 9 2 2" xfId="1472"/>
    <cellStyle name="Calculation 9 2 2 2" xfId="2742"/>
    <cellStyle name="Calculation 9 2 2 2 2" xfId="6303"/>
    <cellStyle name="Calculation 9 2 2 2 2 2" xfId="14497"/>
    <cellStyle name="Calculation 9 2 2 2 2 2 2" xfId="26469"/>
    <cellStyle name="Calculation 9 2 2 2 2 3" xfId="21356"/>
    <cellStyle name="Calculation 9 2 2 2 2_Table 2A-1_EFT (Annual)" xfId="14912"/>
    <cellStyle name="Calculation 9 2 2 2 3" xfId="11839"/>
    <cellStyle name="Calculation 9 2 2 2 3 2" xfId="23923"/>
    <cellStyle name="Calculation 9 2 2 2 4" xfId="18810"/>
    <cellStyle name="Calculation 9 2 2 2_Table 2A-1_EFT (Annual)" xfId="6743"/>
    <cellStyle name="Calculation 9 2 2 3" xfId="5033"/>
    <cellStyle name="Calculation 9 2 2 3 2" xfId="13293"/>
    <cellStyle name="Calculation 9 2 2 3 2 2" xfId="25299"/>
    <cellStyle name="Calculation 9 2 2 3 3" xfId="20186"/>
    <cellStyle name="Calculation 9 2 2 3_Table 2A-1_EFT (Annual)" xfId="14913"/>
    <cellStyle name="Calculation 9 2 2 4" xfId="10637"/>
    <cellStyle name="Calculation 9 2 2 4 2" xfId="22753"/>
    <cellStyle name="Calculation 9 2 2 5" xfId="17640"/>
    <cellStyle name="Calculation 9 2 2_Table 2A-1_EFT (Annual)" xfId="6742"/>
    <cellStyle name="Calculation 9 2 3" xfId="1011"/>
    <cellStyle name="Calculation 9 2 3 2" xfId="4572"/>
    <cellStyle name="Calculation 9 2 3 2 2" xfId="12832"/>
    <cellStyle name="Calculation 9 2 3 2 2 2" xfId="24838"/>
    <cellStyle name="Calculation 9 2 3 2 3" xfId="19725"/>
    <cellStyle name="Calculation 9 2 3 2_Table 2A-1_EFT (Annual)" xfId="14914"/>
    <cellStyle name="Calculation 9 2 3 3" xfId="10176"/>
    <cellStyle name="Calculation 9 2 3 3 2" xfId="22292"/>
    <cellStyle name="Calculation 9 2 3 4" xfId="17179"/>
    <cellStyle name="Calculation 9 2 3_Table 2A-1_EFT (Annual)" xfId="6744"/>
    <cellStyle name="Calculation 9 2 4" xfId="2211"/>
    <cellStyle name="Calculation 9 2 4 2" xfId="5772"/>
    <cellStyle name="Calculation 9 2 4 2 2" xfId="13987"/>
    <cellStyle name="Calculation 9 2 4 2 2 2" xfId="25975"/>
    <cellStyle name="Calculation 9 2 4 2 3" xfId="20862"/>
    <cellStyle name="Calculation 9 2 4 2_Table 2A-1_EFT (Annual)" xfId="14915"/>
    <cellStyle name="Calculation 9 2 4 3" xfId="11331"/>
    <cellStyle name="Calculation 9 2 4 3 2" xfId="23429"/>
    <cellStyle name="Calculation 9 2 4 4" xfId="18316"/>
    <cellStyle name="Calculation 9 2 4_Table 2A-1_EFT (Annual)" xfId="6745"/>
    <cellStyle name="Calculation 9 2 5" xfId="4065"/>
    <cellStyle name="Calculation 9 2 5 2" xfId="12389"/>
    <cellStyle name="Calculation 9 2 5 2 2" xfId="24411"/>
    <cellStyle name="Calculation 9 2 5 3" xfId="19298"/>
    <cellStyle name="Calculation 9 2 5_Table 2A-1_EFT (Annual)" xfId="14916"/>
    <cellStyle name="Calculation 9 2 6" xfId="9728"/>
    <cellStyle name="Calculation 9 2 6 2" xfId="21865"/>
    <cellStyle name="Calculation 9 2 7" xfId="16752"/>
    <cellStyle name="Calculation 9 2_Table 2A-1_EFT (Annual)" xfId="2990"/>
    <cellStyle name="Calculation 9 3" xfId="328"/>
    <cellStyle name="Calculation 9 3 2" xfId="1316"/>
    <cellStyle name="Calculation 9 3 2 2" xfId="2586"/>
    <cellStyle name="Calculation 9 3 2 2 2" xfId="6147"/>
    <cellStyle name="Calculation 9 3 2 2 2 2" xfId="14341"/>
    <cellStyle name="Calculation 9 3 2 2 2 2 2" xfId="26313"/>
    <cellStyle name="Calculation 9 3 2 2 2 3" xfId="21200"/>
    <cellStyle name="Calculation 9 3 2 2 2_Table 2A-1_EFT (Annual)" xfId="14917"/>
    <cellStyle name="Calculation 9 3 2 2 3" xfId="11683"/>
    <cellStyle name="Calculation 9 3 2 2 3 2" xfId="23767"/>
    <cellStyle name="Calculation 9 3 2 2 4" xfId="18654"/>
    <cellStyle name="Calculation 9 3 2 2_Table 2A-1_EFT (Annual)" xfId="6747"/>
    <cellStyle name="Calculation 9 3 2 3" xfId="4877"/>
    <cellStyle name="Calculation 9 3 2 3 2" xfId="13137"/>
    <cellStyle name="Calculation 9 3 2 3 2 2" xfId="25143"/>
    <cellStyle name="Calculation 9 3 2 3 3" xfId="20030"/>
    <cellStyle name="Calculation 9 3 2 3_Table 2A-1_EFT (Annual)" xfId="14918"/>
    <cellStyle name="Calculation 9 3 2 4" xfId="10481"/>
    <cellStyle name="Calculation 9 3 2 4 2" xfId="22597"/>
    <cellStyle name="Calculation 9 3 2 5" xfId="17484"/>
    <cellStyle name="Calculation 9 3 2_Table 2A-1_EFT (Annual)" xfId="6746"/>
    <cellStyle name="Calculation 9 3 3" xfId="874"/>
    <cellStyle name="Calculation 9 3 3 2" xfId="4435"/>
    <cellStyle name="Calculation 9 3 3 2 2" xfId="12700"/>
    <cellStyle name="Calculation 9 3 3 2 2 2" xfId="24712"/>
    <cellStyle name="Calculation 9 3 3 2 3" xfId="19599"/>
    <cellStyle name="Calculation 9 3 3 2_Table 2A-1_EFT (Annual)" xfId="14919"/>
    <cellStyle name="Calculation 9 3 3 3" xfId="10047"/>
    <cellStyle name="Calculation 9 3 3 3 2" xfId="22166"/>
    <cellStyle name="Calculation 9 3 3 4" xfId="17053"/>
    <cellStyle name="Calculation 9 3 3_Table 2A-1_EFT (Annual)" xfId="6748"/>
    <cellStyle name="Calculation 9 3 4" xfId="2055"/>
    <cellStyle name="Calculation 9 3 4 2" xfId="5616"/>
    <cellStyle name="Calculation 9 3 4 2 2" xfId="13831"/>
    <cellStyle name="Calculation 9 3 4 2 2 2" xfId="25819"/>
    <cellStyle name="Calculation 9 3 4 2 3" xfId="20706"/>
    <cellStyle name="Calculation 9 3 4 2_Table 2A-1_EFT (Annual)" xfId="14920"/>
    <cellStyle name="Calculation 9 3 4 3" xfId="11175"/>
    <cellStyle name="Calculation 9 3 4 3 2" xfId="23273"/>
    <cellStyle name="Calculation 9 3 4 4" xfId="18160"/>
    <cellStyle name="Calculation 9 3 4_Table 2A-1_EFT (Annual)" xfId="6749"/>
    <cellStyle name="Calculation 9 3 5" xfId="3898"/>
    <cellStyle name="Calculation 9 3 5 2" xfId="12230"/>
    <cellStyle name="Calculation 9 3 5 2 2" xfId="24255"/>
    <cellStyle name="Calculation 9 3 5 3" xfId="19142"/>
    <cellStyle name="Calculation 9 3 5_Table 2A-1_EFT (Annual)" xfId="14921"/>
    <cellStyle name="Calculation 9 3 6" xfId="9567"/>
    <cellStyle name="Calculation 9 3 6 2" xfId="21709"/>
    <cellStyle name="Calculation 9 3 7" xfId="16596"/>
    <cellStyle name="Calculation 9 3_Table 2A-1_EFT (Annual)" xfId="2991"/>
    <cellStyle name="Calculation 9 4" xfId="1150"/>
    <cellStyle name="Calculation 9 4 2" xfId="2420"/>
    <cellStyle name="Calculation 9 4 2 2" xfId="5981"/>
    <cellStyle name="Calculation 9 4 2 2 2" xfId="14175"/>
    <cellStyle name="Calculation 9 4 2 2 2 2" xfId="26147"/>
    <cellStyle name="Calculation 9 4 2 2 3" xfId="21034"/>
    <cellStyle name="Calculation 9 4 2 2_Table 2A-1_EFT (Annual)" xfId="14922"/>
    <cellStyle name="Calculation 9 4 2 3" xfId="11517"/>
    <cellStyle name="Calculation 9 4 2 3 2" xfId="23601"/>
    <cellStyle name="Calculation 9 4 2 4" xfId="18488"/>
    <cellStyle name="Calculation 9 4 2_Table 2A-1_EFT (Annual)" xfId="6751"/>
    <cellStyle name="Calculation 9 4 3" xfId="4711"/>
    <cellStyle name="Calculation 9 4 3 2" xfId="12971"/>
    <cellStyle name="Calculation 9 4 3 2 2" xfId="24977"/>
    <cellStyle name="Calculation 9 4 3 3" xfId="19864"/>
    <cellStyle name="Calculation 9 4 3_Table 2A-1_EFT (Annual)" xfId="14923"/>
    <cellStyle name="Calculation 9 4 4" xfId="10315"/>
    <cellStyle name="Calculation 9 4 4 2" xfId="22431"/>
    <cellStyle name="Calculation 9 4 5" xfId="17318"/>
    <cellStyle name="Calculation 9 4_Table 2A-1_EFT (Annual)" xfId="6750"/>
    <cellStyle name="Calculation 9 5" xfId="715"/>
    <cellStyle name="Calculation 9 5 2" xfId="4276"/>
    <cellStyle name="Calculation 9 5 2 2" xfId="12560"/>
    <cellStyle name="Calculation 9 5 2 2 2" xfId="24578"/>
    <cellStyle name="Calculation 9 5 2 3" xfId="19465"/>
    <cellStyle name="Calculation 9 5 2_Table 2A-1_EFT (Annual)" xfId="14924"/>
    <cellStyle name="Calculation 9 5 3" xfId="9907"/>
    <cellStyle name="Calculation 9 5 3 2" xfId="22032"/>
    <cellStyle name="Calculation 9 5 4" xfId="16919"/>
    <cellStyle name="Calculation 9 5_Table 2A-1_EFT (Annual)" xfId="6752"/>
    <cellStyle name="Calculation 9 6" xfId="1812"/>
    <cellStyle name="Calculation 9 6 2" xfId="5373"/>
    <cellStyle name="Calculation 9 6 2 2" xfId="13588"/>
    <cellStyle name="Calculation 9 6 2 2 2" xfId="25576"/>
    <cellStyle name="Calculation 9 6 2 3" xfId="20463"/>
    <cellStyle name="Calculation 9 6 2_Table 2A-1_EFT (Annual)" xfId="14925"/>
    <cellStyle name="Calculation 9 6 3" xfId="10932"/>
    <cellStyle name="Calculation 9 6 3 2" xfId="23030"/>
    <cellStyle name="Calculation 9 6 4" xfId="17917"/>
    <cellStyle name="Calculation 9 6_Table 2A-1_EFT (Annual)" xfId="6753"/>
    <cellStyle name="Calculation 9 7" xfId="3685"/>
    <cellStyle name="Calculation 9 7 2" xfId="12058"/>
    <cellStyle name="Calculation 9 7 2 2" xfId="24089"/>
    <cellStyle name="Calculation 9 7 3" xfId="18976"/>
    <cellStyle name="Calculation 9 7_Table 2A-1_EFT (Annual)" xfId="14926"/>
    <cellStyle name="Calculation 9 8" xfId="9375"/>
    <cellStyle name="Calculation 9 8 2" xfId="21543"/>
    <cellStyle name="Calculation 9 9" xfId="16430"/>
    <cellStyle name="Calculation 9_Table 2A-1_EFT (Annual)" xfId="2989"/>
    <cellStyle name="Check Cell" xfId="27" builtinId="23" customBuiltin="1"/>
    <cellStyle name="Check Cell 2" xfId="281"/>
    <cellStyle name="Check Cell 3" xfId="685"/>
    <cellStyle name="Check Cell 4" xfId="15999"/>
    <cellStyle name="Comma" xfId="28" builtinId="3"/>
    <cellStyle name="Comma 10" xfId="16000"/>
    <cellStyle name="Comma 2" xfId="29"/>
    <cellStyle name="Comma 2 2" xfId="69"/>
    <cellStyle name="Comma 3" xfId="30"/>
    <cellStyle name="Comma 3 2" xfId="54"/>
    <cellStyle name="Comma 4" xfId="31"/>
    <cellStyle name="Comma 4 2" xfId="98"/>
    <cellStyle name="Comma 5" xfId="57"/>
    <cellStyle name="Comma 5 2" xfId="66"/>
    <cellStyle name="Comma 5 3" xfId="79"/>
    <cellStyle name="Comma 5 3 2" xfId="311"/>
    <cellStyle name="Comma 5 3 2 2" xfId="861"/>
    <cellStyle name="Comma 5 3 2 2 2" xfId="2391"/>
    <cellStyle name="Comma 5 3 2 2 2 2" xfId="5952"/>
    <cellStyle name="Comma 5 3 2 2 2 2 2" xfId="16400"/>
    <cellStyle name="Comma 5 3 2 2 2 3" xfId="16202"/>
    <cellStyle name="Comma 5 3 2 2 3" xfId="4422"/>
    <cellStyle name="Comma 5 3 2 2 3 2" xfId="16300"/>
    <cellStyle name="Comma 5 3 2 2 4" xfId="16103"/>
    <cellStyle name="Comma 5 3 2 3" xfId="1693"/>
    <cellStyle name="Comma 5 3 2 3 2" xfId="5254"/>
    <cellStyle name="Comma 5 3 2 3 2 2" xfId="16351"/>
    <cellStyle name="Comma 5 3 2 3 3" xfId="16153"/>
    <cellStyle name="Comma 5 3 2 4" xfId="3881"/>
    <cellStyle name="Comma 5 3 2 4 2" xfId="16251"/>
    <cellStyle name="Comma 5 3 2 5" xfId="16054"/>
    <cellStyle name="Comma 5 3 3" xfId="657"/>
    <cellStyle name="Comma 5 3 3 2" xfId="1778"/>
    <cellStyle name="Comma 5 3 3 2 2" xfId="5339"/>
    <cellStyle name="Comma 5 3 3 2 2 2" xfId="16375"/>
    <cellStyle name="Comma 5 3 3 2 3" xfId="16177"/>
    <cellStyle name="Comma 5 3 3 3" xfId="4227"/>
    <cellStyle name="Comma 5 3 3 3 2" xfId="16275"/>
    <cellStyle name="Comma 5 3 3 4" xfId="16078"/>
    <cellStyle name="Comma 5 3 4" xfId="1636"/>
    <cellStyle name="Comma 5 3 4 2" xfId="5197"/>
    <cellStyle name="Comma 5 3 4 2 2" xfId="16326"/>
    <cellStyle name="Comma 5 3 4 3" xfId="16128"/>
    <cellStyle name="Comma 5 3 5" xfId="3668"/>
    <cellStyle name="Comma 5 3 5 2" xfId="16226"/>
    <cellStyle name="Comma 5 3 6" xfId="16029"/>
    <cellStyle name="Comma 5 4" xfId="299"/>
    <cellStyle name="Comma 5 4 2" xfId="849"/>
    <cellStyle name="Comma 5 4 2 2" xfId="2379"/>
    <cellStyle name="Comma 5 4 2 2 2" xfId="5940"/>
    <cellStyle name="Comma 5 4 2 2 2 2" xfId="16388"/>
    <cellStyle name="Comma 5 4 2 2 3" xfId="16190"/>
    <cellStyle name="Comma 5 4 2 3" xfId="4410"/>
    <cellStyle name="Comma 5 4 2 3 2" xfId="16288"/>
    <cellStyle name="Comma 5 4 2 4" xfId="16091"/>
    <cellStyle name="Comma 5 4 3" xfId="1681"/>
    <cellStyle name="Comma 5 4 3 2" xfId="5242"/>
    <cellStyle name="Comma 5 4 3 2 2" xfId="16339"/>
    <cellStyle name="Comma 5 4 3 3" xfId="16141"/>
    <cellStyle name="Comma 5 4 4" xfId="3869"/>
    <cellStyle name="Comma 5 4 4 2" xfId="16239"/>
    <cellStyle name="Comma 5 4 5" xfId="16042"/>
    <cellStyle name="Comma 5 5" xfId="645"/>
    <cellStyle name="Comma 5 5 2" xfId="1766"/>
    <cellStyle name="Comma 5 5 2 2" xfId="5327"/>
    <cellStyle name="Comma 5 5 2 2 2" xfId="16363"/>
    <cellStyle name="Comma 5 5 2 3" xfId="16165"/>
    <cellStyle name="Comma 5 5 3" xfId="4215"/>
    <cellStyle name="Comma 5 5 3 2" xfId="16263"/>
    <cellStyle name="Comma 5 5 4" xfId="16066"/>
    <cellStyle name="Comma 5 6" xfId="1624"/>
    <cellStyle name="Comma 5 6 2" xfId="5185"/>
    <cellStyle name="Comma 5 6 2 2" xfId="16314"/>
    <cellStyle name="Comma 5 6 3" xfId="16116"/>
    <cellStyle name="Comma 5 7" xfId="3650"/>
    <cellStyle name="Comma 5 7 2" xfId="16214"/>
    <cellStyle name="Comma 5 8" xfId="16017"/>
    <cellStyle name="Comma 6" xfId="63"/>
    <cellStyle name="Comma 6 2" xfId="108"/>
    <cellStyle name="Comma 6 2 2" xfId="339"/>
    <cellStyle name="Comma 6 2 2 2" xfId="883"/>
    <cellStyle name="Comma 6 2 2 2 2" xfId="2396"/>
    <cellStyle name="Comma 6 2 2 2 2 2" xfId="5957"/>
    <cellStyle name="Comma 6 2 2 2 2 2 2" xfId="16405"/>
    <cellStyle name="Comma 6 2 2 2 2 3" xfId="16207"/>
    <cellStyle name="Comma 6 2 2 2 3" xfId="4444"/>
    <cellStyle name="Comma 6 2 2 2 3 2" xfId="16305"/>
    <cellStyle name="Comma 6 2 2 2 4" xfId="16108"/>
    <cellStyle name="Comma 6 2 2 3" xfId="1704"/>
    <cellStyle name="Comma 6 2 2 3 2" xfId="5265"/>
    <cellStyle name="Comma 6 2 2 3 2 2" xfId="16356"/>
    <cellStyle name="Comma 6 2 2 3 3" xfId="16158"/>
    <cellStyle name="Comma 6 2 2 4" xfId="3909"/>
    <cellStyle name="Comma 6 2 2 4 2" xfId="16256"/>
    <cellStyle name="Comma 6 2 2 5" xfId="16059"/>
    <cellStyle name="Comma 6 2 3" xfId="724"/>
    <cellStyle name="Comma 6 2 3 2" xfId="2371"/>
    <cellStyle name="Comma 6 2 3 2 2" xfId="5932"/>
    <cellStyle name="Comma 6 2 3 2 2 2" xfId="16380"/>
    <cellStyle name="Comma 6 2 3 2 3" xfId="16182"/>
    <cellStyle name="Comma 6 2 3 3" xfId="4285"/>
    <cellStyle name="Comma 6 2 3 3 2" xfId="16280"/>
    <cellStyle name="Comma 6 2 3 4" xfId="16083"/>
    <cellStyle name="Comma 6 2 4" xfId="1647"/>
    <cellStyle name="Comma 6 2 4 2" xfId="5208"/>
    <cellStyle name="Comma 6 2 4 2 2" xfId="16331"/>
    <cellStyle name="Comma 6 2 4 3" xfId="16133"/>
    <cellStyle name="Comma 6 2 5" xfId="3697"/>
    <cellStyle name="Comma 6 2 5 2" xfId="16231"/>
    <cellStyle name="Comma 6 2 6" xfId="16034"/>
    <cellStyle name="Comma 6 3" xfId="304"/>
    <cellStyle name="Comma 6 3 2" xfId="854"/>
    <cellStyle name="Comma 6 3 2 2" xfId="2384"/>
    <cellStyle name="Comma 6 3 2 2 2" xfId="5945"/>
    <cellStyle name="Comma 6 3 2 2 2 2" xfId="16393"/>
    <cellStyle name="Comma 6 3 2 2 3" xfId="16195"/>
    <cellStyle name="Comma 6 3 2 3" xfId="4415"/>
    <cellStyle name="Comma 6 3 2 3 2" xfId="16293"/>
    <cellStyle name="Comma 6 3 2 4" xfId="16096"/>
    <cellStyle name="Comma 6 3 3" xfId="1686"/>
    <cellStyle name="Comma 6 3 3 2" xfId="5247"/>
    <cellStyle name="Comma 6 3 3 2 2" xfId="16344"/>
    <cellStyle name="Comma 6 3 3 3" xfId="16146"/>
    <cellStyle name="Comma 6 3 4" xfId="3874"/>
    <cellStyle name="Comma 6 3 4 2" xfId="16244"/>
    <cellStyle name="Comma 6 3 5" xfId="16047"/>
    <cellStyle name="Comma 6 4" xfId="650"/>
    <cellStyle name="Comma 6 4 2" xfId="1771"/>
    <cellStyle name="Comma 6 4 2 2" xfId="5332"/>
    <cellStyle name="Comma 6 4 2 2 2" xfId="16368"/>
    <cellStyle name="Comma 6 4 2 3" xfId="16170"/>
    <cellStyle name="Comma 6 4 3" xfId="4220"/>
    <cellStyle name="Comma 6 4 3 2" xfId="16268"/>
    <cellStyle name="Comma 6 4 4" xfId="16071"/>
    <cellStyle name="Comma 6 5" xfId="1629"/>
    <cellStyle name="Comma 6 5 2" xfId="5190"/>
    <cellStyle name="Comma 6 5 2 2" xfId="16319"/>
    <cellStyle name="Comma 6 5 3" xfId="16121"/>
    <cellStyle name="Comma 6 6" xfId="3655"/>
    <cellStyle name="Comma 6 6 2" xfId="16219"/>
    <cellStyle name="Comma 6 7" xfId="16022"/>
    <cellStyle name="Comma 7" xfId="73"/>
    <cellStyle name="Comma 7 2" xfId="228"/>
    <cellStyle name="Comma 7 2 2" xfId="455"/>
    <cellStyle name="Comma 7 2 2 2" xfId="979"/>
    <cellStyle name="Comma 7 2 2 2 2" xfId="2399"/>
    <cellStyle name="Comma 7 2 2 2 2 2" xfId="5960"/>
    <cellStyle name="Comma 7 2 2 2 2 2 2" xfId="16408"/>
    <cellStyle name="Comma 7 2 2 2 2 3" xfId="16210"/>
    <cellStyle name="Comma 7 2 2 2 3" xfId="4540"/>
    <cellStyle name="Comma 7 2 2 2 3 2" xfId="16308"/>
    <cellStyle name="Comma 7 2 2 2 4" xfId="16111"/>
    <cellStyle name="Comma 7 2 2 3" xfId="1727"/>
    <cellStyle name="Comma 7 2 2 3 2" xfId="5288"/>
    <cellStyle name="Comma 7 2 2 3 2 2" xfId="16359"/>
    <cellStyle name="Comma 7 2 2 3 3" xfId="16161"/>
    <cellStyle name="Comma 7 2 2 4" xfId="4025"/>
    <cellStyle name="Comma 7 2 2 4 2" xfId="16259"/>
    <cellStyle name="Comma 7 2 2 5" xfId="16062"/>
    <cellStyle name="Comma 7 2 3" xfId="823"/>
    <cellStyle name="Comma 7 2 3 2" xfId="2374"/>
    <cellStyle name="Comma 7 2 3 2 2" xfId="5935"/>
    <cellStyle name="Comma 7 2 3 2 2 2" xfId="16383"/>
    <cellStyle name="Comma 7 2 3 2 3" xfId="16185"/>
    <cellStyle name="Comma 7 2 3 3" xfId="4384"/>
    <cellStyle name="Comma 7 2 3 3 2" xfId="16283"/>
    <cellStyle name="Comma 7 2 3 4" xfId="16086"/>
    <cellStyle name="Comma 7 2 4" xfId="1671"/>
    <cellStyle name="Comma 7 2 4 2" xfId="5232"/>
    <cellStyle name="Comma 7 2 4 2 2" xfId="16334"/>
    <cellStyle name="Comma 7 2 4 3" xfId="16136"/>
    <cellStyle name="Comma 7 2 5" xfId="3817"/>
    <cellStyle name="Comma 7 2 5 2" xfId="16234"/>
    <cellStyle name="Comma 7 2 6" xfId="16037"/>
    <cellStyle name="Comma 7 3" xfId="307"/>
    <cellStyle name="Comma 7 3 2" xfId="857"/>
    <cellStyle name="Comma 7 3 2 2" xfId="2387"/>
    <cellStyle name="Comma 7 3 2 2 2" xfId="5948"/>
    <cellStyle name="Comma 7 3 2 2 2 2" xfId="16396"/>
    <cellStyle name="Comma 7 3 2 2 3" xfId="16198"/>
    <cellStyle name="Comma 7 3 2 3" xfId="4418"/>
    <cellStyle name="Comma 7 3 2 3 2" xfId="16296"/>
    <cellStyle name="Comma 7 3 2 4" xfId="16099"/>
    <cellStyle name="Comma 7 3 3" xfId="1689"/>
    <cellStyle name="Comma 7 3 3 2" xfId="5250"/>
    <cellStyle name="Comma 7 3 3 2 2" xfId="16347"/>
    <cellStyle name="Comma 7 3 3 3" xfId="16149"/>
    <cellStyle name="Comma 7 3 4" xfId="3877"/>
    <cellStyle name="Comma 7 3 4 2" xfId="16247"/>
    <cellStyle name="Comma 7 3 5" xfId="16050"/>
    <cellStyle name="Comma 7 4" xfId="653"/>
    <cellStyle name="Comma 7 4 2" xfId="1774"/>
    <cellStyle name="Comma 7 4 2 2" xfId="5335"/>
    <cellStyle name="Comma 7 4 2 2 2" xfId="16371"/>
    <cellStyle name="Comma 7 4 2 3" xfId="16173"/>
    <cellStyle name="Comma 7 4 3" xfId="4223"/>
    <cellStyle name="Comma 7 4 3 2" xfId="16271"/>
    <cellStyle name="Comma 7 4 4" xfId="16074"/>
    <cellStyle name="Comma 7 5" xfId="1632"/>
    <cellStyle name="Comma 7 5 2" xfId="5193"/>
    <cellStyle name="Comma 7 5 2 2" xfId="16322"/>
    <cellStyle name="Comma 7 5 3" xfId="16124"/>
    <cellStyle name="Comma 7 6" xfId="3664"/>
    <cellStyle name="Comma 7 6 2" xfId="16222"/>
    <cellStyle name="Comma 7 7" xfId="16025"/>
    <cellStyle name="Comma 8" xfId="282"/>
    <cellStyle name="Comma 9" xfId="686"/>
    <cellStyle name="Currency" xfId="32" builtinId="4"/>
    <cellStyle name="Currency 2" xfId="33"/>
    <cellStyle name="Currency 2 2" xfId="68"/>
    <cellStyle name="Currency 3" xfId="34"/>
    <cellStyle name="Currency 3 2" xfId="56"/>
    <cellStyle name="Currency 4" xfId="283"/>
    <cellStyle name="Currency 5" xfId="687"/>
    <cellStyle name="Currency 6" xfId="16001"/>
    <cellStyle name="Explanatory Text" xfId="35" builtinId="53" customBuiltin="1"/>
    <cellStyle name="Explanatory Text 2" xfId="284"/>
    <cellStyle name="Explanatory Text 3" xfId="688"/>
    <cellStyle name="Explanatory Text 4" xfId="16002"/>
    <cellStyle name="Good" xfId="36" builtinId="26" customBuiltin="1"/>
    <cellStyle name="Good 2" xfId="285"/>
    <cellStyle name="Good 3" xfId="689"/>
    <cellStyle name="Good 4" xfId="16003"/>
    <cellStyle name="Heading 1" xfId="37" builtinId="16" customBuiltin="1"/>
    <cellStyle name="Heading 1 2" xfId="286"/>
    <cellStyle name="Heading 1 3" xfId="690"/>
    <cellStyle name="Heading 1 4" xfId="16004"/>
    <cellStyle name="Heading 2" xfId="38" builtinId="17" customBuiltin="1"/>
    <cellStyle name="Heading 2 2" xfId="287"/>
    <cellStyle name="Heading 2 3" xfId="691"/>
    <cellStyle name="Heading 2 4" xfId="16005"/>
    <cellStyle name="Heading 3" xfId="39" builtinId="18" customBuiltin="1"/>
    <cellStyle name="Heading 3 2" xfId="288"/>
    <cellStyle name="Heading 3 3" xfId="692"/>
    <cellStyle name="Heading 3 4" xfId="16006"/>
    <cellStyle name="Heading 4" xfId="40" builtinId="19" customBuiltin="1"/>
    <cellStyle name="Heading 4 2" xfId="289"/>
    <cellStyle name="Heading 4 3" xfId="693"/>
    <cellStyle name="Heading 4 4" xfId="16007"/>
    <cellStyle name="Input" xfId="41" builtinId="20" customBuiltin="1"/>
    <cellStyle name="Input 10" xfId="135"/>
    <cellStyle name="Input 10 2" xfId="528"/>
    <cellStyle name="Input 10 2 2" xfId="1505"/>
    <cellStyle name="Input 10 2 2 2" xfId="2775"/>
    <cellStyle name="Input 10 2 2 2 2" xfId="6336"/>
    <cellStyle name="Input 10 2 2 2 2 2" xfId="14530"/>
    <cellStyle name="Input 10 2 2 2 2 2 2" xfId="26502"/>
    <cellStyle name="Input 10 2 2 2 2 3" xfId="21389"/>
    <cellStyle name="Input 10 2 2 2 2_Table 2A-1_EFT (Annual)" xfId="14927"/>
    <cellStyle name="Input 10 2 2 2 3" xfId="11872"/>
    <cellStyle name="Input 10 2 2 2 3 2" xfId="23956"/>
    <cellStyle name="Input 10 2 2 2 4" xfId="18843"/>
    <cellStyle name="Input 10 2 2 2_Table 2A-1_EFT (Annual)" xfId="6755"/>
    <cellStyle name="Input 10 2 2 3" xfId="5066"/>
    <cellStyle name="Input 10 2 2 3 2" xfId="13326"/>
    <cellStyle name="Input 10 2 2 3 2 2" xfId="25332"/>
    <cellStyle name="Input 10 2 2 3 3" xfId="20219"/>
    <cellStyle name="Input 10 2 2 3_Table 2A-1_EFT (Annual)" xfId="14928"/>
    <cellStyle name="Input 10 2 2 4" xfId="10670"/>
    <cellStyle name="Input 10 2 2 4 2" xfId="22786"/>
    <cellStyle name="Input 10 2 2 5" xfId="17673"/>
    <cellStyle name="Input 10 2 2_Table 2A-1_EFT (Annual)" xfId="6754"/>
    <cellStyle name="Input 10 2 3" xfId="1038"/>
    <cellStyle name="Input 10 2 3 2" xfId="4599"/>
    <cellStyle name="Input 10 2 3 2 2" xfId="12859"/>
    <cellStyle name="Input 10 2 3 2 2 2" xfId="24865"/>
    <cellStyle name="Input 10 2 3 2 3" xfId="19752"/>
    <cellStyle name="Input 10 2 3 2_Table 2A-1_EFT (Annual)" xfId="14929"/>
    <cellStyle name="Input 10 2 3 3" xfId="10203"/>
    <cellStyle name="Input 10 2 3 3 2" xfId="22319"/>
    <cellStyle name="Input 10 2 3 4" xfId="17206"/>
    <cellStyle name="Input 10 2 3_Table 2A-1_EFT (Annual)" xfId="6756"/>
    <cellStyle name="Input 10 2 4" xfId="2244"/>
    <cellStyle name="Input 10 2 4 2" xfId="5805"/>
    <cellStyle name="Input 10 2 4 2 2" xfId="14020"/>
    <cellStyle name="Input 10 2 4 2 2 2" xfId="26008"/>
    <cellStyle name="Input 10 2 4 2 3" xfId="20895"/>
    <cellStyle name="Input 10 2 4 2_Table 2A-1_EFT (Annual)" xfId="14930"/>
    <cellStyle name="Input 10 2 4 3" xfId="11364"/>
    <cellStyle name="Input 10 2 4 3 2" xfId="23462"/>
    <cellStyle name="Input 10 2 4 4" xfId="18349"/>
    <cellStyle name="Input 10 2 4_Table 2A-1_EFT (Annual)" xfId="6757"/>
    <cellStyle name="Input 10 2 5" xfId="4098"/>
    <cellStyle name="Input 10 2 5 2" xfId="12422"/>
    <cellStyle name="Input 10 2 5 2 2" xfId="24444"/>
    <cellStyle name="Input 10 2 5 3" xfId="19331"/>
    <cellStyle name="Input 10 2 5_Table 2A-1_EFT (Annual)" xfId="14931"/>
    <cellStyle name="Input 10 2 6" xfId="9761"/>
    <cellStyle name="Input 10 2 6 2" xfId="21898"/>
    <cellStyle name="Input 10 2 7" xfId="16785"/>
    <cellStyle name="Input 10 2_Table 2A-1_EFT (Annual)" xfId="2993"/>
    <cellStyle name="Input 10 3" xfId="366"/>
    <cellStyle name="Input 10 3 2" xfId="1349"/>
    <cellStyle name="Input 10 3 2 2" xfId="2619"/>
    <cellStyle name="Input 10 3 2 2 2" xfId="6180"/>
    <cellStyle name="Input 10 3 2 2 2 2" xfId="14374"/>
    <cellStyle name="Input 10 3 2 2 2 2 2" xfId="26346"/>
    <cellStyle name="Input 10 3 2 2 2 3" xfId="21233"/>
    <cellStyle name="Input 10 3 2 2 2_Table 2A-1_EFT (Annual)" xfId="14932"/>
    <cellStyle name="Input 10 3 2 2 3" xfId="11716"/>
    <cellStyle name="Input 10 3 2 2 3 2" xfId="23800"/>
    <cellStyle name="Input 10 3 2 2 4" xfId="18687"/>
    <cellStyle name="Input 10 3 2 2_Table 2A-1_EFT (Annual)" xfId="6759"/>
    <cellStyle name="Input 10 3 2 3" xfId="4910"/>
    <cellStyle name="Input 10 3 2 3 2" xfId="13170"/>
    <cellStyle name="Input 10 3 2 3 2 2" xfId="25176"/>
    <cellStyle name="Input 10 3 2 3 3" xfId="20063"/>
    <cellStyle name="Input 10 3 2 3_Table 2A-1_EFT (Annual)" xfId="14933"/>
    <cellStyle name="Input 10 3 2 4" xfId="10514"/>
    <cellStyle name="Input 10 3 2 4 2" xfId="22630"/>
    <cellStyle name="Input 10 3 2 5" xfId="17517"/>
    <cellStyle name="Input 10 3 2_Table 2A-1_EFT (Annual)" xfId="6758"/>
    <cellStyle name="Input 10 3 3" xfId="906"/>
    <cellStyle name="Input 10 3 3 2" xfId="4467"/>
    <cellStyle name="Input 10 3 3 2 2" xfId="12729"/>
    <cellStyle name="Input 10 3 3 2 2 2" xfId="24739"/>
    <cellStyle name="Input 10 3 3 2 3" xfId="19626"/>
    <cellStyle name="Input 10 3 3 2_Table 2A-1_EFT (Annual)" xfId="14934"/>
    <cellStyle name="Input 10 3 3 3" xfId="10076"/>
    <cellStyle name="Input 10 3 3 3 2" xfId="22193"/>
    <cellStyle name="Input 10 3 3 4" xfId="17080"/>
    <cellStyle name="Input 10 3 3_Table 2A-1_EFT (Annual)" xfId="6760"/>
    <cellStyle name="Input 10 3 4" xfId="2088"/>
    <cellStyle name="Input 10 3 4 2" xfId="5649"/>
    <cellStyle name="Input 10 3 4 2 2" xfId="13864"/>
    <cellStyle name="Input 10 3 4 2 2 2" xfId="25852"/>
    <cellStyle name="Input 10 3 4 2 3" xfId="20739"/>
    <cellStyle name="Input 10 3 4 2_Table 2A-1_EFT (Annual)" xfId="14935"/>
    <cellStyle name="Input 10 3 4 3" xfId="11208"/>
    <cellStyle name="Input 10 3 4 3 2" xfId="23306"/>
    <cellStyle name="Input 10 3 4 4" xfId="18193"/>
    <cellStyle name="Input 10 3 4_Table 2A-1_EFT (Annual)" xfId="6761"/>
    <cellStyle name="Input 10 3 5" xfId="3936"/>
    <cellStyle name="Input 10 3 5 2" xfId="12264"/>
    <cellStyle name="Input 10 3 5 2 2" xfId="24288"/>
    <cellStyle name="Input 10 3 5 3" xfId="19175"/>
    <cellStyle name="Input 10 3 5_Table 2A-1_EFT (Annual)" xfId="14936"/>
    <cellStyle name="Input 10 3 6" xfId="9601"/>
    <cellStyle name="Input 10 3 6 2" xfId="21742"/>
    <cellStyle name="Input 10 3 7" xfId="16629"/>
    <cellStyle name="Input 10 3_Table 2A-1_EFT (Annual)" xfId="2994"/>
    <cellStyle name="Input 10 4" xfId="1183"/>
    <cellStyle name="Input 10 4 2" xfId="2453"/>
    <cellStyle name="Input 10 4 2 2" xfId="6014"/>
    <cellStyle name="Input 10 4 2 2 2" xfId="14208"/>
    <cellStyle name="Input 10 4 2 2 2 2" xfId="26180"/>
    <cellStyle name="Input 10 4 2 2 3" xfId="21067"/>
    <cellStyle name="Input 10 4 2 2_Table 2A-1_EFT (Annual)" xfId="14937"/>
    <cellStyle name="Input 10 4 2 3" xfId="11550"/>
    <cellStyle name="Input 10 4 2 3 2" xfId="23634"/>
    <cellStyle name="Input 10 4 2 4" xfId="18521"/>
    <cellStyle name="Input 10 4 2_Table 2A-1_EFT (Annual)" xfId="6763"/>
    <cellStyle name="Input 10 4 3" xfId="4744"/>
    <cellStyle name="Input 10 4 3 2" xfId="13004"/>
    <cellStyle name="Input 10 4 3 2 2" xfId="25010"/>
    <cellStyle name="Input 10 4 3 3" xfId="19897"/>
    <cellStyle name="Input 10 4 3_Table 2A-1_EFT (Annual)" xfId="14938"/>
    <cellStyle name="Input 10 4 4" xfId="10348"/>
    <cellStyle name="Input 10 4 4 2" xfId="22464"/>
    <cellStyle name="Input 10 4 5" xfId="17351"/>
    <cellStyle name="Input 10 4_Table 2A-1_EFT (Annual)" xfId="6762"/>
    <cellStyle name="Input 10 5" xfId="747"/>
    <cellStyle name="Input 10 5 2" xfId="4308"/>
    <cellStyle name="Input 10 5 2 2" xfId="12588"/>
    <cellStyle name="Input 10 5 2 2 2" xfId="24605"/>
    <cellStyle name="Input 10 5 2 3" xfId="19492"/>
    <cellStyle name="Input 10 5 2_Table 2A-1_EFT (Annual)" xfId="14939"/>
    <cellStyle name="Input 10 5 3" xfId="9936"/>
    <cellStyle name="Input 10 5 3 2" xfId="22059"/>
    <cellStyle name="Input 10 5 4" xfId="16946"/>
    <cellStyle name="Input 10 5_Table 2A-1_EFT (Annual)" xfId="6764"/>
    <cellStyle name="Input 10 6" xfId="1858"/>
    <cellStyle name="Input 10 6 2" xfId="5419"/>
    <cellStyle name="Input 10 6 2 2" xfId="13634"/>
    <cellStyle name="Input 10 6 2 2 2" xfId="25622"/>
    <cellStyle name="Input 10 6 2 3" xfId="20509"/>
    <cellStyle name="Input 10 6 2_Table 2A-1_EFT (Annual)" xfId="14940"/>
    <cellStyle name="Input 10 6 3" xfId="10978"/>
    <cellStyle name="Input 10 6 3 2" xfId="23076"/>
    <cellStyle name="Input 10 6 4" xfId="17963"/>
    <cellStyle name="Input 10 6_Table 2A-1_EFT (Annual)" xfId="6765"/>
    <cellStyle name="Input 10 7" xfId="3724"/>
    <cellStyle name="Input 10 7 2" xfId="12092"/>
    <cellStyle name="Input 10 7 2 2" xfId="24122"/>
    <cellStyle name="Input 10 7 3" xfId="19009"/>
    <cellStyle name="Input 10 7_Table 2A-1_EFT (Annual)" xfId="14941"/>
    <cellStyle name="Input 10 8" xfId="9411"/>
    <cellStyle name="Input 10 8 2" xfId="21576"/>
    <cellStyle name="Input 10 9" xfId="16463"/>
    <cellStyle name="Input 10_Table 2A-1_EFT (Annual)" xfId="2992"/>
    <cellStyle name="Input 11" xfId="127"/>
    <cellStyle name="Input 11 2" xfId="520"/>
    <cellStyle name="Input 11 2 2" xfId="1497"/>
    <cellStyle name="Input 11 2 2 2" xfId="2767"/>
    <cellStyle name="Input 11 2 2 2 2" xfId="6328"/>
    <cellStyle name="Input 11 2 2 2 2 2" xfId="14522"/>
    <cellStyle name="Input 11 2 2 2 2 2 2" xfId="26494"/>
    <cellStyle name="Input 11 2 2 2 2 3" xfId="21381"/>
    <cellStyle name="Input 11 2 2 2 2_Table 2A-1_EFT (Annual)" xfId="14942"/>
    <cellStyle name="Input 11 2 2 2 3" xfId="11864"/>
    <cellStyle name="Input 11 2 2 2 3 2" xfId="23948"/>
    <cellStyle name="Input 11 2 2 2 4" xfId="18835"/>
    <cellStyle name="Input 11 2 2 2_Table 2A-1_EFT (Annual)" xfId="6767"/>
    <cellStyle name="Input 11 2 2 3" xfId="5058"/>
    <cellStyle name="Input 11 2 2 3 2" xfId="13318"/>
    <cellStyle name="Input 11 2 2 3 2 2" xfId="25324"/>
    <cellStyle name="Input 11 2 2 3 3" xfId="20211"/>
    <cellStyle name="Input 11 2 2 3_Table 2A-1_EFT (Annual)" xfId="14943"/>
    <cellStyle name="Input 11 2 2 4" xfId="10662"/>
    <cellStyle name="Input 11 2 2 4 2" xfId="22778"/>
    <cellStyle name="Input 11 2 2 5" xfId="17665"/>
    <cellStyle name="Input 11 2 2_Table 2A-1_EFT (Annual)" xfId="6766"/>
    <cellStyle name="Input 11 2 3" xfId="1030"/>
    <cellStyle name="Input 11 2 3 2" xfId="4591"/>
    <cellStyle name="Input 11 2 3 2 2" xfId="12851"/>
    <cellStyle name="Input 11 2 3 2 2 2" xfId="24857"/>
    <cellStyle name="Input 11 2 3 2 3" xfId="19744"/>
    <cellStyle name="Input 11 2 3 2_Table 2A-1_EFT (Annual)" xfId="14944"/>
    <cellStyle name="Input 11 2 3 3" xfId="10195"/>
    <cellStyle name="Input 11 2 3 3 2" xfId="22311"/>
    <cellStyle name="Input 11 2 3 4" xfId="17198"/>
    <cellStyle name="Input 11 2 3_Table 2A-1_EFT (Annual)" xfId="6768"/>
    <cellStyle name="Input 11 2 4" xfId="2236"/>
    <cellStyle name="Input 11 2 4 2" xfId="5797"/>
    <cellStyle name="Input 11 2 4 2 2" xfId="14012"/>
    <cellStyle name="Input 11 2 4 2 2 2" xfId="26000"/>
    <cellStyle name="Input 11 2 4 2 3" xfId="20887"/>
    <cellStyle name="Input 11 2 4 2_Table 2A-1_EFT (Annual)" xfId="14945"/>
    <cellStyle name="Input 11 2 4 3" xfId="11356"/>
    <cellStyle name="Input 11 2 4 3 2" xfId="23454"/>
    <cellStyle name="Input 11 2 4 4" xfId="18341"/>
    <cellStyle name="Input 11 2 4_Table 2A-1_EFT (Annual)" xfId="6769"/>
    <cellStyle name="Input 11 2 5" xfId="4090"/>
    <cellStyle name="Input 11 2 5 2" xfId="12414"/>
    <cellStyle name="Input 11 2 5 2 2" xfId="24436"/>
    <cellStyle name="Input 11 2 5 3" xfId="19323"/>
    <cellStyle name="Input 11 2 5_Table 2A-1_EFT (Annual)" xfId="14946"/>
    <cellStyle name="Input 11 2 6" xfId="9753"/>
    <cellStyle name="Input 11 2 6 2" xfId="21890"/>
    <cellStyle name="Input 11 2 7" xfId="16777"/>
    <cellStyle name="Input 11 2_Table 2A-1_EFT (Annual)" xfId="2996"/>
    <cellStyle name="Input 11 3" xfId="358"/>
    <cellStyle name="Input 11 3 2" xfId="1341"/>
    <cellStyle name="Input 11 3 2 2" xfId="2611"/>
    <cellStyle name="Input 11 3 2 2 2" xfId="6172"/>
    <cellStyle name="Input 11 3 2 2 2 2" xfId="14366"/>
    <cellStyle name="Input 11 3 2 2 2 2 2" xfId="26338"/>
    <cellStyle name="Input 11 3 2 2 2 3" xfId="21225"/>
    <cellStyle name="Input 11 3 2 2 2_Table 2A-1_EFT (Annual)" xfId="14947"/>
    <cellStyle name="Input 11 3 2 2 3" xfId="11708"/>
    <cellStyle name="Input 11 3 2 2 3 2" xfId="23792"/>
    <cellStyle name="Input 11 3 2 2 4" xfId="18679"/>
    <cellStyle name="Input 11 3 2 2_Table 2A-1_EFT (Annual)" xfId="6771"/>
    <cellStyle name="Input 11 3 2 3" xfId="4902"/>
    <cellStyle name="Input 11 3 2 3 2" xfId="13162"/>
    <cellStyle name="Input 11 3 2 3 2 2" xfId="25168"/>
    <cellStyle name="Input 11 3 2 3 3" xfId="20055"/>
    <cellStyle name="Input 11 3 2 3_Table 2A-1_EFT (Annual)" xfId="14948"/>
    <cellStyle name="Input 11 3 2 4" xfId="10506"/>
    <cellStyle name="Input 11 3 2 4 2" xfId="22622"/>
    <cellStyle name="Input 11 3 2 5" xfId="17509"/>
    <cellStyle name="Input 11 3 2_Table 2A-1_EFT (Annual)" xfId="6770"/>
    <cellStyle name="Input 11 3 3" xfId="898"/>
    <cellStyle name="Input 11 3 3 2" xfId="4459"/>
    <cellStyle name="Input 11 3 3 2 2" xfId="12721"/>
    <cellStyle name="Input 11 3 3 2 2 2" xfId="24731"/>
    <cellStyle name="Input 11 3 3 2 3" xfId="19618"/>
    <cellStyle name="Input 11 3 3 2_Table 2A-1_EFT (Annual)" xfId="14949"/>
    <cellStyle name="Input 11 3 3 3" xfId="10068"/>
    <cellStyle name="Input 11 3 3 3 2" xfId="22185"/>
    <cellStyle name="Input 11 3 3 4" xfId="17072"/>
    <cellStyle name="Input 11 3 3_Table 2A-1_EFT (Annual)" xfId="6772"/>
    <cellStyle name="Input 11 3 4" xfId="2080"/>
    <cellStyle name="Input 11 3 4 2" xfId="5641"/>
    <cellStyle name="Input 11 3 4 2 2" xfId="13856"/>
    <cellStyle name="Input 11 3 4 2 2 2" xfId="25844"/>
    <cellStyle name="Input 11 3 4 2 3" xfId="20731"/>
    <cellStyle name="Input 11 3 4 2_Table 2A-1_EFT (Annual)" xfId="14950"/>
    <cellStyle name="Input 11 3 4 3" xfId="11200"/>
    <cellStyle name="Input 11 3 4 3 2" xfId="23298"/>
    <cellStyle name="Input 11 3 4 4" xfId="18185"/>
    <cellStyle name="Input 11 3 4_Table 2A-1_EFT (Annual)" xfId="6773"/>
    <cellStyle name="Input 11 3 5" xfId="3928"/>
    <cellStyle name="Input 11 3 5 2" xfId="12256"/>
    <cellStyle name="Input 11 3 5 2 2" xfId="24280"/>
    <cellStyle name="Input 11 3 5 3" xfId="19167"/>
    <cellStyle name="Input 11 3 5_Table 2A-1_EFT (Annual)" xfId="14951"/>
    <cellStyle name="Input 11 3 6" xfId="9593"/>
    <cellStyle name="Input 11 3 6 2" xfId="21734"/>
    <cellStyle name="Input 11 3 7" xfId="16621"/>
    <cellStyle name="Input 11 3_Table 2A-1_EFT (Annual)" xfId="2997"/>
    <cellStyle name="Input 11 4" xfId="1175"/>
    <cellStyle name="Input 11 4 2" xfId="2445"/>
    <cellStyle name="Input 11 4 2 2" xfId="6006"/>
    <cellStyle name="Input 11 4 2 2 2" xfId="14200"/>
    <cellStyle name="Input 11 4 2 2 2 2" xfId="26172"/>
    <cellStyle name="Input 11 4 2 2 3" xfId="21059"/>
    <cellStyle name="Input 11 4 2 2_Table 2A-1_EFT (Annual)" xfId="14952"/>
    <cellStyle name="Input 11 4 2 3" xfId="11542"/>
    <cellStyle name="Input 11 4 2 3 2" xfId="23626"/>
    <cellStyle name="Input 11 4 2 4" xfId="18513"/>
    <cellStyle name="Input 11 4 2_Table 2A-1_EFT (Annual)" xfId="6775"/>
    <cellStyle name="Input 11 4 3" xfId="4736"/>
    <cellStyle name="Input 11 4 3 2" xfId="12996"/>
    <cellStyle name="Input 11 4 3 2 2" xfId="25002"/>
    <cellStyle name="Input 11 4 3 3" xfId="19889"/>
    <cellStyle name="Input 11 4 3_Table 2A-1_EFT (Annual)" xfId="14953"/>
    <cellStyle name="Input 11 4 4" xfId="10340"/>
    <cellStyle name="Input 11 4 4 2" xfId="22456"/>
    <cellStyle name="Input 11 4 5" xfId="17343"/>
    <cellStyle name="Input 11 4_Table 2A-1_EFT (Annual)" xfId="6774"/>
    <cellStyle name="Input 11 5" xfId="739"/>
    <cellStyle name="Input 11 5 2" xfId="4300"/>
    <cellStyle name="Input 11 5 2 2" xfId="12580"/>
    <cellStyle name="Input 11 5 2 2 2" xfId="24597"/>
    <cellStyle name="Input 11 5 2 3" xfId="19484"/>
    <cellStyle name="Input 11 5 2_Table 2A-1_EFT (Annual)" xfId="14954"/>
    <cellStyle name="Input 11 5 3" xfId="9928"/>
    <cellStyle name="Input 11 5 3 2" xfId="22051"/>
    <cellStyle name="Input 11 5 4" xfId="16938"/>
    <cellStyle name="Input 11 5_Table 2A-1_EFT (Annual)" xfId="6776"/>
    <cellStyle name="Input 11 6" xfId="1862"/>
    <cellStyle name="Input 11 6 2" xfId="5423"/>
    <cellStyle name="Input 11 6 2 2" xfId="13638"/>
    <cellStyle name="Input 11 6 2 2 2" xfId="25626"/>
    <cellStyle name="Input 11 6 2 3" xfId="20513"/>
    <cellStyle name="Input 11 6 2_Table 2A-1_EFT (Annual)" xfId="14955"/>
    <cellStyle name="Input 11 6 3" xfId="10982"/>
    <cellStyle name="Input 11 6 3 2" xfId="23080"/>
    <cellStyle name="Input 11 6 4" xfId="17967"/>
    <cellStyle name="Input 11 6_Table 2A-1_EFT (Annual)" xfId="6777"/>
    <cellStyle name="Input 11 7" xfId="3716"/>
    <cellStyle name="Input 11 7 2" xfId="12084"/>
    <cellStyle name="Input 11 7 2 2" xfId="24114"/>
    <cellStyle name="Input 11 7 3" xfId="19001"/>
    <cellStyle name="Input 11 7_Table 2A-1_EFT (Annual)" xfId="14956"/>
    <cellStyle name="Input 11 8" xfId="9403"/>
    <cellStyle name="Input 11 8 2" xfId="21568"/>
    <cellStyle name="Input 11 9" xfId="16455"/>
    <cellStyle name="Input 11_Table 2A-1_EFT (Annual)" xfId="2995"/>
    <cellStyle name="Input 12" xfId="141"/>
    <cellStyle name="Input 12 2" xfId="534"/>
    <cellStyle name="Input 12 2 2" xfId="1511"/>
    <cellStyle name="Input 12 2 2 2" xfId="2781"/>
    <cellStyle name="Input 12 2 2 2 2" xfId="6342"/>
    <cellStyle name="Input 12 2 2 2 2 2" xfId="14536"/>
    <cellStyle name="Input 12 2 2 2 2 2 2" xfId="26508"/>
    <cellStyle name="Input 12 2 2 2 2 3" xfId="21395"/>
    <cellStyle name="Input 12 2 2 2 2_Table 2A-1_EFT (Annual)" xfId="14957"/>
    <cellStyle name="Input 12 2 2 2 3" xfId="11878"/>
    <cellStyle name="Input 12 2 2 2 3 2" xfId="23962"/>
    <cellStyle name="Input 12 2 2 2 4" xfId="18849"/>
    <cellStyle name="Input 12 2 2 2_Table 2A-1_EFT (Annual)" xfId="6779"/>
    <cellStyle name="Input 12 2 2 3" xfId="5072"/>
    <cellStyle name="Input 12 2 2 3 2" xfId="13332"/>
    <cellStyle name="Input 12 2 2 3 2 2" xfId="25338"/>
    <cellStyle name="Input 12 2 2 3 3" xfId="20225"/>
    <cellStyle name="Input 12 2 2 3_Table 2A-1_EFT (Annual)" xfId="14958"/>
    <cellStyle name="Input 12 2 2 4" xfId="10676"/>
    <cellStyle name="Input 12 2 2 4 2" xfId="22792"/>
    <cellStyle name="Input 12 2 2 5" xfId="17679"/>
    <cellStyle name="Input 12 2 2_Table 2A-1_EFT (Annual)" xfId="6778"/>
    <cellStyle name="Input 12 2 3" xfId="1043"/>
    <cellStyle name="Input 12 2 3 2" xfId="4604"/>
    <cellStyle name="Input 12 2 3 2 2" xfId="12864"/>
    <cellStyle name="Input 12 2 3 2 2 2" xfId="24870"/>
    <cellStyle name="Input 12 2 3 2 3" xfId="19757"/>
    <cellStyle name="Input 12 2 3 2_Table 2A-1_EFT (Annual)" xfId="14959"/>
    <cellStyle name="Input 12 2 3 3" xfId="10208"/>
    <cellStyle name="Input 12 2 3 3 2" xfId="22324"/>
    <cellStyle name="Input 12 2 3 4" xfId="17211"/>
    <cellStyle name="Input 12 2 3_Table 2A-1_EFT (Annual)" xfId="6780"/>
    <cellStyle name="Input 12 2 4" xfId="2250"/>
    <cellStyle name="Input 12 2 4 2" xfId="5811"/>
    <cellStyle name="Input 12 2 4 2 2" xfId="14026"/>
    <cellStyle name="Input 12 2 4 2 2 2" xfId="26014"/>
    <cellStyle name="Input 12 2 4 2 3" xfId="20901"/>
    <cellStyle name="Input 12 2 4 2_Table 2A-1_EFT (Annual)" xfId="14960"/>
    <cellStyle name="Input 12 2 4 3" xfId="11370"/>
    <cellStyle name="Input 12 2 4 3 2" xfId="23468"/>
    <cellStyle name="Input 12 2 4 4" xfId="18355"/>
    <cellStyle name="Input 12 2 4_Table 2A-1_EFT (Annual)" xfId="6781"/>
    <cellStyle name="Input 12 2 5" xfId="4104"/>
    <cellStyle name="Input 12 2 5 2" xfId="12428"/>
    <cellStyle name="Input 12 2 5 2 2" xfId="24450"/>
    <cellStyle name="Input 12 2 5 3" xfId="19337"/>
    <cellStyle name="Input 12 2 5_Table 2A-1_EFT (Annual)" xfId="14961"/>
    <cellStyle name="Input 12 2 6" xfId="9767"/>
    <cellStyle name="Input 12 2 6 2" xfId="21904"/>
    <cellStyle name="Input 12 2 7" xfId="16791"/>
    <cellStyle name="Input 12 2_Table 2A-1_EFT (Annual)" xfId="2999"/>
    <cellStyle name="Input 12 3" xfId="372"/>
    <cellStyle name="Input 12 3 2" xfId="1355"/>
    <cellStyle name="Input 12 3 2 2" xfId="2625"/>
    <cellStyle name="Input 12 3 2 2 2" xfId="6186"/>
    <cellStyle name="Input 12 3 2 2 2 2" xfId="14380"/>
    <cellStyle name="Input 12 3 2 2 2 2 2" xfId="26352"/>
    <cellStyle name="Input 12 3 2 2 2 3" xfId="21239"/>
    <cellStyle name="Input 12 3 2 2 2_Table 2A-1_EFT (Annual)" xfId="14962"/>
    <cellStyle name="Input 12 3 2 2 3" xfId="11722"/>
    <cellStyle name="Input 12 3 2 2 3 2" xfId="23806"/>
    <cellStyle name="Input 12 3 2 2 4" xfId="18693"/>
    <cellStyle name="Input 12 3 2 2_Table 2A-1_EFT (Annual)" xfId="6783"/>
    <cellStyle name="Input 12 3 2 3" xfId="4916"/>
    <cellStyle name="Input 12 3 2 3 2" xfId="13176"/>
    <cellStyle name="Input 12 3 2 3 2 2" xfId="25182"/>
    <cellStyle name="Input 12 3 2 3 3" xfId="20069"/>
    <cellStyle name="Input 12 3 2 3_Table 2A-1_EFT (Annual)" xfId="14963"/>
    <cellStyle name="Input 12 3 2 4" xfId="10520"/>
    <cellStyle name="Input 12 3 2 4 2" xfId="22636"/>
    <cellStyle name="Input 12 3 2 5" xfId="17523"/>
    <cellStyle name="Input 12 3 2_Table 2A-1_EFT (Annual)" xfId="6782"/>
    <cellStyle name="Input 12 3 3" xfId="911"/>
    <cellStyle name="Input 12 3 3 2" xfId="4472"/>
    <cellStyle name="Input 12 3 3 2 2" xfId="12734"/>
    <cellStyle name="Input 12 3 3 2 2 2" xfId="24744"/>
    <cellStyle name="Input 12 3 3 2 3" xfId="19631"/>
    <cellStyle name="Input 12 3 3 2_Table 2A-1_EFT (Annual)" xfId="14964"/>
    <cellStyle name="Input 12 3 3 3" xfId="10081"/>
    <cellStyle name="Input 12 3 3 3 2" xfId="22198"/>
    <cellStyle name="Input 12 3 3 4" xfId="17085"/>
    <cellStyle name="Input 12 3 3_Table 2A-1_EFT (Annual)" xfId="6784"/>
    <cellStyle name="Input 12 3 4" xfId="2094"/>
    <cellStyle name="Input 12 3 4 2" xfId="5655"/>
    <cellStyle name="Input 12 3 4 2 2" xfId="13870"/>
    <cellStyle name="Input 12 3 4 2 2 2" xfId="25858"/>
    <cellStyle name="Input 12 3 4 2 3" xfId="20745"/>
    <cellStyle name="Input 12 3 4 2_Table 2A-1_EFT (Annual)" xfId="14965"/>
    <cellStyle name="Input 12 3 4 3" xfId="11214"/>
    <cellStyle name="Input 12 3 4 3 2" xfId="23312"/>
    <cellStyle name="Input 12 3 4 4" xfId="18199"/>
    <cellStyle name="Input 12 3 4_Table 2A-1_EFT (Annual)" xfId="6785"/>
    <cellStyle name="Input 12 3 5" xfId="3942"/>
    <cellStyle name="Input 12 3 5 2" xfId="12270"/>
    <cellStyle name="Input 12 3 5 2 2" xfId="24294"/>
    <cellStyle name="Input 12 3 5 3" xfId="19181"/>
    <cellStyle name="Input 12 3 5_Table 2A-1_EFT (Annual)" xfId="14966"/>
    <cellStyle name="Input 12 3 6" xfId="9607"/>
    <cellStyle name="Input 12 3 6 2" xfId="21748"/>
    <cellStyle name="Input 12 3 7" xfId="16635"/>
    <cellStyle name="Input 12 3_Table 2A-1_EFT (Annual)" xfId="3000"/>
    <cellStyle name="Input 12 4" xfId="1189"/>
    <cellStyle name="Input 12 4 2" xfId="2459"/>
    <cellStyle name="Input 12 4 2 2" xfId="6020"/>
    <cellStyle name="Input 12 4 2 2 2" xfId="14214"/>
    <cellStyle name="Input 12 4 2 2 2 2" xfId="26186"/>
    <cellStyle name="Input 12 4 2 2 3" xfId="21073"/>
    <cellStyle name="Input 12 4 2 2_Table 2A-1_EFT (Annual)" xfId="14967"/>
    <cellStyle name="Input 12 4 2 3" xfId="11556"/>
    <cellStyle name="Input 12 4 2 3 2" xfId="23640"/>
    <cellStyle name="Input 12 4 2 4" xfId="18527"/>
    <cellStyle name="Input 12 4 2_Table 2A-1_EFT (Annual)" xfId="6787"/>
    <cellStyle name="Input 12 4 3" xfId="4750"/>
    <cellStyle name="Input 12 4 3 2" xfId="13010"/>
    <cellStyle name="Input 12 4 3 2 2" xfId="25016"/>
    <cellStyle name="Input 12 4 3 3" xfId="19903"/>
    <cellStyle name="Input 12 4 3_Table 2A-1_EFT (Annual)" xfId="14968"/>
    <cellStyle name="Input 12 4 4" xfId="10354"/>
    <cellStyle name="Input 12 4 4 2" xfId="22470"/>
    <cellStyle name="Input 12 4 5" xfId="17357"/>
    <cellStyle name="Input 12 4_Table 2A-1_EFT (Annual)" xfId="6786"/>
    <cellStyle name="Input 12 5" xfId="752"/>
    <cellStyle name="Input 12 5 2" xfId="4313"/>
    <cellStyle name="Input 12 5 2 2" xfId="12593"/>
    <cellStyle name="Input 12 5 2 2 2" xfId="24610"/>
    <cellStyle name="Input 12 5 2 3" xfId="19497"/>
    <cellStyle name="Input 12 5 2_Table 2A-1_EFT (Annual)" xfId="14969"/>
    <cellStyle name="Input 12 5 3" xfId="9941"/>
    <cellStyle name="Input 12 5 3 2" xfId="22064"/>
    <cellStyle name="Input 12 5 4" xfId="16951"/>
    <cellStyle name="Input 12 5_Table 2A-1_EFT (Annual)" xfId="6788"/>
    <cellStyle name="Input 12 6" xfId="1855"/>
    <cellStyle name="Input 12 6 2" xfId="5416"/>
    <cellStyle name="Input 12 6 2 2" xfId="13631"/>
    <cellStyle name="Input 12 6 2 2 2" xfId="25619"/>
    <cellStyle name="Input 12 6 2 3" xfId="20506"/>
    <cellStyle name="Input 12 6 2_Table 2A-1_EFT (Annual)" xfId="14970"/>
    <cellStyle name="Input 12 6 3" xfId="10975"/>
    <cellStyle name="Input 12 6 3 2" xfId="23073"/>
    <cellStyle name="Input 12 6 4" xfId="17960"/>
    <cellStyle name="Input 12 6_Table 2A-1_EFT (Annual)" xfId="6789"/>
    <cellStyle name="Input 12 7" xfId="3730"/>
    <cellStyle name="Input 12 7 2" xfId="12098"/>
    <cellStyle name="Input 12 7 2 2" xfId="24128"/>
    <cellStyle name="Input 12 7 3" xfId="19015"/>
    <cellStyle name="Input 12 7_Table 2A-1_EFT (Annual)" xfId="14971"/>
    <cellStyle name="Input 12 8" xfId="9417"/>
    <cellStyle name="Input 12 8 2" xfId="21582"/>
    <cellStyle name="Input 12 9" xfId="16469"/>
    <cellStyle name="Input 12_Table 2A-1_EFT (Annual)" xfId="2998"/>
    <cellStyle name="Input 13" xfId="149"/>
    <cellStyle name="Input 13 2" xfId="542"/>
    <cellStyle name="Input 13 2 2" xfId="1519"/>
    <cellStyle name="Input 13 2 2 2" xfId="2789"/>
    <cellStyle name="Input 13 2 2 2 2" xfId="6350"/>
    <cellStyle name="Input 13 2 2 2 2 2" xfId="14544"/>
    <cellStyle name="Input 13 2 2 2 2 2 2" xfId="26516"/>
    <cellStyle name="Input 13 2 2 2 2 3" xfId="21403"/>
    <cellStyle name="Input 13 2 2 2 2_Table 2A-1_EFT (Annual)" xfId="14972"/>
    <cellStyle name="Input 13 2 2 2 3" xfId="11886"/>
    <cellStyle name="Input 13 2 2 2 3 2" xfId="23970"/>
    <cellStyle name="Input 13 2 2 2 4" xfId="18857"/>
    <cellStyle name="Input 13 2 2 2_Table 2A-1_EFT (Annual)" xfId="6791"/>
    <cellStyle name="Input 13 2 2 3" xfId="5080"/>
    <cellStyle name="Input 13 2 2 3 2" xfId="13340"/>
    <cellStyle name="Input 13 2 2 3 2 2" xfId="25346"/>
    <cellStyle name="Input 13 2 2 3 3" xfId="20233"/>
    <cellStyle name="Input 13 2 2 3_Table 2A-1_EFT (Annual)" xfId="14973"/>
    <cellStyle name="Input 13 2 2 4" xfId="10684"/>
    <cellStyle name="Input 13 2 2 4 2" xfId="22800"/>
    <cellStyle name="Input 13 2 2 5" xfId="17687"/>
    <cellStyle name="Input 13 2 2_Table 2A-1_EFT (Annual)" xfId="6790"/>
    <cellStyle name="Input 13 2 3" xfId="1050"/>
    <cellStyle name="Input 13 2 3 2" xfId="4611"/>
    <cellStyle name="Input 13 2 3 2 2" xfId="12871"/>
    <cellStyle name="Input 13 2 3 2 2 2" xfId="24877"/>
    <cellStyle name="Input 13 2 3 2 3" xfId="19764"/>
    <cellStyle name="Input 13 2 3 2_Table 2A-1_EFT (Annual)" xfId="14974"/>
    <cellStyle name="Input 13 2 3 3" xfId="10215"/>
    <cellStyle name="Input 13 2 3 3 2" xfId="22331"/>
    <cellStyle name="Input 13 2 3 4" xfId="17218"/>
    <cellStyle name="Input 13 2 3_Table 2A-1_EFT (Annual)" xfId="6792"/>
    <cellStyle name="Input 13 2 4" xfId="2258"/>
    <cellStyle name="Input 13 2 4 2" xfId="5819"/>
    <cellStyle name="Input 13 2 4 2 2" xfId="14034"/>
    <cellStyle name="Input 13 2 4 2 2 2" xfId="26022"/>
    <cellStyle name="Input 13 2 4 2 3" xfId="20909"/>
    <cellStyle name="Input 13 2 4 2_Table 2A-1_EFT (Annual)" xfId="14975"/>
    <cellStyle name="Input 13 2 4 3" xfId="11378"/>
    <cellStyle name="Input 13 2 4 3 2" xfId="23476"/>
    <cellStyle name="Input 13 2 4 4" xfId="18363"/>
    <cellStyle name="Input 13 2 4_Table 2A-1_EFT (Annual)" xfId="6793"/>
    <cellStyle name="Input 13 2 5" xfId="4112"/>
    <cellStyle name="Input 13 2 5 2" xfId="12436"/>
    <cellStyle name="Input 13 2 5 2 2" xfId="24458"/>
    <cellStyle name="Input 13 2 5 3" xfId="19345"/>
    <cellStyle name="Input 13 2 5_Table 2A-1_EFT (Annual)" xfId="14976"/>
    <cellStyle name="Input 13 2 6" xfId="9775"/>
    <cellStyle name="Input 13 2 6 2" xfId="21912"/>
    <cellStyle name="Input 13 2 7" xfId="16799"/>
    <cellStyle name="Input 13 2_Table 2A-1_EFT (Annual)" xfId="3002"/>
    <cellStyle name="Input 13 3" xfId="380"/>
    <cellStyle name="Input 13 3 2" xfId="1363"/>
    <cellStyle name="Input 13 3 2 2" xfId="2633"/>
    <cellStyle name="Input 13 3 2 2 2" xfId="6194"/>
    <cellStyle name="Input 13 3 2 2 2 2" xfId="14388"/>
    <cellStyle name="Input 13 3 2 2 2 2 2" xfId="26360"/>
    <cellStyle name="Input 13 3 2 2 2 3" xfId="21247"/>
    <cellStyle name="Input 13 3 2 2 2_Table 2A-1_EFT (Annual)" xfId="14977"/>
    <cellStyle name="Input 13 3 2 2 3" xfId="11730"/>
    <cellStyle name="Input 13 3 2 2 3 2" xfId="23814"/>
    <cellStyle name="Input 13 3 2 2 4" xfId="18701"/>
    <cellStyle name="Input 13 3 2 2_Table 2A-1_EFT (Annual)" xfId="6795"/>
    <cellStyle name="Input 13 3 2 3" xfId="4924"/>
    <cellStyle name="Input 13 3 2 3 2" xfId="13184"/>
    <cellStyle name="Input 13 3 2 3 2 2" xfId="25190"/>
    <cellStyle name="Input 13 3 2 3 3" xfId="20077"/>
    <cellStyle name="Input 13 3 2 3_Table 2A-1_EFT (Annual)" xfId="14978"/>
    <cellStyle name="Input 13 3 2 4" xfId="10528"/>
    <cellStyle name="Input 13 3 2 4 2" xfId="22644"/>
    <cellStyle name="Input 13 3 2 5" xfId="17531"/>
    <cellStyle name="Input 13 3 2_Table 2A-1_EFT (Annual)" xfId="6794"/>
    <cellStyle name="Input 13 3 3" xfId="918"/>
    <cellStyle name="Input 13 3 3 2" xfId="4479"/>
    <cellStyle name="Input 13 3 3 2 2" xfId="12741"/>
    <cellStyle name="Input 13 3 3 2 2 2" xfId="24751"/>
    <cellStyle name="Input 13 3 3 2 3" xfId="19638"/>
    <cellStyle name="Input 13 3 3 2_Table 2A-1_EFT (Annual)" xfId="14979"/>
    <cellStyle name="Input 13 3 3 3" xfId="10088"/>
    <cellStyle name="Input 13 3 3 3 2" xfId="22205"/>
    <cellStyle name="Input 13 3 3 4" xfId="17092"/>
    <cellStyle name="Input 13 3 3_Table 2A-1_EFT (Annual)" xfId="6796"/>
    <cellStyle name="Input 13 3 4" xfId="2102"/>
    <cellStyle name="Input 13 3 4 2" xfId="5663"/>
    <cellStyle name="Input 13 3 4 2 2" xfId="13878"/>
    <cellStyle name="Input 13 3 4 2 2 2" xfId="25866"/>
    <cellStyle name="Input 13 3 4 2 3" xfId="20753"/>
    <cellStyle name="Input 13 3 4 2_Table 2A-1_EFT (Annual)" xfId="14980"/>
    <cellStyle name="Input 13 3 4 3" xfId="11222"/>
    <cellStyle name="Input 13 3 4 3 2" xfId="23320"/>
    <cellStyle name="Input 13 3 4 4" xfId="18207"/>
    <cellStyle name="Input 13 3 4_Table 2A-1_EFT (Annual)" xfId="6797"/>
    <cellStyle name="Input 13 3 5" xfId="3950"/>
    <cellStyle name="Input 13 3 5 2" xfId="12278"/>
    <cellStyle name="Input 13 3 5 2 2" xfId="24302"/>
    <cellStyle name="Input 13 3 5 3" xfId="19189"/>
    <cellStyle name="Input 13 3 5_Table 2A-1_EFT (Annual)" xfId="14981"/>
    <cellStyle name="Input 13 3 6" xfId="9615"/>
    <cellStyle name="Input 13 3 6 2" xfId="21756"/>
    <cellStyle name="Input 13 3 7" xfId="16643"/>
    <cellStyle name="Input 13 3_Table 2A-1_EFT (Annual)" xfId="3003"/>
    <cellStyle name="Input 13 4" xfId="1197"/>
    <cellStyle name="Input 13 4 2" xfId="2467"/>
    <cellStyle name="Input 13 4 2 2" xfId="6028"/>
    <cellStyle name="Input 13 4 2 2 2" xfId="14222"/>
    <cellStyle name="Input 13 4 2 2 2 2" xfId="26194"/>
    <cellStyle name="Input 13 4 2 2 3" xfId="21081"/>
    <cellStyle name="Input 13 4 2 2_Table 2A-1_EFT (Annual)" xfId="14982"/>
    <cellStyle name="Input 13 4 2 3" xfId="11564"/>
    <cellStyle name="Input 13 4 2 3 2" xfId="23648"/>
    <cellStyle name="Input 13 4 2 4" xfId="18535"/>
    <cellStyle name="Input 13 4 2_Table 2A-1_EFT (Annual)" xfId="6799"/>
    <cellStyle name="Input 13 4 3" xfId="4758"/>
    <cellStyle name="Input 13 4 3 2" xfId="13018"/>
    <cellStyle name="Input 13 4 3 2 2" xfId="25024"/>
    <cellStyle name="Input 13 4 3 3" xfId="19911"/>
    <cellStyle name="Input 13 4 3_Table 2A-1_EFT (Annual)" xfId="14983"/>
    <cellStyle name="Input 13 4 4" xfId="10362"/>
    <cellStyle name="Input 13 4 4 2" xfId="22478"/>
    <cellStyle name="Input 13 4 5" xfId="17365"/>
    <cellStyle name="Input 13 4_Table 2A-1_EFT (Annual)" xfId="6798"/>
    <cellStyle name="Input 13 5" xfId="759"/>
    <cellStyle name="Input 13 5 2" xfId="4320"/>
    <cellStyle name="Input 13 5 2 2" xfId="12600"/>
    <cellStyle name="Input 13 5 2 2 2" xfId="24617"/>
    <cellStyle name="Input 13 5 2 3" xfId="19504"/>
    <cellStyle name="Input 13 5 2_Table 2A-1_EFT (Annual)" xfId="14984"/>
    <cellStyle name="Input 13 5 3" xfId="9948"/>
    <cellStyle name="Input 13 5 3 2" xfId="22071"/>
    <cellStyle name="Input 13 5 4" xfId="16958"/>
    <cellStyle name="Input 13 5_Table 2A-1_EFT (Annual)" xfId="6800"/>
    <cellStyle name="Input 13 6" xfId="1851"/>
    <cellStyle name="Input 13 6 2" xfId="5412"/>
    <cellStyle name="Input 13 6 2 2" xfId="13627"/>
    <cellStyle name="Input 13 6 2 2 2" xfId="25615"/>
    <cellStyle name="Input 13 6 2 3" xfId="20502"/>
    <cellStyle name="Input 13 6 2_Table 2A-1_EFT (Annual)" xfId="14985"/>
    <cellStyle name="Input 13 6 3" xfId="10971"/>
    <cellStyle name="Input 13 6 3 2" xfId="23069"/>
    <cellStyle name="Input 13 6 4" xfId="17956"/>
    <cellStyle name="Input 13 6_Table 2A-1_EFT (Annual)" xfId="6801"/>
    <cellStyle name="Input 13 7" xfId="3738"/>
    <cellStyle name="Input 13 7 2" xfId="12106"/>
    <cellStyle name="Input 13 7 2 2" xfId="24136"/>
    <cellStyle name="Input 13 7 3" xfId="19023"/>
    <cellStyle name="Input 13 7_Table 2A-1_EFT (Annual)" xfId="14986"/>
    <cellStyle name="Input 13 8" xfId="9425"/>
    <cellStyle name="Input 13 8 2" xfId="21590"/>
    <cellStyle name="Input 13 9" xfId="16477"/>
    <cellStyle name="Input 13_Table 2A-1_EFT (Annual)" xfId="3001"/>
    <cellStyle name="Input 14" xfId="160"/>
    <cellStyle name="Input 14 2" xfId="553"/>
    <cellStyle name="Input 14 2 2" xfId="1530"/>
    <cellStyle name="Input 14 2 2 2" xfId="2800"/>
    <cellStyle name="Input 14 2 2 2 2" xfId="6361"/>
    <cellStyle name="Input 14 2 2 2 2 2" xfId="14555"/>
    <cellStyle name="Input 14 2 2 2 2 2 2" xfId="26527"/>
    <cellStyle name="Input 14 2 2 2 2 3" xfId="21414"/>
    <cellStyle name="Input 14 2 2 2 2_Table 2A-1_EFT (Annual)" xfId="14987"/>
    <cellStyle name="Input 14 2 2 2 3" xfId="11897"/>
    <cellStyle name="Input 14 2 2 2 3 2" xfId="23981"/>
    <cellStyle name="Input 14 2 2 2 4" xfId="18868"/>
    <cellStyle name="Input 14 2 2 2_Table 2A-1_EFT (Annual)" xfId="6803"/>
    <cellStyle name="Input 14 2 2 3" xfId="5091"/>
    <cellStyle name="Input 14 2 2 3 2" xfId="13351"/>
    <cellStyle name="Input 14 2 2 3 2 2" xfId="25357"/>
    <cellStyle name="Input 14 2 2 3 3" xfId="20244"/>
    <cellStyle name="Input 14 2 2 3_Table 2A-1_EFT (Annual)" xfId="14988"/>
    <cellStyle name="Input 14 2 2 4" xfId="10695"/>
    <cellStyle name="Input 14 2 2 4 2" xfId="22811"/>
    <cellStyle name="Input 14 2 2 5" xfId="17698"/>
    <cellStyle name="Input 14 2 2_Table 2A-1_EFT (Annual)" xfId="6802"/>
    <cellStyle name="Input 14 2 3" xfId="1058"/>
    <cellStyle name="Input 14 2 3 2" xfId="4619"/>
    <cellStyle name="Input 14 2 3 2 2" xfId="12879"/>
    <cellStyle name="Input 14 2 3 2 2 2" xfId="24885"/>
    <cellStyle name="Input 14 2 3 2 3" xfId="19772"/>
    <cellStyle name="Input 14 2 3 2_Table 2A-1_EFT (Annual)" xfId="14989"/>
    <cellStyle name="Input 14 2 3 3" xfId="10223"/>
    <cellStyle name="Input 14 2 3 3 2" xfId="22339"/>
    <cellStyle name="Input 14 2 3 4" xfId="17226"/>
    <cellStyle name="Input 14 2 3_Table 2A-1_EFT (Annual)" xfId="6804"/>
    <cellStyle name="Input 14 2 4" xfId="2269"/>
    <cellStyle name="Input 14 2 4 2" xfId="5830"/>
    <cellStyle name="Input 14 2 4 2 2" xfId="14045"/>
    <cellStyle name="Input 14 2 4 2 2 2" xfId="26033"/>
    <cellStyle name="Input 14 2 4 2 3" xfId="20920"/>
    <cellStyle name="Input 14 2 4 2_Table 2A-1_EFT (Annual)" xfId="14990"/>
    <cellStyle name="Input 14 2 4 3" xfId="11389"/>
    <cellStyle name="Input 14 2 4 3 2" xfId="23487"/>
    <cellStyle name="Input 14 2 4 4" xfId="18374"/>
    <cellStyle name="Input 14 2 4_Table 2A-1_EFT (Annual)" xfId="6805"/>
    <cellStyle name="Input 14 2 5" xfId="4123"/>
    <cellStyle name="Input 14 2 5 2" xfId="12447"/>
    <cellStyle name="Input 14 2 5 2 2" xfId="24469"/>
    <cellStyle name="Input 14 2 5 3" xfId="19356"/>
    <cellStyle name="Input 14 2 5_Table 2A-1_EFT (Annual)" xfId="14991"/>
    <cellStyle name="Input 14 2 6" xfId="9786"/>
    <cellStyle name="Input 14 2 6 2" xfId="21923"/>
    <cellStyle name="Input 14 2 7" xfId="16810"/>
    <cellStyle name="Input 14 2_Table 2A-1_EFT (Annual)" xfId="3005"/>
    <cellStyle name="Input 14 3" xfId="391"/>
    <cellStyle name="Input 14 3 2" xfId="1374"/>
    <cellStyle name="Input 14 3 2 2" xfId="2644"/>
    <cellStyle name="Input 14 3 2 2 2" xfId="6205"/>
    <cellStyle name="Input 14 3 2 2 2 2" xfId="14399"/>
    <cellStyle name="Input 14 3 2 2 2 2 2" xfId="26371"/>
    <cellStyle name="Input 14 3 2 2 2 3" xfId="21258"/>
    <cellStyle name="Input 14 3 2 2 2_Table 2A-1_EFT (Annual)" xfId="14992"/>
    <cellStyle name="Input 14 3 2 2 3" xfId="11741"/>
    <cellStyle name="Input 14 3 2 2 3 2" xfId="23825"/>
    <cellStyle name="Input 14 3 2 2 4" xfId="18712"/>
    <cellStyle name="Input 14 3 2 2_Table 2A-1_EFT (Annual)" xfId="6807"/>
    <cellStyle name="Input 14 3 2 3" xfId="4935"/>
    <cellStyle name="Input 14 3 2 3 2" xfId="13195"/>
    <cellStyle name="Input 14 3 2 3 2 2" xfId="25201"/>
    <cellStyle name="Input 14 3 2 3 3" xfId="20088"/>
    <cellStyle name="Input 14 3 2 3_Table 2A-1_EFT (Annual)" xfId="14993"/>
    <cellStyle name="Input 14 3 2 4" xfId="10539"/>
    <cellStyle name="Input 14 3 2 4 2" xfId="22655"/>
    <cellStyle name="Input 14 3 2 5" xfId="17542"/>
    <cellStyle name="Input 14 3 2_Table 2A-1_EFT (Annual)" xfId="6806"/>
    <cellStyle name="Input 14 3 3" xfId="926"/>
    <cellStyle name="Input 14 3 3 2" xfId="4487"/>
    <cellStyle name="Input 14 3 3 2 2" xfId="12749"/>
    <cellStyle name="Input 14 3 3 2 2 2" xfId="24759"/>
    <cellStyle name="Input 14 3 3 2 3" xfId="19646"/>
    <cellStyle name="Input 14 3 3 2_Table 2A-1_EFT (Annual)" xfId="14994"/>
    <cellStyle name="Input 14 3 3 3" xfId="10096"/>
    <cellStyle name="Input 14 3 3 3 2" xfId="22213"/>
    <cellStyle name="Input 14 3 3 4" xfId="17100"/>
    <cellStyle name="Input 14 3 3_Table 2A-1_EFT (Annual)" xfId="6808"/>
    <cellStyle name="Input 14 3 4" xfId="2113"/>
    <cellStyle name="Input 14 3 4 2" xfId="5674"/>
    <cellStyle name="Input 14 3 4 2 2" xfId="13889"/>
    <cellStyle name="Input 14 3 4 2 2 2" xfId="25877"/>
    <cellStyle name="Input 14 3 4 2 3" xfId="20764"/>
    <cellStyle name="Input 14 3 4 2_Table 2A-1_EFT (Annual)" xfId="14995"/>
    <cellStyle name="Input 14 3 4 3" xfId="11233"/>
    <cellStyle name="Input 14 3 4 3 2" xfId="23331"/>
    <cellStyle name="Input 14 3 4 4" xfId="18218"/>
    <cellStyle name="Input 14 3 4_Table 2A-1_EFT (Annual)" xfId="6809"/>
    <cellStyle name="Input 14 3 5" xfId="3961"/>
    <cellStyle name="Input 14 3 5 2" xfId="12289"/>
    <cellStyle name="Input 14 3 5 2 2" xfId="24313"/>
    <cellStyle name="Input 14 3 5 3" xfId="19200"/>
    <cellStyle name="Input 14 3 5_Table 2A-1_EFT (Annual)" xfId="14996"/>
    <cellStyle name="Input 14 3 6" xfId="9626"/>
    <cellStyle name="Input 14 3 6 2" xfId="21767"/>
    <cellStyle name="Input 14 3 7" xfId="16654"/>
    <cellStyle name="Input 14 3_Table 2A-1_EFT (Annual)" xfId="3006"/>
    <cellStyle name="Input 14 4" xfId="1208"/>
    <cellStyle name="Input 14 4 2" xfId="2478"/>
    <cellStyle name="Input 14 4 2 2" xfId="6039"/>
    <cellStyle name="Input 14 4 2 2 2" xfId="14233"/>
    <cellStyle name="Input 14 4 2 2 2 2" xfId="26205"/>
    <cellStyle name="Input 14 4 2 2 3" xfId="21092"/>
    <cellStyle name="Input 14 4 2 2_Table 2A-1_EFT (Annual)" xfId="14997"/>
    <cellStyle name="Input 14 4 2 3" xfId="11575"/>
    <cellStyle name="Input 14 4 2 3 2" xfId="23659"/>
    <cellStyle name="Input 14 4 2 4" xfId="18546"/>
    <cellStyle name="Input 14 4 2_Table 2A-1_EFT (Annual)" xfId="6811"/>
    <cellStyle name="Input 14 4 3" xfId="4769"/>
    <cellStyle name="Input 14 4 3 2" xfId="13029"/>
    <cellStyle name="Input 14 4 3 2 2" xfId="25035"/>
    <cellStyle name="Input 14 4 3 3" xfId="19922"/>
    <cellStyle name="Input 14 4 3_Table 2A-1_EFT (Annual)" xfId="14998"/>
    <cellStyle name="Input 14 4 4" xfId="10373"/>
    <cellStyle name="Input 14 4 4 2" xfId="22489"/>
    <cellStyle name="Input 14 4 5" xfId="17376"/>
    <cellStyle name="Input 14 4_Table 2A-1_EFT (Annual)" xfId="6810"/>
    <cellStyle name="Input 14 5" xfId="767"/>
    <cellStyle name="Input 14 5 2" xfId="4328"/>
    <cellStyle name="Input 14 5 2 2" xfId="12608"/>
    <cellStyle name="Input 14 5 2 2 2" xfId="24625"/>
    <cellStyle name="Input 14 5 2 3" xfId="19512"/>
    <cellStyle name="Input 14 5 2_Table 2A-1_EFT (Annual)" xfId="14999"/>
    <cellStyle name="Input 14 5 3" xfId="9956"/>
    <cellStyle name="Input 14 5 3 2" xfId="22079"/>
    <cellStyle name="Input 14 5 4" xfId="16966"/>
    <cellStyle name="Input 14 5_Table 2A-1_EFT (Annual)" xfId="6812"/>
    <cellStyle name="Input 14 6" xfId="1947"/>
    <cellStyle name="Input 14 6 2" xfId="5508"/>
    <cellStyle name="Input 14 6 2 2" xfId="13723"/>
    <cellStyle name="Input 14 6 2 2 2" xfId="25711"/>
    <cellStyle name="Input 14 6 2 3" xfId="20598"/>
    <cellStyle name="Input 14 6 2_Table 2A-1_EFT (Annual)" xfId="15000"/>
    <cellStyle name="Input 14 6 3" xfId="11067"/>
    <cellStyle name="Input 14 6 3 2" xfId="23165"/>
    <cellStyle name="Input 14 6 4" xfId="18052"/>
    <cellStyle name="Input 14 6_Table 2A-1_EFT (Annual)" xfId="6813"/>
    <cellStyle name="Input 14 7" xfId="3749"/>
    <cellStyle name="Input 14 7 2" xfId="12117"/>
    <cellStyle name="Input 14 7 2 2" xfId="24147"/>
    <cellStyle name="Input 14 7 3" xfId="19034"/>
    <cellStyle name="Input 14 7_Table 2A-1_EFT (Annual)" xfId="15001"/>
    <cellStyle name="Input 14 8" xfId="9436"/>
    <cellStyle name="Input 14 8 2" xfId="21601"/>
    <cellStyle name="Input 14 9" xfId="16488"/>
    <cellStyle name="Input 14_Table 2A-1_EFT (Annual)" xfId="3004"/>
    <cellStyle name="Input 15" xfId="162"/>
    <cellStyle name="Input 15 2" xfId="555"/>
    <cellStyle name="Input 15 2 2" xfId="1532"/>
    <cellStyle name="Input 15 2 2 2" xfId="2802"/>
    <cellStyle name="Input 15 2 2 2 2" xfId="6363"/>
    <cellStyle name="Input 15 2 2 2 2 2" xfId="14557"/>
    <cellStyle name="Input 15 2 2 2 2 2 2" xfId="26529"/>
    <cellStyle name="Input 15 2 2 2 2 3" xfId="21416"/>
    <cellStyle name="Input 15 2 2 2 2_Table 2A-1_EFT (Annual)" xfId="15002"/>
    <cellStyle name="Input 15 2 2 2 3" xfId="11899"/>
    <cellStyle name="Input 15 2 2 2 3 2" xfId="23983"/>
    <cellStyle name="Input 15 2 2 2 4" xfId="18870"/>
    <cellStyle name="Input 15 2 2 2_Table 2A-1_EFT (Annual)" xfId="6815"/>
    <cellStyle name="Input 15 2 2 3" xfId="5093"/>
    <cellStyle name="Input 15 2 2 3 2" xfId="13353"/>
    <cellStyle name="Input 15 2 2 3 2 2" xfId="25359"/>
    <cellStyle name="Input 15 2 2 3 3" xfId="20246"/>
    <cellStyle name="Input 15 2 2 3_Table 2A-1_EFT (Annual)" xfId="15003"/>
    <cellStyle name="Input 15 2 2 4" xfId="10697"/>
    <cellStyle name="Input 15 2 2 4 2" xfId="22813"/>
    <cellStyle name="Input 15 2 2 5" xfId="17700"/>
    <cellStyle name="Input 15 2 2_Table 2A-1_EFT (Annual)" xfId="6814"/>
    <cellStyle name="Input 15 2 3" xfId="1060"/>
    <cellStyle name="Input 15 2 3 2" xfId="4621"/>
    <cellStyle name="Input 15 2 3 2 2" xfId="12881"/>
    <cellStyle name="Input 15 2 3 2 2 2" xfId="24887"/>
    <cellStyle name="Input 15 2 3 2 3" xfId="19774"/>
    <cellStyle name="Input 15 2 3 2_Table 2A-1_EFT (Annual)" xfId="15004"/>
    <cellStyle name="Input 15 2 3 3" xfId="10225"/>
    <cellStyle name="Input 15 2 3 3 2" xfId="22341"/>
    <cellStyle name="Input 15 2 3 4" xfId="17228"/>
    <cellStyle name="Input 15 2 3_Table 2A-1_EFT (Annual)" xfId="6816"/>
    <cellStyle name="Input 15 2 4" xfId="2271"/>
    <cellStyle name="Input 15 2 4 2" xfId="5832"/>
    <cellStyle name="Input 15 2 4 2 2" xfId="14047"/>
    <cellStyle name="Input 15 2 4 2 2 2" xfId="26035"/>
    <cellStyle name="Input 15 2 4 2 3" xfId="20922"/>
    <cellStyle name="Input 15 2 4 2_Table 2A-1_EFT (Annual)" xfId="15005"/>
    <cellStyle name="Input 15 2 4 3" xfId="11391"/>
    <cellStyle name="Input 15 2 4 3 2" xfId="23489"/>
    <cellStyle name="Input 15 2 4 4" xfId="18376"/>
    <cellStyle name="Input 15 2 4_Table 2A-1_EFT (Annual)" xfId="6817"/>
    <cellStyle name="Input 15 2 5" xfId="4125"/>
    <cellStyle name="Input 15 2 5 2" xfId="12449"/>
    <cellStyle name="Input 15 2 5 2 2" xfId="24471"/>
    <cellStyle name="Input 15 2 5 3" xfId="19358"/>
    <cellStyle name="Input 15 2 5_Table 2A-1_EFT (Annual)" xfId="15006"/>
    <cellStyle name="Input 15 2 6" xfId="9788"/>
    <cellStyle name="Input 15 2 6 2" xfId="21925"/>
    <cellStyle name="Input 15 2 7" xfId="16812"/>
    <cellStyle name="Input 15 2_Table 2A-1_EFT (Annual)" xfId="3008"/>
    <cellStyle name="Input 15 3" xfId="393"/>
    <cellStyle name="Input 15 3 2" xfId="1376"/>
    <cellStyle name="Input 15 3 2 2" xfId="2646"/>
    <cellStyle name="Input 15 3 2 2 2" xfId="6207"/>
    <cellStyle name="Input 15 3 2 2 2 2" xfId="14401"/>
    <cellStyle name="Input 15 3 2 2 2 2 2" xfId="26373"/>
    <cellStyle name="Input 15 3 2 2 2 3" xfId="21260"/>
    <cellStyle name="Input 15 3 2 2 2_Table 2A-1_EFT (Annual)" xfId="15007"/>
    <cellStyle name="Input 15 3 2 2 3" xfId="11743"/>
    <cellStyle name="Input 15 3 2 2 3 2" xfId="23827"/>
    <cellStyle name="Input 15 3 2 2 4" xfId="18714"/>
    <cellStyle name="Input 15 3 2 2_Table 2A-1_EFT (Annual)" xfId="6819"/>
    <cellStyle name="Input 15 3 2 3" xfId="4937"/>
    <cellStyle name="Input 15 3 2 3 2" xfId="13197"/>
    <cellStyle name="Input 15 3 2 3 2 2" xfId="25203"/>
    <cellStyle name="Input 15 3 2 3 3" xfId="20090"/>
    <cellStyle name="Input 15 3 2 3_Table 2A-1_EFT (Annual)" xfId="15008"/>
    <cellStyle name="Input 15 3 2 4" xfId="10541"/>
    <cellStyle name="Input 15 3 2 4 2" xfId="22657"/>
    <cellStyle name="Input 15 3 2 5" xfId="17544"/>
    <cellStyle name="Input 15 3 2_Table 2A-1_EFT (Annual)" xfId="6818"/>
    <cellStyle name="Input 15 3 3" xfId="928"/>
    <cellStyle name="Input 15 3 3 2" xfId="4489"/>
    <cellStyle name="Input 15 3 3 2 2" xfId="12751"/>
    <cellStyle name="Input 15 3 3 2 2 2" xfId="24761"/>
    <cellStyle name="Input 15 3 3 2 3" xfId="19648"/>
    <cellStyle name="Input 15 3 3 2_Table 2A-1_EFT (Annual)" xfId="15009"/>
    <cellStyle name="Input 15 3 3 3" xfId="10098"/>
    <cellStyle name="Input 15 3 3 3 2" xfId="22215"/>
    <cellStyle name="Input 15 3 3 4" xfId="17102"/>
    <cellStyle name="Input 15 3 3_Table 2A-1_EFT (Annual)" xfId="6820"/>
    <cellStyle name="Input 15 3 4" xfId="2115"/>
    <cellStyle name="Input 15 3 4 2" xfId="5676"/>
    <cellStyle name="Input 15 3 4 2 2" xfId="13891"/>
    <cellStyle name="Input 15 3 4 2 2 2" xfId="25879"/>
    <cellStyle name="Input 15 3 4 2 3" xfId="20766"/>
    <cellStyle name="Input 15 3 4 2_Table 2A-1_EFT (Annual)" xfId="15010"/>
    <cellStyle name="Input 15 3 4 3" xfId="11235"/>
    <cellStyle name="Input 15 3 4 3 2" xfId="23333"/>
    <cellStyle name="Input 15 3 4 4" xfId="18220"/>
    <cellStyle name="Input 15 3 4_Table 2A-1_EFT (Annual)" xfId="6821"/>
    <cellStyle name="Input 15 3 5" xfId="3963"/>
    <cellStyle name="Input 15 3 5 2" xfId="12291"/>
    <cellStyle name="Input 15 3 5 2 2" xfId="24315"/>
    <cellStyle name="Input 15 3 5 3" xfId="19202"/>
    <cellStyle name="Input 15 3 5_Table 2A-1_EFT (Annual)" xfId="15011"/>
    <cellStyle name="Input 15 3 6" xfId="9628"/>
    <cellStyle name="Input 15 3 6 2" xfId="21769"/>
    <cellStyle name="Input 15 3 7" xfId="16656"/>
    <cellStyle name="Input 15 3_Table 2A-1_EFT (Annual)" xfId="3009"/>
    <cellStyle name="Input 15 4" xfId="1210"/>
    <cellStyle name="Input 15 4 2" xfId="2480"/>
    <cellStyle name="Input 15 4 2 2" xfId="6041"/>
    <cellStyle name="Input 15 4 2 2 2" xfId="14235"/>
    <cellStyle name="Input 15 4 2 2 2 2" xfId="26207"/>
    <cellStyle name="Input 15 4 2 2 3" xfId="21094"/>
    <cellStyle name="Input 15 4 2 2_Table 2A-1_EFT (Annual)" xfId="15012"/>
    <cellStyle name="Input 15 4 2 3" xfId="11577"/>
    <cellStyle name="Input 15 4 2 3 2" xfId="23661"/>
    <cellStyle name="Input 15 4 2 4" xfId="18548"/>
    <cellStyle name="Input 15 4 2_Table 2A-1_EFT (Annual)" xfId="6823"/>
    <cellStyle name="Input 15 4 3" xfId="4771"/>
    <cellStyle name="Input 15 4 3 2" xfId="13031"/>
    <cellStyle name="Input 15 4 3 2 2" xfId="25037"/>
    <cellStyle name="Input 15 4 3 3" xfId="19924"/>
    <cellStyle name="Input 15 4 3_Table 2A-1_EFT (Annual)" xfId="15013"/>
    <cellStyle name="Input 15 4 4" xfId="10375"/>
    <cellStyle name="Input 15 4 4 2" xfId="22491"/>
    <cellStyle name="Input 15 4 5" xfId="17378"/>
    <cellStyle name="Input 15 4_Table 2A-1_EFT (Annual)" xfId="6822"/>
    <cellStyle name="Input 15 5" xfId="769"/>
    <cellStyle name="Input 15 5 2" xfId="4330"/>
    <cellStyle name="Input 15 5 2 2" xfId="12610"/>
    <cellStyle name="Input 15 5 2 2 2" xfId="24627"/>
    <cellStyle name="Input 15 5 2 3" xfId="19514"/>
    <cellStyle name="Input 15 5 2_Table 2A-1_EFT (Annual)" xfId="15014"/>
    <cellStyle name="Input 15 5 3" xfId="9958"/>
    <cellStyle name="Input 15 5 3 2" xfId="22081"/>
    <cellStyle name="Input 15 5 4" xfId="16968"/>
    <cellStyle name="Input 15 5_Table 2A-1_EFT (Annual)" xfId="6824"/>
    <cellStyle name="Input 15 6" xfId="1949"/>
    <cellStyle name="Input 15 6 2" xfId="5510"/>
    <cellStyle name="Input 15 6 2 2" xfId="13725"/>
    <cellStyle name="Input 15 6 2 2 2" xfId="25713"/>
    <cellStyle name="Input 15 6 2 3" xfId="20600"/>
    <cellStyle name="Input 15 6 2_Table 2A-1_EFT (Annual)" xfId="15015"/>
    <cellStyle name="Input 15 6 3" xfId="11069"/>
    <cellStyle name="Input 15 6 3 2" xfId="23167"/>
    <cellStyle name="Input 15 6 4" xfId="18054"/>
    <cellStyle name="Input 15 6_Table 2A-1_EFT (Annual)" xfId="6825"/>
    <cellStyle name="Input 15 7" xfId="3751"/>
    <cellStyle name="Input 15 7 2" xfId="12119"/>
    <cellStyle name="Input 15 7 2 2" xfId="24149"/>
    <cellStyle name="Input 15 7 3" xfId="19036"/>
    <cellStyle name="Input 15 7_Table 2A-1_EFT (Annual)" xfId="15016"/>
    <cellStyle name="Input 15 8" xfId="9438"/>
    <cellStyle name="Input 15 8 2" xfId="21603"/>
    <cellStyle name="Input 15 9" xfId="16490"/>
    <cellStyle name="Input 15_Table 2A-1_EFT (Annual)" xfId="3007"/>
    <cellStyle name="Input 16" xfId="150"/>
    <cellStyle name="Input 16 2" xfId="543"/>
    <cellStyle name="Input 16 2 2" xfId="1520"/>
    <cellStyle name="Input 16 2 2 2" xfId="2790"/>
    <cellStyle name="Input 16 2 2 2 2" xfId="6351"/>
    <cellStyle name="Input 16 2 2 2 2 2" xfId="14545"/>
    <cellStyle name="Input 16 2 2 2 2 2 2" xfId="26517"/>
    <cellStyle name="Input 16 2 2 2 2 3" xfId="21404"/>
    <cellStyle name="Input 16 2 2 2 2_Table 2A-1_EFT (Annual)" xfId="15017"/>
    <cellStyle name="Input 16 2 2 2 3" xfId="11887"/>
    <cellStyle name="Input 16 2 2 2 3 2" xfId="23971"/>
    <cellStyle name="Input 16 2 2 2 4" xfId="18858"/>
    <cellStyle name="Input 16 2 2 2_Table 2A-1_EFT (Annual)" xfId="6827"/>
    <cellStyle name="Input 16 2 2 3" xfId="5081"/>
    <cellStyle name="Input 16 2 2 3 2" xfId="13341"/>
    <cellStyle name="Input 16 2 2 3 2 2" xfId="25347"/>
    <cellStyle name="Input 16 2 2 3 3" xfId="20234"/>
    <cellStyle name="Input 16 2 2 3_Table 2A-1_EFT (Annual)" xfId="15018"/>
    <cellStyle name="Input 16 2 2 4" xfId="10685"/>
    <cellStyle name="Input 16 2 2 4 2" xfId="22801"/>
    <cellStyle name="Input 16 2 2 5" xfId="17688"/>
    <cellStyle name="Input 16 2 2_Table 2A-1_EFT (Annual)" xfId="6826"/>
    <cellStyle name="Input 16 2 3" xfId="1051"/>
    <cellStyle name="Input 16 2 3 2" xfId="4612"/>
    <cellStyle name="Input 16 2 3 2 2" xfId="12872"/>
    <cellStyle name="Input 16 2 3 2 2 2" xfId="24878"/>
    <cellStyle name="Input 16 2 3 2 3" xfId="19765"/>
    <cellStyle name="Input 16 2 3 2_Table 2A-1_EFT (Annual)" xfId="15019"/>
    <cellStyle name="Input 16 2 3 3" xfId="10216"/>
    <cellStyle name="Input 16 2 3 3 2" xfId="22332"/>
    <cellStyle name="Input 16 2 3 4" xfId="17219"/>
    <cellStyle name="Input 16 2 3_Table 2A-1_EFT (Annual)" xfId="6828"/>
    <cellStyle name="Input 16 2 4" xfId="2259"/>
    <cellStyle name="Input 16 2 4 2" xfId="5820"/>
    <cellStyle name="Input 16 2 4 2 2" xfId="14035"/>
    <cellStyle name="Input 16 2 4 2 2 2" xfId="26023"/>
    <cellStyle name="Input 16 2 4 2 3" xfId="20910"/>
    <cellStyle name="Input 16 2 4 2_Table 2A-1_EFT (Annual)" xfId="15020"/>
    <cellStyle name="Input 16 2 4 3" xfId="11379"/>
    <cellStyle name="Input 16 2 4 3 2" xfId="23477"/>
    <cellStyle name="Input 16 2 4 4" xfId="18364"/>
    <cellStyle name="Input 16 2 4_Table 2A-1_EFT (Annual)" xfId="6829"/>
    <cellStyle name="Input 16 2 5" xfId="4113"/>
    <cellStyle name="Input 16 2 5 2" xfId="12437"/>
    <cellStyle name="Input 16 2 5 2 2" xfId="24459"/>
    <cellStyle name="Input 16 2 5 3" xfId="19346"/>
    <cellStyle name="Input 16 2 5_Table 2A-1_EFT (Annual)" xfId="15021"/>
    <cellStyle name="Input 16 2 6" xfId="9776"/>
    <cellStyle name="Input 16 2 6 2" xfId="21913"/>
    <cellStyle name="Input 16 2 7" xfId="16800"/>
    <cellStyle name="Input 16 2_Table 2A-1_EFT (Annual)" xfId="3011"/>
    <cellStyle name="Input 16 3" xfId="381"/>
    <cellStyle name="Input 16 3 2" xfId="1364"/>
    <cellStyle name="Input 16 3 2 2" xfId="2634"/>
    <cellStyle name="Input 16 3 2 2 2" xfId="6195"/>
    <cellStyle name="Input 16 3 2 2 2 2" xfId="14389"/>
    <cellStyle name="Input 16 3 2 2 2 2 2" xfId="26361"/>
    <cellStyle name="Input 16 3 2 2 2 3" xfId="21248"/>
    <cellStyle name="Input 16 3 2 2 2_Table 2A-1_EFT (Annual)" xfId="15022"/>
    <cellStyle name="Input 16 3 2 2 3" xfId="11731"/>
    <cellStyle name="Input 16 3 2 2 3 2" xfId="23815"/>
    <cellStyle name="Input 16 3 2 2 4" xfId="18702"/>
    <cellStyle name="Input 16 3 2 2_Table 2A-1_EFT (Annual)" xfId="6831"/>
    <cellStyle name="Input 16 3 2 3" xfId="4925"/>
    <cellStyle name="Input 16 3 2 3 2" xfId="13185"/>
    <cellStyle name="Input 16 3 2 3 2 2" xfId="25191"/>
    <cellStyle name="Input 16 3 2 3 3" xfId="20078"/>
    <cellStyle name="Input 16 3 2 3_Table 2A-1_EFT (Annual)" xfId="15023"/>
    <cellStyle name="Input 16 3 2 4" xfId="10529"/>
    <cellStyle name="Input 16 3 2 4 2" xfId="22645"/>
    <cellStyle name="Input 16 3 2 5" xfId="17532"/>
    <cellStyle name="Input 16 3 2_Table 2A-1_EFT (Annual)" xfId="6830"/>
    <cellStyle name="Input 16 3 3" xfId="919"/>
    <cellStyle name="Input 16 3 3 2" xfId="4480"/>
    <cellStyle name="Input 16 3 3 2 2" xfId="12742"/>
    <cellStyle name="Input 16 3 3 2 2 2" xfId="24752"/>
    <cellStyle name="Input 16 3 3 2 3" xfId="19639"/>
    <cellStyle name="Input 16 3 3 2_Table 2A-1_EFT (Annual)" xfId="15024"/>
    <cellStyle name="Input 16 3 3 3" xfId="10089"/>
    <cellStyle name="Input 16 3 3 3 2" xfId="22206"/>
    <cellStyle name="Input 16 3 3 4" xfId="17093"/>
    <cellStyle name="Input 16 3 3_Table 2A-1_EFT (Annual)" xfId="6832"/>
    <cellStyle name="Input 16 3 4" xfId="2103"/>
    <cellStyle name="Input 16 3 4 2" xfId="5664"/>
    <cellStyle name="Input 16 3 4 2 2" xfId="13879"/>
    <cellStyle name="Input 16 3 4 2 2 2" xfId="25867"/>
    <cellStyle name="Input 16 3 4 2 3" xfId="20754"/>
    <cellStyle name="Input 16 3 4 2_Table 2A-1_EFT (Annual)" xfId="15025"/>
    <cellStyle name="Input 16 3 4 3" xfId="11223"/>
    <cellStyle name="Input 16 3 4 3 2" xfId="23321"/>
    <cellStyle name="Input 16 3 4 4" xfId="18208"/>
    <cellStyle name="Input 16 3 4_Table 2A-1_EFT (Annual)" xfId="6833"/>
    <cellStyle name="Input 16 3 5" xfId="3951"/>
    <cellStyle name="Input 16 3 5 2" xfId="12279"/>
    <cellStyle name="Input 16 3 5 2 2" xfId="24303"/>
    <cellStyle name="Input 16 3 5 3" xfId="19190"/>
    <cellStyle name="Input 16 3 5_Table 2A-1_EFT (Annual)" xfId="15026"/>
    <cellStyle name="Input 16 3 6" xfId="9616"/>
    <cellStyle name="Input 16 3 6 2" xfId="21757"/>
    <cellStyle name="Input 16 3 7" xfId="16644"/>
    <cellStyle name="Input 16 3_Table 2A-1_EFT (Annual)" xfId="3012"/>
    <cellStyle name="Input 16 4" xfId="1198"/>
    <cellStyle name="Input 16 4 2" xfId="2468"/>
    <cellStyle name="Input 16 4 2 2" xfId="6029"/>
    <cellStyle name="Input 16 4 2 2 2" xfId="14223"/>
    <cellStyle name="Input 16 4 2 2 2 2" xfId="26195"/>
    <cellStyle name="Input 16 4 2 2 3" xfId="21082"/>
    <cellStyle name="Input 16 4 2 2_Table 2A-1_EFT (Annual)" xfId="15027"/>
    <cellStyle name="Input 16 4 2 3" xfId="11565"/>
    <cellStyle name="Input 16 4 2 3 2" xfId="23649"/>
    <cellStyle name="Input 16 4 2 4" xfId="18536"/>
    <cellStyle name="Input 16 4 2_Table 2A-1_EFT (Annual)" xfId="6835"/>
    <cellStyle name="Input 16 4 3" xfId="4759"/>
    <cellStyle name="Input 16 4 3 2" xfId="13019"/>
    <cellStyle name="Input 16 4 3 2 2" xfId="25025"/>
    <cellStyle name="Input 16 4 3 3" xfId="19912"/>
    <cellStyle name="Input 16 4 3_Table 2A-1_EFT (Annual)" xfId="15028"/>
    <cellStyle name="Input 16 4 4" xfId="10363"/>
    <cellStyle name="Input 16 4 4 2" xfId="22479"/>
    <cellStyle name="Input 16 4 5" xfId="17366"/>
    <cellStyle name="Input 16 4_Table 2A-1_EFT (Annual)" xfId="6834"/>
    <cellStyle name="Input 16 5" xfId="760"/>
    <cellStyle name="Input 16 5 2" xfId="4321"/>
    <cellStyle name="Input 16 5 2 2" xfId="12601"/>
    <cellStyle name="Input 16 5 2 2 2" xfId="24618"/>
    <cellStyle name="Input 16 5 2 3" xfId="19505"/>
    <cellStyle name="Input 16 5 2_Table 2A-1_EFT (Annual)" xfId="15029"/>
    <cellStyle name="Input 16 5 3" xfId="9949"/>
    <cellStyle name="Input 16 5 3 2" xfId="22072"/>
    <cellStyle name="Input 16 5 4" xfId="16959"/>
    <cellStyle name="Input 16 5_Table 2A-1_EFT (Annual)" xfId="6836"/>
    <cellStyle name="Input 16 6" xfId="1783"/>
    <cellStyle name="Input 16 6 2" xfId="5344"/>
    <cellStyle name="Input 16 6 2 2" xfId="13559"/>
    <cellStyle name="Input 16 6 2 2 2" xfId="25547"/>
    <cellStyle name="Input 16 6 2 3" xfId="20434"/>
    <cellStyle name="Input 16 6 2_Table 2A-1_EFT (Annual)" xfId="15030"/>
    <cellStyle name="Input 16 6 3" xfId="10903"/>
    <cellStyle name="Input 16 6 3 2" xfId="23001"/>
    <cellStyle name="Input 16 6 4" xfId="17888"/>
    <cellStyle name="Input 16 6_Table 2A-1_EFT (Annual)" xfId="6837"/>
    <cellStyle name="Input 16 7" xfId="3739"/>
    <cellStyle name="Input 16 7 2" xfId="12107"/>
    <cellStyle name="Input 16 7 2 2" xfId="24137"/>
    <cellStyle name="Input 16 7 3" xfId="19024"/>
    <cellStyle name="Input 16 7_Table 2A-1_EFT (Annual)" xfId="15031"/>
    <cellStyle name="Input 16 8" xfId="9426"/>
    <cellStyle name="Input 16 8 2" xfId="21591"/>
    <cellStyle name="Input 16 9" xfId="16478"/>
    <cellStyle name="Input 16_Table 2A-1_EFT (Annual)" xfId="3010"/>
    <cellStyle name="Input 17" xfId="140"/>
    <cellStyle name="Input 17 2" xfId="533"/>
    <cellStyle name="Input 17 2 2" xfId="1510"/>
    <cellStyle name="Input 17 2 2 2" xfId="2780"/>
    <cellStyle name="Input 17 2 2 2 2" xfId="6341"/>
    <cellStyle name="Input 17 2 2 2 2 2" xfId="14535"/>
    <cellStyle name="Input 17 2 2 2 2 2 2" xfId="26507"/>
    <cellStyle name="Input 17 2 2 2 2 3" xfId="21394"/>
    <cellStyle name="Input 17 2 2 2 2_Table 2A-1_EFT (Annual)" xfId="15032"/>
    <cellStyle name="Input 17 2 2 2 3" xfId="11877"/>
    <cellStyle name="Input 17 2 2 2 3 2" xfId="23961"/>
    <cellStyle name="Input 17 2 2 2 4" xfId="18848"/>
    <cellStyle name="Input 17 2 2 2_Table 2A-1_EFT (Annual)" xfId="6839"/>
    <cellStyle name="Input 17 2 2 3" xfId="5071"/>
    <cellStyle name="Input 17 2 2 3 2" xfId="13331"/>
    <cellStyle name="Input 17 2 2 3 2 2" xfId="25337"/>
    <cellStyle name="Input 17 2 2 3 3" xfId="20224"/>
    <cellStyle name="Input 17 2 2 3_Table 2A-1_EFT (Annual)" xfId="15033"/>
    <cellStyle name="Input 17 2 2 4" xfId="10675"/>
    <cellStyle name="Input 17 2 2 4 2" xfId="22791"/>
    <cellStyle name="Input 17 2 2 5" xfId="17678"/>
    <cellStyle name="Input 17 2 2_Table 2A-1_EFT (Annual)" xfId="6838"/>
    <cellStyle name="Input 17 2 3" xfId="1042"/>
    <cellStyle name="Input 17 2 3 2" xfId="4603"/>
    <cellStyle name="Input 17 2 3 2 2" xfId="12863"/>
    <cellStyle name="Input 17 2 3 2 2 2" xfId="24869"/>
    <cellStyle name="Input 17 2 3 2 3" xfId="19756"/>
    <cellStyle name="Input 17 2 3 2_Table 2A-1_EFT (Annual)" xfId="15034"/>
    <cellStyle name="Input 17 2 3 3" xfId="10207"/>
    <cellStyle name="Input 17 2 3 3 2" xfId="22323"/>
    <cellStyle name="Input 17 2 3 4" xfId="17210"/>
    <cellStyle name="Input 17 2 3_Table 2A-1_EFT (Annual)" xfId="6840"/>
    <cellStyle name="Input 17 2 4" xfId="2249"/>
    <cellStyle name="Input 17 2 4 2" xfId="5810"/>
    <cellStyle name="Input 17 2 4 2 2" xfId="14025"/>
    <cellStyle name="Input 17 2 4 2 2 2" xfId="26013"/>
    <cellStyle name="Input 17 2 4 2 3" xfId="20900"/>
    <cellStyle name="Input 17 2 4 2_Table 2A-1_EFT (Annual)" xfId="15035"/>
    <cellStyle name="Input 17 2 4 3" xfId="11369"/>
    <cellStyle name="Input 17 2 4 3 2" xfId="23467"/>
    <cellStyle name="Input 17 2 4 4" xfId="18354"/>
    <cellStyle name="Input 17 2 4_Table 2A-1_EFT (Annual)" xfId="6841"/>
    <cellStyle name="Input 17 2 5" xfId="4103"/>
    <cellStyle name="Input 17 2 5 2" xfId="12427"/>
    <cellStyle name="Input 17 2 5 2 2" xfId="24449"/>
    <cellStyle name="Input 17 2 5 3" xfId="19336"/>
    <cellStyle name="Input 17 2 5_Table 2A-1_EFT (Annual)" xfId="15036"/>
    <cellStyle name="Input 17 2 6" xfId="9766"/>
    <cellStyle name="Input 17 2 6 2" xfId="21903"/>
    <cellStyle name="Input 17 2 7" xfId="16790"/>
    <cellStyle name="Input 17 2_Table 2A-1_EFT (Annual)" xfId="3014"/>
    <cellStyle name="Input 17 3" xfId="371"/>
    <cellStyle name="Input 17 3 2" xfId="1354"/>
    <cellStyle name="Input 17 3 2 2" xfId="2624"/>
    <cellStyle name="Input 17 3 2 2 2" xfId="6185"/>
    <cellStyle name="Input 17 3 2 2 2 2" xfId="14379"/>
    <cellStyle name="Input 17 3 2 2 2 2 2" xfId="26351"/>
    <cellStyle name="Input 17 3 2 2 2 3" xfId="21238"/>
    <cellStyle name="Input 17 3 2 2 2_Table 2A-1_EFT (Annual)" xfId="15037"/>
    <cellStyle name="Input 17 3 2 2 3" xfId="11721"/>
    <cellStyle name="Input 17 3 2 2 3 2" xfId="23805"/>
    <cellStyle name="Input 17 3 2 2 4" xfId="18692"/>
    <cellStyle name="Input 17 3 2 2_Table 2A-1_EFT (Annual)" xfId="6843"/>
    <cellStyle name="Input 17 3 2 3" xfId="4915"/>
    <cellStyle name="Input 17 3 2 3 2" xfId="13175"/>
    <cellStyle name="Input 17 3 2 3 2 2" xfId="25181"/>
    <cellStyle name="Input 17 3 2 3 3" xfId="20068"/>
    <cellStyle name="Input 17 3 2 3_Table 2A-1_EFT (Annual)" xfId="15038"/>
    <cellStyle name="Input 17 3 2 4" xfId="10519"/>
    <cellStyle name="Input 17 3 2 4 2" xfId="22635"/>
    <cellStyle name="Input 17 3 2 5" xfId="17522"/>
    <cellStyle name="Input 17 3 2_Table 2A-1_EFT (Annual)" xfId="6842"/>
    <cellStyle name="Input 17 3 3" xfId="910"/>
    <cellStyle name="Input 17 3 3 2" xfId="4471"/>
    <cellStyle name="Input 17 3 3 2 2" xfId="12733"/>
    <cellStyle name="Input 17 3 3 2 2 2" xfId="24743"/>
    <cellStyle name="Input 17 3 3 2 3" xfId="19630"/>
    <cellStyle name="Input 17 3 3 2_Table 2A-1_EFT (Annual)" xfId="15039"/>
    <cellStyle name="Input 17 3 3 3" xfId="10080"/>
    <cellStyle name="Input 17 3 3 3 2" xfId="22197"/>
    <cellStyle name="Input 17 3 3 4" xfId="17084"/>
    <cellStyle name="Input 17 3 3_Table 2A-1_EFT (Annual)" xfId="6844"/>
    <cellStyle name="Input 17 3 4" xfId="2093"/>
    <cellStyle name="Input 17 3 4 2" xfId="5654"/>
    <cellStyle name="Input 17 3 4 2 2" xfId="13869"/>
    <cellStyle name="Input 17 3 4 2 2 2" xfId="25857"/>
    <cellStyle name="Input 17 3 4 2 3" xfId="20744"/>
    <cellStyle name="Input 17 3 4 2_Table 2A-1_EFT (Annual)" xfId="15040"/>
    <cellStyle name="Input 17 3 4 3" xfId="11213"/>
    <cellStyle name="Input 17 3 4 3 2" xfId="23311"/>
    <cellStyle name="Input 17 3 4 4" xfId="18198"/>
    <cellStyle name="Input 17 3 4_Table 2A-1_EFT (Annual)" xfId="6845"/>
    <cellStyle name="Input 17 3 5" xfId="3941"/>
    <cellStyle name="Input 17 3 5 2" xfId="12269"/>
    <cellStyle name="Input 17 3 5 2 2" xfId="24293"/>
    <cellStyle name="Input 17 3 5 3" xfId="19180"/>
    <cellStyle name="Input 17 3 5_Table 2A-1_EFT (Annual)" xfId="15041"/>
    <cellStyle name="Input 17 3 6" xfId="9606"/>
    <cellStyle name="Input 17 3 6 2" xfId="21747"/>
    <cellStyle name="Input 17 3 7" xfId="16634"/>
    <cellStyle name="Input 17 3_Table 2A-1_EFT (Annual)" xfId="3015"/>
    <cellStyle name="Input 17 4" xfId="1188"/>
    <cellStyle name="Input 17 4 2" xfId="2458"/>
    <cellStyle name="Input 17 4 2 2" xfId="6019"/>
    <cellStyle name="Input 17 4 2 2 2" xfId="14213"/>
    <cellStyle name="Input 17 4 2 2 2 2" xfId="26185"/>
    <cellStyle name="Input 17 4 2 2 3" xfId="21072"/>
    <cellStyle name="Input 17 4 2 2_Table 2A-1_EFT (Annual)" xfId="15042"/>
    <cellStyle name="Input 17 4 2 3" xfId="11555"/>
    <cellStyle name="Input 17 4 2 3 2" xfId="23639"/>
    <cellStyle name="Input 17 4 2 4" xfId="18526"/>
    <cellStyle name="Input 17 4 2_Table 2A-1_EFT (Annual)" xfId="6847"/>
    <cellStyle name="Input 17 4 3" xfId="4749"/>
    <cellStyle name="Input 17 4 3 2" xfId="13009"/>
    <cellStyle name="Input 17 4 3 2 2" xfId="25015"/>
    <cellStyle name="Input 17 4 3 3" xfId="19902"/>
    <cellStyle name="Input 17 4 3_Table 2A-1_EFT (Annual)" xfId="15043"/>
    <cellStyle name="Input 17 4 4" xfId="10353"/>
    <cellStyle name="Input 17 4 4 2" xfId="22469"/>
    <cellStyle name="Input 17 4 5" xfId="17356"/>
    <cellStyle name="Input 17 4_Table 2A-1_EFT (Annual)" xfId="6846"/>
    <cellStyle name="Input 17 5" xfId="751"/>
    <cellStyle name="Input 17 5 2" xfId="4312"/>
    <cellStyle name="Input 17 5 2 2" xfId="12592"/>
    <cellStyle name="Input 17 5 2 2 2" xfId="24609"/>
    <cellStyle name="Input 17 5 2 3" xfId="19496"/>
    <cellStyle name="Input 17 5 2_Table 2A-1_EFT (Annual)" xfId="15044"/>
    <cellStyle name="Input 17 5 3" xfId="9940"/>
    <cellStyle name="Input 17 5 3 2" xfId="22063"/>
    <cellStyle name="Input 17 5 4" xfId="16950"/>
    <cellStyle name="Input 17 5_Table 2A-1_EFT (Annual)" xfId="6848"/>
    <cellStyle name="Input 17 6" xfId="1788"/>
    <cellStyle name="Input 17 6 2" xfId="5349"/>
    <cellStyle name="Input 17 6 2 2" xfId="13564"/>
    <cellStyle name="Input 17 6 2 2 2" xfId="25552"/>
    <cellStyle name="Input 17 6 2 3" xfId="20439"/>
    <cellStyle name="Input 17 6 2_Table 2A-1_EFT (Annual)" xfId="15045"/>
    <cellStyle name="Input 17 6 3" xfId="10908"/>
    <cellStyle name="Input 17 6 3 2" xfId="23006"/>
    <cellStyle name="Input 17 6 4" xfId="17893"/>
    <cellStyle name="Input 17 6_Table 2A-1_EFT (Annual)" xfId="6849"/>
    <cellStyle name="Input 17 7" xfId="3729"/>
    <cellStyle name="Input 17 7 2" xfId="12097"/>
    <cellStyle name="Input 17 7 2 2" xfId="24127"/>
    <cellStyle name="Input 17 7 3" xfId="19014"/>
    <cellStyle name="Input 17 7_Table 2A-1_EFT (Annual)" xfId="15046"/>
    <cellStyle name="Input 17 8" xfId="9416"/>
    <cellStyle name="Input 17 8 2" xfId="21581"/>
    <cellStyle name="Input 17 9" xfId="16468"/>
    <cellStyle name="Input 17_Table 2A-1_EFT (Annual)" xfId="3013"/>
    <cellStyle name="Input 18" xfId="171"/>
    <cellStyle name="Input 18 2" xfId="564"/>
    <cellStyle name="Input 18 2 2" xfId="1541"/>
    <cellStyle name="Input 18 2 2 2" xfId="2811"/>
    <cellStyle name="Input 18 2 2 2 2" xfId="6372"/>
    <cellStyle name="Input 18 2 2 2 2 2" xfId="14566"/>
    <cellStyle name="Input 18 2 2 2 2 2 2" xfId="26538"/>
    <cellStyle name="Input 18 2 2 2 2 3" xfId="21425"/>
    <cellStyle name="Input 18 2 2 2 2_Table 2A-1_EFT (Annual)" xfId="15047"/>
    <cellStyle name="Input 18 2 2 2 3" xfId="11908"/>
    <cellStyle name="Input 18 2 2 2 3 2" xfId="23992"/>
    <cellStyle name="Input 18 2 2 2 4" xfId="18879"/>
    <cellStyle name="Input 18 2 2 2_Table 2A-1_EFT (Annual)" xfId="6851"/>
    <cellStyle name="Input 18 2 2 3" xfId="5102"/>
    <cellStyle name="Input 18 2 2 3 2" xfId="13362"/>
    <cellStyle name="Input 18 2 2 3 2 2" xfId="25368"/>
    <cellStyle name="Input 18 2 2 3 3" xfId="20255"/>
    <cellStyle name="Input 18 2 2 3_Table 2A-1_EFT (Annual)" xfId="15048"/>
    <cellStyle name="Input 18 2 2 4" xfId="10706"/>
    <cellStyle name="Input 18 2 2 4 2" xfId="22822"/>
    <cellStyle name="Input 18 2 2 5" xfId="17709"/>
    <cellStyle name="Input 18 2 2_Table 2A-1_EFT (Annual)" xfId="6850"/>
    <cellStyle name="Input 18 2 3" xfId="1067"/>
    <cellStyle name="Input 18 2 3 2" xfId="4628"/>
    <cellStyle name="Input 18 2 3 2 2" xfId="12888"/>
    <cellStyle name="Input 18 2 3 2 2 2" xfId="24894"/>
    <cellStyle name="Input 18 2 3 2 3" xfId="19781"/>
    <cellStyle name="Input 18 2 3 2_Table 2A-1_EFT (Annual)" xfId="15049"/>
    <cellStyle name="Input 18 2 3 3" xfId="10232"/>
    <cellStyle name="Input 18 2 3 3 2" xfId="22348"/>
    <cellStyle name="Input 18 2 3 4" xfId="17235"/>
    <cellStyle name="Input 18 2 3_Table 2A-1_EFT (Annual)" xfId="6852"/>
    <cellStyle name="Input 18 2 4" xfId="2280"/>
    <cellStyle name="Input 18 2 4 2" xfId="5841"/>
    <cellStyle name="Input 18 2 4 2 2" xfId="14056"/>
    <cellStyle name="Input 18 2 4 2 2 2" xfId="26044"/>
    <cellStyle name="Input 18 2 4 2 3" xfId="20931"/>
    <cellStyle name="Input 18 2 4 2_Table 2A-1_EFT (Annual)" xfId="15050"/>
    <cellStyle name="Input 18 2 4 3" xfId="11400"/>
    <cellStyle name="Input 18 2 4 3 2" xfId="23498"/>
    <cellStyle name="Input 18 2 4 4" xfId="18385"/>
    <cellStyle name="Input 18 2 4_Table 2A-1_EFT (Annual)" xfId="6853"/>
    <cellStyle name="Input 18 2 5" xfId="4134"/>
    <cellStyle name="Input 18 2 5 2" xfId="12458"/>
    <cellStyle name="Input 18 2 5 2 2" xfId="24480"/>
    <cellStyle name="Input 18 2 5 3" xfId="19367"/>
    <cellStyle name="Input 18 2 5_Table 2A-1_EFT (Annual)" xfId="15051"/>
    <cellStyle name="Input 18 2 6" xfId="9797"/>
    <cellStyle name="Input 18 2 6 2" xfId="21934"/>
    <cellStyle name="Input 18 2 7" xfId="16821"/>
    <cellStyle name="Input 18 2_Table 2A-1_EFT (Annual)" xfId="3017"/>
    <cellStyle name="Input 18 3" xfId="402"/>
    <cellStyle name="Input 18 3 2" xfId="1385"/>
    <cellStyle name="Input 18 3 2 2" xfId="2655"/>
    <cellStyle name="Input 18 3 2 2 2" xfId="6216"/>
    <cellStyle name="Input 18 3 2 2 2 2" xfId="14410"/>
    <cellStyle name="Input 18 3 2 2 2 2 2" xfId="26382"/>
    <cellStyle name="Input 18 3 2 2 2 3" xfId="21269"/>
    <cellStyle name="Input 18 3 2 2 2_Table 2A-1_EFT (Annual)" xfId="15052"/>
    <cellStyle name="Input 18 3 2 2 3" xfId="11752"/>
    <cellStyle name="Input 18 3 2 2 3 2" xfId="23836"/>
    <cellStyle name="Input 18 3 2 2 4" xfId="18723"/>
    <cellStyle name="Input 18 3 2 2_Table 2A-1_EFT (Annual)" xfId="6855"/>
    <cellStyle name="Input 18 3 2 3" xfId="4946"/>
    <cellStyle name="Input 18 3 2 3 2" xfId="13206"/>
    <cellStyle name="Input 18 3 2 3 2 2" xfId="25212"/>
    <cellStyle name="Input 18 3 2 3 3" xfId="20099"/>
    <cellStyle name="Input 18 3 2 3_Table 2A-1_EFT (Annual)" xfId="15053"/>
    <cellStyle name="Input 18 3 2 4" xfId="10550"/>
    <cellStyle name="Input 18 3 2 4 2" xfId="22666"/>
    <cellStyle name="Input 18 3 2 5" xfId="17553"/>
    <cellStyle name="Input 18 3 2_Table 2A-1_EFT (Annual)" xfId="6854"/>
    <cellStyle name="Input 18 3 3" xfId="935"/>
    <cellStyle name="Input 18 3 3 2" xfId="4496"/>
    <cellStyle name="Input 18 3 3 2 2" xfId="12758"/>
    <cellStyle name="Input 18 3 3 2 2 2" xfId="24768"/>
    <cellStyle name="Input 18 3 3 2 3" xfId="19655"/>
    <cellStyle name="Input 18 3 3 2_Table 2A-1_EFT (Annual)" xfId="15054"/>
    <cellStyle name="Input 18 3 3 3" xfId="10105"/>
    <cellStyle name="Input 18 3 3 3 2" xfId="22222"/>
    <cellStyle name="Input 18 3 3 4" xfId="17109"/>
    <cellStyle name="Input 18 3 3_Table 2A-1_EFT (Annual)" xfId="6856"/>
    <cellStyle name="Input 18 3 4" xfId="2124"/>
    <cellStyle name="Input 18 3 4 2" xfId="5685"/>
    <cellStyle name="Input 18 3 4 2 2" xfId="13900"/>
    <cellStyle name="Input 18 3 4 2 2 2" xfId="25888"/>
    <cellStyle name="Input 18 3 4 2 3" xfId="20775"/>
    <cellStyle name="Input 18 3 4 2_Table 2A-1_EFT (Annual)" xfId="15055"/>
    <cellStyle name="Input 18 3 4 3" xfId="11244"/>
    <cellStyle name="Input 18 3 4 3 2" xfId="23342"/>
    <cellStyle name="Input 18 3 4 4" xfId="18229"/>
    <cellStyle name="Input 18 3 4_Table 2A-1_EFT (Annual)" xfId="6857"/>
    <cellStyle name="Input 18 3 5" xfId="3972"/>
    <cellStyle name="Input 18 3 5 2" xfId="12300"/>
    <cellStyle name="Input 18 3 5 2 2" xfId="24324"/>
    <cellStyle name="Input 18 3 5 3" xfId="19211"/>
    <cellStyle name="Input 18 3 5_Table 2A-1_EFT (Annual)" xfId="15056"/>
    <cellStyle name="Input 18 3 6" xfId="9637"/>
    <cellStyle name="Input 18 3 6 2" xfId="21778"/>
    <cellStyle name="Input 18 3 7" xfId="16665"/>
    <cellStyle name="Input 18 3_Table 2A-1_EFT (Annual)" xfId="3018"/>
    <cellStyle name="Input 18 4" xfId="1219"/>
    <cellStyle name="Input 18 4 2" xfId="2489"/>
    <cellStyle name="Input 18 4 2 2" xfId="6050"/>
    <cellStyle name="Input 18 4 2 2 2" xfId="14244"/>
    <cellStyle name="Input 18 4 2 2 2 2" xfId="26216"/>
    <cellStyle name="Input 18 4 2 2 3" xfId="21103"/>
    <cellStyle name="Input 18 4 2 2_Table 2A-1_EFT (Annual)" xfId="15057"/>
    <cellStyle name="Input 18 4 2 3" xfId="11586"/>
    <cellStyle name="Input 18 4 2 3 2" xfId="23670"/>
    <cellStyle name="Input 18 4 2 4" xfId="18557"/>
    <cellStyle name="Input 18 4 2_Table 2A-1_EFT (Annual)" xfId="6859"/>
    <cellStyle name="Input 18 4 3" xfId="4780"/>
    <cellStyle name="Input 18 4 3 2" xfId="13040"/>
    <cellStyle name="Input 18 4 3 2 2" xfId="25046"/>
    <cellStyle name="Input 18 4 3 3" xfId="19933"/>
    <cellStyle name="Input 18 4 3_Table 2A-1_EFT (Annual)" xfId="15058"/>
    <cellStyle name="Input 18 4 4" xfId="10384"/>
    <cellStyle name="Input 18 4 4 2" xfId="22500"/>
    <cellStyle name="Input 18 4 5" xfId="17387"/>
    <cellStyle name="Input 18 4_Table 2A-1_EFT (Annual)" xfId="6858"/>
    <cellStyle name="Input 18 5" xfId="776"/>
    <cellStyle name="Input 18 5 2" xfId="4337"/>
    <cellStyle name="Input 18 5 2 2" xfId="12617"/>
    <cellStyle name="Input 18 5 2 2 2" xfId="24634"/>
    <cellStyle name="Input 18 5 2 3" xfId="19521"/>
    <cellStyle name="Input 18 5 2_Table 2A-1_EFT (Annual)" xfId="15059"/>
    <cellStyle name="Input 18 5 3" xfId="9965"/>
    <cellStyle name="Input 18 5 3 2" xfId="22088"/>
    <cellStyle name="Input 18 5 4" xfId="16975"/>
    <cellStyle name="Input 18 5_Table 2A-1_EFT (Annual)" xfId="6860"/>
    <cellStyle name="Input 18 6" xfId="1958"/>
    <cellStyle name="Input 18 6 2" xfId="5519"/>
    <cellStyle name="Input 18 6 2 2" xfId="13734"/>
    <cellStyle name="Input 18 6 2 2 2" xfId="25722"/>
    <cellStyle name="Input 18 6 2 3" xfId="20609"/>
    <cellStyle name="Input 18 6 2_Table 2A-1_EFT (Annual)" xfId="15060"/>
    <cellStyle name="Input 18 6 3" xfId="11078"/>
    <cellStyle name="Input 18 6 3 2" xfId="23176"/>
    <cellStyle name="Input 18 6 4" xfId="18063"/>
    <cellStyle name="Input 18 6_Table 2A-1_EFT (Annual)" xfId="6861"/>
    <cellStyle name="Input 18 7" xfId="3760"/>
    <cellStyle name="Input 18 7 2" xfId="12128"/>
    <cellStyle name="Input 18 7 2 2" xfId="24158"/>
    <cellStyle name="Input 18 7 3" xfId="19045"/>
    <cellStyle name="Input 18 7_Table 2A-1_EFT (Annual)" xfId="15061"/>
    <cellStyle name="Input 18 8" xfId="9447"/>
    <cellStyle name="Input 18 8 2" xfId="21612"/>
    <cellStyle name="Input 18 9" xfId="16499"/>
    <cellStyle name="Input 18_Table 2A-1_EFT (Annual)" xfId="3016"/>
    <cellStyle name="Input 19" xfId="168"/>
    <cellStyle name="Input 19 2" xfId="561"/>
    <cellStyle name="Input 19 2 2" xfId="1538"/>
    <cellStyle name="Input 19 2 2 2" xfId="2808"/>
    <cellStyle name="Input 19 2 2 2 2" xfId="6369"/>
    <cellStyle name="Input 19 2 2 2 2 2" xfId="14563"/>
    <cellStyle name="Input 19 2 2 2 2 2 2" xfId="26535"/>
    <cellStyle name="Input 19 2 2 2 2 3" xfId="21422"/>
    <cellStyle name="Input 19 2 2 2 2_Table 2A-1_EFT (Annual)" xfId="15062"/>
    <cellStyle name="Input 19 2 2 2 3" xfId="11905"/>
    <cellStyle name="Input 19 2 2 2 3 2" xfId="23989"/>
    <cellStyle name="Input 19 2 2 2 4" xfId="18876"/>
    <cellStyle name="Input 19 2 2 2_Table 2A-1_EFT (Annual)" xfId="6863"/>
    <cellStyle name="Input 19 2 2 3" xfId="5099"/>
    <cellStyle name="Input 19 2 2 3 2" xfId="13359"/>
    <cellStyle name="Input 19 2 2 3 2 2" xfId="25365"/>
    <cellStyle name="Input 19 2 2 3 3" xfId="20252"/>
    <cellStyle name="Input 19 2 2 3_Table 2A-1_EFT (Annual)" xfId="15063"/>
    <cellStyle name="Input 19 2 2 4" xfId="10703"/>
    <cellStyle name="Input 19 2 2 4 2" xfId="22819"/>
    <cellStyle name="Input 19 2 2 5" xfId="17706"/>
    <cellStyle name="Input 19 2 2_Table 2A-1_EFT (Annual)" xfId="6862"/>
    <cellStyle name="Input 19 2 3" xfId="1064"/>
    <cellStyle name="Input 19 2 3 2" xfId="4625"/>
    <cellStyle name="Input 19 2 3 2 2" xfId="12885"/>
    <cellStyle name="Input 19 2 3 2 2 2" xfId="24891"/>
    <cellStyle name="Input 19 2 3 2 3" xfId="19778"/>
    <cellStyle name="Input 19 2 3 2_Table 2A-1_EFT (Annual)" xfId="15064"/>
    <cellStyle name="Input 19 2 3 3" xfId="10229"/>
    <cellStyle name="Input 19 2 3 3 2" xfId="22345"/>
    <cellStyle name="Input 19 2 3 4" xfId="17232"/>
    <cellStyle name="Input 19 2 3_Table 2A-1_EFT (Annual)" xfId="6864"/>
    <cellStyle name="Input 19 2 4" xfId="2277"/>
    <cellStyle name="Input 19 2 4 2" xfId="5838"/>
    <cellStyle name="Input 19 2 4 2 2" xfId="14053"/>
    <cellStyle name="Input 19 2 4 2 2 2" xfId="26041"/>
    <cellStyle name="Input 19 2 4 2 3" xfId="20928"/>
    <cellStyle name="Input 19 2 4 2_Table 2A-1_EFT (Annual)" xfId="15065"/>
    <cellStyle name="Input 19 2 4 3" xfId="11397"/>
    <cellStyle name="Input 19 2 4 3 2" xfId="23495"/>
    <cellStyle name="Input 19 2 4 4" xfId="18382"/>
    <cellStyle name="Input 19 2 4_Table 2A-1_EFT (Annual)" xfId="6865"/>
    <cellStyle name="Input 19 2 5" xfId="4131"/>
    <cellStyle name="Input 19 2 5 2" xfId="12455"/>
    <cellStyle name="Input 19 2 5 2 2" xfId="24477"/>
    <cellStyle name="Input 19 2 5 3" xfId="19364"/>
    <cellStyle name="Input 19 2 5_Table 2A-1_EFT (Annual)" xfId="15066"/>
    <cellStyle name="Input 19 2 6" xfId="9794"/>
    <cellStyle name="Input 19 2 6 2" xfId="21931"/>
    <cellStyle name="Input 19 2 7" xfId="16818"/>
    <cellStyle name="Input 19 2_Table 2A-1_EFT (Annual)" xfId="3020"/>
    <cellStyle name="Input 19 3" xfId="399"/>
    <cellStyle name="Input 19 3 2" xfId="1382"/>
    <cellStyle name="Input 19 3 2 2" xfId="2652"/>
    <cellStyle name="Input 19 3 2 2 2" xfId="6213"/>
    <cellStyle name="Input 19 3 2 2 2 2" xfId="14407"/>
    <cellStyle name="Input 19 3 2 2 2 2 2" xfId="26379"/>
    <cellStyle name="Input 19 3 2 2 2 3" xfId="21266"/>
    <cellStyle name="Input 19 3 2 2 2_Table 2A-1_EFT (Annual)" xfId="15067"/>
    <cellStyle name="Input 19 3 2 2 3" xfId="11749"/>
    <cellStyle name="Input 19 3 2 2 3 2" xfId="23833"/>
    <cellStyle name="Input 19 3 2 2 4" xfId="18720"/>
    <cellStyle name="Input 19 3 2 2_Table 2A-1_EFT (Annual)" xfId="6867"/>
    <cellStyle name="Input 19 3 2 3" xfId="4943"/>
    <cellStyle name="Input 19 3 2 3 2" xfId="13203"/>
    <cellStyle name="Input 19 3 2 3 2 2" xfId="25209"/>
    <cellStyle name="Input 19 3 2 3 3" xfId="20096"/>
    <cellStyle name="Input 19 3 2 3_Table 2A-1_EFT (Annual)" xfId="15068"/>
    <cellStyle name="Input 19 3 2 4" xfId="10547"/>
    <cellStyle name="Input 19 3 2 4 2" xfId="22663"/>
    <cellStyle name="Input 19 3 2 5" xfId="17550"/>
    <cellStyle name="Input 19 3 2_Table 2A-1_EFT (Annual)" xfId="6866"/>
    <cellStyle name="Input 19 3 3" xfId="932"/>
    <cellStyle name="Input 19 3 3 2" xfId="4493"/>
    <cellStyle name="Input 19 3 3 2 2" xfId="12755"/>
    <cellStyle name="Input 19 3 3 2 2 2" xfId="24765"/>
    <cellStyle name="Input 19 3 3 2 3" xfId="19652"/>
    <cellStyle name="Input 19 3 3 2_Table 2A-1_EFT (Annual)" xfId="15069"/>
    <cellStyle name="Input 19 3 3 3" xfId="10102"/>
    <cellStyle name="Input 19 3 3 3 2" xfId="22219"/>
    <cellStyle name="Input 19 3 3 4" xfId="17106"/>
    <cellStyle name="Input 19 3 3_Table 2A-1_EFT (Annual)" xfId="6868"/>
    <cellStyle name="Input 19 3 4" xfId="2121"/>
    <cellStyle name="Input 19 3 4 2" xfId="5682"/>
    <cellStyle name="Input 19 3 4 2 2" xfId="13897"/>
    <cellStyle name="Input 19 3 4 2 2 2" xfId="25885"/>
    <cellStyle name="Input 19 3 4 2 3" xfId="20772"/>
    <cellStyle name="Input 19 3 4 2_Table 2A-1_EFT (Annual)" xfId="15070"/>
    <cellStyle name="Input 19 3 4 3" xfId="11241"/>
    <cellStyle name="Input 19 3 4 3 2" xfId="23339"/>
    <cellStyle name="Input 19 3 4 4" xfId="18226"/>
    <cellStyle name="Input 19 3 4_Table 2A-1_EFT (Annual)" xfId="6869"/>
    <cellStyle name="Input 19 3 5" xfId="3969"/>
    <cellStyle name="Input 19 3 5 2" xfId="12297"/>
    <cellStyle name="Input 19 3 5 2 2" xfId="24321"/>
    <cellStyle name="Input 19 3 5 3" xfId="19208"/>
    <cellStyle name="Input 19 3 5_Table 2A-1_EFT (Annual)" xfId="15071"/>
    <cellStyle name="Input 19 3 6" xfId="9634"/>
    <cellStyle name="Input 19 3 6 2" xfId="21775"/>
    <cellStyle name="Input 19 3 7" xfId="16662"/>
    <cellStyle name="Input 19 3_Table 2A-1_EFT (Annual)" xfId="3021"/>
    <cellStyle name="Input 19 4" xfId="1216"/>
    <cellStyle name="Input 19 4 2" xfId="2486"/>
    <cellStyle name="Input 19 4 2 2" xfId="6047"/>
    <cellStyle name="Input 19 4 2 2 2" xfId="14241"/>
    <cellStyle name="Input 19 4 2 2 2 2" xfId="26213"/>
    <cellStyle name="Input 19 4 2 2 3" xfId="21100"/>
    <cellStyle name="Input 19 4 2 2_Table 2A-1_EFT (Annual)" xfId="15072"/>
    <cellStyle name="Input 19 4 2 3" xfId="11583"/>
    <cellStyle name="Input 19 4 2 3 2" xfId="23667"/>
    <cellStyle name="Input 19 4 2 4" xfId="18554"/>
    <cellStyle name="Input 19 4 2_Table 2A-1_EFT (Annual)" xfId="6871"/>
    <cellStyle name="Input 19 4 3" xfId="4777"/>
    <cellStyle name="Input 19 4 3 2" xfId="13037"/>
    <cellStyle name="Input 19 4 3 2 2" xfId="25043"/>
    <cellStyle name="Input 19 4 3 3" xfId="19930"/>
    <cellStyle name="Input 19 4 3_Table 2A-1_EFT (Annual)" xfId="15073"/>
    <cellStyle name="Input 19 4 4" xfId="10381"/>
    <cellStyle name="Input 19 4 4 2" xfId="22497"/>
    <cellStyle name="Input 19 4 5" xfId="17384"/>
    <cellStyle name="Input 19 4_Table 2A-1_EFT (Annual)" xfId="6870"/>
    <cellStyle name="Input 19 5" xfId="773"/>
    <cellStyle name="Input 19 5 2" xfId="4334"/>
    <cellStyle name="Input 19 5 2 2" xfId="12614"/>
    <cellStyle name="Input 19 5 2 2 2" xfId="24631"/>
    <cellStyle name="Input 19 5 2 3" xfId="19518"/>
    <cellStyle name="Input 19 5 2_Table 2A-1_EFT (Annual)" xfId="15074"/>
    <cellStyle name="Input 19 5 3" xfId="9962"/>
    <cellStyle name="Input 19 5 3 2" xfId="22085"/>
    <cellStyle name="Input 19 5 4" xfId="16972"/>
    <cellStyle name="Input 19 5_Table 2A-1_EFT (Annual)" xfId="6872"/>
    <cellStyle name="Input 19 6" xfId="1955"/>
    <cellStyle name="Input 19 6 2" xfId="5516"/>
    <cellStyle name="Input 19 6 2 2" xfId="13731"/>
    <cellStyle name="Input 19 6 2 2 2" xfId="25719"/>
    <cellStyle name="Input 19 6 2 3" xfId="20606"/>
    <cellStyle name="Input 19 6 2_Table 2A-1_EFT (Annual)" xfId="15075"/>
    <cellStyle name="Input 19 6 3" xfId="11075"/>
    <cellStyle name="Input 19 6 3 2" xfId="23173"/>
    <cellStyle name="Input 19 6 4" xfId="18060"/>
    <cellStyle name="Input 19 6_Table 2A-1_EFT (Annual)" xfId="6873"/>
    <cellStyle name="Input 19 7" xfId="3757"/>
    <cellStyle name="Input 19 7 2" xfId="12125"/>
    <cellStyle name="Input 19 7 2 2" xfId="24155"/>
    <cellStyle name="Input 19 7 3" xfId="19042"/>
    <cellStyle name="Input 19 7_Table 2A-1_EFT (Annual)" xfId="15076"/>
    <cellStyle name="Input 19 8" xfId="9444"/>
    <cellStyle name="Input 19 8 2" xfId="21609"/>
    <cellStyle name="Input 19 9" xfId="16496"/>
    <cellStyle name="Input 19_Table 2A-1_EFT (Annual)" xfId="3019"/>
    <cellStyle name="Input 2" xfId="100"/>
    <cellStyle name="Input 2 10" xfId="21517"/>
    <cellStyle name="Input 2 2" xfId="498"/>
    <cellStyle name="Input 2 2 2" xfId="1475"/>
    <cellStyle name="Input 2 2 2 2" xfId="2745"/>
    <cellStyle name="Input 2 2 2 2 2" xfId="6306"/>
    <cellStyle name="Input 2 2 2 2 2 2" xfId="14500"/>
    <cellStyle name="Input 2 2 2 2 2 2 2" xfId="26472"/>
    <cellStyle name="Input 2 2 2 2 2 3" xfId="21359"/>
    <cellStyle name="Input 2 2 2 2 2_Table 2A-1_EFT (Annual)" xfId="15077"/>
    <cellStyle name="Input 2 2 2 2 3" xfId="11842"/>
    <cellStyle name="Input 2 2 2 2 3 2" xfId="23926"/>
    <cellStyle name="Input 2 2 2 2 4" xfId="18813"/>
    <cellStyle name="Input 2 2 2 2_Table 2A-1_EFT (Annual)" xfId="6875"/>
    <cellStyle name="Input 2 2 2 3" xfId="5036"/>
    <cellStyle name="Input 2 2 2 3 2" xfId="13296"/>
    <cellStyle name="Input 2 2 2 3 2 2" xfId="25302"/>
    <cellStyle name="Input 2 2 2 3 3" xfId="20189"/>
    <cellStyle name="Input 2 2 2 3_Table 2A-1_EFT (Annual)" xfId="15078"/>
    <cellStyle name="Input 2 2 2 4" xfId="10640"/>
    <cellStyle name="Input 2 2 2 4 2" xfId="22756"/>
    <cellStyle name="Input 2 2 2 5" xfId="17643"/>
    <cellStyle name="Input 2 2 2_Table 2A-1_EFT (Annual)" xfId="6874"/>
    <cellStyle name="Input 2 2 3" xfId="1013"/>
    <cellStyle name="Input 2 2 3 2" xfId="4574"/>
    <cellStyle name="Input 2 2 3 2 2" xfId="12834"/>
    <cellStyle name="Input 2 2 3 2 2 2" xfId="24840"/>
    <cellStyle name="Input 2 2 3 2 3" xfId="19727"/>
    <cellStyle name="Input 2 2 3 2_Table 2A-1_EFT (Annual)" xfId="15079"/>
    <cellStyle name="Input 2 2 3 3" xfId="10178"/>
    <cellStyle name="Input 2 2 3 3 2" xfId="22294"/>
    <cellStyle name="Input 2 2 3 4" xfId="17181"/>
    <cellStyle name="Input 2 2 3_Table 2A-1_EFT (Annual)" xfId="6876"/>
    <cellStyle name="Input 2 2 4" xfId="2214"/>
    <cellStyle name="Input 2 2 4 2" xfId="5775"/>
    <cellStyle name="Input 2 2 4 2 2" xfId="13990"/>
    <cellStyle name="Input 2 2 4 2 2 2" xfId="25978"/>
    <cellStyle name="Input 2 2 4 2 3" xfId="20865"/>
    <cellStyle name="Input 2 2 4 2_Table 2A-1_EFT (Annual)" xfId="15080"/>
    <cellStyle name="Input 2 2 4 3" xfId="11334"/>
    <cellStyle name="Input 2 2 4 3 2" xfId="23432"/>
    <cellStyle name="Input 2 2 4 4" xfId="18319"/>
    <cellStyle name="Input 2 2 4_Table 2A-1_EFT (Annual)" xfId="6877"/>
    <cellStyle name="Input 2 2 5" xfId="4068"/>
    <cellStyle name="Input 2 2 5 2" xfId="12392"/>
    <cellStyle name="Input 2 2 5 2 2" xfId="24414"/>
    <cellStyle name="Input 2 2 5 3" xfId="19301"/>
    <cellStyle name="Input 2 2 5_Table 2A-1_EFT (Annual)" xfId="15081"/>
    <cellStyle name="Input 2 2 6" xfId="9731"/>
    <cellStyle name="Input 2 2 6 2" xfId="21868"/>
    <cellStyle name="Input 2 2 7" xfId="16755"/>
    <cellStyle name="Input 2 2_Table 2A-1_EFT (Annual)" xfId="3023"/>
    <cellStyle name="Input 2 3" xfId="331"/>
    <cellStyle name="Input 2 3 2" xfId="1319"/>
    <cellStyle name="Input 2 3 2 2" xfId="2589"/>
    <cellStyle name="Input 2 3 2 2 2" xfId="6150"/>
    <cellStyle name="Input 2 3 2 2 2 2" xfId="14344"/>
    <cellStyle name="Input 2 3 2 2 2 2 2" xfId="26316"/>
    <cellStyle name="Input 2 3 2 2 2 3" xfId="21203"/>
    <cellStyle name="Input 2 3 2 2 2_Table 2A-1_EFT (Annual)" xfId="15082"/>
    <cellStyle name="Input 2 3 2 2 3" xfId="11686"/>
    <cellStyle name="Input 2 3 2 2 3 2" xfId="23770"/>
    <cellStyle name="Input 2 3 2 2 4" xfId="18657"/>
    <cellStyle name="Input 2 3 2 2_Table 2A-1_EFT (Annual)" xfId="6879"/>
    <cellStyle name="Input 2 3 2 3" xfId="4880"/>
    <cellStyle name="Input 2 3 2 3 2" xfId="13140"/>
    <cellStyle name="Input 2 3 2 3 2 2" xfId="25146"/>
    <cellStyle name="Input 2 3 2 3 3" xfId="20033"/>
    <cellStyle name="Input 2 3 2 3_Table 2A-1_EFT (Annual)" xfId="15083"/>
    <cellStyle name="Input 2 3 2 4" xfId="10484"/>
    <cellStyle name="Input 2 3 2 4 2" xfId="22600"/>
    <cellStyle name="Input 2 3 2 5" xfId="17487"/>
    <cellStyle name="Input 2 3 2_Table 2A-1_EFT (Annual)" xfId="6878"/>
    <cellStyle name="Input 2 3 3" xfId="876"/>
    <cellStyle name="Input 2 3 3 2" xfId="4437"/>
    <cellStyle name="Input 2 3 3 2 2" xfId="12702"/>
    <cellStyle name="Input 2 3 3 2 2 2" xfId="24714"/>
    <cellStyle name="Input 2 3 3 2 3" xfId="19601"/>
    <cellStyle name="Input 2 3 3 2_Table 2A-1_EFT (Annual)" xfId="15084"/>
    <cellStyle name="Input 2 3 3 3" xfId="10049"/>
    <cellStyle name="Input 2 3 3 3 2" xfId="22168"/>
    <cellStyle name="Input 2 3 3 4" xfId="17055"/>
    <cellStyle name="Input 2 3 3_Table 2A-1_EFT (Annual)" xfId="6880"/>
    <cellStyle name="Input 2 3 4" xfId="2058"/>
    <cellStyle name="Input 2 3 4 2" xfId="5619"/>
    <cellStyle name="Input 2 3 4 2 2" xfId="13834"/>
    <cellStyle name="Input 2 3 4 2 2 2" xfId="25822"/>
    <cellStyle name="Input 2 3 4 2 3" xfId="20709"/>
    <cellStyle name="Input 2 3 4 2_Table 2A-1_EFT (Annual)" xfId="15085"/>
    <cellStyle name="Input 2 3 4 3" xfId="11178"/>
    <cellStyle name="Input 2 3 4 3 2" xfId="23276"/>
    <cellStyle name="Input 2 3 4 4" xfId="18163"/>
    <cellStyle name="Input 2 3 4_Table 2A-1_EFT (Annual)" xfId="6881"/>
    <cellStyle name="Input 2 3 5" xfId="3901"/>
    <cellStyle name="Input 2 3 5 2" xfId="12233"/>
    <cellStyle name="Input 2 3 5 2 2" xfId="24258"/>
    <cellStyle name="Input 2 3 5 3" xfId="19145"/>
    <cellStyle name="Input 2 3 5_Table 2A-1_EFT (Annual)" xfId="15086"/>
    <cellStyle name="Input 2 3 6" xfId="9570"/>
    <cellStyle name="Input 2 3 6 2" xfId="21712"/>
    <cellStyle name="Input 2 3 7" xfId="16599"/>
    <cellStyle name="Input 2 3_Table 2A-1_EFT (Annual)" xfId="3024"/>
    <cellStyle name="Input 2 4" xfId="1153"/>
    <cellStyle name="Input 2 4 2" xfId="2423"/>
    <cellStyle name="Input 2 4 2 2" xfId="5984"/>
    <cellStyle name="Input 2 4 2 2 2" xfId="14178"/>
    <cellStyle name="Input 2 4 2 2 2 2" xfId="26150"/>
    <cellStyle name="Input 2 4 2 2 3" xfId="21037"/>
    <cellStyle name="Input 2 4 2 2_Table 2A-1_EFT (Annual)" xfId="15087"/>
    <cellStyle name="Input 2 4 2 3" xfId="11520"/>
    <cellStyle name="Input 2 4 2 3 2" xfId="23604"/>
    <cellStyle name="Input 2 4 2 4" xfId="18491"/>
    <cellStyle name="Input 2 4 2_Table 2A-1_EFT (Annual)" xfId="6883"/>
    <cellStyle name="Input 2 4 3" xfId="4714"/>
    <cellStyle name="Input 2 4 3 2" xfId="12974"/>
    <cellStyle name="Input 2 4 3 2 2" xfId="24980"/>
    <cellStyle name="Input 2 4 3 3" xfId="19867"/>
    <cellStyle name="Input 2 4 3_Table 2A-1_EFT (Annual)" xfId="15088"/>
    <cellStyle name="Input 2 4 4" xfId="10318"/>
    <cellStyle name="Input 2 4 4 2" xfId="22434"/>
    <cellStyle name="Input 2 4 5" xfId="17321"/>
    <cellStyle name="Input 2 4_Table 2A-1_EFT (Annual)" xfId="6882"/>
    <cellStyle name="Input 2 5" xfId="717"/>
    <cellStyle name="Input 2 5 2" xfId="4278"/>
    <cellStyle name="Input 2 5 2 2" xfId="12562"/>
    <cellStyle name="Input 2 5 2 2 2" xfId="24580"/>
    <cellStyle name="Input 2 5 2 3" xfId="19467"/>
    <cellStyle name="Input 2 5 2_Table 2A-1_EFT (Annual)" xfId="15089"/>
    <cellStyle name="Input 2 5 3" xfId="9909"/>
    <cellStyle name="Input 2 5 3 2" xfId="22034"/>
    <cellStyle name="Input 2 5 4" xfId="16921"/>
    <cellStyle name="Input 2 5_Table 2A-1_EFT (Annual)" xfId="6884"/>
    <cellStyle name="Input 2 6" xfId="1805"/>
    <cellStyle name="Input 2 6 2" xfId="5366"/>
    <cellStyle name="Input 2 6 2 2" xfId="13581"/>
    <cellStyle name="Input 2 6 2 2 2" xfId="25569"/>
    <cellStyle name="Input 2 6 2 3" xfId="20456"/>
    <cellStyle name="Input 2 6 2_Table 2A-1_EFT (Annual)" xfId="15090"/>
    <cellStyle name="Input 2 6 3" xfId="10925"/>
    <cellStyle name="Input 2 6 3 2" xfId="23023"/>
    <cellStyle name="Input 2 6 4" xfId="17910"/>
    <cellStyle name="Input 2 6_Table 2A-1_EFT (Annual)" xfId="6885"/>
    <cellStyle name="Input 2 7" xfId="3689"/>
    <cellStyle name="Input 2 7 2" xfId="12061"/>
    <cellStyle name="Input 2 7 2 2" xfId="24092"/>
    <cellStyle name="Input 2 7 3" xfId="18979"/>
    <cellStyle name="Input 2 7_Table 2A-1_EFT (Annual)" xfId="15091"/>
    <cellStyle name="Input 2 8" xfId="9379"/>
    <cellStyle name="Input 2 8 2" xfId="21546"/>
    <cellStyle name="Input 2 9" xfId="16433"/>
    <cellStyle name="Input 2_Table 2A-1_EFT (Annual)" xfId="3022"/>
    <cellStyle name="Input 20" xfId="170"/>
    <cellStyle name="Input 20 2" xfId="563"/>
    <cellStyle name="Input 20 2 2" xfId="1540"/>
    <cellStyle name="Input 20 2 2 2" xfId="2810"/>
    <cellStyle name="Input 20 2 2 2 2" xfId="6371"/>
    <cellStyle name="Input 20 2 2 2 2 2" xfId="14565"/>
    <cellStyle name="Input 20 2 2 2 2 2 2" xfId="26537"/>
    <cellStyle name="Input 20 2 2 2 2 3" xfId="21424"/>
    <cellStyle name="Input 20 2 2 2 2_Table 2A-1_EFT (Annual)" xfId="15092"/>
    <cellStyle name="Input 20 2 2 2 3" xfId="11907"/>
    <cellStyle name="Input 20 2 2 2 3 2" xfId="23991"/>
    <cellStyle name="Input 20 2 2 2 4" xfId="18878"/>
    <cellStyle name="Input 20 2 2 2_Table 2A-1_EFT (Annual)" xfId="6887"/>
    <cellStyle name="Input 20 2 2 3" xfId="5101"/>
    <cellStyle name="Input 20 2 2 3 2" xfId="13361"/>
    <cellStyle name="Input 20 2 2 3 2 2" xfId="25367"/>
    <cellStyle name="Input 20 2 2 3 3" xfId="20254"/>
    <cellStyle name="Input 20 2 2 3_Table 2A-1_EFT (Annual)" xfId="15093"/>
    <cellStyle name="Input 20 2 2 4" xfId="10705"/>
    <cellStyle name="Input 20 2 2 4 2" xfId="22821"/>
    <cellStyle name="Input 20 2 2 5" xfId="17708"/>
    <cellStyle name="Input 20 2 2_Table 2A-1_EFT (Annual)" xfId="6886"/>
    <cellStyle name="Input 20 2 3" xfId="1066"/>
    <cellStyle name="Input 20 2 3 2" xfId="4627"/>
    <cellStyle name="Input 20 2 3 2 2" xfId="12887"/>
    <cellStyle name="Input 20 2 3 2 2 2" xfId="24893"/>
    <cellStyle name="Input 20 2 3 2 3" xfId="19780"/>
    <cellStyle name="Input 20 2 3 2_Table 2A-1_EFT (Annual)" xfId="15094"/>
    <cellStyle name="Input 20 2 3 3" xfId="10231"/>
    <cellStyle name="Input 20 2 3 3 2" xfId="22347"/>
    <cellStyle name="Input 20 2 3 4" xfId="17234"/>
    <cellStyle name="Input 20 2 3_Table 2A-1_EFT (Annual)" xfId="6888"/>
    <cellStyle name="Input 20 2 4" xfId="2279"/>
    <cellStyle name="Input 20 2 4 2" xfId="5840"/>
    <cellStyle name="Input 20 2 4 2 2" xfId="14055"/>
    <cellStyle name="Input 20 2 4 2 2 2" xfId="26043"/>
    <cellStyle name="Input 20 2 4 2 3" xfId="20930"/>
    <cellStyle name="Input 20 2 4 2_Table 2A-1_EFT (Annual)" xfId="15095"/>
    <cellStyle name="Input 20 2 4 3" xfId="11399"/>
    <cellStyle name="Input 20 2 4 3 2" xfId="23497"/>
    <cellStyle name="Input 20 2 4 4" xfId="18384"/>
    <cellStyle name="Input 20 2 4_Table 2A-1_EFT (Annual)" xfId="6889"/>
    <cellStyle name="Input 20 2 5" xfId="4133"/>
    <cellStyle name="Input 20 2 5 2" xfId="12457"/>
    <cellStyle name="Input 20 2 5 2 2" xfId="24479"/>
    <cellStyle name="Input 20 2 5 3" xfId="19366"/>
    <cellStyle name="Input 20 2 5_Table 2A-1_EFT (Annual)" xfId="15096"/>
    <cellStyle name="Input 20 2 6" xfId="9796"/>
    <cellStyle name="Input 20 2 6 2" xfId="21933"/>
    <cellStyle name="Input 20 2 7" xfId="16820"/>
    <cellStyle name="Input 20 2_Table 2A-1_EFT (Annual)" xfId="3026"/>
    <cellStyle name="Input 20 3" xfId="401"/>
    <cellStyle name="Input 20 3 2" xfId="1384"/>
    <cellStyle name="Input 20 3 2 2" xfId="2654"/>
    <cellStyle name="Input 20 3 2 2 2" xfId="6215"/>
    <cellStyle name="Input 20 3 2 2 2 2" xfId="14409"/>
    <cellStyle name="Input 20 3 2 2 2 2 2" xfId="26381"/>
    <cellStyle name="Input 20 3 2 2 2 3" xfId="21268"/>
    <cellStyle name="Input 20 3 2 2 2_Table 2A-1_EFT (Annual)" xfId="15097"/>
    <cellStyle name="Input 20 3 2 2 3" xfId="11751"/>
    <cellStyle name="Input 20 3 2 2 3 2" xfId="23835"/>
    <cellStyle name="Input 20 3 2 2 4" xfId="18722"/>
    <cellStyle name="Input 20 3 2 2_Table 2A-1_EFT (Annual)" xfId="6891"/>
    <cellStyle name="Input 20 3 2 3" xfId="4945"/>
    <cellStyle name="Input 20 3 2 3 2" xfId="13205"/>
    <cellStyle name="Input 20 3 2 3 2 2" xfId="25211"/>
    <cellStyle name="Input 20 3 2 3 3" xfId="20098"/>
    <cellStyle name="Input 20 3 2 3_Table 2A-1_EFT (Annual)" xfId="15098"/>
    <cellStyle name="Input 20 3 2 4" xfId="10549"/>
    <cellStyle name="Input 20 3 2 4 2" xfId="22665"/>
    <cellStyle name="Input 20 3 2 5" xfId="17552"/>
    <cellStyle name="Input 20 3 2_Table 2A-1_EFT (Annual)" xfId="6890"/>
    <cellStyle name="Input 20 3 3" xfId="934"/>
    <cellStyle name="Input 20 3 3 2" xfId="4495"/>
    <cellStyle name="Input 20 3 3 2 2" xfId="12757"/>
    <cellStyle name="Input 20 3 3 2 2 2" xfId="24767"/>
    <cellStyle name="Input 20 3 3 2 3" xfId="19654"/>
    <cellStyle name="Input 20 3 3 2_Table 2A-1_EFT (Annual)" xfId="15099"/>
    <cellStyle name="Input 20 3 3 3" xfId="10104"/>
    <cellStyle name="Input 20 3 3 3 2" xfId="22221"/>
    <cellStyle name="Input 20 3 3 4" xfId="17108"/>
    <cellStyle name="Input 20 3 3_Table 2A-1_EFT (Annual)" xfId="6892"/>
    <cellStyle name="Input 20 3 4" xfId="2123"/>
    <cellStyle name="Input 20 3 4 2" xfId="5684"/>
    <cellStyle name="Input 20 3 4 2 2" xfId="13899"/>
    <cellStyle name="Input 20 3 4 2 2 2" xfId="25887"/>
    <cellStyle name="Input 20 3 4 2 3" xfId="20774"/>
    <cellStyle name="Input 20 3 4 2_Table 2A-1_EFT (Annual)" xfId="15100"/>
    <cellStyle name="Input 20 3 4 3" xfId="11243"/>
    <cellStyle name="Input 20 3 4 3 2" xfId="23341"/>
    <cellStyle name="Input 20 3 4 4" xfId="18228"/>
    <cellStyle name="Input 20 3 4_Table 2A-1_EFT (Annual)" xfId="6893"/>
    <cellStyle name="Input 20 3 5" xfId="3971"/>
    <cellStyle name="Input 20 3 5 2" xfId="12299"/>
    <cellStyle name="Input 20 3 5 2 2" xfId="24323"/>
    <cellStyle name="Input 20 3 5 3" xfId="19210"/>
    <cellStyle name="Input 20 3 5_Table 2A-1_EFT (Annual)" xfId="15101"/>
    <cellStyle name="Input 20 3 6" xfId="9636"/>
    <cellStyle name="Input 20 3 6 2" xfId="21777"/>
    <cellStyle name="Input 20 3 7" xfId="16664"/>
    <cellStyle name="Input 20 3_Table 2A-1_EFT (Annual)" xfId="3027"/>
    <cellStyle name="Input 20 4" xfId="1218"/>
    <cellStyle name="Input 20 4 2" xfId="2488"/>
    <cellStyle name="Input 20 4 2 2" xfId="6049"/>
    <cellStyle name="Input 20 4 2 2 2" xfId="14243"/>
    <cellStyle name="Input 20 4 2 2 2 2" xfId="26215"/>
    <cellStyle name="Input 20 4 2 2 3" xfId="21102"/>
    <cellStyle name="Input 20 4 2 2_Table 2A-1_EFT (Annual)" xfId="15102"/>
    <cellStyle name="Input 20 4 2 3" xfId="11585"/>
    <cellStyle name="Input 20 4 2 3 2" xfId="23669"/>
    <cellStyle name="Input 20 4 2 4" xfId="18556"/>
    <cellStyle name="Input 20 4 2_Table 2A-1_EFT (Annual)" xfId="6895"/>
    <cellStyle name="Input 20 4 3" xfId="4779"/>
    <cellStyle name="Input 20 4 3 2" xfId="13039"/>
    <cellStyle name="Input 20 4 3 2 2" xfId="25045"/>
    <cellStyle name="Input 20 4 3 3" xfId="19932"/>
    <cellStyle name="Input 20 4 3_Table 2A-1_EFT (Annual)" xfId="15103"/>
    <cellStyle name="Input 20 4 4" xfId="10383"/>
    <cellStyle name="Input 20 4 4 2" xfId="22499"/>
    <cellStyle name="Input 20 4 5" xfId="17386"/>
    <cellStyle name="Input 20 4_Table 2A-1_EFT (Annual)" xfId="6894"/>
    <cellStyle name="Input 20 5" xfId="775"/>
    <cellStyle name="Input 20 5 2" xfId="4336"/>
    <cellStyle name="Input 20 5 2 2" xfId="12616"/>
    <cellStyle name="Input 20 5 2 2 2" xfId="24633"/>
    <cellStyle name="Input 20 5 2 3" xfId="19520"/>
    <cellStyle name="Input 20 5 2_Table 2A-1_EFT (Annual)" xfId="15104"/>
    <cellStyle name="Input 20 5 3" xfId="9964"/>
    <cellStyle name="Input 20 5 3 2" xfId="22087"/>
    <cellStyle name="Input 20 5 4" xfId="16974"/>
    <cellStyle name="Input 20 5_Table 2A-1_EFT (Annual)" xfId="6896"/>
    <cellStyle name="Input 20 6" xfId="1957"/>
    <cellStyle name="Input 20 6 2" xfId="5518"/>
    <cellStyle name="Input 20 6 2 2" xfId="13733"/>
    <cellStyle name="Input 20 6 2 2 2" xfId="25721"/>
    <cellStyle name="Input 20 6 2 3" xfId="20608"/>
    <cellStyle name="Input 20 6 2_Table 2A-1_EFT (Annual)" xfId="15105"/>
    <cellStyle name="Input 20 6 3" xfId="11077"/>
    <cellStyle name="Input 20 6 3 2" xfId="23175"/>
    <cellStyle name="Input 20 6 4" xfId="18062"/>
    <cellStyle name="Input 20 6_Table 2A-1_EFT (Annual)" xfId="6897"/>
    <cellStyle name="Input 20 7" xfId="3759"/>
    <cellStyle name="Input 20 7 2" xfId="12127"/>
    <cellStyle name="Input 20 7 2 2" xfId="24157"/>
    <cellStyle name="Input 20 7 3" xfId="19044"/>
    <cellStyle name="Input 20 7_Table 2A-1_EFT (Annual)" xfId="15106"/>
    <cellStyle name="Input 20 8" xfId="9446"/>
    <cellStyle name="Input 20 8 2" xfId="21611"/>
    <cellStyle name="Input 20 9" xfId="16498"/>
    <cellStyle name="Input 20_Table 2A-1_EFT (Annual)" xfId="3025"/>
    <cellStyle name="Input 21" xfId="166"/>
    <cellStyle name="Input 21 2" xfId="559"/>
    <cellStyle name="Input 21 2 2" xfId="1536"/>
    <cellStyle name="Input 21 2 2 2" xfId="2806"/>
    <cellStyle name="Input 21 2 2 2 2" xfId="6367"/>
    <cellStyle name="Input 21 2 2 2 2 2" xfId="14561"/>
    <cellStyle name="Input 21 2 2 2 2 2 2" xfId="26533"/>
    <cellStyle name="Input 21 2 2 2 2 3" xfId="21420"/>
    <cellStyle name="Input 21 2 2 2 2_Table 2A-1_EFT (Annual)" xfId="15107"/>
    <cellStyle name="Input 21 2 2 2 3" xfId="11903"/>
    <cellStyle name="Input 21 2 2 2 3 2" xfId="23987"/>
    <cellStyle name="Input 21 2 2 2 4" xfId="18874"/>
    <cellStyle name="Input 21 2 2 2_Table 2A-1_EFT (Annual)" xfId="6899"/>
    <cellStyle name="Input 21 2 2 3" xfId="5097"/>
    <cellStyle name="Input 21 2 2 3 2" xfId="13357"/>
    <cellStyle name="Input 21 2 2 3 2 2" xfId="25363"/>
    <cellStyle name="Input 21 2 2 3 3" xfId="20250"/>
    <cellStyle name="Input 21 2 2 3_Table 2A-1_EFT (Annual)" xfId="15108"/>
    <cellStyle name="Input 21 2 2 4" xfId="10701"/>
    <cellStyle name="Input 21 2 2 4 2" xfId="22817"/>
    <cellStyle name="Input 21 2 2 5" xfId="17704"/>
    <cellStyle name="Input 21 2 2_Table 2A-1_EFT (Annual)" xfId="6898"/>
    <cellStyle name="Input 21 2 3" xfId="1063"/>
    <cellStyle name="Input 21 2 3 2" xfId="4624"/>
    <cellStyle name="Input 21 2 3 2 2" xfId="12884"/>
    <cellStyle name="Input 21 2 3 2 2 2" xfId="24890"/>
    <cellStyle name="Input 21 2 3 2 3" xfId="19777"/>
    <cellStyle name="Input 21 2 3 2_Table 2A-1_EFT (Annual)" xfId="15109"/>
    <cellStyle name="Input 21 2 3 3" xfId="10228"/>
    <cellStyle name="Input 21 2 3 3 2" xfId="22344"/>
    <cellStyle name="Input 21 2 3 4" xfId="17231"/>
    <cellStyle name="Input 21 2 3_Table 2A-1_EFT (Annual)" xfId="6900"/>
    <cellStyle name="Input 21 2 4" xfId="2275"/>
    <cellStyle name="Input 21 2 4 2" xfId="5836"/>
    <cellStyle name="Input 21 2 4 2 2" xfId="14051"/>
    <cellStyle name="Input 21 2 4 2 2 2" xfId="26039"/>
    <cellStyle name="Input 21 2 4 2 3" xfId="20926"/>
    <cellStyle name="Input 21 2 4 2_Table 2A-1_EFT (Annual)" xfId="15110"/>
    <cellStyle name="Input 21 2 4 3" xfId="11395"/>
    <cellStyle name="Input 21 2 4 3 2" xfId="23493"/>
    <cellStyle name="Input 21 2 4 4" xfId="18380"/>
    <cellStyle name="Input 21 2 4_Table 2A-1_EFT (Annual)" xfId="6901"/>
    <cellStyle name="Input 21 2 5" xfId="4129"/>
    <cellStyle name="Input 21 2 5 2" xfId="12453"/>
    <cellStyle name="Input 21 2 5 2 2" xfId="24475"/>
    <cellStyle name="Input 21 2 5 3" xfId="19362"/>
    <cellStyle name="Input 21 2 5_Table 2A-1_EFT (Annual)" xfId="15111"/>
    <cellStyle name="Input 21 2 6" xfId="9792"/>
    <cellStyle name="Input 21 2 6 2" xfId="21929"/>
    <cellStyle name="Input 21 2 7" xfId="16816"/>
    <cellStyle name="Input 21 2_Table 2A-1_EFT (Annual)" xfId="3029"/>
    <cellStyle name="Input 21 3" xfId="397"/>
    <cellStyle name="Input 21 3 2" xfId="1380"/>
    <cellStyle name="Input 21 3 2 2" xfId="2650"/>
    <cellStyle name="Input 21 3 2 2 2" xfId="6211"/>
    <cellStyle name="Input 21 3 2 2 2 2" xfId="14405"/>
    <cellStyle name="Input 21 3 2 2 2 2 2" xfId="26377"/>
    <cellStyle name="Input 21 3 2 2 2 3" xfId="21264"/>
    <cellStyle name="Input 21 3 2 2 2_Table 2A-1_EFT (Annual)" xfId="15112"/>
    <cellStyle name="Input 21 3 2 2 3" xfId="11747"/>
    <cellStyle name="Input 21 3 2 2 3 2" xfId="23831"/>
    <cellStyle name="Input 21 3 2 2 4" xfId="18718"/>
    <cellStyle name="Input 21 3 2 2_Table 2A-1_EFT (Annual)" xfId="6903"/>
    <cellStyle name="Input 21 3 2 3" xfId="4941"/>
    <cellStyle name="Input 21 3 2 3 2" xfId="13201"/>
    <cellStyle name="Input 21 3 2 3 2 2" xfId="25207"/>
    <cellStyle name="Input 21 3 2 3 3" xfId="20094"/>
    <cellStyle name="Input 21 3 2 3_Table 2A-1_EFT (Annual)" xfId="15113"/>
    <cellStyle name="Input 21 3 2 4" xfId="10545"/>
    <cellStyle name="Input 21 3 2 4 2" xfId="22661"/>
    <cellStyle name="Input 21 3 2 5" xfId="17548"/>
    <cellStyle name="Input 21 3 2_Table 2A-1_EFT (Annual)" xfId="6902"/>
    <cellStyle name="Input 21 3 3" xfId="931"/>
    <cellStyle name="Input 21 3 3 2" xfId="4492"/>
    <cellStyle name="Input 21 3 3 2 2" xfId="12754"/>
    <cellStyle name="Input 21 3 3 2 2 2" xfId="24764"/>
    <cellStyle name="Input 21 3 3 2 3" xfId="19651"/>
    <cellStyle name="Input 21 3 3 2_Table 2A-1_EFT (Annual)" xfId="15114"/>
    <cellStyle name="Input 21 3 3 3" xfId="10101"/>
    <cellStyle name="Input 21 3 3 3 2" xfId="22218"/>
    <cellStyle name="Input 21 3 3 4" xfId="17105"/>
    <cellStyle name="Input 21 3 3_Table 2A-1_EFT (Annual)" xfId="6904"/>
    <cellStyle name="Input 21 3 4" xfId="2119"/>
    <cellStyle name="Input 21 3 4 2" xfId="5680"/>
    <cellStyle name="Input 21 3 4 2 2" xfId="13895"/>
    <cellStyle name="Input 21 3 4 2 2 2" xfId="25883"/>
    <cellStyle name="Input 21 3 4 2 3" xfId="20770"/>
    <cellStyle name="Input 21 3 4 2_Table 2A-1_EFT (Annual)" xfId="15115"/>
    <cellStyle name="Input 21 3 4 3" xfId="11239"/>
    <cellStyle name="Input 21 3 4 3 2" xfId="23337"/>
    <cellStyle name="Input 21 3 4 4" xfId="18224"/>
    <cellStyle name="Input 21 3 4_Table 2A-1_EFT (Annual)" xfId="6905"/>
    <cellStyle name="Input 21 3 5" xfId="3967"/>
    <cellStyle name="Input 21 3 5 2" xfId="12295"/>
    <cellStyle name="Input 21 3 5 2 2" xfId="24319"/>
    <cellStyle name="Input 21 3 5 3" xfId="19206"/>
    <cellStyle name="Input 21 3 5_Table 2A-1_EFT (Annual)" xfId="15116"/>
    <cellStyle name="Input 21 3 6" xfId="9632"/>
    <cellStyle name="Input 21 3 6 2" xfId="21773"/>
    <cellStyle name="Input 21 3 7" xfId="16660"/>
    <cellStyle name="Input 21 3_Table 2A-1_EFT (Annual)" xfId="3030"/>
    <cellStyle name="Input 21 4" xfId="1214"/>
    <cellStyle name="Input 21 4 2" xfId="2484"/>
    <cellStyle name="Input 21 4 2 2" xfId="6045"/>
    <cellStyle name="Input 21 4 2 2 2" xfId="14239"/>
    <cellStyle name="Input 21 4 2 2 2 2" xfId="26211"/>
    <cellStyle name="Input 21 4 2 2 3" xfId="21098"/>
    <cellStyle name="Input 21 4 2 2_Table 2A-1_EFT (Annual)" xfId="15117"/>
    <cellStyle name="Input 21 4 2 3" xfId="11581"/>
    <cellStyle name="Input 21 4 2 3 2" xfId="23665"/>
    <cellStyle name="Input 21 4 2 4" xfId="18552"/>
    <cellStyle name="Input 21 4 2_Table 2A-1_EFT (Annual)" xfId="6907"/>
    <cellStyle name="Input 21 4 3" xfId="4775"/>
    <cellStyle name="Input 21 4 3 2" xfId="13035"/>
    <cellStyle name="Input 21 4 3 2 2" xfId="25041"/>
    <cellStyle name="Input 21 4 3 3" xfId="19928"/>
    <cellStyle name="Input 21 4 3_Table 2A-1_EFT (Annual)" xfId="15118"/>
    <cellStyle name="Input 21 4 4" xfId="10379"/>
    <cellStyle name="Input 21 4 4 2" xfId="22495"/>
    <cellStyle name="Input 21 4 5" xfId="17382"/>
    <cellStyle name="Input 21 4_Table 2A-1_EFT (Annual)" xfId="6906"/>
    <cellStyle name="Input 21 5" xfId="772"/>
    <cellStyle name="Input 21 5 2" xfId="4333"/>
    <cellStyle name="Input 21 5 2 2" xfId="12613"/>
    <cellStyle name="Input 21 5 2 2 2" xfId="24630"/>
    <cellStyle name="Input 21 5 2 3" xfId="19517"/>
    <cellStyle name="Input 21 5 2_Table 2A-1_EFT (Annual)" xfId="15119"/>
    <cellStyle name="Input 21 5 3" xfId="9961"/>
    <cellStyle name="Input 21 5 3 2" xfId="22084"/>
    <cellStyle name="Input 21 5 4" xfId="16971"/>
    <cellStyle name="Input 21 5_Table 2A-1_EFT (Annual)" xfId="6908"/>
    <cellStyle name="Input 21 6" xfId="1953"/>
    <cellStyle name="Input 21 6 2" xfId="5514"/>
    <cellStyle name="Input 21 6 2 2" xfId="13729"/>
    <cellStyle name="Input 21 6 2 2 2" xfId="25717"/>
    <cellStyle name="Input 21 6 2 3" xfId="20604"/>
    <cellStyle name="Input 21 6 2_Table 2A-1_EFT (Annual)" xfId="15120"/>
    <cellStyle name="Input 21 6 3" xfId="11073"/>
    <cellStyle name="Input 21 6 3 2" xfId="23171"/>
    <cellStyle name="Input 21 6 4" xfId="18058"/>
    <cellStyle name="Input 21 6_Table 2A-1_EFT (Annual)" xfId="6909"/>
    <cellStyle name="Input 21 7" xfId="3755"/>
    <cellStyle name="Input 21 7 2" xfId="12123"/>
    <cellStyle name="Input 21 7 2 2" xfId="24153"/>
    <cellStyle name="Input 21 7 3" xfId="19040"/>
    <cellStyle name="Input 21 7_Table 2A-1_EFT (Annual)" xfId="15121"/>
    <cellStyle name="Input 21 8" xfId="9442"/>
    <cellStyle name="Input 21 8 2" xfId="21607"/>
    <cellStyle name="Input 21 9" xfId="16494"/>
    <cellStyle name="Input 21_Table 2A-1_EFT (Annual)" xfId="3028"/>
    <cellStyle name="Input 22" xfId="205"/>
    <cellStyle name="Input 22 2" xfId="598"/>
    <cellStyle name="Input 22 2 2" xfId="1575"/>
    <cellStyle name="Input 22 2 2 2" xfId="2845"/>
    <cellStyle name="Input 22 2 2 2 2" xfId="6406"/>
    <cellStyle name="Input 22 2 2 2 2 2" xfId="14600"/>
    <cellStyle name="Input 22 2 2 2 2 2 2" xfId="26572"/>
    <cellStyle name="Input 22 2 2 2 2 3" xfId="21459"/>
    <cellStyle name="Input 22 2 2 2 2_Table 2A-1_EFT (Annual)" xfId="15122"/>
    <cellStyle name="Input 22 2 2 2 3" xfId="11942"/>
    <cellStyle name="Input 22 2 2 2 3 2" xfId="24026"/>
    <cellStyle name="Input 22 2 2 2 4" xfId="18913"/>
    <cellStyle name="Input 22 2 2 2_Table 2A-1_EFT (Annual)" xfId="6911"/>
    <cellStyle name="Input 22 2 2 3" xfId="5136"/>
    <cellStyle name="Input 22 2 2 3 2" xfId="13396"/>
    <cellStyle name="Input 22 2 2 3 2 2" xfId="25402"/>
    <cellStyle name="Input 22 2 2 3 3" xfId="20289"/>
    <cellStyle name="Input 22 2 2 3_Table 2A-1_EFT (Annual)" xfId="15123"/>
    <cellStyle name="Input 22 2 2 4" xfId="10740"/>
    <cellStyle name="Input 22 2 2 4 2" xfId="22856"/>
    <cellStyle name="Input 22 2 2 5" xfId="17743"/>
    <cellStyle name="Input 22 2 2_Table 2A-1_EFT (Annual)" xfId="6910"/>
    <cellStyle name="Input 22 2 3" xfId="1095"/>
    <cellStyle name="Input 22 2 3 2" xfId="4656"/>
    <cellStyle name="Input 22 2 3 2 2" xfId="12916"/>
    <cellStyle name="Input 22 2 3 2 2 2" xfId="24922"/>
    <cellStyle name="Input 22 2 3 2 3" xfId="19809"/>
    <cellStyle name="Input 22 2 3 2_Table 2A-1_EFT (Annual)" xfId="15124"/>
    <cellStyle name="Input 22 2 3 3" xfId="10260"/>
    <cellStyle name="Input 22 2 3 3 2" xfId="22376"/>
    <cellStyle name="Input 22 2 3 4" xfId="17263"/>
    <cellStyle name="Input 22 2 3_Table 2A-1_EFT (Annual)" xfId="6912"/>
    <cellStyle name="Input 22 2 4" xfId="2314"/>
    <cellStyle name="Input 22 2 4 2" xfId="5875"/>
    <cellStyle name="Input 22 2 4 2 2" xfId="14090"/>
    <cellStyle name="Input 22 2 4 2 2 2" xfId="26078"/>
    <cellStyle name="Input 22 2 4 2 3" xfId="20965"/>
    <cellStyle name="Input 22 2 4 2_Table 2A-1_EFT (Annual)" xfId="15125"/>
    <cellStyle name="Input 22 2 4 3" xfId="11434"/>
    <cellStyle name="Input 22 2 4 3 2" xfId="23532"/>
    <cellStyle name="Input 22 2 4 4" xfId="18419"/>
    <cellStyle name="Input 22 2 4_Table 2A-1_EFT (Annual)" xfId="6913"/>
    <cellStyle name="Input 22 2 5" xfId="4168"/>
    <cellStyle name="Input 22 2 5 2" xfId="12492"/>
    <cellStyle name="Input 22 2 5 2 2" xfId="24514"/>
    <cellStyle name="Input 22 2 5 3" xfId="19401"/>
    <cellStyle name="Input 22 2 5_Table 2A-1_EFT (Annual)" xfId="15126"/>
    <cellStyle name="Input 22 2 6" xfId="9831"/>
    <cellStyle name="Input 22 2 6 2" xfId="21968"/>
    <cellStyle name="Input 22 2 7" xfId="16855"/>
    <cellStyle name="Input 22 2_Table 2A-1_EFT (Annual)" xfId="3032"/>
    <cellStyle name="Input 22 3" xfId="434"/>
    <cellStyle name="Input 22 3 2" xfId="1417"/>
    <cellStyle name="Input 22 3 2 2" xfId="2687"/>
    <cellStyle name="Input 22 3 2 2 2" xfId="6248"/>
    <cellStyle name="Input 22 3 2 2 2 2" xfId="14442"/>
    <cellStyle name="Input 22 3 2 2 2 2 2" xfId="26414"/>
    <cellStyle name="Input 22 3 2 2 2 3" xfId="21301"/>
    <cellStyle name="Input 22 3 2 2 2_Table 2A-1_EFT (Annual)" xfId="15127"/>
    <cellStyle name="Input 22 3 2 2 3" xfId="11784"/>
    <cellStyle name="Input 22 3 2 2 3 2" xfId="23868"/>
    <cellStyle name="Input 22 3 2 2 4" xfId="18755"/>
    <cellStyle name="Input 22 3 2 2_Table 2A-1_EFT (Annual)" xfId="6915"/>
    <cellStyle name="Input 22 3 2 3" xfId="4978"/>
    <cellStyle name="Input 22 3 2 3 2" xfId="13238"/>
    <cellStyle name="Input 22 3 2 3 2 2" xfId="25244"/>
    <cellStyle name="Input 22 3 2 3 3" xfId="20131"/>
    <cellStyle name="Input 22 3 2 3_Table 2A-1_EFT (Annual)" xfId="15128"/>
    <cellStyle name="Input 22 3 2 4" xfId="10582"/>
    <cellStyle name="Input 22 3 2 4 2" xfId="22698"/>
    <cellStyle name="Input 22 3 2 5" xfId="17585"/>
    <cellStyle name="Input 22 3 2_Table 2A-1_EFT (Annual)" xfId="6914"/>
    <cellStyle name="Input 22 3 3" xfId="961"/>
    <cellStyle name="Input 22 3 3 2" xfId="4522"/>
    <cellStyle name="Input 22 3 3 2 2" xfId="12784"/>
    <cellStyle name="Input 22 3 3 2 2 2" xfId="24794"/>
    <cellStyle name="Input 22 3 3 2 3" xfId="19681"/>
    <cellStyle name="Input 22 3 3 2_Table 2A-1_EFT (Annual)" xfId="15129"/>
    <cellStyle name="Input 22 3 3 3" xfId="10131"/>
    <cellStyle name="Input 22 3 3 3 2" xfId="22248"/>
    <cellStyle name="Input 22 3 3 4" xfId="17135"/>
    <cellStyle name="Input 22 3 3_Table 2A-1_EFT (Annual)" xfId="6916"/>
    <cellStyle name="Input 22 3 4" xfId="2156"/>
    <cellStyle name="Input 22 3 4 2" xfId="5717"/>
    <cellStyle name="Input 22 3 4 2 2" xfId="13932"/>
    <cellStyle name="Input 22 3 4 2 2 2" xfId="25920"/>
    <cellStyle name="Input 22 3 4 2 3" xfId="20807"/>
    <cellStyle name="Input 22 3 4 2_Table 2A-1_EFT (Annual)" xfId="15130"/>
    <cellStyle name="Input 22 3 4 3" xfId="11276"/>
    <cellStyle name="Input 22 3 4 3 2" xfId="23374"/>
    <cellStyle name="Input 22 3 4 4" xfId="18261"/>
    <cellStyle name="Input 22 3 4_Table 2A-1_EFT (Annual)" xfId="6917"/>
    <cellStyle name="Input 22 3 5" xfId="4004"/>
    <cellStyle name="Input 22 3 5 2" xfId="12332"/>
    <cellStyle name="Input 22 3 5 2 2" xfId="24356"/>
    <cellStyle name="Input 22 3 5 3" xfId="19243"/>
    <cellStyle name="Input 22 3 5_Table 2A-1_EFT (Annual)" xfId="15131"/>
    <cellStyle name="Input 22 3 6" xfId="9669"/>
    <cellStyle name="Input 22 3 6 2" xfId="21810"/>
    <cellStyle name="Input 22 3 7" xfId="16697"/>
    <cellStyle name="Input 22 3_Table 2A-1_EFT (Annual)" xfId="3033"/>
    <cellStyle name="Input 22 4" xfId="1253"/>
    <cellStyle name="Input 22 4 2" xfId="2523"/>
    <cellStyle name="Input 22 4 2 2" xfId="6084"/>
    <cellStyle name="Input 22 4 2 2 2" xfId="14278"/>
    <cellStyle name="Input 22 4 2 2 2 2" xfId="26250"/>
    <cellStyle name="Input 22 4 2 2 3" xfId="21137"/>
    <cellStyle name="Input 22 4 2 2_Table 2A-1_EFT (Annual)" xfId="15132"/>
    <cellStyle name="Input 22 4 2 3" xfId="11620"/>
    <cellStyle name="Input 22 4 2 3 2" xfId="23704"/>
    <cellStyle name="Input 22 4 2 4" xfId="18591"/>
    <cellStyle name="Input 22 4 2_Table 2A-1_EFT (Annual)" xfId="6919"/>
    <cellStyle name="Input 22 4 3" xfId="4814"/>
    <cellStyle name="Input 22 4 3 2" xfId="13074"/>
    <cellStyle name="Input 22 4 3 2 2" xfId="25080"/>
    <cellStyle name="Input 22 4 3 3" xfId="19967"/>
    <cellStyle name="Input 22 4 3_Table 2A-1_EFT (Annual)" xfId="15133"/>
    <cellStyle name="Input 22 4 4" xfId="10418"/>
    <cellStyle name="Input 22 4 4 2" xfId="22534"/>
    <cellStyle name="Input 22 4 5" xfId="17421"/>
    <cellStyle name="Input 22 4_Table 2A-1_EFT (Annual)" xfId="6918"/>
    <cellStyle name="Input 22 5" xfId="804"/>
    <cellStyle name="Input 22 5 2" xfId="4365"/>
    <cellStyle name="Input 22 5 2 2" xfId="12645"/>
    <cellStyle name="Input 22 5 2 2 2" xfId="24662"/>
    <cellStyle name="Input 22 5 2 3" xfId="19549"/>
    <cellStyle name="Input 22 5 2_Table 2A-1_EFT (Annual)" xfId="15134"/>
    <cellStyle name="Input 22 5 3" xfId="9993"/>
    <cellStyle name="Input 22 5 3 2" xfId="22116"/>
    <cellStyle name="Input 22 5 4" xfId="17003"/>
    <cellStyle name="Input 22 5_Table 2A-1_EFT (Annual)" xfId="6920"/>
    <cellStyle name="Input 22 6" xfId="1992"/>
    <cellStyle name="Input 22 6 2" xfId="5553"/>
    <cellStyle name="Input 22 6 2 2" xfId="13768"/>
    <cellStyle name="Input 22 6 2 2 2" xfId="25756"/>
    <cellStyle name="Input 22 6 2 3" xfId="20643"/>
    <cellStyle name="Input 22 6 2_Table 2A-1_EFT (Annual)" xfId="15135"/>
    <cellStyle name="Input 22 6 3" xfId="11112"/>
    <cellStyle name="Input 22 6 3 2" xfId="23210"/>
    <cellStyle name="Input 22 6 4" xfId="18097"/>
    <cellStyle name="Input 22 6_Table 2A-1_EFT (Annual)" xfId="6921"/>
    <cellStyle name="Input 22 7" xfId="3794"/>
    <cellStyle name="Input 22 7 2" xfId="12162"/>
    <cellStyle name="Input 22 7 2 2" xfId="24192"/>
    <cellStyle name="Input 22 7 3" xfId="19079"/>
    <cellStyle name="Input 22 7_Table 2A-1_EFT (Annual)" xfId="15136"/>
    <cellStyle name="Input 22 8" xfId="9481"/>
    <cellStyle name="Input 22 8 2" xfId="21646"/>
    <cellStyle name="Input 22 9" xfId="16533"/>
    <cellStyle name="Input 22_Table 2A-1_EFT (Annual)" xfId="3031"/>
    <cellStyle name="Input 23" xfId="190"/>
    <cellStyle name="Input 23 2" xfId="583"/>
    <cellStyle name="Input 23 2 2" xfId="1560"/>
    <cellStyle name="Input 23 2 2 2" xfId="2830"/>
    <cellStyle name="Input 23 2 2 2 2" xfId="6391"/>
    <cellStyle name="Input 23 2 2 2 2 2" xfId="14585"/>
    <cellStyle name="Input 23 2 2 2 2 2 2" xfId="26557"/>
    <cellStyle name="Input 23 2 2 2 2 3" xfId="21444"/>
    <cellStyle name="Input 23 2 2 2 2_Table 2A-1_EFT (Annual)" xfId="15137"/>
    <cellStyle name="Input 23 2 2 2 3" xfId="11927"/>
    <cellStyle name="Input 23 2 2 2 3 2" xfId="24011"/>
    <cellStyle name="Input 23 2 2 2 4" xfId="18898"/>
    <cellStyle name="Input 23 2 2 2_Table 2A-1_EFT (Annual)" xfId="6923"/>
    <cellStyle name="Input 23 2 2 3" xfId="5121"/>
    <cellStyle name="Input 23 2 2 3 2" xfId="13381"/>
    <cellStyle name="Input 23 2 2 3 2 2" xfId="25387"/>
    <cellStyle name="Input 23 2 2 3 3" xfId="20274"/>
    <cellStyle name="Input 23 2 2 3_Table 2A-1_EFT (Annual)" xfId="15138"/>
    <cellStyle name="Input 23 2 2 4" xfId="10725"/>
    <cellStyle name="Input 23 2 2 4 2" xfId="22841"/>
    <cellStyle name="Input 23 2 2 5" xfId="17728"/>
    <cellStyle name="Input 23 2 2_Table 2A-1_EFT (Annual)" xfId="6922"/>
    <cellStyle name="Input 23 2 3" xfId="1083"/>
    <cellStyle name="Input 23 2 3 2" xfId="4644"/>
    <cellStyle name="Input 23 2 3 2 2" xfId="12904"/>
    <cellStyle name="Input 23 2 3 2 2 2" xfId="24910"/>
    <cellStyle name="Input 23 2 3 2 3" xfId="19797"/>
    <cellStyle name="Input 23 2 3 2_Table 2A-1_EFT (Annual)" xfId="15139"/>
    <cellStyle name="Input 23 2 3 3" xfId="10248"/>
    <cellStyle name="Input 23 2 3 3 2" xfId="22364"/>
    <cellStyle name="Input 23 2 3 4" xfId="17251"/>
    <cellStyle name="Input 23 2 3_Table 2A-1_EFT (Annual)" xfId="6924"/>
    <cellStyle name="Input 23 2 4" xfId="2299"/>
    <cellStyle name="Input 23 2 4 2" xfId="5860"/>
    <cellStyle name="Input 23 2 4 2 2" xfId="14075"/>
    <cellStyle name="Input 23 2 4 2 2 2" xfId="26063"/>
    <cellStyle name="Input 23 2 4 2 3" xfId="20950"/>
    <cellStyle name="Input 23 2 4 2_Table 2A-1_EFT (Annual)" xfId="15140"/>
    <cellStyle name="Input 23 2 4 3" xfId="11419"/>
    <cellStyle name="Input 23 2 4 3 2" xfId="23517"/>
    <cellStyle name="Input 23 2 4 4" xfId="18404"/>
    <cellStyle name="Input 23 2 4_Table 2A-1_EFT (Annual)" xfId="6925"/>
    <cellStyle name="Input 23 2 5" xfId="4153"/>
    <cellStyle name="Input 23 2 5 2" xfId="12477"/>
    <cellStyle name="Input 23 2 5 2 2" xfId="24499"/>
    <cellStyle name="Input 23 2 5 3" xfId="19386"/>
    <cellStyle name="Input 23 2 5_Table 2A-1_EFT (Annual)" xfId="15141"/>
    <cellStyle name="Input 23 2 6" xfId="9816"/>
    <cellStyle name="Input 23 2 6 2" xfId="21953"/>
    <cellStyle name="Input 23 2 7" xfId="16840"/>
    <cellStyle name="Input 23 2_Table 2A-1_EFT (Annual)" xfId="3035"/>
    <cellStyle name="Input 23 3" xfId="420"/>
    <cellStyle name="Input 23 3 2" xfId="1403"/>
    <cellStyle name="Input 23 3 2 2" xfId="2673"/>
    <cellStyle name="Input 23 3 2 2 2" xfId="6234"/>
    <cellStyle name="Input 23 3 2 2 2 2" xfId="14428"/>
    <cellStyle name="Input 23 3 2 2 2 2 2" xfId="26400"/>
    <cellStyle name="Input 23 3 2 2 2 3" xfId="21287"/>
    <cellStyle name="Input 23 3 2 2 2_Table 2A-1_EFT (Annual)" xfId="15142"/>
    <cellStyle name="Input 23 3 2 2 3" xfId="11770"/>
    <cellStyle name="Input 23 3 2 2 3 2" xfId="23854"/>
    <cellStyle name="Input 23 3 2 2 4" xfId="18741"/>
    <cellStyle name="Input 23 3 2 2_Table 2A-1_EFT (Annual)" xfId="6927"/>
    <cellStyle name="Input 23 3 2 3" xfId="4964"/>
    <cellStyle name="Input 23 3 2 3 2" xfId="13224"/>
    <cellStyle name="Input 23 3 2 3 2 2" xfId="25230"/>
    <cellStyle name="Input 23 3 2 3 3" xfId="20117"/>
    <cellStyle name="Input 23 3 2 3_Table 2A-1_EFT (Annual)" xfId="15143"/>
    <cellStyle name="Input 23 3 2 4" xfId="10568"/>
    <cellStyle name="Input 23 3 2 4 2" xfId="22684"/>
    <cellStyle name="Input 23 3 2 5" xfId="17571"/>
    <cellStyle name="Input 23 3 2_Table 2A-1_EFT (Annual)" xfId="6926"/>
    <cellStyle name="Input 23 3 3" xfId="950"/>
    <cellStyle name="Input 23 3 3 2" xfId="4511"/>
    <cellStyle name="Input 23 3 3 2 2" xfId="12773"/>
    <cellStyle name="Input 23 3 3 2 2 2" xfId="24783"/>
    <cellStyle name="Input 23 3 3 2 3" xfId="19670"/>
    <cellStyle name="Input 23 3 3 2_Table 2A-1_EFT (Annual)" xfId="15144"/>
    <cellStyle name="Input 23 3 3 3" xfId="10120"/>
    <cellStyle name="Input 23 3 3 3 2" xfId="22237"/>
    <cellStyle name="Input 23 3 3 4" xfId="17124"/>
    <cellStyle name="Input 23 3 3_Table 2A-1_EFT (Annual)" xfId="6928"/>
    <cellStyle name="Input 23 3 4" xfId="2142"/>
    <cellStyle name="Input 23 3 4 2" xfId="5703"/>
    <cellStyle name="Input 23 3 4 2 2" xfId="13918"/>
    <cellStyle name="Input 23 3 4 2 2 2" xfId="25906"/>
    <cellStyle name="Input 23 3 4 2 3" xfId="20793"/>
    <cellStyle name="Input 23 3 4 2_Table 2A-1_EFT (Annual)" xfId="15145"/>
    <cellStyle name="Input 23 3 4 3" xfId="11262"/>
    <cellStyle name="Input 23 3 4 3 2" xfId="23360"/>
    <cellStyle name="Input 23 3 4 4" xfId="18247"/>
    <cellStyle name="Input 23 3 4_Table 2A-1_EFT (Annual)" xfId="6929"/>
    <cellStyle name="Input 23 3 5" xfId="3990"/>
    <cellStyle name="Input 23 3 5 2" xfId="12318"/>
    <cellStyle name="Input 23 3 5 2 2" xfId="24342"/>
    <cellStyle name="Input 23 3 5 3" xfId="19229"/>
    <cellStyle name="Input 23 3 5_Table 2A-1_EFT (Annual)" xfId="15146"/>
    <cellStyle name="Input 23 3 6" xfId="9655"/>
    <cellStyle name="Input 23 3 6 2" xfId="21796"/>
    <cellStyle name="Input 23 3 7" xfId="16683"/>
    <cellStyle name="Input 23 3_Table 2A-1_EFT (Annual)" xfId="3036"/>
    <cellStyle name="Input 23 4" xfId="1238"/>
    <cellStyle name="Input 23 4 2" xfId="2508"/>
    <cellStyle name="Input 23 4 2 2" xfId="6069"/>
    <cellStyle name="Input 23 4 2 2 2" xfId="14263"/>
    <cellStyle name="Input 23 4 2 2 2 2" xfId="26235"/>
    <cellStyle name="Input 23 4 2 2 3" xfId="21122"/>
    <cellStyle name="Input 23 4 2 2_Table 2A-1_EFT (Annual)" xfId="15147"/>
    <cellStyle name="Input 23 4 2 3" xfId="11605"/>
    <cellStyle name="Input 23 4 2 3 2" xfId="23689"/>
    <cellStyle name="Input 23 4 2 4" xfId="18576"/>
    <cellStyle name="Input 23 4 2_Table 2A-1_EFT (Annual)" xfId="6931"/>
    <cellStyle name="Input 23 4 3" xfId="4799"/>
    <cellStyle name="Input 23 4 3 2" xfId="13059"/>
    <cellStyle name="Input 23 4 3 2 2" xfId="25065"/>
    <cellStyle name="Input 23 4 3 3" xfId="19952"/>
    <cellStyle name="Input 23 4 3_Table 2A-1_EFT (Annual)" xfId="15148"/>
    <cellStyle name="Input 23 4 4" xfId="10403"/>
    <cellStyle name="Input 23 4 4 2" xfId="22519"/>
    <cellStyle name="Input 23 4 5" xfId="17406"/>
    <cellStyle name="Input 23 4_Table 2A-1_EFT (Annual)" xfId="6930"/>
    <cellStyle name="Input 23 5" xfId="792"/>
    <cellStyle name="Input 23 5 2" xfId="4353"/>
    <cellStyle name="Input 23 5 2 2" xfId="12633"/>
    <cellStyle name="Input 23 5 2 2 2" xfId="24650"/>
    <cellStyle name="Input 23 5 2 3" xfId="19537"/>
    <cellStyle name="Input 23 5 2_Table 2A-1_EFT (Annual)" xfId="15149"/>
    <cellStyle name="Input 23 5 3" xfId="9981"/>
    <cellStyle name="Input 23 5 3 2" xfId="22104"/>
    <cellStyle name="Input 23 5 4" xfId="16991"/>
    <cellStyle name="Input 23 5_Table 2A-1_EFT (Annual)" xfId="6932"/>
    <cellStyle name="Input 23 6" xfId="1977"/>
    <cellStyle name="Input 23 6 2" xfId="5538"/>
    <cellStyle name="Input 23 6 2 2" xfId="13753"/>
    <cellStyle name="Input 23 6 2 2 2" xfId="25741"/>
    <cellStyle name="Input 23 6 2 3" xfId="20628"/>
    <cellStyle name="Input 23 6 2_Table 2A-1_EFT (Annual)" xfId="15150"/>
    <cellStyle name="Input 23 6 3" xfId="11097"/>
    <cellStyle name="Input 23 6 3 2" xfId="23195"/>
    <cellStyle name="Input 23 6 4" xfId="18082"/>
    <cellStyle name="Input 23 6_Table 2A-1_EFT (Annual)" xfId="6933"/>
    <cellStyle name="Input 23 7" xfId="3779"/>
    <cellStyle name="Input 23 7 2" xfId="12147"/>
    <cellStyle name="Input 23 7 2 2" xfId="24177"/>
    <cellStyle name="Input 23 7 3" xfId="19064"/>
    <cellStyle name="Input 23 7_Table 2A-1_EFT (Annual)" xfId="15151"/>
    <cellStyle name="Input 23 8" xfId="9466"/>
    <cellStyle name="Input 23 8 2" xfId="21631"/>
    <cellStyle name="Input 23 9" xfId="16518"/>
    <cellStyle name="Input 23_Table 2A-1_EFT (Annual)" xfId="3034"/>
    <cellStyle name="Input 24" xfId="222"/>
    <cellStyle name="Input 24 2" xfId="615"/>
    <cellStyle name="Input 24 2 2" xfId="1592"/>
    <cellStyle name="Input 24 2 2 2" xfId="2862"/>
    <cellStyle name="Input 24 2 2 2 2" xfId="6423"/>
    <cellStyle name="Input 24 2 2 2 2 2" xfId="14617"/>
    <cellStyle name="Input 24 2 2 2 2 2 2" xfId="26589"/>
    <cellStyle name="Input 24 2 2 2 2 3" xfId="21476"/>
    <cellStyle name="Input 24 2 2 2 2_Table 2A-1_EFT (Annual)" xfId="15152"/>
    <cellStyle name="Input 24 2 2 2 3" xfId="11959"/>
    <cellStyle name="Input 24 2 2 2 3 2" xfId="24043"/>
    <cellStyle name="Input 24 2 2 2 4" xfId="18930"/>
    <cellStyle name="Input 24 2 2 2_Table 2A-1_EFT (Annual)" xfId="6935"/>
    <cellStyle name="Input 24 2 2 3" xfId="5153"/>
    <cellStyle name="Input 24 2 2 3 2" xfId="13413"/>
    <cellStyle name="Input 24 2 2 3 2 2" xfId="25419"/>
    <cellStyle name="Input 24 2 2 3 3" xfId="20306"/>
    <cellStyle name="Input 24 2 2 3_Table 2A-1_EFT (Annual)" xfId="15153"/>
    <cellStyle name="Input 24 2 2 4" xfId="10757"/>
    <cellStyle name="Input 24 2 2 4 2" xfId="22873"/>
    <cellStyle name="Input 24 2 2 5" xfId="17760"/>
    <cellStyle name="Input 24 2 2_Table 2A-1_EFT (Annual)" xfId="6934"/>
    <cellStyle name="Input 24 2 3" xfId="1108"/>
    <cellStyle name="Input 24 2 3 2" xfId="4669"/>
    <cellStyle name="Input 24 2 3 2 2" xfId="12929"/>
    <cellStyle name="Input 24 2 3 2 2 2" xfId="24935"/>
    <cellStyle name="Input 24 2 3 2 3" xfId="19822"/>
    <cellStyle name="Input 24 2 3 2_Table 2A-1_EFT (Annual)" xfId="15154"/>
    <cellStyle name="Input 24 2 3 3" xfId="10273"/>
    <cellStyle name="Input 24 2 3 3 2" xfId="22389"/>
    <cellStyle name="Input 24 2 3 4" xfId="17276"/>
    <cellStyle name="Input 24 2 3_Table 2A-1_EFT (Annual)" xfId="6936"/>
    <cellStyle name="Input 24 2 4" xfId="2331"/>
    <cellStyle name="Input 24 2 4 2" xfId="5892"/>
    <cellStyle name="Input 24 2 4 2 2" xfId="14107"/>
    <cellStyle name="Input 24 2 4 2 2 2" xfId="26095"/>
    <cellStyle name="Input 24 2 4 2 3" xfId="20982"/>
    <cellStyle name="Input 24 2 4 2_Table 2A-1_EFT (Annual)" xfId="15155"/>
    <cellStyle name="Input 24 2 4 3" xfId="11451"/>
    <cellStyle name="Input 24 2 4 3 2" xfId="23549"/>
    <cellStyle name="Input 24 2 4 4" xfId="18436"/>
    <cellStyle name="Input 24 2 4_Table 2A-1_EFT (Annual)" xfId="6937"/>
    <cellStyle name="Input 24 2 5" xfId="4185"/>
    <cellStyle name="Input 24 2 5 2" xfId="12509"/>
    <cellStyle name="Input 24 2 5 2 2" xfId="24531"/>
    <cellStyle name="Input 24 2 5 3" xfId="19418"/>
    <cellStyle name="Input 24 2 5_Table 2A-1_EFT (Annual)" xfId="15156"/>
    <cellStyle name="Input 24 2 6" xfId="9848"/>
    <cellStyle name="Input 24 2 6 2" xfId="21985"/>
    <cellStyle name="Input 24 2 7" xfId="16872"/>
    <cellStyle name="Input 24 2_Table 2A-1_EFT (Annual)" xfId="3038"/>
    <cellStyle name="Input 24 3" xfId="449"/>
    <cellStyle name="Input 24 3 2" xfId="1432"/>
    <cellStyle name="Input 24 3 2 2" xfId="2702"/>
    <cellStyle name="Input 24 3 2 2 2" xfId="6263"/>
    <cellStyle name="Input 24 3 2 2 2 2" xfId="14457"/>
    <cellStyle name="Input 24 3 2 2 2 2 2" xfId="26429"/>
    <cellStyle name="Input 24 3 2 2 2 3" xfId="21316"/>
    <cellStyle name="Input 24 3 2 2 2_Table 2A-1_EFT (Annual)" xfId="15157"/>
    <cellStyle name="Input 24 3 2 2 3" xfId="11799"/>
    <cellStyle name="Input 24 3 2 2 3 2" xfId="23883"/>
    <cellStyle name="Input 24 3 2 2 4" xfId="18770"/>
    <cellStyle name="Input 24 3 2 2_Table 2A-1_EFT (Annual)" xfId="6939"/>
    <cellStyle name="Input 24 3 2 3" xfId="4993"/>
    <cellStyle name="Input 24 3 2 3 2" xfId="13253"/>
    <cellStyle name="Input 24 3 2 3 2 2" xfId="25259"/>
    <cellStyle name="Input 24 3 2 3 3" xfId="20146"/>
    <cellStyle name="Input 24 3 2 3_Table 2A-1_EFT (Annual)" xfId="15158"/>
    <cellStyle name="Input 24 3 2 4" xfId="10597"/>
    <cellStyle name="Input 24 3 2 4 2" xfId="22713"/>
    <cellStyle name="Input 24 3 2 5" xfId="17600"/>
    <cellStyle name="Input 24 3 2_Table 2A-1_EFT (Annual)" xfId="6938"/>
    <cellStyle name="Input 24 3 3" xfId="973"/>
    <cellStyle name="Input 24 3 3 2" xfId="4534"/>
    <cellStyle name="Input 24 3 3 2 2" xfId="12796"/>
    <cellStyle name="Input 24 3 3 2 2 2" xfId="24806"/>
    <cellStyle name="Input 24 3 3 2 3" xfId="19693"/>
    <cellStyle name="Input 24 3 3 2_Table 2A-1_EFT (Annual)" xfId="15159"/>
    <cellStyle name="Input 24 3 3 3" xfId="10143"/>
    <cellStyle name="Input 24 3 3 3 2" xfId="22260"/>
    <cellStyle name="Input 24 3 3 4" xfId="17147"/>
    <cellStyle name="Input 24 3 3_Table 2A-1_EFT (Annual)" xfId="6940"/>
    <cellStyle name="Input 24 3 4" xfId="2171"/>
    <cellStyle name="Input 24 3 4 2" xfId="5732"/>
    <cellStyle name="Input 24 3 4 2 2" xfId="13947"/>
    <cellStyle name="Input 24 3 4 2 2 2" xfId="25935"/>
    <cellStyle name="Input 24 3 4 2 3" xfId="20822"/>
    <cellStyle name="Input 24 3 4 2_Table 2A-1_EFT (Annual)" xfId="15160"/>
    <cellStyle name="Input 24 3 4 3" xfId="11291"/>
    <cellStyle name="Input 24 3 4 3 2" xfId="23389"/>
    <cellStyle name="Input 24 3 4 4" xfId="18276"/>
    <cellStyle name="Input 24 3 4_Table 2A-1_EFT (Annual)" xfId="6941"/>
    <cellStyle name="Input 24 3 5" xfId="4019"/>
    <cellStyle name="Input 24 3 5 2" xfId="12347"/>
    <cellStyle name="Input 24 3 5 2 2" xfId="24371"/>
    <cellStyle name="Input 24 3 5 3" xfId="19258"/>
    <cellStyle name="Input 24 3 5_Table 2A-1_EFT (Annual)" xfId="15161"/>
    <cellStyle name="Input 24 3 6" xfId="9684"/>
    <cellStyle name="Input 24 3 6 2" xfId="21825"/>
    <cellStyle name="Input 24 3 7" xfId="16712"/>
    <cellStyle name="Input 24 3_Table 2A-1_EFT (Annual)" xfId="3039"/>
    <cellStyle name="Input 24 4" xfId="1270"/>
    <cellStyle name="Input 24 4 2" xfId="2540"/>
    <cellStyle name="Input 24 4 2 2" xfId="6101"/>
    <cellStyle name="Input 24 4 2 2 2" xfId="14295"/>
    <cellStyle name="Input 24 4 2 2 2 2" xfId="26267"/>
    <cellStyle name="Input 24 4 2 2 3" xfId="21154"/>
    <cellStyle name="Input 24 4 2 2_Table 2A-1_EFT (Annual)" xfId="15162"/>
    <cellStyle name="Input 24 4 2 3" xfId="11637"/>
    <cellStyle name="Input 24 4 2 3 2" xfId="23721"/>
    <cellStyle name="Input 24 4 2 4" xfId="18608"/>
    <cellStyle name="Input 24 4 2_Table 2A-1_EFT (Annual)" xfId="6943"/>
    <cellStyle name="Input 24 4 3" xfId="4831"/>
    <cellStyle name="Input 24 4 3 2" xfId="13091"/>
    <cellStyle name="Input 24 4 3 2 2" xfId="25097"/>
    <cellStyle name="Input 24 4 3 3" xfId="19984"/>
    <cellStyle name="Input 24 4 3_Table 2A-1_EFT (Annual)" xfId="15163"/>
    <cellStyle name="Input 24 4 4" xfId="10435"/>
    <cellStyle name="Input 24 4 4 2" xfId="22551"/>
    <cellStyle name="Input 24 4 5" xfId="17438"/>
    <cellStyle name="Input 24 4_Table 2A-1_EFT (Annual)" xfId="6942"/>
    <cellStyle name="Input 24 5" xfId="817"/>
    <cellStyle name="Input 24 5 2" xfId="4378"/>
    <cellStyle name="Input 24 5 2 2" xfId="12658"/>
    <cellStyle name="Input 24 5 2 2 2" xfId="24675"/>
    <cellStyle name="Input 24 5 2 3" xfId="19562"/>
    <cellStyle name="Input 24 5 2_Table 2A-1_EFT (Annual)" xfId="15164"/>
    <cellStyle name="Input 24 5 3" xfId="10006"/>
    <cellStyle name="Input 24 5 3 2" xfId="22129"/>
    <cellStyle name="Input 24 5 4" xfId="17016"/>
    <cellStyle name="Input 24 5_Table 2A-1_EFT (Annual)" xfId="6944"/>
    <cellStyle name="Input 24 6" xfId="2009"/>
    <cellStyle name="Input 24 6 2" xfId="5570"/>
    <cellStyle name="Input 24 6 2 2" xfId="13785"/>
    <cellStyle name="Input 24 6 2 2 2" xfId="25773"/>
    <cellStyle name="Input 24 6 2 3" xfId="20660"/>
    <cellStyle name="Input 24 6 2_Table 2A-1_EFT (Annual)" xfId="15165"/>
    <cellStyle name="Input 24 6 3" xfId="11129"/>
    <cellStyle name="Input 24 6 3 2" xfId="23227"/>
    <cellStyle name="Input 24 6 4" xfId="18114"/>
    <cellStyle name="Input 24 6_Table 2A-1_EFT (Annual)" xfId="6945"/>
    <cellStyle name="Input 24 7" xfId="3811"/>
    <cellStyle name="Input 24 7 2" xfId="12179"/>
    <cellStyle name="Input 24 7 2 2" xfId="24209"/>
    <cellStyle name="Input 24 7 3" xfId="19096"/>
    <cellStyle name="Input 24 7_Table 2A-1_EFT (Annual)" xfId="15166"/>
    <cellStyle name="Input 24 8" xfId="9498"/>
    <cellStyle name="Input 24 8 2" xfId="21663"/>
    <cellStyle name="Input 24 9" xfId="16550"/>
    <cellStyle name="Input 24_Table 2A-1_EFT (Annual)" xfId="3037"/>
    <cellStyle name="Input 25" xfId="204"/>
    <cellStyle name="Input 25 2" xfId="597"/>
    <cellStyle name="Input 25 2 2" xfId="1574"/>
    <cellStyle name="Input 25 2 2 2" xfId="2844"/>
    <cellStyle name="Input 25 2 2 2 2" xfId="6405"/>
    <cellStyle name="Input 25 2 2 2 2 2" xfId="14599"/>
    <cellStyle name="Input 25 2 2 2 2 2 2" xfId="26571"/>
    <cellStyle name="Input 25 2 2 2 2 3" xfId="21458"/>
    <cellStyle name="Input 25 2 2 2 2_Table 2A-1_EFT (Annual)" xfId="15167"/>
    <cellStyle name="Input 25 2 2 2 3" xfId="11941"/>
    <cellStyle name="Input 25 2 2 2 3 2" xfId="24025"/>
    <cellStyle name="Input 25 2 2 2 4" xfId="18912"/>
    <cellStyle name="Input 25 2 2 2_Table 2A-1_EFT (Annual)" xfId="6947"/>
    <cellStyle name="Input 25 2 2 3" xfId="5135"/>
    <cellStyle name="Input 25 2 2 3 2" xfId="13395"/>
    <cellStyle name="Input 25 2 2 3 2 2" xfId="25401"/>
    <cellStyle name="Input 25 2 2 3 3" xfId="20288"/>
    <cellStyle name="Input 25 2 2 3_Table 2A-1_EFT (Annual)" xfId="15168"/>
    <cellStyle name="Input 25 2 2 4" xfId="10739"/>
    <cellStyle name="Input 25 2 2 4 2" xfId="22855"/>
    <cellStyle name="Input 25 2 2 5" xfId="17742"/>
    <cellStyle name="Input 25 2 2_Table 2A-1_EFT (Annual)" xfId="6946"/>
    <cellStyle name="Input 25 2 3" xfId="1094"/>
    <cellStyle name="Input 25 2 3 2" xfId="4655"/>
    <cellStyle name="Input 25 2 3 2 2" xfId="12915"/>
    <cellStyle name="Input 25 2 3 2 2 2" xfId="24921"/>
    <cellStyle name="Input 25 2 3 2 3" xfId="19808"/>
    <cellStyle name="Input 25 2 3 2_Table 2A-1_EFT (Annual)" xfId="15169"/>
    <cellStyle name="Input 25 2 3 3" xfId="10259"/>
    <cellStyle name="Input 25 2 3 3 2" xfId="22375"/>
    <cellStyle name="Input 25 2 3 4" xfId="17262"/>
    <cellStyle name="Input 25 2 3_Table 2A-1_EFT (Annual)" xfId="6948"/>
    <cellStyle name="Input 25 2 4" xfId="2313"/>
    <cellStyle name="Input 25 2 4 2" xfId="5874"/>
    <cellStyle name="Input 25 2 4 2 2" xfId="14089"/>
    <cellStyle name="Input 25 2 4 2 2 2" xfId="26077"/>
    <cellStyle name="Input 25 2 4 2 3" xfId="20964"/>
    <cellStyle name="Input 25 2 4 2_Table 2A-1_EFT (Annual)" xfId="15170"/>
    <cellStyle name="Input 25 2 4 3" xfId="11433"/>
    <cellStyle name="Input 25 2 4 3 2" xfId="23531"/>
    <cellStyle name="Input 25 2 4 4" xfId="18418"/>
    <cellStyle name="Input 25 2 4_Table 2A-1_EFT (Annual)" xfId="6949"/>
    <cellStyle name="Input 25 2 5" xfId="4167"/>
    <cellStyle name="Input 25 2 5 2" xfId="12491"/>
    <cellStyle name="Input 25 2 5 2 2" xfId="24513"/>
    <cellStyle name="Input 25 2 5 3" xfId="19400"/>
    <cellStyle name="Input 25 2 5_Table 2A-1_EFT (Annual)" xfId="15171"/>
    <cellStyle name="Input 25 2 6" xfId="9830"/>
    <cellStyle name="Input 25 2 6 2" xfId="21967"/>
    <cellStyle name="Input 25 2 7" xfId="16854"/>
    <cellStyle name="Input 25 2_Table 2A-1_EFT (Annual)" xfId="3041"/>
    <cellStyle name="Input 25 3" xfId="433"/>
    <cellStyle name="Input 25 3 2" xfId="1416"/>
    <cellStyle name="Input 25 3 2 2" xfId="2686"/>
    <cellStyle name="Input 25 3 2 2 2" xfId="6247"/>
    <cellStyle name="Input 25 3 2 2 2 2" xfId="14441"/>
    <cellStyle name="Input 25 3 2 2 2 2 2" xfId="26413"/>
    <cellStyle name="Input 25 3 2 2 2 3" xfId="21300"/>
    <cellStyle name="Input 25 3 2 2 2_Table 2A-1_EFT (Annual)" xfId="15172"/>
    <cellStyle name="Input 25 3 2 2 3" xfId="11783"/>
    <cellStyle name="Input 25 3 2 2 3 2" xfId="23867"/>
    <cellStyle name="Input 25 3 2 2 4" xfId="18754"/>
    <cellStyle name="Input 25 3 2 2_Table 2A-1_EFT (Annual)" xfId="6951"/>
    <cellStyle name="Input 25 3 2 3" xfId="4977"/>
    <cellStyle name="Input 25 3 2 3 2" xfId="13237"/>
    <cellStyle name="Input 25 3 2 3 2 2" xfId="25243"/>
    <cellStyle name="Input 25 3 2 3 3" xfId="20130"/>
    <cellStyle name="Input 25 3 2 3_Table 2A-1_EFT (Annual)" xfId="15173"/>
    <cellStyle name="Input 25 3 2 4" xfId="10581"/>
    <cellStyle name="Input 25 3 2 4 2" xfId="22697"/>
    <cellStyle name="Input 25 3 2 5" xfId="17584"/>
    <cellStyle name="Input 25 3 2_Table 2A-1_EFT (Annual)" xfId="6950"/>
    <cellStyle name="Input 25 3 3" xfId="960"/>
    <cellStyle name="Input 25 3 3 2" xfId="4521"/>
    <cellStyle name="Input 25 3 3 2 2" xfId="12783"/>
    <cellStyle name="Input 25 3 3 2 2 2" xfId="24793"/>
    <cellStyle name="Input 25 3 3 2 3" xfId="19680"/>
    <cellStyle name="Input 25 3 3 2_Table 2A-1_EFT (Annual)" xfId="15174"/>
    <cellStyle name="Input 25 3 3 3" xfId="10130"/>
    <cellStyle name="Input 25 3 3 3 2" xfId="22247"/>
    <cellStyle name="Input 25 3 3 4" xfId="17134"/>
    <cellStyle name="Input 25 3 3_Table 2A-1_EFT (Annual)" xfId="6952"/>
    <cellStyle name="Input 25 3 4" xfId="2155"/>
    <cellStyle name="Input 25 3 4 2" xfId="5716"/>
    <cellStyle name="Input 25 3 4 2 2" xfId="13931"/>
    <cellStyle name="Input 25 3 4 2 2 2" xfId="25919"/>
    <cellStyle name="Input 25 3 4 2 3" xfId="20806"/>
    <cellStyle name="Input 25 3 4 2_Table 2A-1_EFT (Annual)" xfId="15175"/>
    <cellStyle name="Input 25 3 4 3" xfId="11275"/>
    <cellStyle name="Input 25 3 4 3 2" xfId="23373"/>
    <cellStyle name="Input 25 3 4 4" xfId="18260"/>
    <cellStyle name="Input 25 3 4_Table 2A-1_EFT (Annual)" xfId="6953"/>
    <cellStyle name="Input 25 3 5" xfId="4003"/>
    <cellStyle name="Input 25 3 5 2" xfId="12331"/>
    <cellStyle name="Input 25 3 5 2 2" xfId="24355"/>
    <cellStyle name="Input 25 3 5 3" xfId="19242"/>
    <cellStyle name="Input 25 3 5_Table 2A-1_EFT (Annual)" xfId="15176"/>
    <cellStyle name="Input 25 3 6" xfId="9668"/>
    <cellStyle name="Input 25 3 6 2" xfId="21809"/>
    <cellStyle name="Input 25 3 7" xfId="16696"/>
    <cellStyle name="Input 25 3_Table 2A-1_EFT (Annual)" xfId="3042"/>
    <cellStyle name="Input 25 4" xfId="1252"/>
    <cellStyle name="Input 25 4 2" xfId="2522"/>
    <cellStyle name="Input 25 4 2 2" xfId="6083"/>
    <cellStyle name="Input 25 4 2 2 2" xfId="14277"/>
    <cellStyle name="Input 25 4 2 2 2 2" xfId="26249"/>
    <cellStyle name="Input 25 4 2 2 3" xfId="21136"/>
    <cellStyle name="Input 25 4 2 2_Table 2A-1_EFT (Annual)" xfId="15177"/>
    <cellStyle name="Input 25 4 2 3" xfId="11619"/>
    <cellStyle name="Input 25 4 2 3 2" xfId="23703"/>
    <cellStyle name="Input 25 4 2 4" xfId="18590"/>
    <cellStyle name="Input 25 4 2_Table 2A-1_EFT (Annual)" xfId="6955"/>
    <cellStyle name="Input 25 4 3" xfId="4813"/>
    <cellStyle name="Input 25 4 3 2" xfId="13073"/>
    <cellStyle name="Input 25 4 3 2 2" xfId="25079"/>
    <cellStyle name="Input 25 4 3 3" xfId="19966"/>
    <cellStyle name="Input 25 4 3_Table 2A-1_EFT (Annual)" xfId="15178"/>
    <cellStyle name="Input 25 4 4" xfId="10417"/>
    <cellStyle name="Input 25 4 4 2" xfId="22533"/>
    <cellStyle name="Input 25 4 5" xfId="17420"/>
    <cellStyle name="Input 25 4_Table 2A-1_EFT (Annual)" xfId="6954"/>
    <cellStyle name="Input 25 5" xfId="803"/>
    <cellStyle name="Input 25 5 2" xfId="4364"/>
    <cellStyle name="Input 25 5 2 2" xfId="12644"/>
    <cellStyle name="Input 25 5 2 2 2" xfId="24661"/>
    <cellStyle name="Input 25 5 2 3" xfId="19548"/>
    <cellStyle name="Input 25 5 2_Table 2A-1_EFT (Annual)" xfId="15179"/>
    <cellStyle name="Input 25 5 3" xfId="9992"/>
    <cellStyle name="Input 25 5 3 2" xfId="22115"/>
    <cellStyle name="Input 25 5 4" xfId="17002"/>
    <cellStyle name="Input 25 5_Table 2A-1_EFT (Annual)" xfId="6956"/>
    <cellStyle name="Input 25 6" xfId="1991"/>
    <cellStyle name="Input 25 6 2" xfId="5552"/>
    <cellStyle name="Input 25 6 2 2" xfId="13767"/>
    <cellStyle name="Input 25 6 2 2 2" xfId="25755"/>
    <cellStyle name="Input 25 6 2 3" xfId="20642"/>
    <cellStyle name="Input 25 6 2_Table 2A-1_EFT (Annual)" xfId="15180"/>
    <cellStyle name="Input 25 6 3" xfId="11111"/>
    <cellStyle name="Input 25 6 3 2" xfId="23209"/>
    <cellStyle name="Input 25 6 4" xfId="18096"/>
    <cellStyle name="Input 25 6_Table 2A-1_EFT (Annual)" xfId="6957"/>
    <cellStyle name="Input 25 7" xfId="3793"/>
    <cellStyle name="Input 25 7 2" xfId="12161"/>
    <cellStyle name="Input 25 7 2 2" xfId="24191"/>
    <cellStyle name="Input 25 7 3" xfId="19078"/>
    <cellStyle name="Input 25 7_Table 2A-1_EFT (Annual)" xfId="15181"/>
    <cellStyle name="Input 25 8" xfId="9480"/>
    <cellStyle name="Input 25 8 2" xfId="21645"/>
    <cellStyle name="Input 25 9" xfId="16532"/>
    <cellStyle name="Input 25_Table 2A-1_EFT (Annual)" xfId="3040"/>
    <cellStyle name="Input 26" xfId="220"/>
    <cellStyle name="Input 26 2" xfId="613"/>
    <cellStyle name="Input 26 2 2" xfId="1590"/>
    <cellStyle name="Input 26 2 2 2" xfId="2860"/>
    <cellStyle name="Input 26 2 2 2 2" xfId="6421"/>
    <cellStyle name="Input 26 2 2 2 2 2" xfId="14615"/>
    <cellStyle name="Input 26 2 2 2 2 2 2" xfId="26587"/>
    <cellStyle name="Input 26 2 2 2 2 3" xfId="21474"/>
    <cellStyle name="Input 26 2 2 2 2_Table 2A-1_EFT (Annual)" xfId="15182"/>
    <cellStyle name="Input 26 2 2 2 3" xfId="11957"/>
    <cellStyle name="Input 26 2 2 2 3 2" xfId="24041"/>
    <cellStyle name="Input 26 2 2 2 4" xfId="18928"/>
    <cellStyle name="Input 26 2 2 2_Table 2A-1_EFT (Annual)" xfId="6959"/>
    <cellStyle name="Input 26 2 2 3" xfId="5151"/>
    <cellStyle name="Input 26 2 2 3 2" xfId="13411"/>
    <cellStyle name="Input 26 2 2 3 2 2" xfId="25417"/>
    <cellStyle name="Input 26 2 2 3 3" xfId="20304"/>
    <cellStyle name="Input 26 2 2 3_Table 2A-1_EFT (Annual)" xfId="15183"/>
    <cellStyle name="Input 26 2 2 4" xfId="10755"/>
    <cellStyle name="Input 26 2 2 4 2" xfId="22871"/>
    <cellStyle name="Input 26 2 2 5" xfId="17758"/>
    <cellStyle name="Input 26 2 2_Table 2A-1_EFT (Annual)" xfId="6958"/>
    <cellStyle name="Input 26 2 3" xfId="1107"/>
    <cellStyle name="Input 26 2 3 2" xfId="4668"/>
    <cellStyle name="Input 26 2 3 2 2" xfId="12928"/>
    <cellStyle name="Input 26 2 3 2 2 2" xfId="24934"/>
    <cellStyle name="Input 26 2 3 2 3" xfId="19821"/>
    <cellStyle name="Input 26 2 3 2_Table 2A-1_EFT (Annual)" xfId="15184"/>
    <cellStyle name="Input 26 2 3 3" xfId="10272"/>
    <cellStyle name="Input 26 2 3 3 2" xfId="22388"/>
    <cellStyle name="Input 26 2 3 4" xfId="17275"/>
    <cellStyle name="Input 26 2 3_Table 2A-1_EFT (Annual)" xfId="6960"/>
    <cellStyle name="Input 26 2 4" xfId="2329"/>
    <cellStyle name="Input 26 2 4 2" xfId="5890"/>
    <cellStyle name="Input 26 2 4 2 2" xfId="14105"/>
    <cellStyle name="Input 26 2 4 2 2 2" xfId="26093"/>
    <cellStyle name="Input 26 2 4 2 3" xfId="20980"/>
    <cellStyle name="Input 26 2 4 2_Table 2A-1_EFT (Annual)" xfId="15185"/>
    <cellStyle name="Input 26 2 4 3" xfId="11449"/>
    <cellStyle name="Input 26 2 4 3 2" xfId="23547"/>
    <cellStyle name="Input 26 2 4 4" xfId="18434"/>
    <cellStyle name="Input 26 2 4_Table 2A-1_EFT (Annual)" xfId="6961"/>
    <cellStyle name="Input 26 2 5" xfId="4183"/>
    <cellStyle name="Input 26 2 5 2" xfId="12507"/>
    <cellStyle name="Input 26 2 5 2 2" xfId="24529"/>
    <cellStyle name="Input 26 2 5 3" xfId="19416"/>
    <cellStyle name="Input 26 2 5_Table 2A-1_EFT (Annual)" xfId="15186"/>
    <cellStyle name="Input 26 2 6" xfId="9846"/>
    <cellStyle name="Input 26 2 6 2" xfId="21983"/>
    <cellStyle name="Input 26 2 7" xfId="16870"/>
    <cellStyle name="Input 26 2_Table 2A-1_EFT (Annual)" xfId="3044"/>
    <cellStyle name="Input 26 3" xfId="448"/>
    <cellStyle name="Input 26 3 2" xfId="1431"/>
    <cellStyle name="Input 26 3 2 2" xfId="2701"/>
    <cellStyle name="Input 26 3 2 2 2" xfId="6262"/>
    <cellStyle name="Input 26 3 2 2 2 2" xfId="14456"/>
    <cellStyle name="Input 26 3 2 2 2 2 2" xfId="26428"/>
    <cellStyle name="Input 26 3 2 2 2 3" xfId="21315"/>
    <cellStyle name="Input 26 3 2 2 2_Table 2A-1_EFT (Annual)" xfId="15187"/>
    <cellStyle name="Input 26 3 2 2 3" xfId="11798"/>
    <cellStyle name="Input 26 3 2 2 3 2" xfId="23882"/>
    <cellStyle name="Input 26 3 2 2 4" xfId="18769"/>
    <cellStyle name="Input 26 3 2 2_Table 2A-1_EFT (Annual)" xfId="6963"/>
    <cellStyle name="Input 26 3 2 3" xfId="4992"/>
    <cellStyle name="Input 26 3 2 3 2" xfId="13252"/>
    <cellStyle name="Input 26 3 2 3 2 2" xfId="25258"/>
    <cellStyle name="Input 26 3 2 3 3" xfId="20145"/>
    <cellStyle name="Input 26 3 2 3_Table 2A-1_EFT (Annual)" xfId="15188"/>
    <cellStyle name="Input 26 3 2 4" xfId="10596"/>
    <cellStyle name="Input 26 3 2 4 2" xfId="22712"/>
    <cellStyle name="Input 26 3 2 5" xfId="17599"/>
    <cellStyle name="Input 26 3 2_Table 2A-1_EFT (Annual)" xfId="6962"/>
    <cellStyle name="Input 26 3 3" xfId="972"/>
    <cellStyle name="Input 26 3 3 2" xfId="4533"/>
    <cellStyle name="Input 26 3 3 2 2" xfId="12795"/>
    <cellStyle name="Input 26 3 3 2 2 2" xfId="24805"/>
    <cellStyle name="Input 26 3 3 2 3" xfId="19692"/>
    <cellStyle name="Input 26 3 3 2_Table 2A-1_EFT (Annual)" xfId="15189"/>
    <cellStyle name="Input 26 3 3 3" xfId="10142"/>
    <cellStyle name="Input 26 3 3 3 2" xfId="22259"/>
    <cellStyle name="Input 26 3 3 4" xfId="17146"/>
    <cellStyle name="Input 26 3 3_Table 2A-1_EFT (Annual)" xfId="6964"/>
    <cellStyle name="Input 26 3 4" xfId="2170"/>
    <cellStyle name="Input 26 3 4 2" xfId="5731"/>
    <cellStyle name="Input 26 3 4 2 2" xfId="13946"/>
    <cellStyle name="Input 26 3 4 2 2 2" xfId="25934"/>
    <cellStyle name="Input 26 3 4 2 3" xfId="20821"/>
    <cellStyle name="Input 26 3 4 2_Table 2A-1_EFT (Annual)" xfId="15190"/>
    <cellStyle name="Input 26 3 4 3" xfId="11290"/>
    <cellStyle name="Input 26 3 4 3 2" xfId="23388"/>
    <cellStyle name="Input 26 3 4 4" xfId="18275"/>
    <cellStyle name="Input 26 3 4_Table 2A-1_EFT (Annual)" xfId="6965"/>
    <cellStyle name="Input 26 3 5" xfId="4018"/>
    <cellStyle name="Input 26 3 5 2" xfId="12346"/>
    <cellStyle name="Input 26 3 5 2 2" xfId="24370"/>
    <cellStyle name="Input 26 3 5 3" xfId="19257"/>
    <cellStyle name="Input 26 3 5_Table 2A-1_EFT (Annual)" xfId="15191"/>
    <cellStyle name="Input 26 3 6" xfId="9683"/>
    <cellStyle name="Input 26 3 6 2" xfId="21824"/>
    <cellStyle name="Input 26 3 7" xfId="16711"/>
    <cellStyle name="Input 26 3_Table 2A-1_EFT (Annual)" xfId="3045"/>
    <cellStyle name="Input 26 4" xfId="1268"/>
    <cellStyle name="Input 26 4 2" xfId="2538"/>
    <cellStyle name="Input 26 4 2 2" xfId="6099"/>
    <cellStyle name="Input 26 4 2 2 2" xfId="14293"/>
    <cellStyle name="Input 26 4 2 2 2 2" xfId="26265"/>
    <cellStyle name="Input 26 4 2 2 3" xfId="21152"/>
    <cellStyle name="Input 26 4 2 2_Table 2A-1_EFT (Annual)" xfId="15192"/>
    <cellStyle name="Input 26 4 2 3" xfId="11635"/>
    <cellStyle name="Input 26 4 2 3 2" xfId="23719"/>
    <cellStyle name="Input 26 4 2 4" xfId="18606"/>
    <cellStyle name="Input 26 4 2_Table 2A-1_EFT (Annual)" xfId="6967"/>
    <cellStyle name="Input 26 4 3" xfId="4829"/>
    <cellStyle name="Input 26 4 3 2" xfId="13089"/>
    <cellStyle name="Input 26 4 3 2 2" xfId="25095"/>
    <cellStyle name="Input 26 4 3 3" xfId="19982"/>
    <cellStyle name="Input 26 4 3_Table 2A-1_EFT (Annual)" xfId="15193"/>
    <cellStyle name="Input 26 4 4" xfId="10433"/>
    <cellStyle name="Input 26 4 4 2" xfId="22549"/>
    <cellStyle name="Input 26 4 5" xfId="17436"/>
    <cellStyle name="Input 26 4_Table 2A-1_EFT (Annual)" xfId="6966"/>
    <cellStyle name="Input 26 5" xfId="816"/>
    <cellStyle name="Input 26 5 2" xfId="4377"/>
    <cellStyle name="Input 26 5 2 2" xfId="12657"/>
    <cellStyle name="Input 26 5 2 2 2" xfId="24674"/>
    <cellStyle name="Input 26 5 2 3" xfId="19561"/>
    <cellStyle name="Input 26 5 2_Table 2A-1_EFT (Annual)" xfId="15194"/>
    <cellStyle name="Input 26 5 3" xfId="10005"/>
    <cellStyle name="Input 26 5 3 2" xfId="22128"/>
    <cellStyle name="Input 26 5 4" xfId="17015"/>
    <cellStyle name="Input 26 5_Table 2A-1_EFT (Annual)" xfId="6968"/>
    <cellStyle name="Input 26 6" xfId="2007"/>
    <cellStyle name="Input 26 6 2" xfId="5568"/>
    <cellStyle name="Input 26 6 2 2" xfId="13783"/>
    <cellStyle name="Input 26 6 2 2 2" xfId="25771"/>
    <cellStyle name="Input 26 6 2 3" xfId="20658"/>
    <cellStyle name="Input 26 6 2_Table 2A-1_EFT (Annual)" xfId="15195"/>
    <cellStyle name="Input 26 6 3" xfId="11127"/>
    <cellStyle name="Input 26 6 3 2" xfId="23225"/>
    <cellStyle name="Input 26 6 4" xfId="18112"/>
    <cellStyle name="Input 26 6_Table 2A-1_EFT (Annual)" xfId="6969"/>
    <cellStyle name="Input 26 7" xfId="3809"/>
    <cellStyle name="Input 26 7 2" xfId="12177"/>
    <cellStyle name="Input 26 7 2 2" xfId="24207"/>
    <cellStyle name="Input 26 7 3" xfId="19094"/>
    <cellStyle name="Input 26 7_Table 2A-1_EFT (Annual)" xfId="15196"/>
    <cellStyle name="Input 26 8" xfId="9496"/>
    <cellStyle name="Input 26 8 2" xfId="21661"/>
    <cellStyle name="Input 26 9" xfId="16548"/>
    <cellStyle name="Input 26_Table 2A-1_EFT (Annual)" xfId="3043"/>
    <cellStyle name="Input 27" xfId="238"/>
    <cellStyle name="Input 27 2" xfId="625"/>
    <cellStyle name="Input 27 2 2" xfId="1602"/>
    <cellStyle name="Input 27 2 2 2" xfId="2872"/>
    <cellStyle name="Input 27 2 2 2 2" xfId="6433"/>
    <cellStyle name="Input 27 2 2 2 2 2" xfId="14627"/>
    <cellStyle name="Input 27 2 2 2 2 2 2" xfId="26599"/>
    <cellStyle name="Input 27 2 2 2 2 3" xfId="21486"/>
    <cellStyle name="Input 27 2 2 2 2_Table 2A-1_EFT (Annual)" xfId="15197"/>
    <cellStyle name="Input 27 2 2 2 3" xfId="11969"/>
    <cellStyle name="Input 27 2 2 2 3 2" xfId="24053"/>
    <cellStyle name="Input 27 2 2 2 4" xfId="18940"/>
    <cellStyle name="Input 27 2 2 2_Table 2A-1_EFT (Annual)" xfId="6971"/>
    <cellStyle name="Input 27 2 2 3" xfId="5163"/>
    <cellStyle name="Input 27 2 2 3 2" xfId="13423"/>
    <cellStyle name="Input 27 2 2 3 2 2" xfId="25429"/>
    <cellStyle name="Input 27 2 2 3 3" xfId="20316"/>
    <cellStyle name="Input 27 2 2 3_Table 2A-1_EFT (Annual)" xfId="15198"/>
    <cellStyle name="Input 27 2 2 4" xfId="10767"/>
    <cellStyle name="Input 27 2 2 4 2" xfId="22883"/>
    <cellStyle name="Input 27 2 2 5" xfId="17770"/>
    <cellStyle name="Input 27 2 2_Table 2A-1_EFT (Annual)" xfId="6970"/>
    <cellStyle name="Input 27 2 3" xfId="1116"/>
    <cellStyle name="Input 27 2 3 2" xfId="4677"/>
    <cellStyle name="Input 27 2 3 2 2" xfId="12937"/>
    <cellStyle name="Input 27 2 3 2 2 2" xfId="24943"/>
    <cellStyle name="Input 27 2 3 2 3" xfId="19830"/>
    <cellStyle name="Input 27 2 3 2_Table 2A-1_EFT (Annual)" xfId="15199"/>
    <cellStyle name="Input 27 2 3 3" xfId="10281"/>
    <cellStyle name="Input 27 2 3 3 2" xfId="22397"/>
    <cellStyle name="Input 27 2 3 4" xfId="17284"/>
    <cellStyle name="Input 27 2 3_Table 2A-1_EFT (Annual)" xfId="6972"/>
    <cellStyle name="Input 27 2 4" xfId="2341"/>
    <cellStyle name="Input 27 2 4 2" xfId="5902"/>
    <cellStyle name="Input 27 2 4 2 2" xfId="14117"/>
    <cellStyle name="Input 27 2 4 2 2 2" xfId="26105"/>
    <cellStyle name="Input 27 2 4 2 3" xfId="20992"/>
    <cellStyle name="Input 27 2 4 2_Table 2A-1_EFT (Annual)" xfId="15200"/>
    <cellStyle name="Input 27 2 4 3" xfId="11461"/>
    <cellStyle name="Input 27 2 4 3 2" xfId="23559"/>
    <cellStyle name="Input 27 2 4 4" xfId="18446"/>
    <cellStyle name="Input 27 2 4_Table 2A-1_EFT (Annual)" xfId="6973"/>
    <cellStyle name="Input 27 2 5" xfId="4195"/>
    <cellStyle name="Input 27 2 5 2" xfId="12519"/>
    <cellStyle name="Input 27 2 5 2 2" xfId="24541"/>
    <cellStyle name="Input 27 2 5 3" xfId="19428"/>
    <cellStyle name="Input 27 2 5_Table 2A-1_EFT (Annual)" xfId="15201"/>
    <cellStyle name="Input 27 2 6" xfId="9858"/>
    <cellStyle name="Input 27 2 6 2" xfId="21995"/>
    <cellStyle name="Input 27 2 7" xfId="16882"/>
    <cellStyle name="Input 27 2_Table 2A-1_EFT (Annual)" xfId="3047"/>
    <cellStyle name="Input 27 3" xfId="464"/>
    <cellStyle name="Input 27 3 2" xfId="1441"/>
    <cellStyle name="Input 27 3 2 2" xfId="2711"/>
    <cellStyle name="Input 27 3 2 2 2" xfId="6272"/>
    <cellStyle name="Input 27 3 2 2 2 2" xfId="14466"/>
    <cellStyle name="Input 27 3 2 2 2 2 2" xfId="26438"/>
    <cellStyle name="Input 27 3 2 2 2 3" xfId="21325"/>
    <cellStyle name="Input 27 3 2 2 2_Table 2A-1_EFT (Annual)" xfId="15202"/>
    <cellStyle name="Input 27 3 2 2 3" xfId="11808"/>
    <cellStyle name="Input 27 3 2 2 3 2" xfId="23892"/>
    <cellStyle name="Input 27 3 2 2 4" xfId="18779"/>
    <cellStyle name="Input 27 3 2 2_Table 2A-1_EFT (Annual)" xfId="6975"/>
    <cellStyle name="Input 27 3 2 3" xfId="5002"/>
    <cellStyle name="Input 27 3 2 3 2" xfId="13262"/>
    <cellStyle name="Input 27 3 2 3 2 2" xfId="25268"/>
    <cellStyle name="Input 27 3 2 3 3" xfId="20155"/>
    <cellStyle name="Input 27 3 2 3_Table 2A-1_EFT (Annual)" xfId="15203"/>
    <cellStyle name="Input 27 3 2 4" xfId="10606"/>
    <cellStyle name="Input 27 3 2 4 2" xfId="22722"/>
    <cellStyle name="Input 27 3 2 5" xfId="17609"/>
    <cellStyle name="Input 27 3 2_Table 2A-1_EFT (Annual)" xfId="6974"/>
    <cellStyle name="Input 27 3 3" xfId="986"/>
    <cellStyle name="Input 27 3 3 2" xfId="4547"/>
    <cellStyle name="Input 27 3 3 2 2" xfId="12807"/>
    <cellStyle name="Input 27 3 3 2 2 2" xfId="24813"/>
    <cellStyle name="Input 27 3 3 2 3" xfId="19700"/>
    <cellStyle name="Input 27 3 3 2_Table 2A-1_EFT (Annual)" xfId="15204"/>
    <cellStyle name="Input 27 3 3 3" xfId="10151"/>
    <cellStyle name="Input 27 3 3 3 2" xfId="22267"/>
    <cellStyle name="Input 27 3 3 4" xfId="17154"/>
    <cellStyle name="Input 27 3 3_Table 2A-1_EFT (Annual)" xfId="6976"/>
    <cellStyle name="Input 27 3 4" xfId="2180"/>
    <cellStyle name="Input 27 3 4 2" xfId="5741"/>
    <cellStyle name="Input 27 3 4 2 2" xfId="13956"/>
    <cellStyle name="Input 27 3 4 2 2 2" xfId="25944"/>
    <cellStyle name="Input 27 3 4 2 3" xfId="20831"/>
    <cellStyle name="Input 27 3 4 2_Table 2A-1_EFT (Annual)" xfId="15205"/>
    <cellStyle name="Input 27 3 4 3" xfId="11300"/>
    <cellStyle name="Input 27 3 4 3 2" xfId="23398"/>
    <cellStyle name="Input 27 3 4 4" xfId="18285"/>
    <cellStyle name="Input 27 3 4_Table 2A-1_EFT (Annual)" xfId="6977"/>
    <cellStyle name="Input 27 3 5" xfId="4034"/>
    <cellStyle name="Input 27 3 5 2" xfId="12358"/>
    <cellStyle name="Input 27 3 5 2 2" xfId="24380"/>
    <cellStyle name="Input 27 3 5 3" xfId="19267"/>
    <cellStyle name="Input 27 3 5_Table 2A-1_EFT (Annual)" xfId="15206"/>
    <cellStyle name="Input 27 3 6" xfId="9697"/>
    <cellStyle name="Input 27 3 6 2" xfId="21834"/>
    <cellStyle name="Input 27 3 7" xfId="16721"/>
    <cellStyle name="Input 27 3_Table 2A-1_EFT (Annual)" xfId="3048"/>
    <cellStyle name="Input 27 4" xfId="1280"/>
    <cellStyle name="Input 27 4 2" xfId="2550"/>
    <cellStyle name="Input 27 4 2 2" xfId="6111"/>
    <cellStyle name="Input 27 4 2 2 2" xfId="14305"/>
    <cellStyle name="Input 27 4 2 2 2 2" xfId="26277"/>
    <cellStyle name="Input 27 4 2 2 3" xfId="21164"/>
    <cellStyle name="Input 27 4 2 2_Table 2A-1_EFT (Annual)" xfId="15207"/>
    <cellStyle name="Input 27 4 2 3" xfId="11647"/>
    <cellStyle name="Input 27 4 2 3 2" xfId="23731"/>
    <cellStyle name="Input 27 4 2 4" xfId="18618"/>
    <cellStyle name="Input 27 4 2_Table 2A-1_EFT (Annual)" xfId="6979"/>
    <cellStyle name="Input 27 4 3" xfId="4841"/>
    <cellStyle name="Input 27 4 3 2" xfId="13101"/>
    <cellStyle name="Input 27 4 3 2 2" xfId="25107"/>
    <cellStyle name="Input 27 4 3 3" xfId="19994"/>
    <cellStyle name="Input 27 4 3_Table 2A-1_EFT (Annual)" xfId="15208"/>
    <cellStyle name="Input 27 4 4" xfId="10445"/>
    <cellStyle name="Input 27 4 4 2" xfId="22561"/>
    <cellStyle name="Input 27 4 5" xfId="17448"/>
    <cellStyle name="Input 27 4_Table 2A-1_EFT (Annual)" xfId="6978"/>
    <cellStyle name="Input 27 5" xfId="831"/>
    <cellStyle name="Input 27 5 2" xfId="4392"/>
    <cellStyle name="Input 27 5 2 2" xfId="12666"/>
    <cellStyle name="Input 27 5 2 2 2" xfId="24683"/>
    <cellStyle name="Input 27 5 2 3" xfId="19570"/>
    <cellStyle name="Input 27 5 2_Table 2A-1_EFT (Annual)" xfId="15209"/>
    <cellStyle name="Input 27 5 3" xfId="10015"/>
    <cellStyle name="Input 27 5 3 2" xfId="22137"/>
    <cellStyle name="Input 27 5 4" xfId="17024"/>
    <cellStyle name="Input 27 5_Table 2A-1_EFT (Annual)" xfId="6980"/>
    <cellStyle name="Input 27 6" xfId="2019"/>
    <cellStyle name="Input 27 6 2" xfId="5580"/>
    <cellStyle name="Input 27 6 2 2" xfId="13795"/>
    <cellStyle name="Input 27 6 2 2 2" xfId="25783"/>
    <cellStyle name="Input 27 6 2 3" xfId="20670"/>
    <cellStyle name="Input 27 6 2_Table 2A-1_EFT (Annual)" xfId="15210"/>
    <cellStyle name="Input 27 6 3" xfId="11139"/>
    <cellStyle name="Input 27 6 3 2" xfId="23237"/>
    <cellStyle name="Input 27 6 4" xfId="18124"/>
    <cellStyle name="Input 27 6_Table 2A-1_EFT (Annual)" xfId="6981"/>
    <cellStyle name="Input 27 7" xfId="3827"/>
    <cellStyle name="Input 27 7 2" xfId="12190"/>
    <cellStyle name="Input 27 7 2 2" xfId="24219"/>
    <cellStyle name="Input 27 7 3" xfId="19106"/>
    <cellStyle name="Input 27 7_Table 2A-1_EFT (Annual)" xfId="15211"/>
    <cellStyle name="Input 27 8" xfId="9509"/>
    <cellStyle name="Input 27 8 2" xfId="21673"/>
    <cellStyle name="Input 27 9" xfId="16560"/>
    <cellStyle name="Input 27_Table 2A-1_EFT (Annual)" xfId="3046"/>
    <cellStyle name="Input 28" xfId="195"/>
    <cellStyle name="Input 28 2" xfId="588"/>
    <cellStyle name="Input 28 2 2" xfId="1565"/>
    <cellStyle name="Input 28 2 2 2" xfId="2835"/>
    <cellStyle name="Input 28 2 2 2 2" xfId="6396"/>
    <cellStyle name="Input 28 2 2 2 2 2" xfId="14590"/>
    <cellStyle name="Input 28 2 2 2 2 2 2" xfId="26562"/>
    <cellStyle name="Input 28 2 2 2 2 3" xfId="21449"/>
    <cellStyle name="Input 28 2 2 2 2_Table 2A-1_EFT (Annual)" xfId="15212"/>
    <cellStyle name="Input 28 2 2 2 3" xfId="11932"/>
    <cellStyle name="Input 28 2 2 2 3 2" xfId="24016"/>
    <cellStyle name="Input 28 2 2 2 4" xfId="18903"/>
    <cellStyle name="Input 28 2 2 2_Table 2A-1_EFT (Annual)" xfId="6983"/>
    <cellStyle name="Input 28 2 2 3" xfId="5126"/>
    <cellStyle name="Input 28 2 2 3 2" xfId="13386"/>
    <cellStyle name="Input 28 2 2 3 2 2" xfId="25392"/>
    <cellStyle name="Input 28 2 2 3 3" xfId="20279"/>
    <cellStyle name="Input 28 2 2 3_Table 2A-1_EFT (Annual)" xfId="15213"/>
    <cellStyle name="Input 28 2 2 4" xfId="10730"/>
    <cellStyle name="Input 28 2 2 4 2" xfId="22846"/>
    <cellStyle name="Input 28 2 2 5" xfId="17733"/>
    <cellStyle name="Input 28 2 2_Table 2A-1_EFT (Annual)" xfId="6982"/>
    <cellStyle name="Input 28 2 3" xfId="1087"/>
    <cellStyle name="Input 28 2 3 2" xfId="4648"/>
    <cellStyle name="Input 28 2 3 2 2" xfId="12908"/>
    <cellStyle name="Input 28 2 3 2 2 2" xfId="24914"/>
    <cellStyle name="Input 28 2 3 2 3" xfId="19801"/>
    <cellStyle name="Input 28 2 3 2_Table 2A-1_EFT (Annual)" xfId="15214"/>
    <cellStyle name="Input 28 2 3 3" xfId="10252"/>
    <cellStyle name="Input 28 2 3 3 2" xfId="22368"/>
    <cellStyle name="Input 28 2 3 4" xfId="17255"/>
    <cellStyle name="Input 28 2 3_Table 2A-1_EFT (Annual)" xfId="6984"/>
    <cellStyle name="Input 28 2 4" xfId="2304"/>
    <cellStyle name="Input 28 2 4 2" xfId="5865"/>
    <cellStyle name="Input 28 2 4 2 2" xfId="14080"/>
    <cellStyle name="Input 28 2 4 2 2 2" xfId="26068"/>
    <cellStyle name="Input 28 2 4 2 3" xfId="20955"/>
    <cellStyle name="Input 28 2 4 2_Table 2A-1_EFT (Annual)" xfId="15215"/>
    <cellStyle name="Input 28 2 4 3" xfId="11424"/>
    <cellStyle name="Input 28 2 4 3 2" xfId="23522"/>
    <cellStyle name="Input 28 2 4 4" xfId="18409"/>
    <cellStyle name="Input 28 2 4_Table 2A-1_EFT (Annual)" xfId="6985"/>
    <cellStyle name="Input 28 2 5" xfId="4158"/>
    <cellStyle name="Input 28 2 5 2" xfId="12482"/>
    <cellStyle name="Input 28 2 5 2 2" xfId="24504"/>
    <cellStyle name="Input 28 2 5 3" xfId="19391"/>
    <cellStyle name="Input 28 2 5_Table 2A-1_EFT (Annual)" xfId="15216"/>
    <cellStyle name="Input 28 2 6" xfId="9821"/>
    <cellStyle name="Input 28 2 6 2" xfId="21958"/>
    <cellStyle name="Input 28 2 7" xfId="16845"/>
    <cellStyle name="Input 28 2_Table 2A-1_EFT (Annual)" xfId="3050"/>
    <cellStyle name="Input 28 3" xfId="424"/>
    <cellStyle name="Input 28 3 2" xfId="1407"/>
    <cellStyle name="Input 28 3 2 2" xfId="2677"/>
    <cellStyle name="Input 28 3 2 2 2" xfId="6238"/>
    <cellStyle name="Input 28 3 2 2 2 2" xfId="14432"/>
    <cellStyle name="Input 28 3 2 2 2 2 2" xfId="26404"/>
    <cellStyle name="Input 28 3 2 2 2 3" xfId="21291"/>
    <cellStyle name="Input 28 3 2 2 2_Table 2A-1_EFT (Annual)" xfId="15217"/>
    <cellStyle name="Input 28 3 2 2 3" xfId="11774"/>
    <cellStyle name="Input 28 3 2 2 3 2" xfId="23858"/>
    <cellStyle name="Input 28 3 2 2 4" xfId="18745"/>
    <cellStyle name="Input 28 3 2 2_Table 2A-1_EFT (Annual)" xfId="6987"/>
    <cellStyle name="Input 28 3 2 3" xfId="4968"/>
    <cellStyle name="Input 28 3 2 3 2" xfId="13228"/>
    <cellStyle name="Input 28 3 2 3 2 2" xfId="25234"/>
    <cellStyle name="Input 28 3 2 3 3" xfId="20121"/>
    <cellStyle name="Input 28 3 2 3_Table 2A-1_EFT (Annual)" xfId="15218"/>
    <cellStyle name="Input 28 3 2 4" xfId="10572"/>
    <cellStyle name="Input 28 3 2 4 2" xfId="22688"/>
    <cellStyle name="Input 28 3 2 5" xfId="17575"/>
    <cellStyle name="Input 28 3 2_Table 2A-1_EFT (Annual)" xfId="6986"/>
    <cellStyle name="Input 28 3 3" xfId="953"/>
    <cellStyle name="Input 28 3 3 2" xfId="4514"/>
    <cellStyle name="Input 28 3 3 2 2" xfId="12776"/>
    <cellStyle name="Input 28 3 3 2 2 2" xfId="24786"/>
    <cellStyle name="Input 28 3 3 2 3" xfId="19673"/>
    <cellStyle name="Input 28 3 3 2_Table 2A-1_EFT (Annual)" xfId="15219"/>
    <cellStyle name="Input 28 3 3 3" xfId="10123"/>
    <cellStyle name="Input 28 3 3 3 2" xfId="22240"/>
    <cellStyle name="Input 28 3 3 4" xfId="17127"/>
    <cellStyle name="Input 28 3 3_Table 2A-1_EFT (Annual)" xfId="6988"/>
    <cellStyle name="Input 28 3 4" xfId="2146"/>
    <cellStyle name="Input 28 3 4 2" xfId="5707"/>
    <cellStyle name="Input 28 3 4 2 2" xfId="13922"/>
    <cellStyle name="Input 28 3 4 2 2 2" xfId="25910"/>
    <cellStyle name="Input 28 3 4 2 3" xfId="20797"/>
    <cellStyle name="Input 28 3 4 2_Table 2A-1_EFT (Annual)" xfId="15220"/>
    <cellStyle name="Input 28 3 4 3" xfId="11266"/>
    <cellStyle name="Input 28 3 4 3 2" xfId="23364"/>
    <cellStyle name="Input 28 3 4 4" xfId="18251"/>
    <cellStyle name="Input 28 3 4_Table 2A-1_EFT (Annual)" xfId="6989"/>
    <cellStyle name="Input 28 3 5" xfId="3994"/>
    <cellStyle name="Input 28 3 5 2" xfId="12322"/>
    <cellStyle name="Input 28 3 5 2 2" xfId="24346"/>
    <cellStyle name="Input 28 3 5 3" xfId="19233"/>
    <cellStyle name="Input 28 3 5_Table 2A-1_EFT (Annual)" xfId="15221"/>
    <cellStyle name="Input 28 3 6" xfId="9659"/>
    <cellStyle name="Input 28 3 6 2" xfId="21800"/>
    <cellStyle name="Input 28 3 7" xfId="16687"/>
    <cellStyle name="Input 28 3_Table 2A-1_EFT (Annual)" xfId="3051"/>
    <cellStyle name="Input 28 4" xfId="1243"/>
    <cellStyle name="Input 28 4 2" xfId="2513"/>
    <cellStyle name="Input 28 4 2 2" xfId="6074"/>
    <cellStyle name="Input 28 4 2 2 2" xfId="14268"/>
    <cellStyle name="Input 28 4 2 2 2 2" xfId="26240"/>
    <cellStyle name="Input 28 4 2 2 3" xfId="21127"/>
    <cellStyle name="Input 28 4 2 2_Table 2A-1_EFT (Annual)" xfId="15222"/>
    <cellStyle name="Input 28 4 2 3" xfId="11610"/>
    <cellStyle name="Input 28 4 2 3 2" xfId="23694"/>
    <cellStyle name="Input 28 4 2 4" xfId="18581"/>
    <cellStyle name="Input 28 4 2_Table 2A-1_EFT (Annual)" xfId="6991"/>
    <cellStyle name="Input 28 4 3" xfId="4804"/>
    <cellStyle name="Input 28 4 3 2" xfId="13064"/>
    <cellStyle name="Input 28 4 3 2 2" xfId="25070"/>
    <cellStyle name="Input 28 4 3 3" xfId="19957"/>
    <cellStyle name="Input 28 4 3_Table 2A-1_EFT (Annual)" xfId="15223"/>
    <cellStyle name="Input 28 4 4" xfId="10408"/>
    <cellStyle name="Input 28 4 4 2" xfId="22524"/>
    <cellStyle name="Input 28 4 5" xfId="17411"/>
    <cellStyle name="Input 28 4_Table 2A-1_EFT (Annual)" xfId="6990"/>
    <cellStyle name="Input 28 5" xfId="796"/>
    <cellStyle name="Input 28 5 2" xfId="4357"/>
    <cellStyle name="Input 28 5 2 2" xfId="12637"/>
    <cellStyle name="Input 28 5 2 2 2" xfId="24654"/>
    <cellStyle name="Input 28 5 2 3" xfId="19541"/>
    <cellStyle name="Input 28 5 2_Table 2A-1_EFT (Annual)" xfId="15224"/>
    <cellStyle name="Input 28 5 3" xfId="9985"/>
    <cellStyle name="Input 28 5 3 2" xfId="22108"/>
    <cellStyle name="Input 28 5 4" xfId="16995"/>
    <cellStyle name="Input 28 5_Table 2A-1_EFT (Annual)" xfId="6992"/>
    <cellStyle name="Input 28 6" xfId="1982"/>
    <cellStyle name="Input 28 6 2" xfId="5543"/>
    <cellStyle name="Input 28 6 2 2" xfId="13758"/>
    <cellStyle name="Input 28 6 2 2 2" xfId="25746"/>
    <cellStyle name="Input 28 6 2 3" xfId="20633"/>
    <cellStyle name="Input 28 6 2_Table 2A-1_EFT (Annual)" xfId="15225"/>
    <cellStyle name="Input 28 6 3" xfId="11102"/>
    <cellStyle name="Input 28 6 3 2" xfId="23200"/>
    <cellStyle name="Input 28 6 4" xfId="18087"/>
    <cellStyle name="Input 28 6_Table 2A-1_EFT (Annual)" xfId="6993"/>
    <cellStyle name="Input 28 7" xfId="3784"/>
    <cellStyle name="Input 28 7 2" xfId="12152"/>
    <cellStyle name="Input 28 7 2 2" xfId="24182"/>
    <cellStyle name="Input 28 7 3" xfId="19069"/>
    <cellStyle name="Input 28 7_Table 2A-1_EFT (Annual)" xfId="15226"/>
    <cellStyle name="Input 28 8" xfId="9471"/>
    <cellStyle name="Input 28 8 2" xfId="21636"/>
    <cellStyle name="Input 28 9" xfId="16523"/>
    <cellStyle name="Input 28_Table 2A-1_EFT (Annual)" xfId="3049"/>
    <cellStyle name="Input 29" xfId="239"/>
    <cellStyle name="Input 29 2" xfId="626"/>
    <cellStyle name="Input 29 2 2" xfId="1603"/>
    <cellStyle name="Input 29 2 2 2" xfId="2873"/>
    <cellStyle name="Input 29 2 2 2 2" xfId="6434"/>
    <cellStyle name="Input 29 2 2 2 2 2" xfId="14628"/>
    <cellStyle name="Input 29 2 2 2 2 2 2" xfId="26600"/>
    <cellStyle name="Input 29 2 2 2 2 3" xfId="21487"/>
    <cellStyle name="Input 29 2 2 2 2_Table 2A-1_EFT (Annual)" xfId="15227"/>
    <cellStyle name="Input 29 2 2 2 3" xfId="11970"/>
    <cellStyle name="Input 29 2 2 2 3 2" xfId="24054"/>
    <cellStyle name="Input 29 2 2 2 4" xfId="18941"/>
    <cellStyle name="Input 29 2 2 2_Table 2A-1_EFT (Annual)" xfId="6995"/>
    <cellStyle name="Input 29 2 2 3" xfId="5164"/>
    <cellStyle name="Input 29 2 2 3 2" xfId="13424"/>
    <cellStyle name="Input 29 2 2 3 2 2" xfId="25430"/>
    <cellStyle name="Input 29 2 2 3 3" xfId="20317"/>
    <cellStyle name="Input 29 2 2 3_Table 2A-1_EFT (Annual)" xfId="15228"/>
    <cellStyle name="Input 29 2 2 4" xfId="10768"/>
    <cellStyle name="Input 29 2 2 4 2" xfId="22884"/>
    <cellStyle name="Input 29 2 2 5" xfId="17771"/>
    <cellStyle name="Input 29 2 2_Table 2A-1_EFT (Annual)" xfId="6994"/>
    <cellStyle name="Input 29 2 3" xfId="1117"/>
    <cellStyle name="Input 29 2 3 2" xfId="4678"/>
    <cellStyle name="Input 29 2 3 2 2" xfId="12938"/>
    <cellStyle name="Input 29 2 3 2 2 2" xfId="24944"/>
    <cellStyle name="Input 29 2 3 2 3" xfId="19831"/>
    <cellStyle name="Input 29 2 3 2_Table 2A-1_EFT (Annual)" xfId="15229"/>
    <cellStyle name="Input 29 2 3 3" xfId="10282"/>
    <cellStyle name="Input 29 2 3 3 2" xfId="22398"/>
    <cellStyle name="Input 29 2 3 4" xfId="17285"/>
    <cellStyle name="Input 29 2 3_Table 2A-1_EFT (Annual)" xfId="6996"/>
    <cellStyle name="Input 29 2 4" xfId="2342"/>
    <cellStyle name="Input 29 2 4 2" xfId="5903"/>
    <cellStyle name="Input 29 2 4 2 2" xfId="14118"/>
    <cellStyle name="Input 29 2 4 2 2 2" xfId="26106"/>
    <cellStyle name="Input 29 2 4 2 3" xfId="20993"/>
    <cellStyle name="Input 29 2 4 2_Table 2A-1_EFT (Annual)" xfId="15230"/>
    <cellStyle name="Input 29 2 4 3" xfId="11462"/>
    <cellStyle name="Input 29 2 4 3 2" xfId="23560"/>
    <cellStyle name="Input 29 2 4 4" xfId="18447"/>
    <cellStyle name="Input 29 2 4_Table 2A-1_EFT (Annual)" xfId="6997"/>
    <cellStyle name="Input 29 2 5" xfId="4196"/>
    <cellStyle name="Input 29 2 5 2" xfId="12520"/>
    <cellStyle name="Input 29 2 5 2 2" xfId="24542"/>
    <cellStyle name="Input 29 2 5 3" xfId="19429"/>
    <cellStyle name="Input 29 2 5_Table 2A-1_EFT (Annual)" xfId="15231"/>
    <cellStyle name="Input 29 2 6" xfId="9859"/>
    <cellStyle name="Input 29 2 6 2" xfId="21996"/>
    <cellStyle name="Input 29 2 7" xfId="16883"/>
    <cellStyle name="Input 29 2_Table 2A-1_EFT (Annual)" xfId="3053"/>
    <cellStyle name="Input 29 3" xfId="465"/>
    <cellStyle name="Input 29 3 2" xfId="1442"/>
    <cellStyle name="Input 29 3 2 2" xfId="2712"/>
    <cellStyle name="Input 29 3 2 2 2" xfId="6273"/>
    <cellStyle name="Input 29 3 2 2 2 2" xfId="14467"/>
    <cellStyle name="Input 29 3 2 2 2 2 2" xfId="26439"/>
    <cellStyle name="Input 29 3 2 2 2 3" xfId="21326"/>
    <cellStyle name="Input 29 3 2 2 2_Table 2A-1_EFT (Annual)" xfId="15232"/>
    <cellStyle name="Input 29 3 2 2 3" xfId="11809"/>
    <cellStyle name="Input 29 3 2 2 3 2" xfId="23893"/>
    <cellStyle name="Input 29 3 2 2 4" xfId="18780"/>
    <cellStyle name="Input 29 3 2 2_Table 2A-1_EFT (Annual)" xfId="6999"/>
    <cellStyle name="Input 29 3 2 3" xfId="5003"/>
    <cellStyle name="Input 29 3 2 3 2" xfId="13263"/>
    <cellStyle name="Input 29 3 2 3 2 2" xfId="25269"/>
    <cellStyle name="Input 29 3 2 3 3" xfId="20156"/>
    <cellStyle name="Input 29 3 2 3_Table 2A-1_EFT (Annual)" xfId="15233"/>
    <cellStyle name="Input 29 3 2 4" xfId="10607"/>
    <cellStyle name="Input 29 3 2 4 2" xfId="22723"/>
    <cellStyle name="Input 29 3 2 5" xfId="17610"/>
    <cellStyle name="Input 29 3 2_Table 2A-1_EFT (Annual)" xfId="6998"/>
    <cellStyle name="Input 29 3 3" xfId="987"/>
    <cellStyle name="Input 29 3 3 2" xfId="4548"/>
    <cellStyle name="Input 29 3 3 2 2" xfId="12808"/>
    <cellStyle name="Input 29 3 3 2 2 2" xfId="24814"/>
    <cellStyle name="Input 29 3 3 2 3" xfId="19701"/>
    <cellStyle name="Input 29 3 3 2_Table 2A-1_EFT (Annual)" xfId="15234"/>
    <cellStyle name="Input 29 3 3 3" xfId="10152"/>
    <cellStyle name="Input 29 3 3 3 2" xfId="22268"/>
    <cellStyle name="Input 29 3 3 4" xfId="17155"/>
    <cellStyle name="Input 29 3 3_Table 2A-1_EFT (Annual)" xfId="7000"/>
    <cellStyle name="Input 29 3 4" xfId="2181"/>
    <cellStyle name="Input 29 3 4 2" xfId="5742"/>
    <cellStyle name="Input 29 3 4 2 2" xfId="13957"/>
    <cellStyle name="Input 29 3 4 2 2 2" xfId="25945"/>
    <cellStyle name="Input 29 3 4 2 3" xfId="20832"/>
    <cellStyle name="Input 29 3 4 2_Table 2A-1_EFT (Annual)" xfId="15235"/>
    <cellStyle name="Input 29 3 4 3" xfId="11301"/>
    <cellStyle name="Input 29 3 4 3 2" xfId="23399"/>
    <cellStyle name="Input 29 3 4 4" xfId="18286"/>
    <cellStyle name="Input 29 3 4_Table 2A-1_EFT (Annual)" xfId="7001"/>
    <cellStyle name="Input 29 3 5" xfId="4035"/>
    <cellStyle name="Input 29 3 5 2" xfId="12359"/>
    <cellStyle name="Input 29 3 5 2 2" xfId="24381"/>
    <cellStyle name="Input 29 3 5 3" xfId="19268"/>
    <cellStyle name="Input 29 3 5_Table 2A-1_EFT (Annual)" xfId="15236"/>
    <cellStyle name="Input 29 3 6" xfId="9698"/>
    <cellStyle name="Input 29 3 6 2" xfId="21835"/>
    <cellStyle name="Input 29 3 7" xfId="16722"/>
    <cellStyle name="Input 29 3_Table 2A-1_EFT (Annual)" xfId="3054"/>
    <cellStyle name="Input 29 4" xfId="1281"/>
    <cellStyle name="Input 29 4 2" xfId="2551"/>
    <cellStyle name="Input 29 4 2 2" xfId="6112"/>
    <cellStyle name="Input 29 4 2 2 2" xfId="14306"/>
    <cellStyle name="Input 29 4 2 2 2 2" xfId="26278"/>
    <cellStyle name="Input 29 4 2 2 3" xfId="21165"/>
    <cellStyle name="Input 29 4 2 2_Table 2A-1_EFT (Annual)" xfId="15237"/>
    <cellStyle name="Input 29 4 2 3" xfId="11648"/>
    <cellStyle name="Input 29 4 2 3 2" xfId="23732"/>
    <cellStyle name="Input 29 4 2 4" xfId="18619"/>
    <cellStyle name="Input 29 4 2_Table 2A-1_EFT (Annual)" xfId="7003"/>
    <cellStyle name="Input 29 4 3" xfId="4842"/>
    <cellStyle name="Input 29 4 3 2" xfId="13102"/>
    <cellStyle name="Input 29 4 3 2 2" xfId="25108"/>
    <cellStyle name="Input 29 4 3 3" xfId="19995"/>
    <cellStyle name="Input 29 4 3_Table 2A-1_EFT (Annual)" xfId="15238"/>
    <cellStyle name="Input 29 4 4" xfId="10446"/>
    <cellStyle name="Input 29 4 4 2" xfId="22562"/>
    <cellStyle name="Input 29 4 5" xfId="17449"/>
    <cellStyle name="Input 29 4_Table 2A-1_EFT (Annual)" xfId="7002"/>
    <cellStyle name="Input 29 5" xfId="832"/>
    <cellStyle name="Input 29 5 2" xfId="4393"/>
    <cellStyle name="Input 29 5 2 2" xfId="12667"/>
    <cellStyle name="Input 29 5 2 2 2" xfId="24684"/>
    <cellStyle name="Input 29 5 2 3" xfId="19571"/>
    <cellStyle name="Input 29 5 2_Table 2A-1_EFT (Annual)" xfId="15239"/>
    <cellStyle name="Input 29 5 3" xfId="10016"/>
    <cellStyle name="Input 29 5 3 2" xfId="22138"/>
    <cellStyle name="Input 29 5 4" xfId="17025"/>
    <cellStyle name="Input 29 5_Table 2A-1_EFT (Annual)" xfId="7004"/>
    <cellStyle name="Input 29 6" xfId="2020"/>
    <cellStyle name="Input 29 6 2" xfId="5581"/>
    <cellStyle name="Input 29 6 2 2" xfId="13796"/>
    <cellStyle name="Input 29 6 2 2 2" xfId="25784"/>
    <cellStyle name="Input 29 6 2 3" xfId="20671"/>
    <cellStyle name="Input 29 6 2_Table 2A-1_EFT (Annual)" xfId="15240"/>
    <cellStyle name="Input 29 6 3" xfId="11140"/>
    <cellStyle name="Input 29 6 3 2" xfId="23238"/>
    <cellStyle name="Input 29 6 4" xfId="18125"/>
    <cellStyle name="Input 29 6_Table 2A-1_EFT (Annual)" xfId="7005"/>
    <cellStyle name="Input 29 7" xfId="3828"/>
    <cellStyle name="Input 29 7 2" xfId="12191"/>
    <cellStyle name="Input 29 7 2 2" xfId="24220"/>
    <cellStyle name="Input 29 7 3" xfId="19107"/>
    <cellStyle name="Input 29 7_Table 2A-1_EFT (Annual)" xfId="15241"/>
    <cellStyle name="Input 29 8" xfId="9510"/>
    <cellStyle name="Input 29 8 2" xfId="21674"/>
    <cellStyle name="Input 29 9" xfId="16561"/>
    <cellStyle name="Input 29_Table 2A-1_EFT (Annual)" xfId="3052"/>
    <cellStyle name="Input 3" xfId="110"/>
    <cellStyle name="Input 3 10" xfId="21511"/>
    <cellStyle name="Input 3 2" xfId="503"/>
    <cellStyle name="Input 3 2 2" xfId="1480"/>
    <cellStyle name="Input 3 2 2 2" xfId="2750"/>
    <cellStyle name="Input 3 2 2 2 2" xfId="6311"/>
    <cellStyle name="Input 3 2 2 2 2 2" xfId="14505"/>
    <cellStyle name="Input 3 2 2 2 2 2 2" xfId="26477"/>
    <cellStyle name="Input 3 2 2 2 2 3" xfId="21364"/>
    <cellStyle name="Input 3 2 2 2 2_Table 2A-1_EFT (Annual)" xfId="15242"/>
    <cellStyle name="Input 3 2 2 2 3" xfId="11847"/>
    <cellStyle name="Input 3 2 2 2 3 2" xfId="23931"/>
    <cellStyle name="Input 3 2 2 2 4" xfId="18818"/>
    <cellStyle name="Input 3 2 2 2_Table 2A-1_EFT (Annual)" xfId="7007"/>
    <cellStyle name="Input 3 2 2 3" xfId="5041"/>
    <cellStyle name="Input 3 2 2 3 2" xfId="13301"/>
    <cellStyle name="Input 3 2 2 3 2 2" xfId="25307"/>
    <cellStyle name="Input 3 2 2 3 3" xfId="20194"/>
    <cellStyle name="Input 3 2 2 3_Table 2A-1_EFT (Annual)" xfId="15243"/>
    <cellStyle name="Input 3 2 2 4" xfId="10645"/>
    <cellStyle name="Input 3 2 2 4 2" xfId="22761"/>
    <cellStyle name="Input 3 2 2 5" xfId="17648"/>
    <cellStyle name="Input 3 2 2_Table 2A-1_EFT (Annual)" xfId="7006"/>
    <cellStyle name="Input 3 2 3" xfId="1017"/>
    <cellStyle name="Input 3 2 3 2" xfId="4578"/>
    <cellStyle name="Input 3 2 3 2 2" xfId="12838"/>
    <cellStyle name="Input 3 2 3 2 2 2" xfId="24844"/>
    <cellStyle name="Input 3 2 3 2 3" xfId="19731"/>
    <cellStyle name="Input 3 2 3 2_Table 2A-1_EFT (Annual)" xfId="15244"/>
    <cellStyle name="Input 3 2 3 3" xfId="10182"/>
    <cellStyle name="Input 3 2 3 3 2" xfId="22298"/>
    <cellStyle name="Input 3 2 3 4" xfId="17185"/>
    <cellStyle name="Input 3 2 3_Table 2A-1_EFT (Annual)" xfId="7008"/>
    <cellStyle name="Input 3 2 4" xfId="2219"/>
    <cellStyle name="Input 3 2 4 2" xfId="5780"/>
    <cellStyle name="Input 3 2 4 2 2" xfId="13995"/>
    <cellStyle name="Input 3 2 4 2 2 2" xfId="25983"/>
    <cellStyle name="Input 3 2 4 2 3" xfId="20870"/>
    <cellStyle name="Input 3 2 4 2_Table 2A-1_EFT (Annual)" xfId="15245"/>
    <cellStyle name="Input 3 2 4 3" xfId="11339"/>
    <cellStyle name="Input 3 2 4 3 2" xfId="23437"/>
    <cellStyle name="Input 3 2 4 4" xfId="18324"/>
    <cellStyle name="Input 3 2 4_Table 2A-1_EFT (Annual)" xfId="7009"/>
    <cellStyle name="Input 3 2 5" xfId="4073"/>
    <cellStyle name="Input 3 2 5 2" xfId="12397"/>
    <cellStyle name="Input 3 2 5 2 2" xfId="24419"/>
    <cellStyle name="Input 3 2 5 3" xfId="19306"/>
    <cellStyle name="Input 3 2 5_Table 2A-1_EFT (Annual)" xfId="15246"/>
    <cellStyle name="Input 3 2 6" xfId="9736"/>
    <cellStyle name="Input 3 2 6 2" xfId="21873"/>
    <cellStyle name="Input 3 2 7" xfId="16760"/>
    <cellStyle name="Input 3 2_Table 2A-1_EFT (Annual)" xfId="3056"/>
    <cellStyle name="Input 3 3" xfId="341"/>
    <cellStyle name="Input 3 3 2" xfId="1324"/>
    <cellStyle name="Input 3 3 2 2" xfId="2594"/>
    <cellStyle name="Input 3 3 2 2 2" xfId="6155"/>
    <cellStyle name="Input 3 3 2 2 2 2" xfId="14349"/>
    <cellStyle name="Input 3 3 2 2 2 2 2" xfId="26321"/>
    <cellStyle name="Input 3 3 2 2 2 3" xfId="21208"/>
    <cellStyle name="Input 3 3 2 2 2_Table 2A-1_EFT (Annual)" xfId="15247"/>
    <cellStyle name="Input 3 3 2 2 3" xfId="11691"/>
    <cellStyle name="Input 3 3 2 2 3 2" xfId="23775"/>
    <cellStyle name="Input 3 3 2 2 4" xfId="18662"/>
    <cellStyle name="Input 3 3 2 2_Table 2A-1_EFT (Annual)" xfId="7011"/>
    <cellStyle name="Input 3 3 2 3" xfId="4885"/>
    <cellStyle name="Input 3 3 2 3 2" xfId="13145"/>
    <cellStyle name="Input 3 3 2 3 2 2" xfId="25151"/>
    <cellStyle name="Input 3 3 2 3 3" xfId="20038"/>
    <cellStyle name="Input 3 3 2 3_Table 2A-1_EFT (Annual)" xfId="15248"/>
    <cellStyle name="Input 3 3 2 4" xfId="10489"/>
    <cellStyle name="Input 3 3 2 4 2" xfId="22605"/>
    <cellStyle name="Input 3 3 2 5" xfId="17492"/>
    <cellStyle name="Input 3 3 2_Table 2A-1_EFT (Annual)" xfId="7010"/>
    <cellStyle name="Input 3 3 3" xfId="885"/>
    <cellStyle name="Input 3 3 3 2" xfId="4446"/>
    <cellStyle name="Input 3 3 3 2 2" xfId="12708"/>
    <cellStyle name="Input 3 3 3 2 2 2" xfId="24718"/>
    <cellStyle name="Input 3 3 3 2 3" xfId="19605"/>
    <cellStyle name="Input 3 3 3 2_Table 2A-1_EFT (Annual)" xfId="15249"/>
    <cellStyle name="Input 3 3 3 3" xfId="10055"/>
    <cellStyle name="Input 3 3 3 3 2" xfId="22172"/>
    <cellStyle name="Input 3 3 3 4" xfId="17059"/>
    <cellStyle name="Input 3 3 3_Table 2A-1_EFT (Annual)" xfId="7012"/>
    <cellStyle name="Input 3 3 4" xfId="2063"/>
    <cellStyle name="Input 3 3 4 2" xfId="5624"/>
    <cellStyle name="Input 3 3 4 2 2" xfId="13839"/>
    <cellStyle name="Input 3 3 4 2 2 2" xfId="25827"/>
    <cellStyle name="Input 3 3 4 2 3" xfId="20714"/>
    <cellStyle name="Input 3 3 4 2_Table 2A-1_EFT (Annual)" xfId="15250"/>
    <cellStyle name="Input 3 3 4 3" xfId="11183"/>
    <cellStyle name="Input 3 3 4 3 2" xfId="23281"/>
    <cellStyle name="Input 3 3 4 4" xfId="18168"/>
    <cellStyle name="Input 3 3 4_Table 2A-1_EFT (Annual)" xfId="7013"/>
    <cellStyle name="Input 3 3 5" xfId="3911"/>
    <cellStyle name="Input 3 3 5 2" xfId="12239"/>
    <cellStyle name="Input 3 3 5 2 2" xfId="24263"/>
    <cellStyle name="Input 3 3 5 3" xfId="19150"/>
    <cellStyle name="Input 3 3 5_Table 2A-1_EFT (Annual)" xfId="15251"/>
    <cellStyle name="Input 3 3 6" xfId="9576"/>
    <cellStyle name="Input 3 3 6 2" xfId="21717"/>
    <cellStyle name="Input 3 3 7" xfId="16604"/>
    <cellStyle name="Input 3 3_Table 2A-1_EFT (Annual)" xfId="3057"/>
    <cellStyle name="Input 3 4" xfId="1158"/>
    <cellStyle name="Input 3 4 2" xfId="2428"/>
    <cellStyle name="Input 3 4 2 2" xfId="5989"/>
    <cellStyle name="Input 3 4 2 2 2" xfId="14183"/>
    <cellStyle name="Input 3 4 2 2 2 2" xfId="26155"/>
    <cellStyle name="Input 3 4 2 2 3" xfId="21042"/>
    <cellStyle name="Input 3 4 2 2_Table 2A-1_EFT (Annual)" xfId="15252"/>
    <cellStyle name="Input 3 4 2 3" xfId="11525"/>
    <cellStyle name="Input 3 4 2 3 2" xfId="23609"/>
    <cellStyle name="Input 3 4 2 4" xfId="18496"/>
    <cellStyle name="Input 3 4 2_Table 2A-1_EFT (Annual)" xfId="7015"/>
    <cellStyle name="Input 3 4 3" xfId="4719"/>
    <cellStyle name="Input 3 4 3 2" xfId="12979"/>
    <cellStyle name="Input 3 4 3 2 2" xfId="24985"/>
    <cellStyle name="Input 3 4 3 3" xfId="19872"/>
    <cellStyle name="Input 3 4 3_Table 2A-1_EFT (Annual)" xfId="15253"/>
    <cellStyle name="Input 3 4 4" xfId="10323"/>
    <cellStyle name="Input 3 4 4 2" xfId="22439"/>
    <cellStyle name="Input 3 4 5" xfId="17326"/>
    <cellStyle name="Input 3 4_Table 2A-1_EFT (Annual)" xfId="7014"/>
    <cellStyle name="Input 3 5" xfId="726"/>
    <cellStyle name="Input 3 5 2" xfId="4287"/>
    <cellStyle name="Input 3 5 2 2" xfId="12567"/>
    <cellStyle name="Input 3 5 2 2 2" xfId="24584"/>
    <cellStyle name="Input 3 5 2 3" xfId="19471"/>
    <cellStyle name="Input 3 5 2_Table 2A-1_EFT (Annual)" xfId="15254"/>
    <cellStyle name="Input 3 5 3" xfId="9915"/>
    <cellStyle name="Input 3 5 3 2" xfId="22038"/>
    <cellStyle name="Input 3 5 4" xfId="16925"/>
    <cellStyle name="Input 3 5_Table 2A-1_EFT (Annual)" xfId="7016"/>
    <cellStyle name="Input 3 6" xfId="1803"/>
    <cellStyle name="Input 3 6 2" xfId="5364"/>
    <cellStyle name="Input 3 6 2 2" xfId="13579"/>
    <cellStyle name="Input 3 6 2 2 2" xfId="25567"/>
    <cellStyle name="Input 3 6 2 3" xfId="20454"/>
    <cellStyle name="Input 3 6 2_Table 2A-1_EFT (Annual)" xfId="15255"/>
    <cellStyle name="Input 3 6 3" xfId="10923"/>
    <cellStyle name="Input 3 6 3 2" xfId="23021"/>
    <cellStyle name="Input 3 6 4" xfId="17908"/>
    <cellStyle name="Input 3 6_Table 2A-1_EFT (Annual)" xfId="7017"/>
    <cellStyle name="Input 3 7" xfId="3699"/>
    <cellStyle name="Input 3 7 2" xfId="12067"/>
    <cellStyle name="Input 3 7 2 2" xfId="24097"/>
    <cellStyle name="Input 3 7 3" xfId="18984"/>
    <cellStyle name="Input 3 7_Table 2A-1_EFT (Annual)" xfId="15256"/>
    <cellStyle name="Input 3 8" xfId="9386"/>
    <cellStyle name="Input 3 8 2" xfId="21551"/>
    <cellStyle name="Input 3 9" xfId="16438"/>
    <cellStyle name="Input 3_Table 2A-1_EFT (Annual)" xfId="3055"/>
    <cellStyle name="Input 30" xfId="237"/>
    <cellStyle name="Input 30 2" xfId="624"/>
    <cellStyle name="Input 30 2 2" xfId="1601"/>
    <cellStyle name="Input 30 2 2 2" xfId="2871"/>
    <cellStyle name="Input 30 2 2 2 2" xfId="6432"/>
    <cellStyle name="Input 30 2 2 2 2 2" xfId="14626"/>
    <cellStyle name="Input 30 2 2 2 2 2 2" xfId="26598"/>
    <cellStyle name="Input 30 2 2 2 2 3" xfId="21485"/>
    <cellStyle name="Input 30 2 2 2 2_Table 2A-1_EFT (Annual)" xfId="15257"/>
    <cellStyle name="Input 30 2 2 2 3" xfId="11968"/>
    <cellStyle name="Input 30 2 2 2 3 2" xfId="24052"/>
    <cellStyle name="Input 30 2 2 2 4" xfId="18939"/>
    <cellStyle name="Input 30 2 2 2_Table 2A-1_EFT (Annual)" xfId="7019"/>
    <cellStyle name="Input 30 2 2 3" xfId="5162"/>
    <cellStyle name="Input 30 2 2 3 2" xfId="13422"/>
    <cellStyle name="Input 30 2 2 3 2 2" xfId="25428"/>
    <cellStyle name="Input 30 2 2 3 3" xfId="20315"/>
    <cellStyle name="Input 30 2 2 3_Table 2A-1_EFT (Annual)" xfId="15258"/>
    <cellStyle name="Input 30 2 2 4" xfId="10766"/>
    <cellStyle name="Input 30 2 2 4 2" xfId="22882"/>
    <cellStyle name="Input 30 2 2 5" xfId="17769"/>
    <cellStyle name="Input 30 2 2_Table 2A-1_EFT (Annual)" xfId="7018"/>
    <cellStyle name="Input 30 2 3" xfId="1115"/>
    <cellStyle name="Input 30 2 3 2" xfId="4676"/>
    <cellStyle name="Input 30 2 3 2 2" xfId="12936"/>
    <cellStyle name="Input 30 2 3 2 2 2" xfId="24942"/>
    <cellStyle name="Input 30 2 3 2 3" xfId="19829"/>
    <cellStyle name="Input 30 2 3 2_Table 2A-1_EFT (Annual)" xfId="15259"/>
    <cellStyle name="Input 30 2 3 3" xfId="10280"/>
    <cellStyle name="Input 30 2 3 3 2" xfId="22396"/>
    <cellStyle name="Input 30 2 3 4" xfId="17283"/>
    <cellStyle name="Input 30 2 3_Table 2A-1_EFT (Annual)" xfId="7020"/>
    <cellStyle name="Input 30 2 4" xfId="2340"/>
    <cellStyle name="Input 30 2 4 2" xfId="5901"/>
    <cellStyle name="Input 30 2 4 2 2" xfId="14116"/>
    <cellStyle name="Input 30 2 4 2 2 2" xfId="26104"/>
    <cellStyle name="Input 30 2 4 2 3" xfId="20991"/>
    <cellStyle name="Input 30 2 4 2_Table 2A-1_EFT (Annual)" xfId="15260"/>
    <cellStyle name="Input 30 2 4 3" xfId="11460"/>
    <cellStyle name="Input 30 2 4 3 2" xfId="23558"/>
    <cellStyle name="Input 30 2 4 4" xfId="18445"/>
    <cellStyle name="Input 30 2 4_Table 2A-1_EFT (Annual)" xfId="7021"/>
    <cellStyle name="Input 30 2 5" xfId="4194"/>
    <cellStyle name="Input 30 2 5 2" xfId="12518"/>
    <cellStyle name="Input 30 2 5 2 2" xfId="24540"/>
    <cellStyle name="Input 30 2 5 3" xfId="19427"/>
    <cellStyle name="Input 30 2 5_Table 2A-1_EFT (Annual)" xfId="15261"/>
    <cellStyle name="Input 30 2 6" xfId="9857"/>
    <cellStyle name="Input 30 2 6 2" xfId="21994"/>
    <cellStyle name="Input 30 2 7" xfId="16881"/>
    <cellStyle name="Input 30 2_Table 2A-1_EFT (Annual)" xfId="3059"/>
    <cellStyle name="Input 30 3" xfId="463"/>
    <cellStyle name="Input 30 3 2" xfId="1440"/>
    <cellStyle name="Input 30 3 2 2" xfId="2710"/>
    <cellStyle name="Input 30 3 2 2 2" xfId="6271"/>
    <cellStyle name="Input 30 3 2 2 2 2" xfId="14465"/>
    <cellStyle name="Input 30 3 2 2 2 2 2" xfId="26437"/>
    <cellStyle name="Input 30 3 2 2 2 3" xfId="21324"/>
    <cellStyle name="Input 30 3 2 2 2_Table 2A-1_EFT (Annual)" xfId="15262"/>
    <cellStyle name="Input 30 3 2 2 3" xfId="11807"/>
    <cellStyle name="Input 30 3 2 2 3 2" xfId="23891"/>
    <cellStyle name="Input 30 3 2 2 4" xfId="18778"/>
    <cellStyle name="Input 30 3 2 2_Table 2A-1_EFT (Annual)" xfId="7023"/>
    <cellStyle name="Input 30 3 2 3" xfId="5001"/>
    <cellStyle name="Input 30 3 2 3 2" xfId="13261"/>
    <cellStyle name="Input 30 3 2 3 2 2" xfId="25267"/>
    <cellStyle name="Input 30 3 2 3 3" xfId="20154"/>
    <cellStyle name="Input 30 3 2 3_Table 2A-1_EFT (Annual)" xfId="15263"/>
    <cellStyle name="Input 30 3 2 4" xfId="10605"/>
    <cellStyle name="Input 30 3 2 4 2" xfId="22721"/>
    <cellStyle name="Input 30 3 2 5" xfId="17608"/>
    <cellStyle name="Input 30 3 2_Table 2A-1_EFT (Annual)" xfId="7022"/>
    <cellStyle name="Input 30 3 3" xfId="985"/>
    <cellStyle name="Input 30 3 3 2" xfId="4546"/>
    <cellStyle name="Input 30 3 3 2 2" xfId="12806"/>
    <cellStyle name="Input 30 3 3 2 2 2" xfId="24812"/>
    <cellStyle name="Input 30 3 3 2 3" xfId="19699"/>
    <cellStyle name="Input 30 3 3 2_Table 2A-1_EFT (Annual)" xfId="15264"/>
    <cellStyle name="Input 30 3 3 3" xfId="10150"/>
    <cellStyle name="Input 30 3 3 3 2" xfId="22266"/>
    <cellStyle name="Input 30 3 3 4" xfId="17153"/>
    <cellStyle name="Input 30 3 3_Table 2A-1_EFT (Annual)" xfId="7024"/>
    <cellStyle name="Input 30 3 4" xfId="2179"/>
    <cellStyle name="Input 30 3 4 2" xfId="5740"/>
    <cellStyle name="Input 30 3 4 2 2" xfId="13955"/>
    <cellStyle name="Input 30 3 4 2 2 2" xfId="25943"/>
    <cellStyle name="Input 30 3 4 2 3" xfId="20830"/>
    <cellStyle name="Input 30 3 4 2_Table 2A-1_EFT (Annual)" xfId="15265"/>
    <cellStyle name="Input 30 3 4 3" xfId="11299"/>
    <cellStyle name="Input 30 3 4 3 2" xfId="23397"/>
    <cellStyle name="Input 30 3 4 4" xfId="18284"/>
    <cellStyle name="Input 30 3 4_Table 2A-1_EFT (Annual)" xfId="7025"/>
    <cellStyle name="Input 30 3 5" xfId="4033"/>
    <cellStyle name="Input 30 3 5 2" xfId="12357"/>
    <cellStyle name="Input 30 3 5 2 2" xfId="24379"/>
    <cellStyle name="Input 30 3 5 3" xfId="19266"/>
    <cellStyle name="Input 30 3 5_Table 2A-1_EFT (Annual)" xfId="15266"/>
    <cellStyle name="Input 30 3 6" xfId="9696"/>
    <cellStyle name="Input 30 3 6 2" xfId="21833"/>
    <cellStyle name="Input 30 3 7" xfId="16720"/>
    <cellStyle name="Input 30 3_Table 2A-1_EFT (Annual)" xfId="3060"/>
    <cellStyle name="Input 30 4" xfId="1279"/>
    <cellStyle name="Input 30 4 2" xfId="2549"/>
    <cellStyle name="Input 30 4 2 2" xfId="6110"/>
    <cellStyle name="Input 30 4 2 2 2" xfId="14304"/>
    <cellStyle name="Input 30 4 2 2 2 2" xfId="26276"/>
    <cellStyle name="Input 30 4 2 2 3" xfId="21163"/>
    <cellStyle name="Input 30 4 2 2_Table 2A-1_EFT (Annual)" xfId="15267"/>
    <cellStyle name="Input 30 4 2 3" xfId="11646"/>
    <cellStyle name="Input 30 4 2 3 2" xfId="23730"/>
    <cellStyle name="Input 30 4 2 4" xfId="18617"/>
    <cellStyle name="Input 30 4 2_Table 2A-1_EFT (Annual)" xfId="7027"/>
    <cellStyle name="Input 30 4 3" xfId="4840"/>
    <cellStyle name="Input 30 4 3 2" xfId="13100"/>
    <cellStyle name="Input 30 4 3 2 2" xfId="25106"/>
    <cellStyle name="Input 30 4 3 3" xfId="19993"/>
    <cellStyle name="Input 30 4 3_Table 2A-1_EFT (Annual)" xfId="15268"/>
    <cellStyle name="Input 30 4 4" xfId="10444"/>
    <cellStyle name="Input 30 4 4 2" xfId="22560"/>
    <cellStyle name="Input 30 4 5" xfId="17447"/>
    <cellStyle name="Input 30 4_Table 2A-1_EFT (Annual)" xfId="7026"/>
    <cellStyle name="Input 30 5" xfId="830"/>
    <cellStyle name="Input 30 5 2" xfId="4391"/>
    <cellStyle name="Input 30 5 2 2" xfId="12665"/>
    <cellStyle name="Input 30 5 2 2 2" xfId="24682"/>
    <cellStyle name="Input 30 5 2 3" xfId="19569"/>
    <cellStyle name="Input 30 5 2_Table 2A-1_EFT (Annual)" xfId="15269"/>
    <cellStyle name="Input 30 5 3" xfId="10014"/>
    <cellStyle name="Input 30 5 3 2" xfId="22136"/>
    <cellStyle name="Input 30 5 4" xfId="17023"/>
    <cellStyle name="Input 30 5_Table 2A-1_EFT (Annual)" xfId="7028"/>
    <cellStyle name="Input 30 6" xfId="2018"/>
    <cellStyle name="Input 30 6 2" xfId="5579"/>
    <cellStyle name="Input 30 6 2 2" xfId="13794"/>
    <cellStyle name="Input 30 6 2 2 2" xfId="25782"/>
    <cellStyle name="Input 30 6 2 3" xfId="20669"/>
    <cellStyle name="Input 30 6 2_Table 2A-1_EFT (Annual)" xfId="15270"/>
    <cellStyle name="Input 30 6 3" xfId="11138"/>
    <cellStyle name="Input 30 6 3 2" xfId="23236"/>
    <cellStyle name="Input 30 6 4" xfId="18123"/>
    <cellStyle name="Input 30 6_Table 2A-1_EFT (Annual)" xfId="7029"/>
    <cellStyle name="Input 30 7" xfId="3826"/>
    <cellStyle name="Input 30 7 2" xfId="12189"/>
    <cellStyle name="Input 30 7 2 2" xfId="24218"/>
    <cellStyle name="Input 30 7 3" xfId="19105"/>
    <cellStyle name="Input 30 7_Table 2A-1_EFT (Annual)" xfId="15271"/>
    <cellStyle name="Input 30 8" xfId="9508"/>
    <cellStyle name="Input 30 8 2" xfId="21672"/>
    <cellStyle name="Input 30 9" xfId="16559"/>
    <cellStyle name="Input 30_Table 2A-1_EFT (Annual)" xfId="3058"/>
    <cellStyle name="Input 31" xfId="185"/>
    <cellStyle name="Input 31 2" xfId="578"/>
    <cellStyle name="Input 31 2 2" xfId="1555"/>
    <cellStyle name="Input 31 2 2 2" xfId="2825"/>
    <cellStyle name="Input 31 2 2 2 2" xfId="6386"/>
    <cellStyle name="Input 31 2 2 2 2 2" xfId="14580"/>
    <cellStyle name="Input 31 2 2 2 2 2 2" xfId="26552"/>
    <cellStyle name="Input 31 2 2 2 2 3" xfId="21439"/>
    <cellStyle name="Input 31 2 2 2 2_Table 2A-1_EFT (Annual)" xfId="15272"/>
    <cellStyle name="Input 31 2 2 2 3" xfId="11922"/>
    <cellStyle name="Input 31 2 2 2 3 2" xfId="24006"/>
    <cellStyle name="Input 31 2 2 2 4" xfId="18893"/>
    <cellStyle name="Input 31 2 2 2_Table 2A-1_EFT (Annual)" xfId="7031"/>
    <cellStyle name="Input 31 2 2 3" xfId="5116"/>
    <cellStyle name="Input 31 2 2 3 2" xfId="13376"/>
    <cellStyle name="Input 31 2 2 3 2 2" xfId="25382"/>
    <cellStyle name="Input 31 2 2 3 3" xfId="20269"/>
    <cellStyle name="Input 31 2 2 3_Table 2A-1_EFT (Annual)" xfId="15273"/>
    <cellStyle name="Input 31 2 2 4" xfId="10720"/>
    <cellStyle name="Input 31 2 2 4 2" xfId="22836"/>
    <cellStyle name="Input 31 2 2 5" xfId="17723"/>
    <cellStyle name="Input 31 2 2_Table 2A-1_EFT (Annual)" xfId="7030"/>
    <cellStyle name="Input 31 2 3" xfId="1078"/>
    <cellStyle name="Input 31 2 3 2" xfId="4639"/>
    <cellStyle name="Input 31 2 3 2 2" xfId="12899"/>
    <cellStyle name="Input 31 2 3 2 2 2" xfId="24905"/>
    <cellStyle name="Input 31 2 3 2 3" xfId="19792"/>
    <cellStyle name="Input 31 2 3 2_Table 2A-1_EFT (Annual)" xfId="15274"/>
    <cellStyle name="Input 31 2 3 3" xfId="10243"/>
    <cellStyle name="Input 31 2 3 3 2" xfId="22359"/>
    <cellStyle name="Input 31 2 3 4" xfId="17246"/>
    <cellStyle name="Input 31 2 3_Table 2A-1_EFT (Annual)" xfId="7032"/>
    <cellStyle name="Input 31 2 4" xfId="2294"/>
    <cellStyle name="Input 31 2 4 2" xfId="5855"/>
    <cellStyle name="Input 31 2 4 2 2" xfId="14070"/>
    <cellStyle name="Input 31 2 4 2 2 2" xfId="26058"/>
    <cellStyle name="Input 31 2 4 2 3" xfId="20945"/>
    <cellStyle name="Input 31 2 4 2_Table 2A-1_EFT (Annual)" xfId="15275"/>
    <cellStyle name="Input 31 2 4 3" xfId="11414"/>
    <cellStyle name="Input 31 2 4 3 2" xfId="23512"/>
    <cellStyle name="Input 31 2 4 4" xfId="18399"/>
    <cellStyle name="Input 31 2 4_Table 2A-1_EFT (Annual)" xfId="7033"/>
    <cellStyle name="Input 31 2 5" xfId="4148"/>
    <cellStyle name="Input 31 2 5 2" xfId="12472"/>
    <cellStyle name="Input 31 2 5 2 2" xfId="24494"/>
    <cellStyle name="Input 31 2 5 3" xfId="19381"/>
    <cellStyle name="Input 31 2 5_Table 2A-1_EFT (Annual)" xfId="15276"/>
    <cellStyle name="Input 31 2 6" xfId="9811"/>
    <cellStyle name="Input 31 2 6 2" xfId="21948"/>
    <cellStyle name="Input 31 2 7" xfId="16835"/>
    <cellStyle name="Input 31 2_Table 2A-1_EFT (Annual)" xfId="3062"/>
    <cellStyle name="Input 31 3" xfId="416"/>
    <cellStyle name="Input 31 3 2" xfId="1399"/>
    <cellStyle name="Input 31 3 2 2" xfId="2669"/>
    <cellStyle name="Input 31 3 2 2 2" xfId="6230"/>
    <cellStyle name="Input 31 3 2 2 2 2" xfId="14424"/>
    <cellStyle name="Input 31 3 2 2 2 2 2" xfId="26396"/>
    <cellStyle name="Input 31 3 2 2 2 3" xfId="21283"/>
    <cellStyle name="Input 31 3 2 2 2_Table 2A-1_EFT (Annual)" xfId="15277"/>
    <cellStyle name="Input 31 3 2 2 3" xfId="11766"/>
    <cellStyle name="Input 31 3 2 2 3 2" xfId="23850"/>
    <cellStyle name="Input 31 3 2 2 4" xfId="18737"/>
    <cellStyle name="Input 31 3 2 2_Table 2A-1_EFT (Annual)" xfId="7035"/>
    <cellStyle name="Input 31 3 2 3" xfId="4960"/>
    <cellStyle name="Input 31 3 2 3 2" xfId="13220"/>
    <cellStyle name="Input 31 3 2 3 2 2" xfId="25226"/>
    <cellStyle name="Input 31 3 2 3 3" xfId="20113"/>
    <cellStyle name="Input 31 3 2 3_Table 2A-1_EFT (Annual)" xfId="15278"/>
    <cellStyle name="Input 31 3 2 4" xfId="10564"/>
    <cellStyle name="Input 31 3 2 4 2" xfId="22680"/>
    <cellStyle name="Input 31 3 2 5" xfId="17567"/>
    <cellStyle name="Input 31 3 2_Table 2A-1_EFT (Annual)" xfId="7034"/>
    <cellStyle name="Input 31 3 3" xfId="946"/>
    <cellStyle name="Input 31 3 3 2" xfId="4507"/>
    <cellStyle name="Input 31 3 3 2 2" xfId="12769"/>
    <cellStyle name="Input 31 3 3 2 2 2" xfId="24779"/>
    <cellStyle name="Input 31 3 3 2 3" xfId="19666"/>
    <cellStyle name="Input 31 3 3 2_Table 2A-1_EFT (Annual)" xfId="15279"/>
    <cellStyle name="Input 31 3 3 3" xfId="10116"/>
    <cellStyle name="Input 31 3 3 3 2" xfId="22233"/>
    <cellStyle name="Input 31 3 3 4" xfId="17120"/>
    <cellStyle name="Input 31 3 3_Table 2A-1_EFT (Annual)" xfId="7036"/>
    <cellStyle name="Input 31 3 4" xfId="2138"/>
    <cellStyle name="Input 31 3 4 2" xfId="5699"/>
    <cellStyle name="Input 31 3 4 2 2" xfId="13914"/>
    <cellStyle name="Input 31 3 4 2 2 2" xfId="25902"/>
    <cellStyle name="Input 31 3 4 2 3" xfId="20789"/>
    <cellStyle name="Input 31 3 4 2_Table 2A-1_EFT (Annual)" xfId="15280"/>
    <cellStyle name="Input 31 3 4 3" xfId="11258"/>
    <cellStyle name="Input 31 3 4 3 2" xfId="23356"/>
    <cellStyle name="Input 31 3 4 4" xfId="18243"/>
    <cellStyle name="Input 31 3 4_Table 2A-1_EFT (Annual)" xfId="7037"/>
    <cellStyle name="Input 31 3 5" xfId="3986"/>
    <cellStyle name="Input 31 3 5 2" xfId="12314"/>
    <cellStyle name="Input 31 3 5 2 2" xfId="24338"/>
    <cellStyle name="Input 31 3 5 3" xfId="19225"/>
    <cellStyle name="Input 31 3 5_Table 2A-1_EFT (Annual)" xfId="15281"/>
    <cellStyle name="Input 31 3 6" xfId="9651"/>
    <cellStyle name="Input 31 3 6 2" xfId="21792"/>
    <cellStyle name="Input 31 3 7" xfId="16679"/>
    <cellStyle name="Input 31 3_Table 2A-1_EFT (Annual)" xfId="3063"/>
    <cellStyle name="Input 31 4" xfId="1233"/>
    <cellStyle name="Input 31 4 2" xfId="2503"/>
    <cellStyle name="Input 31 4 2 2" xfId="6064"/>
    <cellStyle name="Input 31 4 2 2 2" xfId="14258"/>
    <cellStyle name="Input 31 4 2 2 2 2" xfId="26230"/>
    <cellStyle name="Input 31 4 2 2 3" xfId="21117"/>
    <cellStyle name="Input 31 4 2 2_Table 2A-1_EFT (Annual)" xfId="15282"/>
    <cellStyle name="Input 31 4 2 3" xfId="11600"/>
    <cellStyle name="Input 31 4 2 3 2" xfId="23684"/>
    <cellStyle name="Input 31 4 2 4" xfId="18571"/>
    <cellStyle name="Input 31 4 2_Table 2A-1_EFT (Annual)" xfId="7039"/>
    <cellStyle name="Input 31 4 3" xfId="4794"/>
    <cellStyle name="Input 31 4 3 2" xfId="13054"/>
    <cellStyle name="Input 31 4 3 2 2" xfId="25060"/>
    <cellStyle name="Input 31 4 3 3" xfId="19947"/>
    <cellStyle name="Input 31 4 3_Table 2A-1_EFT (Annual)" xfId="15283"/>
    <cellStyle name="Input 31 4 4" xfId="10398"/>
    <cellStyle name="Input 31 4 4 2" xfId="22514"/>
    <cellStyle name="Input 31 4 5" xfId="17401"/>
    <cellStyle name="Input 31 4_Table 2A-1_EFT (Annual)" xfId="7038"/>
    <cellStyle name="Input 31 5" xfId="787"/>
    <cellStyle name="Input 31 5 2" xfId="4348"/>
    <cellStyle name="Input 31 5 2 2" xfId="12628"/>
    <cellStyle name="Input 31 5 2 2 2" xfId="24645"/>
    <cellStyle name="Input 31 5 2 3" xfId="19532"/>
    <cellStyle name="Input 31 5 2_Table 2A-1_EFT (Annual)" xfId="15284"/>
    <cellStyle name="Input 31 5 3" xfId="9976"/>
    <cellStyle name="Input 31 5 3 2" xfId="22099"/>
    <cellStyle name="Input 31 5 4" xfId="16986"/>
    <cellStyle name="Input 31 5_Table 2A-1_EFT (Annual)" xfId="7040"/>
    <cellStyle name="Input 31 6" xfId="1972"/>
    <cellStyle name="Input 31 6 2" xfId="5533"/>
    <cellStyle name="Input 31 6 2 2" xfId="13748"/>
    <cellStyle name="Input 31 6 2 2 2" xfId="25736"/>
    <cellStyle name="Input 31 6 2 3" xfId="20623"/>
    <cellStyle name="Input 31 6 2_Table 2A-1_EFT (Annual)" xfId="15285"/>
    <cellStyle name="Input 31 6 3" xfId="11092"/>
    <cellStyle name="Input 31 6 3 2" xfId="23190"/>
    <cellStyle name="Input 31 6 4" xfId="18077"/>
    <cellStyle name="Input 31 6_Table 2A-1_EFT (Annual)" xfId="7041"/>
    <cellStyle name="Input 31 7" xfId="3774"/>
    <cellStyle name="Input 31 7 2" xfId="12142"/>
    <cellStyle name="Input 31 7 2 2" xfId="24172"/>
    <cellStyle name="Input 31 7 3" xfId="19059"/>
    <cellStyle name="Input 31 7_Table 2A-1_EFT (Annual)" xfId="15286"/>
    <cellStyle name="Input 31 8" xfId="9461"/>
    <cellStyle name="Input 31 8 2" xfId="21626"/>
    <cellStyle name="Input 31 9" xfId="16513"/>
    <cellStyle name="Input 31_Table 2A-1_EFT (Annual)" xfId="3061"/>
    <cellStyle name="Input 32" xfId="183"/>
    <cellStyle name="Input 32 2" xfId="576"/>
    <cellStyle name="Input 32 2 2" xfId="1553"/>
    <cellStyle name="Input 32 2 2 2" xfId="2823"/>
    <cellStyle name="Input 32 2 2 2 2" xfId="6384"/>
    <cellStyle name="Input 32 2 2 2 2 2" xfId="14578"/>
    <cellStyle name="Input 32 2 2 2 2 2 2" xfId="26550"/>
    <cellStyle name="Input 32 2 2 2 2 3" xfId="21437"/>
    <cellStyle name="Input 32 2 2 2 2_Table 2A-1_EFT (Annual)" xfId="15287"/>
    <cellStyle name="Input 32 2 2 2 3" xfId="11920"/>
    <cellStyle name="Input 32 2 2 2 3 2" xfId="24004"/>
    <cellStyle name="Input 32 2 2 2 4" xfId="18891"/>
    <cellStyle name="Input 32 2 2 2_Table 2A-1_EFT (Annual)" xfId="7043"/>
    <cellStyle name="Input 32 2 2 3" xfId="5114"/>
    <cellStyle name="Input 32 2 2 3 2" xfId="13374"/>
    <cellStyle name="Input 32 2 2 3 2 2" xfId="25380"/>
    <cellStyle name="Input 32 2 2 3 3" xfId="20267"/>
    <cellStyle name="Input 32 2 2 3_Table 2A-1_EFT (Annual)" xfId="15288"/>
    <cellStyle name="Input 32 2 2 4" xfId="10718"/>
    <cellStyle name="Input 32 2 2 4 2" xfId="22834"/>
    <cellStyle name="Input 32 2 2 5" xfId="17721"/>
    <cellStyle name="Input 32 2 2_Table 2A-1_EFT (Annual)" xfId="7042"/>
    <cellStyle name="Input 32 2 3" xfId="1077"/>
    <cellStyle name="Input 32 2 3 2" xfId="4638"/>
    <cellStyle name="Input 32 2 3 2 2" xfId="12898"/>
    <cellStyle name="Input 32 2 3 2 2 2" xfId="24904"/>
    <cellStyle name="Input 32 2 3 2 3" xfId="19791"/>
    <cellStyle name="Input 32 2 3 2_Table 2A-1_EFT (Annual)" xfId="15289"/>
    <cellStyle name="Input 32 2 3 3" xfId="10242"/>
    <cellStyle name="Input 32 2 3 3 2" xfId="22358"/>
    <cellStyle name="Input 32 2 3 4" xfId="17245"/>
    <cellStyle name="Input 32 2 3_Table 2A-1_EFT (Annual)" xfId="7044"/>
    <cellStyle name="Input 32 2 4" xfId="2292"/>
    <cellStyle name="Input 32 2 4 2" xfId="5853"/>
    <cellStyle name="Input 32 2 4 2 2" xfId="14068"/>
    <cellStyle name="Input 32 2 4 2 2 2" xfId="26056"/>
    <cellStyle name="Input 32 2 4 2 3" xfId="20943"/>
    <cellStyle name="Input 32 2 4 2_Table 2A-1_EFT (Annual)" xfId="15290"/>
    <cellStyle name="Input 32 2 4 3" xfId="11412"/>
    <cellStyle name="Input 32 2 4 3 2" xfId="23510"/>
    <cellStyle name="Input 32 2 4 4" xfId="18397"/>
    <cellStyle name="Input 32 2 4_Table 2A-1_EFT (Annual)" xfId="7045"/>
    <cellStyle name="Input 32 2 5" xfId="4146"/>
    <cellStyle name="Input 32 2 5 2" xfId="12470"/>
    <cellStyle name="Input 32 2 5 2 2" xfId="24492"/>
    <cellStyle name="Input 32 2 5 3" xfId="19379"/>
    <cellStyle name="Input 32 2 5_Table 2A-1_EFT (Annual)" xfId="15291"/>
    <cellStyle name="Input 32 2 6" xfId="9809"/>
    <cellStyle name="Input 32 2 6 2" xfId="21946"/>
    <cellStyle name="Input 32 2 7" xfId="16833"/>
    <cellStyle name="Input 32 2_Table 2A-1_EFT (Annual)" xfId="3065"/>
    <cellStyle name="Input 32 3" xfId="414"/>
    <cellStyle name="Input 32 3 2" xfId="1397"/>
    <cellStyle name="Input 32 3 2 2" xfId="2667"/>
    <cellStyle name="Input 32 3 2 2 2" xfId="6228"/>
    <cellStyle name="Input 32 3 2 2 2 2" xfId="14422"/>
    <cellStyle name="Input 32 3 2 2 2 2 2" xfId="26394"/>
    <cellStyle name="Input 32 3 2 2 2 3" xfId="21281"/>
    <cellStyle name="Input 32 3 2 2 2_Table 2A-1_EFT (Annual)" xfId="15292"/>
    <cellStyle name="Input 32 3 2 2 3" xfId="11764"/>
    <cellStyle name="Input 32 3 2 2 3 2" xfId="23848"/>
    <cellStyle name="Input 32 3 2 2 4" xfId="18735"/>
    <cellStyle name="Input 32 3 2 2_Table 2A-1_EFT (Annual)" xfId="7047"/>
    <cellStyle name="Input 32 3 2 3" xfId="4958"/>
    <cellStyle name="Input 32 3 2 3 2" xfId="13218"/>
    <cellStyle name="Input 32 3 2 3 2 2" xfId="25224"/>
    <cellStyle name="Input 32 3 2 3 3" xfId="20111"/>
    <cellStyle name="Input 32 3 2 3_Table 2A-1_EFT (Annual)" xfId="15293"/>
    <cellStyle name="Input 32 3 2 4" xfId="10562"/>
    <cellStyle name="Input 32 3 2 4 2" xfId="22678"/>
    <cellStyle name="Input 32 3 2 5" xfId="17565"/>
    <cellStyle name="Input 32 3 2_Table 2A-1_EFT (Annual)" xfId="7046"/>
    <cellStyle name="Input 32 3 3" xfId="945"/>
    <cellStyle name="Input 32 3 3 2" xfId="4506"/>
    <cellStyle name="Input 32 3 3 2 2" xfId="12768"/>
    <cellStyle name="Input 32 3 3 2 2 2" xfId="24778"/>
    <cellStyle name="Input 32 3 3 2 3" xfId="19665"/>
    <cellStyle name="Input 32 3 3 2_Table 2A-1_EFT (Annual)" xfId="15294"/>
    <cellStyle name="Input 32 3 3 3" xfId="10115"/>
    <cellStyle name="Input 32 3 3 3 2" xfId="22232"/>
    <cellStyle name="Input 32 3 3 4" xfId="17119"/>
    <cellStyle name="Input 32 3 3_Table 2A-1_EFT (Annual)" xfId="7048"/>
    <cellStyle name="Input 32 3 4" xfId="2136"/>
    <cellStyle name="Input 32 3 4 2" xfId="5697"/>
    <cellStyle name="Input 32 3 4 2 2" xfId="13912"/>
    <cellStyle name="Input 32 3 4 2 2 2" xfId="25900"/>
    <cellStyle name="Input 32 3 4 2 3" xfId="20787"/>
    <cellStyle name="Input 32 3 4 2_Table 2A-1_EFT (Annual)" xfId="15295"/>
    <cellStyle name="Input 32 3 4 3" xfId="11256"/>
    <cellStyle name="Input 32 3 4 3 2" xfId="23354"/>
    <cellStyle name="Input 32 3 4 4" xfId="18241"/>
    <cellStyle name="Input 32 3 4_Table 2A-1_EFT (Annual)" xfId="7049"/>
    <cellStyle name="Input 32 3 5" xfId="3984"/>
    <cellStyle name="Input 32 3 5 2" xfId="12312"/>
    <cellStyle name="Input 32 3 5 2 2" xfId="24336"/>
    <cellStyle name="Input 32 3 5 3" xfId="19223"/>
    <cellStyle name="Input 32 3 5_Table 2A-1_EFT (Annual)" xfId="15296"/>
    <cellStyle name="Input 32 3 6" xfId="9649"/>
    <cellStyle name="Input 32 3 6 2" xfId="21790"/>
    <cellStyle name="Input 32 3 7" xfId="16677"/>
    <cellStyle name="Input 32 3_Table 2A-1_EFT (Annual)" xfId="3066"/>
    <cellStyle name="Input 32 4" xfId="1231"/>
    <cellStyle name="Input 32 4 2" xfId="2501"/>
    <cellStyle name="Input 32 4 2 2" xfId="6062"/>
    <cellStyle name="Input 32 4 2 2 2" xfId="14256"/>
    <cellStyle name="Input 32 4 2 2 2 2" xfId="26228"/>
    <cellStyle name="Input 32 4 2 2 3" xfId="21115"/>
    <cellStyle name="Input 32 4 2 2_Table 2A-1_EFT (Annual)" xfId="15297"/>
    <cellStyle name="Input 32 4 2 3" xfId="11598"/>
    <cellStyle name="Input 32 4 2 3 2" xfId="23682"/>
    <cellStyle name="Input 32 4 2 4" xfId="18569"/>
    <cellStyle name="Input 32 4 2_Table 2A-1_EFT (Annual)" xfId="7051"/>
    <cellStyle name="Input 32 4 3" xfId="4792"/>
    <cellStyle name="Input 32 4 3 2" xfId="13052"/>
    <cellStyle name="Input 32 4 3 2 2" xfId="25058"/>
    <cellStyle name="Input 32 4 3 3" xfId="19945"/>
    <cellStyle name="Input 32 4 3_Table 2A-1_EFT (Annual)" xfId="15298"/>
    <cellStyle name="Input 32 4 4" xfId="10396"/>
    <cellStyle name="Input 32 4 4 2" xfId="22512"/>
    <cellStyle name="Input 32 4 5" xfId="17399"/>
    <cellStyle name="Input 32 4_Table 2A-1_EFT (Annual)" xfId="7050"/>
    <cellStyle name="Input 32 5" xfId="786"/>
    <cellStyle name="Input 32 5 2" xfId="4347"/>
    <cellStyle name="Input 32 5 2 2" xfId="12627"/>
    <cellStyle name="Input 32 5 2 2 2" xfId="24644"/>
    <cellStyle name="Input 32 5 2 3" xfId="19531"/>
    <cellStyle name="Input 32 5 2_Table 2A-1_EFT (Annual)" xfId="15299"/>
    <cellStyle name="Input 32 5 3" xfId="9975"/>
    <cellStyle name="Input 32 5 3 2" xfId="22098"/>
    <cellStyle name="Input 32 5 4" xfId="16985"/>
    <cellStyle name="Input 32 5_Table 2A-1_EFT (Annual)" xfId="7052"/>
    <cellStyle name="Input 32 6" xfId="1970"/>
    <cellStyle name="Input 32 6 2" xfId="5531"/>
    <cellStyle name="Input 32 6 2 2" xfId="13746"/>
    <cellStyle name="Input 32 6 2 2 2" xfId="25734"/>
    <cellStyle name="Input 32 6 2 3" xfId="20621"/>
    <cellStyle name="Input 32 6 2_Table 2A-1_EFT (Annual)" xfId="15300"/>
    <cellStyle name="Input 32 6 3" xfId="11090"/>
    <cellStyle name="Input 32 6 3 2" xfId="23188"/>
    <cellStyle name="Input 32 6 4" xfId="18075"/>
    <cellStyle name="Input 32 6_Table 2A-1_EFT (Annual)" xfId="7053"/>
    <cellStyle name="Input 32 7" xfId="3772"/>
    <cellStyle name="Input 32 7 2" xfId="12140"/>
    <cellStyle name="Input 32 7 2 2" xfId="24170"/>
    <cellStyle name="Input 32 7 3" xfId="19057"/>
    <cellStyle name="Input 32 7_Table 2A-1_EFT (Annual)" xfId="15301"/>
    <cellStyle name="Input 32 8" xfId="9459"/>
    <cellStyle name="Input 32 8 2" xfId="21624"/>
    <cellStyle name="Input 32 9" xfId="16511"/>
    <cellStyle name="Input 32_Table 2A-1_EFT (Annual)" xfId="3064"/>
    <cellStyle name="Input 33" xfId="245"/>
    <cellStyle name="Input 33 2" xfId="632"/>
    <cellStyle name="Input 33 2 2" xfId="1609"/>
    <cellStyle name="Input 33 2 2 2" xfId="2879"/>
    <cellStyle name="Input 33 2 2 2 2" xfId="6440"/>
    <cellStyle name="Input 33 2 2 2 2 2" xfId="14634"/>
    <cellStyle name="Input 33 2 2 2 2 2 2" xfId="26606"/>
    <cellStyle name="Input 33 2 2 2 2 3" xfId="21493"/>
    <cellStyle name="Input 33 2 2 2 2_Table 2A-1_EFT (Annual)" xfId="15302"/>
    <cellStyle name="Input 33 2 2 2 3" xfId="11976"/>
    <cellStyle name="Input 33 2 2 2 3 2" xfId="24060"/>
    <cellStyle name="Input 33 2 2 2 4" xfId="18947"/>
    <cellStyle name="Input 33 2 2 2_Table 2A-1_EFT (Annual)" xfId="7055"/>
    <cellStyle name="Input 33 2 2 3" xfId="5170"/>
    <cellStyle name="Input 33 2 2 3 2" xfId="13430"/>
    <cellStyle name="Input 33 2 2 3 2 2" xfId="25436"/>
    <cellStyle name="Input 33 2 2 3 3" xfId="20323"/>
    <cellStyle name="Input 33 2 2 3_Table 2A-1_EFT (Annual)" xfId="15303"/>
    <cellStyle name="Input 33 2 2 4" xfId="10774"/>
    <cellStyle name="Input 33 2 2 4 2" xfId="22890"/>
    <cellStyle name="Input 33 2 2 5" xfId="17777"/>
    <cellStyle name="Input 33 2 2_Table 2A-1_EFT (Annual)" xfId="7054"/>
    <cellStyle name="Input 33 2 3" xfId="1122"/>
    <cellStyle name="Input 33 2 3 2" xfId="4683"/>
    <cellStyle name="Input 33 2 3 2 2" xfId="12943"/>
    <cellStyle name="Input 33 2 3 2 2 2" xfId="24949"/>
    <cellStyle name="Input 33 2 3 2 3" xfId="19836"/>
    <cellStyle name="Input 33 2 3 2_Table 2A-1_EFT (Annual)" xfId="15304"/>
    <cellStyle name="Input 33 2 3 3" xfId="10287"/>
    <cellStyle name="Input 33 2 3 3 2" xfId="22403"/>
    <cellStyle name="Input 33 2 3 4" xfId="17290"/>
    <cellStyle name="Input 33 2 3_Table 2A-1_EFT (Annual)" xfId="7056"/>
    <cellStyle name="Input 33 2 4" xfId="2348"/>
    <cellStyle name="Input 33 2 4 2" xfId="5909"/>
    <cellStyle name="Input 33 2 4 2 2" xfId="14124"/>
    <cellStyle name="Input 33 2 4 2 2 2" xfId="26112"/>
    <cellStyle name="Input 33 2 4 2 3" xfId="20999"/>
    <cellStyle name="Input 33 2 4 2_Table 2A-1_EFT (Annual)" xfId="15305"/>
    <cellStyle name="Input 33 2 4 3" xfId="11468"/>
    <cellStyle name="Input 33 2 4 3 2" xfId="23566"/>
    <cellStyle name="Input 33 2 4 4" xfId="18453"/>
    <cellStyle name="Input 33 2 4_Table 2A-1_EFT (Annual)" xfId="7057"/>
    <cellStyle name="Input 33 2 5" xfId="4202"/>
    <cellStyle name="Input 33 2 5 2" xfId="12526"/>
    <cellStyle name="Input 33 2 5 2 2" xfId="24548"/>
    <cellStyle name="Input 33 2 5 3" xfId="19435"/>
    <cellStyle name="Input 33 2 5_Table 2A-1_EFT (Annual)" xfId="15306"/>
    <cellStyle name="Input 33 2 6" xfId="9865"/>
    <cellStyle name="Input 33 2 6 2" xfId="22002"/>
    <cellStyle name="Input 33 2 7" xfId="16889"/>
    <cellStyle name="Input 33 2_Table 2A-1_EFT (Annual)" xfId="3068"/>
    <cellStyle name="Input 33 3" xfId="471"/>
    <cellStyle name="Input 33 3 2" xfId="1448"/>
    <cellStyle name="Input 33 3 2 2" xfId="2718"/>
    <cellStyle name="Input 33 3 2 2 2" xfId="6279"/>
    <cellStyle name="Input 33 3 2 2 2 2" xfId="14473"/>
    <cellStyle name="Input 33 3 2 2 2 2 2" xfId="26445"/>
    <cellStyle name="Input 33 3 2 2 2 3" xfId="21332"/>
    <cellStyle name="Input 33 3 2 2 2_Table 2A-1_EFT (Annual)" xfId="15307"/>
    <cellStyle name="Input 33 3 2 2 3" xfId="11815"/>
    <cellStyle name="Input 33 3 2 2 3 2" xfId="23899"/>
    <cellStyle name="Input 33 3 2 2 4" xfId="18786"/>
    <cellStyle name="Input 33 3 2 2_Table 2A-1_EFT (Annual)" xfId="7059"/>
    <cellStyle name="Input 33 3 2 3" xfId="5009"/>
    <cellStyle name="Input 33 3 2 3 2" xfId="13269"/>
    <cellStyle name="Input 33 3 2 3 2 2" xfId="25275"/>
    <cellStyle name="Input 33 3 2 3 3" xfId="20162"/>
    <cellStyle name="Input 33 3 2 3_Table 2A-1_EFT (Annual)" xfId="15308"/>
    <cellStyle name="Input 33 3 2 4" xfId="10613"/>
    <cellStyle name="Input 33 3 2 4 2" xfId="22729"/>
    <cellStyle name="Input 33 3 2 5" xfId="17616"/>
    <cellStyle name="Input 33 3 2_Table 2A-1_EFT (Annual)" xfId="7058"/>
    <cellStyle name="Input 33 3 3" xfId="992"/>
    <cellStyle name="Input 33 3 3 2" xfId="4553"/>
    <cellStyle name="Input 33 3 3 2 2" xfId="12813"/>
    <cellStyle name="Input 33 3 3 2 2 2" xfId="24819"/>
    <cellStyle name="Input 33 3 3 2 3" xfId="19706"/>
    <cellStyle name="Input 33 3 3 2_Table 2A-1_EFT (Annual)" xfId="15309"/>
    <cellStyle name="Input 33 3 3 3" xfId="10157"/>
    <cellStyle name="Input 33 3 3 3 2" xfId="22273"/>
    <cellStyle name="Input 33 3 3 4" xfId="17160"/>
    <cellStyle name="Input 33 3 3_Table 2A-1_EFT (Annual)" xfId="7060"/>
    <cellStyle name="Input 33 3 4" xfId="2187"/>
    <cellStyle name="Input 33 3 4 2" xfId="5748"/>
    <cellStyle name="Input 33 3 4 2 2" xfId="13963"/>
    <cellStyle name="Input 33 3 4 2 2 2" xfId="25951"/>
    <cellStyle name="Input 33 3 4 2 3" xfId="20838"/>
    <cellStyle name="Input 33 3 4 2_Table 2A-1_EFT (Annual)" xfId="15310"/>
    <cellStyle name="Input 33 3 4 3" xfId="11307"/>
    <cellStyle name="Input 33 3 4 3 2" xfId="23405"/>
    <cellStyle name="Input 33 3 4 4" xfId="18292"/>
    <cellStyle name="Input 33 3 4_Table 2A-1_EFT (Annual)" xfId="7061"/>
    <cellStyle name="Input 33 3 5" xfId="4041"/>
    <cellStyle name="Input 33 3 5 2" xfId="12365"/>
    <cellStyle name="Input 33 3 5 2 2" xfId="24387"/>
    <cellStyle name="Input 33 3 5 3" xfId="19274"/>
    <cellStyle name="Input 33 3 5_Table 2A-1_EFT (Annual)" xfId="15311"/>
    <cellStyle name="Input 33 3 6" xfId="9704"/>
    <cellStyle name="Input 33 3 6 2" xfId="21841"/>
    <cellStyle name="Input 33 3 7" xfId="16728"/>
    <cellStyle name="Input 33 3_Table 2A-1_EFT (Annual)" xfId="3069"/>
    <cellStyle name="Input 33 4" xfId="1287"/>
    <cellStyle name="Input 33 4 2" xfId="2557"/>
    <cellStyle name="Input 33 4 2 2" xfId="6118"/>
    <cellStyle name="Input 33 4 2 2 2" xfId="14312"/>
    <cellStyle name="Input 33 4 2 2 2 2" xfId="26284"/>
    <cellStyle name="Input 33 4 2 2 3" xfId="21171"/>
    <cellStyle name="Input 33 4 2 2_Table 2A-1_EFT (Annual)" xfId="15312"/>
    <cellStyle name="Input 33 4 2 3" xfId="11654"/>
    <cellStyle name="Input 33 4 2 3 2" xfId="23738"/>
    <cellStyle name="Input 33 4 2 4" xfId="18625"/>
    <cellStyle name="Input 33 4 2_Table 2A-1_EFT (Annual)" xfId="7063"/>
    <cellStyle name="Input 33 4 3" xfId="4848"/>
    <cellStyle name="Input 33 4 3 2" xfId="13108"/>
    <cellStyle name="Input 33 4 3 2 2" xfId="25114"/>
    <cellStyle name="Input 33 4 3 3" xfId="20001"/>
    <cellStyle name="Input 33 4 3_Table 2A-1_EFT (Annual)" xfId="15313"/>
    <cellStyle name="Input 33 4 4" xfId="10452"/>
    <cellStyle name="Input 33 4 4 2" xfId="22568"/>
    <cellStyle name="Input 33 4 5" xfId="17455"/>
    <cellStyle name="Input 33 4_Table 2A-1_EFT (Annual)" xfId="7062"/>
    <cellStyle name="Input 33 5" xfId="837"/>
    <cellStyle name="Input 33 5 2" xfId="4398"/>
    <cellStyle name="Input 33 5 2 2" xfId="12672"/>
    <cellStyle name="Input 33 5 2 2 2" xfId="24689"/>
    <cellStyle name="Input 33 5 2 3" xfId="19576"/>
    <cellStyle name="Input 33 5 2_Table 2A-1_EFT (Annual)" xfId="15314"/>
    <cellStyle name="Input 33 5 3" xfId="10021"/>
    <cellStyle name="Input 33 5 3 2" xfId="22143"/>
    <cellStyle name="Input 33 5 4" xfId="17030"/>
    <cellStyle name="Input 33 5_Table 2A-1_EFT (Annual)" xfId="7064"/>
    <cellStyle name="Input 33 6" xfId="2026"/>
    <cellStyle name="Input 33 6 2" xfId="5587"/>
    <cellStyle name="Input 33 6 2 2" xfId="13802"/>
    <cellStyle name="Input 33 6 2 2 2" xfId="25790"/>
    <cellStyle name="Input 33 6 2 3" xfId="20677"/>
    <cellStyle name="Input 33 6 2_Table 2A-1_EFT (Annual)" xfId="15315"/>
    <cellStyle name="Input 33 6 3" xfId="11146"/>
    <cellStyle name="Input 33 6 3 2" xfId="23244"/>
    <cellStyle name="Input 33 6 4" xfId="18131"/>
    <cellStyle name="Input 33 6_Table 2A-1_EFT (Annual)" xfId="7065"/>
    <cellStyle name="Input 33 7" xfId="3834"/>
    <cellStyle name="Input 33 7 2" xfId="12197"/>
    <cellStyle name="Input 33 7 2 2" xfId="24226"/>
    <cellStyle name="Input 33 7 3" xfId="19113"/>
    <cellStyle name="Input 33 7_Table 2A-1_EFT (Annual)" xfId="15316"/>
    <cellStyle name="Input 33 8" xfId="9516"/>
    <cellStyle name="Input 33 8 2" xfId="21680"/>
    <cellStyle name="Input 33 9" xfId="16567"/>
    <cellStyle name="Input 33_Table 2A-1_EFT (Annual)" xfId="3067"/>
    <cellStyle name="Input 34" xfId="194"/>
    <cellStyle name="Input 34 2" xfId="587"/>
    <cellStyle name="Input 34 2 2" xfId="1564"/>
    <cellStyle name="Input 34 2 2 2" xfId="2834"/>
    <cellStyle name="Input 34 2 2 2 2" xfId="6395"/>
    <cellStyle name="Input 34 2 2 2 2 2" xfId="14589"/>
    <cellStyle name="Input 34 2 2 2 2 2 2" xfId="26561"/>
    <cellStyle name="Input 34 2 2 2 2 3" xfId="21448"/>
    <cellStyle name="Input 34 2 2 2 2_Table 2A-1_EFT (Annual)" xfId="15317"/>
    <cellStyle name="Input 34 2 2 2 3" xfId="11931"/>
    <cellStyle name="Input 34 2 2 2 3 2" xfId="24015"/>
    <cellStyle name="Input 34 2 2 2 4" xfId="18902"/>
    <cellStyle name="Input 34 2 2 2_Table 2A-1_EFT (Annual)" xfId="7067"/>
    <cellStyle name="Input 34 2 2 3" xfId="5125"/>
    <cellStyle name="Input 34 2 2 3 2" xfId="13385"/>
    <cellStyle name="Input 34 2 2 3 2 2" xfId="25391"/>
    <cellStyle name="Input 34 2 2 3 3" xfId="20278"/>
    <cellStyle name="Input 34 2 2 3_Table 2A-1_EFT (Annual)" xfId="15318"/>
    <cellStyle name="Input 34 2 2 4" xfId="10729"/>
    <cellStyle name="Input 34 2 2 4 2" xfId="22845"/>
    <cellStyle name="Input 34 2 2 5" xfId="17732"/>
    <cellStyle name="Input 34 2 2_Table 2A-1_EFT (Annual)" xfId="7066"/>
    <cellStyle name="Input 34 2 3" xfId="1086"/>
    <cellStyle name="Input 34 2 3 2" xfId="4647"/>
    <cellStyle name="Input 34 2 3 2 2" xfId="12907"/>
    <cellStyle name="Input 34 2 3 2 2 2" xfId="24913"/>
    <cellStyle name="Input 34 2 3 2 3" xfId="19800"/>
    <cellStyle name="Input 34 2 3 2_Table 2A-1_EFT (Annual)" xfId="15319"/>
    <cellStyle name="Input 34 2 3 3" xfId="10251"/>
    <cellStyle name="Input 34 2 3 3 2" xfId="22367"/>
    <cellStyle name="Input 34 2 3 4" xfId="17254"/>
    <cellStyle name="Input 34 2 3_Table 2A-1_EFT (Annual)" xfId="7068"/>
    <cellStyle name="Input 34 2 4" xfId="2303"/>
    <cellStyle name="Input 34 2 4 2" xfId="5864"/>
    <cellStyle name="Input 34 2 4 2 2" xfId="14079"/>
    <cellStyle name="Input 34 2 4 2 2 2" xfId="26067"/>
    <cellStyle name="Input 34 2 4 2 3" xfId="20954"/>
    <cellStyle name="Input 34 2 4 2_Table 2A-1_EFT (Annual)" xfId="15320"/>
    <cellStyle name="Input 34 2 4 3" xfId="11423"/>
    <cellStyle name="Input 34 2 4 3 2" xfId="23521"/>
    <cellStyle name="Input 34 2 4 4" xfId="18408"/>
    <cellStyle name="Input 34 2 4_Table 2A-1_EFT (Annual)" xfId="7069"/>
    <cellStyle name="Input 34 2 5" xfId="4157"/>
    <cellStyle name="Input 34 2 5 2" xfId="12481"/>
    <cellStyle name="Input 34 2 5 2 2" xfId="24503"/>
    <cellStyle name="Input 34 2 5 3" xfId="19390"/>
    <cellStyle name="Input 34 2 5_Table 2A-1_EFT (Annual)" xfId="15321"/>
    <cellStyle name="Input 34 2 6" xfId="9820"/>
    <cellStyle name="Input 34 2 6 2" xfId="21957"/>
    <cellStyle name="Input 34 2 7" xfId="16844"/>
    <cellStyle name="Input 34 2_Table 2A-1_EFT (Annual)" xfId="3071"/>
    <cellStyle name="Input 34 3" xfId="1242"/>
    <cellStyle name="Input 34 3 2" xfId="2512"/>
    <cellStyle name="Input 34 3 2 2" xfId="6073"/>
    <cellStyle name="Input 34 3 2 2 2" xfId="14267"/>
    <cellStyle name="Input 34 3 2 2 2 2" xfId="26239"/>
    <cellStyle name="Input 34 3 2 2 3" xfId="21126"/>
    <cellStyle name="Input 34 3 2 2_Table 2A-1_EFT (Annual)" xfId="15322"/>
    <cellStyle name="Input 34 3 2 3" xfId="11609"/>
    <cellStyle name="Input 34 3 2 3 2" xfId="23693"/>
    <cellStyle name="Input 34 3 2 4" xfId="18580"/>
    <cellStyle name="Input 34 3 2_Table 2A-1_EFT (Annual)" xfId="7071"/>
    <cellStyle name="Input 34 3 3" xfId="4803"/>
    <cellStyle name="Input 34 3 3 2" xfId="13063"/>
    <cellStyle name="Input 34 3 3 2 2" xfId="25069"/>
    <cellStyle name="Input 34 3 3 3" xfId="19956"/>
    <cellStyle name="Input 34 3 3_Table 2A-1_EFT (Annual)" xfId="15323"/>
    <cellStyle name="Input 34 3 4" xfId="10407"/>
    <cellStyle name="Input 34 3 4 2" xfId="22523"/>
    <cellStyle name="Input 34 3 5" xfId="17410"/>
    <cellStyle name="Input 34 3_Table 2A-1_EFT (Annual)" xfId="7070"/>
    <cellStyle name="Input 34 4" xfId="795"/>
    <cellStyle name="Input 34 4 2" xfId="4356"/>
    <cellStyle name="Input 34 4 2 2" xfId="12636"/>
    <cellStyle name="Input 34 4 2 2 2" xfId="24653"/>
    <cellStyle name="Input 34 4 2 3" xfId="19540"/>
    <cellStyle name="Input 34 4 2_Table 2A-1_EFT (Annual)" xfId="15324"/>
    <cellStyle name="Input 34 4 3" xfId="9984"/>
    <cellStyle name="Input 34 4 3 2" xfId="22107"/>
    <cellStyle name="Input 34 4 4" xfId="16994"/>
    <cellStyle name="Input 34 4_Table 2A-1_EFT (Annual)" xfId="7072"/>
    <cellStyle name="Input 34 5" xfId="1981"/>
    <cellStyle name="Input 34 5 2" xfId="5542"/>
    <cellStyle name="Input 34 5 2 2" xfId="13757"/>
    <cellStyle name="Input 34 5 2 2 2" xfId="25745"/>
    <cellStyle name="Input 34 5 2 3" xfId="20632"/>
    <cellStyle name="Input 34 5 2_Table 2A-1_EFT (Annual)" xfId="15325"/>
    <cellStyle name="Input 34 5 3" xfId="11101"/>
    <cellStyle name="Input 34 5 3 2" xfId="23199"/>
    <cellStyle name="Input 34 5 4" xfId="18086"/>
    <cellStyle name="Input 34 5_Table 2A-1_EFT (Annual)" xfId="7073"/>
    <cellStyle name="Input 34 6" xfId="3783"/>
    <cellStyle name="Input 34 6 2" xfId="12151"/>
    <cellStyle name="Input 34 6 2 2" xfId="24181"/>
    <cellStyle name="Input 34 6 3" xfId="19068"/>
    <cellStyle name="Input 34 6_Table 2A-1_EFT (Annual)" xfId="15326"/>
    <cellStyle name="Input 34 7" xfId="9470"/>
    <cellStyle name="Input 34 7 2" xfId="21635"/>
    <cellStyle name="Input 34 8" xfId="16522"/>
    <cellStyle name="Input 34_Table 2A-1_EFT (Annual)" xfId="3070"/>
    <cellStyle name="Input 35" xfId="290"/>
    <cellStyle name="Input 35 2" xfId="1296"/>
    <cellStyle name="Input 35 2 2" xfId="2566"/>
    <cellStyle name="Input 35 2 2 2" xfId="6127"/>
    <cellStyle name="Input 35 2 2 2 2" xfId="14321"/>
    <cellStyle name="Input 35 2 2 2 2 2" xfId="26293"/>
    <cellStyle name="Input 35 2 2 2 3" xfId="21180"/>
    <cellStyle name="Input 35 2 2 2_Table 2A-1_EFT (Annual)" xfId="15327"/>
    <cellStyle name="Input 35 2 2 3" xfId="11663"/>
    <cellStyle name="Input 35 2 2 3 2" xfId="23747"/>
    <cellStyle name="Input 35 2 2 4" xfId="18634"/>
    <cellStyle name="Input 35 2 2_Table 2A-1_EFT (Annual)" xfId="7075"/>
    <cellStyle name="Input 35 2 3" xfId="4857"/>
    <cellStyle name="Input 35 2 3 2" xfId="13117"/>
    <cellStyle name="Input 35 2 3 2 2" xfId="25123"/>
    <cellStyle name="Input 35 2 3 3" xfId="20010"/>
    <cellStyle name="Input 35 2 3_Table 2A-1_EFT (Annual)" xfId="15328"/>
    <cellStyle name="Input 35 2 4" xfId="10461"/>
    <cellStyle name="Input 35 2 4 2" xfId="22577"/>
    <cellStyle name="Input 35 2 5" xfId="17464"/>
    <cellStyle name="Input 35 2_Table 2A-1_EFT (Annual)" xfId="7074"/>
    <cellStyle name="Input 35 3" xfId="846"/>
    <cellStyle name="Input 35 3 2" xfId="4407"/>
    <cellStyle name="Input 35 3 2 2" xfId="12680"/>
    <cellStyle name="Input 35 3 2 2 2" xfId="24697"/>
    <cellStyle name="Input 35 3 2 3" xfId="19584"/>
    <cellStyle name="Input 35 3 2_Table 2A-1_EFT (Annual)" xfId="15329"/>
    <cellStyle name="Input 35 3 3" xfId="10029"/>
    <cellStyle name="Input 35 3 3 2" xfId="22151"/>
    <cellStyle name="Input 35 3 4" xfId="17038"/>
    <cellStyle name="Input 35 3_Table 2A-1_EFT (Annual)" xfId="7076"/>
    <cellStyle name="Input 35 4" xfId="2035"/>
    <cellStyle name="Input 35 4 2" xfId="5596"/>
    <cellStyle name="Input 35 4 2 2" xfId="13811"/>
    <cellStyle name="Input 35 4 2 2 2" xfId="25799"/>
    <cellStyle name="Input 35 4 2 3" xfId="20686"/>
    <cellStyle name="Input 35 4 2_Table 2A-1_EFT (Annual)" xfId="15330"/>
    <cellStyle name="Input 35 4 3" xfId="11155"/>
    <cellStyle name="Input 35 4 3 2" xfId="23253"/>
    <cellStyle name="Input 35 4 4" xfId="18140"/>
    <cellStyle name="Input 35 4_Table 2A-1_EFT (Annual)" xfId="7077"/>
    <cellStyle name="Input 35 5" xfId="3862"/>
    <cellStyle name="Input 35 5 2" xfId="12206"/>
    <cellStyle name="Input 35 5 2 2" xfId="24235"/>
    <cellStyle name="Input 35 5 3" xfId="19122"/>
    <cellStyle name="Input 35 5_Table 2A-1_EFT (Annual)" xfId="15331"/>
    <cellStyle name="Input 35 6" xfId="9540"/>
    <cellStyle name="Input 35 6 2" xfId="21689"/>
    <cellStyle name="Input 35 7" xfId="16576"/>
    <cellStyle name="Input 35_Table 2A-1_EFT (Annual)" xfId="3072"/>
    <cellStyle name="Input 36" xfId="643"/>
    <cellStyle name="Input 36 2" xfId="1620"/>
    <cellStyle name="Input 36 2 2" xfId="2890"/>
    <cellStyle name="Input 36 2 2 2" xfId="6451"/>
    <cellStyle name="Input 36 2 2 2 2" xfId="14645"/>
    <cellStyle name="Input 36 2 2 2 2 2" xfId="26617"/>
    <cellStyle name="Input 36 2 2 2 3" xfId="21504"/>
    <cellStyle name="Input 36 2 2 2_Table 2A-1_EFT (Annual)" xfId="15332"/>
    <cellStyle name="Input 36 2 2 3" xfId="11987"/>
    <cellStyle name="Input 36 2 2 3 2" xfId="24071"/>
    <cellStyle name="Input 36 2 2 4" xfId="18958"/>
    <cellStyle name="Input 36 2 2_Table 2A-1_EFT (Annual)" xfId="7079"/>
    <cellStyle name="Input 36 2 3" xfId="5181"/>
    <cellStyle name="Input 36 2 3 2" xfId="13441"/>
    <cellStyle name="Input 36 2 3 2 2" xfId="25447"/>
    <cellStyle name="Input 36 2 3 3" xfId="20334"/>
    <cellStyle name="Input 36 2 3_Table 2A-1_EFT (Annual)" xfId="15333"/>
    <cellStyle name="Input 36 2 4" xfId="10785"/>
    <cellStyle name="Input 36 2 4 2" xfId="22901"/>
    <cellStyle name="Input 36 2 5" xfId="17788"/>
    <cellStyle name="Input 36 2_Table 2A-1_EFT (Annual)" xfId="7078"/>
    <cellStyle name="Input 36 3" xfId="1132"/>
    <cellStyle name="Input 36 3 2" xfId="4693"/>
    <cellStyle name="Input 36 3 2 2" xfId="12953"/>
    <cellStyle name="Input 36 3 2 2 2" xfId="24959"/>
    <cellStyle name="Input 36 3 2 3" xfId="19846"/>
    <cellStyle name="Input 36 3 2_Table 2A-1_EFT (Annual)" xfId="15334"/>
    <cellStyle name="Input 36 3 3" xfId="10297"/>
    <cellStyle name="Input 36 3 3 2" xfId="22413"/>
    <cellStyle name="Input 36 3 4" xfId="17300"/>
    <cellStyle name="Input 36 3_Table 2A-1_EFT (Annual)" xfId="7080"/>
    <cellStyle name="Input 36 4" xfId="2359"/>
    <cellStyle name="Input 36 4 2" xfId="5920"/>
    <cellStyle name="Input 36 4 2 2" xfId="14135"/>
    <cellStyle name="Input 36 4 2 2 2" xfId="26123"/>
    <cellStyle name="Input 36 4 2 3" xfId="21010"/>
    <cellStyle name="Input 36 4 2_Table 2A-1_EFT (Annual)" xfId="15335"/>
    <cellStyle name="Input 36 4 3" xfId="11479"/>
    <cellStyle name="Input 36 4 3 2" xfId="23577"/>
    <cellStyle name="Input 36 4 4" xfId="18464"/>
    <cellStyle name="Input 36 4_Table 2A-1_EFT (Annual)" xfId="7081"/>
    <cellStyle name="Input 36 5" xfId="4213"/>
    <cellStyle name="Input 36 5 2" xfId="12537"/>
    <cellStyle name="Input 36 5 2 2" xfId="24559"/>
    <cellStyle name="Input 36 5 3" xfId="19446"/>
    <cellStyle name="Input 36 5_Table 2A-1_EFT (Annual)" xfId="15336"/>
    <cellStyle name="Input 36 6" xfId="9876"/>
    <cellStyle name="Input 36 6 2" xfId="22013"/>
    <cellStyle name="Input 36 7" xfId="16900"/>
    <cellStyle name="Input 36_Table 2A-1_EFT (Annual)" xfId="3073"/>
    <cellStyle name="Input 37" xfId="694"/>
    <cellStyle name="Input 37 2" xfId="2363"/>
    <cellStyle name="Input 37 2 2" xfId="5924"/>
    <cellStyle name="Input 37 2 2 2" xfId="14138"/>
    <cellStyle name="Input 37 2 2 2 2" xfId="26126"/>
    <cellStyle name="Input 37 2 2 3" xfId="21013"/>
    <cellStyle name="Input 37 2 2_Table 2A-1_EFT (Annual)" xfId="15337"/>
    <cellStyle name="Input 37 2 3" xfId="11483"/>
    <cellStyle name="Input 37 2 3 2" xfId="23580"/>
    <cellStyle name="Input 37 2 4" xfId="18467"/>
    <cellStyle name="Input 37 2_Table 2A-1_EFT (Annual)" xfId="7083"/>
    <cellStyle name="Input 37 3" xfId="4258"/>
    <cellStyle name="Input 37 3 2" xfId="12544"/>
    <cellStyle name="Input 37 3 2 2" xfId="24562"/>
    <cellStyle name="Input 37 3 3" xfId="19449"/>
    <cellStyle name="Input 37 3_Table 2A-1_EFT (Annual)" xfId="15338"/>
    <cellStyle name="Input 37 4" xfId="9890"/>
    <cellStyle name="Input 37 4 2" xfId="22016"/>
    <cellStyle name="Input 37 5" xfId="16903"/>
    <cellStyle name="Input 37_Table 2A-1_EFT (Annual)" xfId="7082"/>
    <cellStyle name="Input 38" xfId="16008"/>
    <cellStyle name="Input 4" xfId="89"/>
    <cellStyle name="Input 4 10" xfId="21522"/>
    <cellStyle name="Input 4 2" xfId="488"/>
    <cellStyle name="Input 4 2 2" xfId="1465"/>
    <cellStyle name="Input 4 2 2 2" xfId="2735"/>
    <cellStyle name="Input 4 2 2 2 2" xfId="6296"/>
    <cellStyle name="Input 4 2 2 2 2 2" xfId="14490"/>
    <cellStyle name="Input 4 2 2 2 2 2 2" xfId="26462"/>
    <cellStyle name="Input 4 2 2 2 2 3" xfId="21349"/>
    <cellStyle name="Input 4 2 2 2 2_Table 2A-1_EFT (Annual)" xfId="15339"/>
    <cellStyle name="Input 4 2 2 2 3" xfId="11832"/>
    <cellStyle name="Input 4 2 2 2 3 2" xfId="23916"/>
    <cellStyle name="Input 4 2 2 2 4" xfId="18803"/>
    <cellStyle name="Input 4 2 2 2_Table 2A-1_EFT (Annual)" xfId="7085"/>
    <cellStyle name="Input 4 2 2 3" xfId="5026"/>
    <cellStyle name="Input 4 2 2 3 2" xfId="13286"/>
    <cellStyle name="Input 4 2 2 3 2 2" xfId="25292"/>
    <cellStyle name="Input 4 2 2 3 3" xfId="20179"/>
    <cellStyle name="Input 4 2 2 3_Table 2A-1_EFT (Annual)" xfId="15340"/>
    <cellStyle name="Input 4 2 2 4" xfId="10630"/>
    <cellStyle name="Input 4 2 2 4 2" xfId="22746"/>
    <cellStyle name="Input 4 2 2 5" xfId="17633"/>
    <cellStyle name="Input 4 2 2_Table 2A-1_EFT (Annual)" xfId="7084"/>
    <cellStyle name="Input 4 2 3" xfId="1006"/>
    <cellStyle name="Input 4 2 3 2" xfId="4567"/>
    <cellStyle name="Input 4 2 3 2 2" xfId="12827"/>
    <cellStyle name="Input 4 2 3 2 2 2" xfId="24833"/>
    <cellStyle name="Input 4 2 3 2 3" xfId="19720"/>
    <cellStyle name="Input 4 2 3 2_Table 2A-1_EFT (Annual)" xfId="15341"/>
    <cellStyle name="Input 4 2 3 3" xfId="10171"/>
    <cellStyle name="Input 4 2 3 3 2" xfId="22287"/>
    <cellStyle name="Input 4 2 3 4" xfId="17174"/>
    <cellStyle name="Input 4 2 3_Table 2A-1_EFT (Annual)" xfId="7086"/>
    <cellStyle name="Input 4 2 4" xfId="2204"/>
    <cellStyle name="Input 4 2 4 2" xfId="5765"/>
    <cellStyle name="Input 4 2 4 2 2" xfId="13980"/>
    <cellStyle name="Input 4 2 4 2 2 2" xfId="25968"/>
    <cellStyle name="Input 4 2 4 2 3" xfId="20855"/>
    <cellStyle name="Input 4 2 4 2_Table 2A-1_EFT (Annual)" xfId="15342"/>
    <cellStyle name="Input 4 2 4 3" xfId="11324"/>
    <cellStyle name="Input 4 2 4 3 2" xfId="23422"/>
    <cellStyle name="Input 4 2 4 4" xfId="18309"/>
    <cellStyle name="Input 4 2 4_Table 2A-1_EFT (Annual)" xfId="7087"/>
    <cellStyle name="Input 4 2 5" xfId="4058"/>
    <cellStyle name="Input 4 2 5 2" xfId="12382"/>
    <cellStyle name="Input 4 2 5 2 2" xfId="24404"/>
    <cellStyle name="Input 4 2 5 3" xfId="19291"/>
    <cellStyle name="Input 4 2 5_Table 2A-1_EFT (Annual)" xfId="15343"/>
    <cellStyle name="Input 4 2 6" xfId="9721"/>
    <cellStyle name="Input 4 2 6 2" xfId="21858"/>
    <cellStyle name="Input 4 2 7" xfId="16745"/>
    <cellStyle name="Input 4 2_Table 2A-1_EFT (Annual)" xfId="3075"/>
    <cellStyle name="Input 4 3" xfId="321"/>
    <cellStyle name="Input 4 3 2" xfId="1309"/>
    <cellStyle name="Input 4 3 2 2" xfId="2579"/>
    <cellStyle name="Input 4 3 2 2 2" xfId="6140"/>
    <cellStyle name="Input 4 3 2 2 2 2" xfId="14334"/>
    <cellStyle name="Input 4 3 2 2 2 2 2" xfId="26306"/>
    <cellStyle name="Input 4 3 2 2 2 3" xfId="21193"/>
    <cellStyle name="Input 4 3 2 2 2_Table 2A-1_EFT (Annual)" xfId="15344"/>
    <cellStyle name="Input 4 3 2 2 3" xfId="11676"/>
    <cellStyle name="Input 4 3 2 2 3 2" xfId="23760"/>
    <cellStyle name="Input 4 3 2 2 4" xfId="18647"/>
    <cellStyle name="Input 4 3 2 2_Table 2A-1_EFT (Annual)" xfId="7089"/>
    <cellStyle name="Input 4 3 2 3" xfId="4870"/>
    <cellStyle name="Input 4 3 2 3 2" xfId="13130"/>
    <cellStyle name="Input 4 3 2 3 2 2" xfId="25136"/>
    <cellStyle name="Input 4 3 2 3 3" xfId="20023"/>
    <cellStyle name="Input 4 3 2 3_Table 2A-1_EFT (Annual)" xfId="15345"/>
    <cellStyle name="Input 4 3 2 4" xfId="10474"/>
    <cellStyle name="Input 4 3 2 4 2" xfId="22590"/>
    <cellStyle name="Input 4 3 2 5" xfId="17477"/>
    <cellStyle name="Input 4 3 2_Table 2A-1_EFT (Annual)" xfId="7088"/>
    <cellStyle name="Input 4 3 3" xfId="869"/>
    <cellStyle name="Input 4 3 3 2" xfId="4430"/>
    <cellStyle name="Input 4 3 3 2 2" xfId="12695"/>
    <cellStyle name="Input 4 3 3 2 2 2" xfId="24707"/>
    <cellStyle name="Input 4 3 3 2 3" xfId="19594"/>
    <cellStyle name="Input 4 3 3 2_Table 2A-1_EFT (Annual)" xfId="15346"/>
    <cellStyle name="Input 4 3 3 3" xfId="10042"/>
    <cellStyle name="Input 4 3 3 3 2" xfId="22161"/>
    <cellStyle name="Input 4 3 3 4" xfId="17048"/>
    <cellStyle name="Input 4 3 3_Table 2A-1_EFT (Annual)" xfId="7090"/>
    <cellStyle name="Input 4 3 4" xfId="2048"/>
    <cellStyle name="Input 4 3 4 2" xfId="5609"/>
    <cellStyle name="Input 4 3 4 2 2" xfId="13824"/>
    <cellStyle name="Input 4 3 4 2 2 2" xfId="25812"/>
    <cellStyle name="Input 4 3 4 2 3" xfId="20699"/>
    <cellStyle name="Input 4 3 4 2_Table 2A-1_EFT (Annual)" xfId="15347"/>
    <cellStyle name="Input 4 3 4 3" xfId="11168"/>
    <cellStyle name="Input 4 3 4 3 2" xfId="23266"/>
    <cellStyle name="Input 4 3 4 4" xfId="18153"/>
    <cellStyle name="Input 4 3 4_Table 2A-1_EFT (Annual)" xfId="7091"/>
    <cellStyle name="Input 4 3 5" xfId="3891"/>
    <cellStyle name="Input 4 3 5 2" xfId="12223"/>
    <cellStyle name="Input 4 3 5 2 2" xfId="24248"/>
    <cellStyle name="Input 4 3 5 3" xfId="19135"/>
    <cellStyle name="Input 4 3 5_Table 2A-1_EFT (Annual)" xfId="15348"/>
    <cellStyle name="Input 4 3 6" xfId="9560"/>
    <cellStyle name="Input 4 3 6 2" xfId="21702"/>
    <cellStyle name="Input 4 3 7" xfId="16589"/>
    <cellStyle name="Input 4 3_Table 2A-1_EFT (Annual)" xfId="3076"/>
    <cellStyle name="Input 4 4" xfId="1143"/>
    <cellStyle name="Input 4 4 2" xfId="2413"/>
    <cellStyle name="Input 4 4 2 2" xfId="5974"/>
    <cellStyle name="Input 4 4 2 2 2" xfId="14168"/>
    <cellStyle name="Input 4 4 2 2 2 2" xfId="26140"/>
    <cellStyle name="Input 4 4 2 2 3" xfId="21027"/>
    <cellStyle name="Input 4 4 2 2_Table 2A-1_EFT (Annual)" xfId="15349"/>
    <cellStyle name="Input 4 4 2 3" xfId="11510"/>
    <cellStyle name="Input 4 4 2 3 2" xfId="23594"/>
    <cellStyle name="Input 4 4 2 4" xfId="18481"/>
    <cellStyle name="Input 4 4 2_Table 2A-1_EFT (Annual)" xfId="7093"/>
    <cellStyle name="Input 4 4 3" xfId="4704"/>
    <cellStyle name="Input 4 4 3 2" xfId="12964"/>
    <cellStyle name="Input 4 4 3 2 2" xfId="24970"/>
    <cellStyle name="Input 4 4 3 3" xfId="19857"/>
    <cellStyle name="Input 4 4 3_Table 2A-1_EFT (Annual)" xfId="15350"/>
    <cellStyle name="Input 4 4 4" xfId="10308"/>
    <cellStyle name="Input 4 4 4 2" xfId="22424"/>
    <cellStyle name="Input 4 4 5" xfId="17311"/>
    <cellStyle name="Input 4 4_Table 2A-1_EFT (Annual)" xfId="7092"/>
    <cellStyle name="Input 4 5" xfId="710"/>
    <cellStyle name="Input 4 5 2" xfId="4271"/>
    <cellStyle name="Input 4 5 2 2" xfId="12555"/>
    <cellStyle name="Input 4 5 2 2 2" xfId="24573"/>
    <cellStyle name="Input 4 5 2 3" xfId="19460"/>
    <cellStyle name="Input 4 5 2_Table 2A-1_EFT (Annual)" xfId="15351"/>
    <cellStyle name="Input 4 5 3" xfId="9902"/>
    <cellStyle name="Input 4 5 3 2" xfId="22027"/>
    <cellStyle name="Input 4 5 4" xfId="16914"/>
    <cellStyle name="Input 4 5_Table 2A-1_EFT (Annual)" xfId="7094"/>
    <cellStyle name="Input 4 6" xfId="1884"/>
    <cellStyle name="Input 4 6 2" xfId="5445"/>
    <cellStyle name="Input 4 6 2 2" xfId="13660"/>
    <cellStyle name="Input 4 6 2 2 2" xfId="25648"/>
    <cellStyle name="Input 4 6 2 3" xfId="20535"/>
    <cellStyle name="Input 4 6 2_Table 2A-1_EFT (Annual)" xfId="15352"/>
    <cellStyle name="Input 4 6 3" xfId="11004"/>
    <cellStyle name="Input 4 6 3 2" xfId="23102"/>
    <cellStyle name="Input 4 6 4" xfId="17989"/>
    <cellStyle name="Input 4 6_Table 2A-1_EFT (Annual)" xfId="7095"/>
    <cellStyle name="Input 4 7" xfId="3678"/>
    <cellStyle name="Input 4 7 2" xfId="12051"/>
    <cellStyle name="Input 4 7 2 2" xfId="24082"/>
    <cellStyle name="Input 4 7 3" xfId="18969"/>
    <cellStyle name="Input 4 7_Table 2A-1_EFT (Annual)" xfId="15353"/>
    <cellStyle name="Input 4 8" xfId="9368"/>
    <cellStyle name="Input 4 8 2" xfId="21536"/>
    <cellStyle name="Input 4 9" xfId="16423"/>
    <cellStyle name="Input 4_Table 2A-1_EFT (Annual)" xfId="3074"/>
    <cellStyle name="Input 5" xfId="120"/>
    <cellStyle name="Input 5 10" xfId="21507"/>
    <cellStyle name="Input 5 2" xfId="513"/>
    <cellStyle name="Input 5 2 2" xfId="1490"/>
    <cellStyle name="Input 5 2 2 2" xfId="2760"/>
    <cellStyle name="Input 5 2 2 2 2" xfId="6321"/>
    <cellStyle name="Input 5 2 2 2 2 2" xfId="14515"/>
    <cellStyle name="Input 5 2 2 2 2 2 2" xfId="26487"/>
    <cellStyle name="Input 5 2 2 2 2 3" xfId="21374"/>
    <cellStyle name="Input 5 2 2 2 2_Table 2A-1_EFT (Annual)" xfId="15354"/>
    <cellStyle name="Input 5 2 2 2 3" xfId="11857"/>
    <cellStyle name="Input 5 2 2 2 3 2" xfId="23941"/>
    <cellStyle name="Input 5 2 2 2 4" xfId="18828"/>
    <cellStyle name="Input 5 2 2 2_Table 2A-1_EFT (Annual)" xfId="7097"/>
    <cellStyle name="Input 5 2 2 3" xfId="5051"/>
    <cellStyle name="Input 5 2 2 3 2" xfId="13311"/>
    <cellStyle name="Input 5 2 2 3 2 2" xfId="25317"/>
    <cellStyle name="Input 5 2 2 3 3" xfId="20204"/>
    <cellStyle name="Input 5 2 2 3_Table 2A-1_EFT (Annual)" xfId="15355"/>
    <cellStyle name="Input 5 2 2 4" xfId="10655"/>
    <cellStyle name="Input 5 2 2 4 2" xfId="22771"/>
    <cellStyle name="Input 5 2 2 5" xfId="17658"/>
    <cellStyle name="Input 5 2 2_Table 2A-1_EFT (Annual)" xfId="7096"/>
    <cellStyle name="Input 5 2 3" xfId="1024"/>
    <cellStyle name="Input 5 2 3 2" xfId="4585"/>
    <cellStyle name="Input 5 2 3 2 2" xfId="12845"/>
    <cellStyle name="Input 5 2 3 2 2 2" xfId="24851"/>
    <cellStyle name="Input 5 2 3 2 3" xfId="19738"/>
    <cellStyle name="Input 5 2 3 2_Table 2A-1_EFT (Annual)" xfId="15356"/>
    <cellStyle name="Input 5 2 3 3" xfId="10189"/>
    <cellStyle name="Input 5 2 3 3 2" xfId="22305"/>
    <cellStyle name="Input 5 2 3 4" xfId="17192"/>
    <cellStyle name="Input 5 2 3_Table 2A-1_EFT (Annual)" xfId="7098"/>
    <cellStyle name="Input 5 2 4" xfId="2229"/>
    <cellStyle name="Input 5 2 4 2" xfId="5790"/>
    <cellStyle name="Input 5 2 4 2 2" xfId="14005"/>
    <cellStyle name="Input 5 2 4 2 2 2" xfId="25993"/>
    <cellStyle name="Input 5 2 4 2 3" xfId="20880"/>
    <cellStyle name="Input 5 2 4 2_Table 2A-1_EFT (Annual)" xfId="15357"/>
    <cellStyle name="Input 5 2 4 3" xfId="11349"/>
    <cellStyle name="Input 5 2 4 3 2" xfId="23447"/>
    <cellStyle name="Input 5 2 4 4" xfId="18334"/>
    <cellStyle name="Input 5 2 4_Table 2A-1_EFT (Annual)" xfId="7099"/>
    <cellStyle name="Input 5 2 5" xfId="4083"/>
    <cellStyle name="Input 5 2 5 2" xfId="12407"/>
    <cellStyle name="Input 5 2 5 2 2" xfId="24429"/>
    <cellStyle name="Input 5 2 5 3" xfId="19316"/>
    <cellStyle name="Input 5 2 5_Table 2A-1_EFT (Annual)" xfId="15358"/>
    <cellStyle name="Input 5 2 6" xfId="9746"/>
    <cellStyle name="Input 5 2 6 2" xfId="21883"/>
    <cellStyle name="Input 5 2 7" xfId="16770"/>
    <cellStyle name="Input 5 2_Table 2A-1_EFT (Annual)" xfId="3078"/>
    <cellStyle name="Input 5 3" xfId="351"/>
    <cellStyle name="Input 5 3 2" xfId="1334"/>
    <cellStyle name="Input 5 3 2 2" xfId="2604"/>
    <cellStyle name="Input 5 3 2 2 2" xfId="6165"/>
    <cellStyle name="Input 5 3 2 2 2 2" xfId="14359"/>
    <cellStyle name="Input 5 3 2 2 2 2 2" xfId="26331"/>
    <cellStyle name="Input 5 3 2 2 2 3" xfId="21218"/>
    <cellStyle name="Input 5 3 2 2 2_Table 2A-1_EFT (Annual)" xfId="15359"/>
    <cellStyle name="Input 5 3 2 2 3" xfId="11701"/>
    <cellStyle name="Input 5 3 2 2 3 2" xfId="23785"/>
    <cellStyle name="Input 5 3 2 2 4" xfId="18672"/>
    <cellStyle name="Input 5 3 2 2_Table 2A-1_EFT (Annual)" xfId="7101"/>
    <cellStyle name="Input 5 3 2 3" xfId="4895"/>
    <cellStyle name="Input 5 3 2 3 2" xfId="13155"/>
    <cellStyle name="Input 5 3 2 3 2 2" xfId="25161"/>
    <cellStyle name="Input 5 3 2 3 3" xfId="20048"/>
    <cellStyle name="Input 5 3 2 3_Table 2A-1_EFT (Annual)" xfId="15360"/>
    <cellStyle name="Input 5 3 2 4" xfId="10499"/>
    <cellStyle name="Input 5 3 2 4 2" xfId="22615"/>
    <cellStyle name="Input 5 3 2 5" xfId="17502"/>
    <cellStyle name="Input 5 3 2_Table 2A-1_EFT (Annual)" xfId="7100"/>
    <cellStyle name="Input 5 3 3" xfId="892"/>
    <cellStyle name="Input 5 3 3 2" xfId="4453"/>
    <cellStyle name="Input 5 3 3 2 2" xfId="12715"/>
    <cellStyle name="Input 5 3 3 2 2 2" xfId="24725"/>
    <cellStyle name="Input 5 3 3 2 3" xfId="19612"/>
    <cellStyle name="Input 5 3 3 2_Table 2A-1_EFT (Annual)" xfId="15361"/>
    <cellStyle name="Input 5 3 3 3" xfId="10062"/>
    <cellStyle name="Input 5 3 3 3 2" xfId="22179"/>
    <cellStyle name="Input 5 3 3 4" xfId="17066"/>
    <cellStyle name="Input 5 3 3_Table 2A-1_EFT (Annual)" xfId="7102"/>
    <cellStyle name="Input 5 3 4" xfId="2073"/>
    <cellStyle name="Input 5 3 4 2" xfId="5634"/>
    <cellStyle name="Input 5 3 4 2 2" xfId="13849"/>
    <cellStyle name="Input 5 3 4 2 2 2" xfId="25837"/>
    <cellStyle name="Input 5 3 4 2 3" xfId="20724"/>
    <cellStyle name="Input 5 3 4 2_Table 2A-1_EFT (Annual)" xfId="15362"/>
    <cellStyle name="Input 5 3 4 3" xfId="11193"/>
    <cellStyle name="Input 5 3 4 3 2" xfId="23291"/>
    <cellStyle name="Input 5 3 4 4" xfId="18178"/>
    <cellStyle name="Input 5 3 4_Table 2A-1_EFT (Annual)" xfId="7103"/>
    <cellStyle name="Input 5 3 5" xfId="3921"/>
    <cellStyle name="Input 5 3 5 2" xfId="12249"/>
    <cellStyle name="Input 5 3 5 2 2" xfId="24273"/>
    <cellStyle name="Input 5 3 5 3" xfId="19160"/>
    <cellStyle name="Input 5 3 5_Table 2A-1_EFT (Annual)" xfId="15363"/>
    <cellStyle name="Input 5 3 6" xfId="9586"/>
    <cellStyle name="Input 5 3 6 2" xfId="21727"/>
    <cellStyle name="Input 5 3 7" xfId="16614"/>
    <cellStyle name="Input 5 3_Table 2A-1_EFT (Annual)" xfId="3079"/>
    <cellStyle name="Input 5 4" xfId="1168"/>
    <cellStyle name="Input 5 4 2" xfId="2438"/>
    <cellStyle name="Input 5 4 2 2" xfId="5999"/>
    <cellStyle name="Input 5 4 2 2 2" xfId="14193"/>
    <cellStyle name="Input 5 4 2 2 2 2" xfId="26165"/>
    <cellStyle name="Input 5 4 2 2 3" xfId="21052"/>
    <cellStyle name="Input 5 4 2 2_Table 2A-1_EFT (Annual)" xfId="15364"/>
    <cellStyle name="Input 5 4 2 3" xfId="11535"/>
    <cellStyle name="Input 5 4 2 3 2" xfId="23619"/>
    <cellStyle name="Input 5 4 2 4" xfId="18506"/>
    <cellStyle name="Input 5 4 2_Table 2A-1_EFT (Annual)" xfId="7105"/>
    <cellStyle name="Input 5 4 3" xfId="4729"/>
    <cellStyle name="Input 5 4 3 2" xfId="12989"/>
    <cellStyle name="Input 5 4 3 2 2" xfId="24995"/>
    <cellStyle name="Input 5 4 3 3" xfId="19882"/>
    <cellStyle name="Input 5 4 3_Table 2A-1_EFT (Annual)" xfId="15365"/>
    <cellStyle name="Input 5 4 4" xfId="10333"/>
    <cellStyle name="Input 5 4 4 2" xfId="22449"/>
    <cellStyle name="Input 5 4 5" xfId="17336"/>
    <cellStyle name="Input 5 4_Table 2A-1_EFT (Annual)" xfId="7104"/>
    <cellStyle name="Input 5 5" xfId="733"/>
    <cellStyle name="Input 5 5 2" xfId="4294"/>
    <cellStyle name="Input 5 5 2 2" xfId="12574"/>
    <cellStyle name="Input 5 5 2 2 2" xfId="24591"/>
    <cellStyle name="Input 5 5 2 3" xfId="19478"/>
    <cellStyle name="Input 5 5 2_Table 2A-1_EFT (Annual)" xfId="15366"/>
    <cellStyle name="Input 5 5 3" xfId="9922"/>
    <cellStyle name="Input 5 5 3 2" xfId="22045"/>
    <cellStyle name="Input 5 5 4" xfId="16932"/>
    <cellStyle name="Input 5 5_Table 2A-1_EFT (Annual)" xfId="7106"/>
    <cellStyle name="Input 5 6" xfId="1798"/>
    <cellStyle name="Input 5 6 2" xfId="5359"/>
    <cellStyle name="Input 5 6 2 2" xfId="13574"/>
    <cellStyle name="Input 5 6 2 2 2" xfId="25562"/>
    <cellStyle name="Input 5 6 2 3" xfId="20449"/>
    <cellStyle name="Input 5 6 2_Table 2A-1_EFT (Annual)" xfId="15367"/>
    <cellStyle name="Input 5 6 3" xfId="10918"/>
    <cellStyle name="Input 5 6 3 2" xfId="23016"/>
    <cellStyle name="Input 5 6 4" xfId="17903"/>
    <cellStyle name="Input 5 6_Table 2A-1_EFT (Annual)" xfId="7107"/>
    <cellStyle name="Input 5 7" xfId="3709"/>
    <cellStyle name="Input 5 7 2" xfId="12077"/>
    <cellStyle name="Input 5 7 2 2" xfId="24107"/>
    <cellStyle name="Input 5 7 3" xfId="18994"/>
    <cellStyle name="Input 5 7_Table 2A-1_EFT (Annual)" xfId="15368"/>
    <cellStyle name="Input 5 8" xfId="9396"/>
    <cellStyle name="Input 5 8 2" xfId="21561"/>
    <cellStyle name="Input 5 9" xfId="16448"/>
    <cellStyle name="Input 5_Table 2A-1_EFT (Annual)" xfId="3077"/>
    <cellStyle name="Input 6" xfId="80"/>
    <cellStyle name="Input 6 2" xfId="479"/>
    <cellStyle name="Input 6 2 2" xfId="1456"/>
    <cellStyle name="Input 6 2 2 2" xfId="2726"/>
    <cellStyle name="Input 6 2 2 2 2" xfId="6287"/>
    <cellStyle name="Input 6 2 2 2 2 2" xfId="14481"/>
    <cellStyle name="Input 6 2 2 2 2 2 2" xfId="26453"/>
    <cellStyle name="Input 6 2 2 2 2 3" xfId="21340"/>
    <cellStyle name="Input 6 2 2 2 2_Table 2A-1_EFT (Annual)" xfId="15369"/>
    <cellStyle name="Input 6 2 2 2 3" xfId="11823"/>
    <cellStyle name="Input 6 2 2 2 3 2" xfId="23907"/>
    <cellStyle name="Input 6 2 2 2 4" xfId="18794"/>
    <cellStyle name="Input 6 2 2 2_Table 2A-1_EFT (Annual)" xfId="7109"/>
    <cellStyle name="Input 6 2 2 3" xfId="5017"/>
    <cellStyle name="Input 6 2 2 3 2" xfId="13277"/>
    <cellStyle name="Input 6 2 2 3 2 2" xfId="25283"/>
    <cellStyle name="Input 6 2 2 3 3" xfId="20170"/>
    <cellStyle name="Input 6 2 2 3_Table 2A-1_EFT (Annual)" xfId="15370"/>
    <cellStyle name="Input 6 2 2 4" xfId="10621"/>
    <cellStyle name="Input 6 2 2 4 2" xfId="22737"/>
    <cellStyle name="Input 6 2 2 5" xfId="17624"/>
    <cellStyle name="Input 6 2 2_Table 2A-1_EFT (Annual)" xfId="7108"/>
    <cellStyle name="Input 6 2 3" xfId="999"/>
    <cellStyle name="Input 6 2 3 2" xfId="4560"/>
    <cellStyle name="Input 6 2 3 2 2" xfId="12820"/>
    <cellStyle name="Input 6 2 3 2 2 2" xfId="24826"/>
    <cellStyle name="Input 6 2 3 2 3" xfId="19713"/>
    <cellStyle name="Input 6 2 3 2_Table 2A-1_EFT (Annual)" xfId="15371"/>
    <cellStyle name="Input 6 2 3 3" xfId="10164"/>
    <cellStyle name="Input 6 2 3 3 2" xfId="22280"/>
    <cellStyle name="Input 6 2 3 4" xfId="17167"/>
    <cellStyle name="Input 6 2 3_Table 2A-1_EFT (Annual)" xfId="7110"/>
    <cellStyle name="Input 6 2 4" xfId="2195"/>
    <cellStyle name="Input 6 2 4 2" xfId="5756"/>
    <cellStyle name="Input 6 2 4 2 2" xfId="13971"/>
    <cellStyle name="Input 6 2 4 2 2 2" xfId="25959"/>
    <cellStyle name="Input 6 2 4 2 3" xfId="20846"/>
    <cellStyle name="Input 6 2 4 2_Table 2A-1_EFT (Annual)" xfId="15372"/>
    <cellStyle name="Input 6 2 4 3" xfId="11315"/>
    <cellStyle name="Input 6 2 4 3 2" xfId="23413"/>
    <cellStyle name="Input 6 2 4 4" xfId="18300"/>
    <cellStyle name="Input 6 2 4_Table 2A-1_EFT (Annual)" xfId="7111"/>
    <cellStyle name="Input 6 2 5" xfId="4049"/>
    <cellStyle name="Input 6 2 5 2" xfId="12373"/>
    <cellStyle name="Input 6 2 5 2 2" xfId="24395"/>
    <cellStyle name="Input 6 2 5 3" xfId="19282"/>
    <cellStyle name="Input 6 2 5_Table 2A-1_EFT (Annual)" xfId="15373"/>
    <cellStyle name="Input 6 2 6" xfId="9712"/>
    <cellStyle name="Input 6 2 6 2" xfId="21849"/>
    <cellStyle name="Input 6 2 7" xfId="16736"/>
    <cellStyle name="Input 6 2_Table 2A-1_EFT (Annual)" xfId="3081"/>
    <cellStyle name="Input 6 3" xfId="312"/>
    <cellStyle name="Input 6 3 2" xfId="1300"/>
    <cellStyle name="Input 6 3 2 2" xfId="2570"/>
    <cellStyle name="Input 6 3 2 2 2" xfId="6131"/>
    <cellStyle name="Input 6 3 2 2 2 2" xfId="14325"/>
    <cellStyle name="Input 6 3 2 2 2 2 2" xfId="26297"/>
    <cellStyle name="Input 6 3 2 2 2 3" xfId="21184"/>
    <cellStyle name="Input 6 3 2 2 2_Table 2A-1_EFT (Annual)" xfId="15374"/>
    <cellStyle name="Input 6 3 2 2 3" xfId="11667"/>
    <cellStyle name="Input 6 3 2 2 3 2" xfId="23751"/>
    <cellStyle name="Input 6 3 2 2 4" xfId="18638"/>
    <cellStyle name="Input 6 3 2 2_Table 2A-1_EFT (Annual)" xfId="7113"/>
    <cellStyle name="Input 6 3 2 3" xfId="4861"/>
    <cellStyle name="Input 6 3 2 3 2" xfId="13121"/>
    <cellStyle name="Input 6 3 2 3 2 2" xfId="25127"/>
    <cellStyle name="Input 6 3 2 3 3" xfId="20014"/>
    <cellStyle name="Input 6 3 2 3_Table 2A-1_EFT (Annual)" xfId="15375"/>
    <cellStyle name="Input 6 3 2 4" xfId="10465"/>
    <cellStyle name="Input 6 3 2 4 2" xfId="22581"/>
    <cellStyle name="Input 6 3 2 5" xfId="17468"/>
    <cellStyle name="Input 6 3 2_Table 2A-1_EFT (Annual)" xfId="7112"/>
    <cellStyle name="Input 6 3 3" xfId="862"/>
    <cellStyle name="Input 6 3 3 2" xfId="4423"/>
    <cellStyle name="Input 6 3 3 2 2" xfId="12688"/>
    <cellStyle name="Input 6 3 3 2 2 2" xfId="24700"/>
    <cellStyle name="Input 6 3 3 2 3" xfId="19587"/>
    <cellStyle name="Input 6 3 3 2_Table 2A-1_EFT (Annual)" xfId="15376"/>
    <cellStyle name="Input 6 3 3 3" xfId="10035"/>
    <cellStyle name="Input 6 3 3 3 2" xfId="22154"/>
    <cellStyle name="Input 6 3 3 4" xfId="17041"/>
    <cellStyle name="Input 6 3 3_Table 2A-1_EFT (Annual)" xfId="7114"/>
    <cellStyle name="Input 6 3 4" xfId="2039"/>
    <cellStyle name="Input 6 3 4 2" xfId="5600"/>
    <cellStyle name="Input 6 3 4 2 2" xfId="13815"/>
    <cellStyle name="Input 6 3 4 2 2 2" xfId="25803"/>
    <cellStyle name="Input 6 3 4 2 3" xfId="20690"/>
    <cellStyle name="Input 6 3 4 2_Table 2A-1_EFT (Annual)" xfId="15377"/>
    <cellStyle name="Input 6 3 4 3" xfId="11159"/>
    <cellStyle name="Input 6 3 4 3 2" xfId="23257"/>
    <cellStyle name="Input 6 3 4 4" xfId="18144"/>
    <cellStyle name="Input 6 3 4_Table 2A-1_EFT (Annual)" xfId="7115"/>
    <cellStyle name="Input 6 3 5" xfId="3882"/>
    <cellStyle name="Input 6 3 5 2" xfId="12214"/>
    <cellStyle name="Input 6 3 5 2 2" xfId="24239"/>
    <cellStyle name="Input 6 3 5 3" xfId="19126"/>
    <cellStyle name="Input 6 3 5_Table 2A-1_EFT (Annual)" xfId="15378"/>
    <cellStyle name="Input 6 3 6" xfId="9551"/>
    <cellStyle name="Input 6 3 6 2" xfId="21693"/>
    <cellStyle name="Input 6 3 7" xfId="16580"/>
    <cellStyle name="Input 6 3_Table 2A-1_EFT (Annual)" xfId="3082"/>
    <cellStyle name="Input 6 4" xfId="1134"/>
    <cellStyle name="Input 6 4 2" xfId="2404"/>
    <cellStyle name="Input 6 4 2 2" xfId="5965"/>
    <cellStyle name="Input 6 4 2 2 2" xfId="14159"/>
    <cellStyle name="Input 6 4 2 2 2 2" xfId="26131"/>
    <cellStyle name="Input 6 4 2 2 3" xfId="21018"/>
    <cellStyle name="Input 6 4 2 2_Table 2A-1_EFT (Annual)" xfId="15379"/>
    <cellStyle name="Input 6 4 2 3" xfId="11501"/>
    <cellStyle name="Input 6 4 2 3 2" xfId="23585"/>
    <cellStyle name="Input 6 4 2 4" xfId="18472"/>
    <cellStyle name="Input 6 4 2_Table 2A-1_EFT (Annual)" xfId="7117"/>
    <cellStyle name="Input 6 4 3" xfId="4695"/>
    <cellStyle name="Input 6 4 3 2" xfId="12955"/>
    <cellStyle name="Input 6 4 3 2 2" xfId="24961"/>
    <cellStyle name="Input 6 4 3 3" xfId="19848"/>
    <cellStyle name="Input 6 4 3_Table 2A-1_EFT (Annual)" xfId="15380"/>
    <cellStyle name="Input 6 4 4" xfId="10299"/>
    <cellStyle name="Input 6 4 4 2" xfId="22415"/>
    <cellStyle name="Input 6 4 5" xfId="17302"/>
    <cellStyle name="Input 6 4_Table 2A-1_EFT (Annual)" xfId="7116"/>
    <cellStyle name="Input 6 5" xfId="703"/>
    <cellStyle name="Input 6 5 2" xfId="4264"/>
    <cellStyle name="Input 6 5 2 2" xfId="12548"/>
    <cellStyle name="Input 6 5 2 2 2" xfId="24566"/>
    <cellStyle name="Input 6 5 2 3" xfId="19453"/>
    <cellStyle name="Input 6 5 2_Table 2A-1_EFT (Annual)" xfId="15381"/>
    <cellStyle name="Input 6 5 3" xfId="9895"/>
    <cellStyle name="Input 6 5 3 2" xfId="22020"/>
    <cellStyle name="Input 6 5 4" xfId="16907"/>
    <cellStyle name="Input 6 5_Table 2A-1_EFT (Annual)" xfId="7118"/>
    <cellStyle name="Input 6 6" xfId="1806"/>
    <cellStyle name="Input 6 6 2" xfId="5367"/>
    <cellStyle name="Input 6 6 2 2" xfId="13582"/>
    <cellStyle name="Input 6 6 2 2 2" xfId="25570"/>
    <cellStyle name="Input 6 6 2 3" xfId="20457"/>
    <cellStyle name="Input 6 6 2_Table 2A-1_EFT (Annual)" xfId="15382"/>
    <cellStyle name="Input 6 6 3" xfId="10926"/>
    <cellStyle name="Input 6 6 3 2" xfId="23024"/>
    <cellStyle name="Input 6 6 4" xfId="17911"/>
    <cellStyle name="Input 6 6_Table 2A-1_EFT (Annual)" xfId="7119"/>
    <cellStyle name="Input 6 7" xfId="3669"/>
    <cellStyle name="Input 6 7 2" xfId="12042"/>
    <cellStyle name="Input 6 7 2 2" xfId="24073"/>
    <cellStyle name="Input 6 7 3" xfId="18960"/>
    <cellStyle name="Input 6 7_Table 2A-1_EFT (Annual)" xfId="15383"/>
    <cellStyle name="Input 6 8" xfId="9359"/>
    <cellStyle name="Input 6 8 2" xfId="21527"/>
    <cellStyle name="Input 6 9" xfId="16414"/>
    <cellStyle name="Input 6_Table 2A-1_EFT (Annual)" xfId="3080"/>
    <cellStyle name="Input 7" xfId="128"/>
    <cellStyle name="Input 7 2" xfId="521"/>
    <cellStyle name="Input 7 2 2" xfId="1498"/>
    <cellStyle name="Input 7 2 2 2" xfId="2768"/>
    <cellStyle name="Input 7 2 2 2 2" xfId="6329"/>
    <cellStyle name="Input 7 2 2 2 2 2" xfId="14523"/>
    <cellStyle name="Input 7 2 2 2 2 2 2" xfId="26495"/>
    <cellStyle name="Input 7 2 2 2 2 3" xfId="21382"/>
    <cellStyle name="Input 7 2 2 2 2_Table 2A-1_EFT (Annual)" xfId="15384"/>
    <cellStyle name="Input 7 2 2 2 3" xfId="11865"/>
    <cellStyle name="Input 7 2 2 2 3 2" xfId="23949"/>
    <cellStyle name="Input 7 2 2 2 4" xfId="18836"/>
    <cellStyle name="Input 7 2 2 2_Table 2A-1_EFT (Annual)" xfId="7121"/>
    <cellStyle name="Input 7 2 2 3" xfId="5059"/>
    <cellStyle name="Input 7 2 2 3 2" xfId="13319"/>
    <cellStyle name="Input 7 2 2 3 2 2" xfId="25325"/>
    <cellStyle name="Input 7 2 2 3 3" xfId="20212"/>
    <cellStyle name="Input 7 2 2 3_Table 2A-1_EFT (Annual)" xfId="15385"/>
    <cellStyle name="Input 7 2 2 4" xfId="10663"/>
    <cellStyle name="Input 7 2 2 4 2" xfId="22779"/>
    <cellStyle name="Input 7 2 2 5" xfId="17666"/>
    <cellStyle name="Input 7 2 2_Table 2A-1_EFT (Annual)" xfId="7120"/>
    <cellStyle name="Input 7 2 3" xfId="1031"/>
    <cellStyle name="Input 7 2 3 2" xfId="4592"/>
    <cellStyle name="Input 7 2 3 2 2" xfId="12852"/>
    <cellStyle name="Input 7 2 3 2 2 2" xfId="24858"/>
    <cellStyle name="Input 7 2 3 2 3" xfId="19745"/>
    <cellStyle name="Input 7 2 3 2_Table 2A-1_EFT (Annual)" xfId="15386"/>
    <cellStyle name="Input 7 2 3 3" xfId="10196"/>
    <cellStyle name="Input 7 2 3 3 2" xfId="22312"/>
    <cellStyle name="Input 7 2 3 4" xfId="17199"/>
    <cellStyle name="Input 7 2 3_Table 2A-1_EFT (Annual)" xfId="7122"/>
    <cellStyle name="Input 7 2 4" xfId="2237"/>
    <cellStyle name="Input 7 2 4 2" xfId="5798"/>
    <cellStyle name="Input 7 2 4 2 2" xfId="14013"/>
    <cellStyle name="Input 7 2 4 2 2 2" xfId="26001"/>
    <cellStyle name="Input 7 2 4 2 3" xfId="20888"/>
    <cellStyle name="Input 7 2 4 2_Table 2A-1_EFT (Annual)" xfId="15387"/>
    <cellStyle name="Input 7 2 4 3" xfId="11357"/>
    <cellStyle name="Input 7 2 4 3 2" xfId="23455"/>
    <cellStyle name="Input 7 2 4 4" xfId="18342"/>
    <cellStyle name="Input 7 2 4_Table 2A-1_EFT (Annual)" xfId="7123"/>
    <cellStyle name="Input 7 2 5" xfId="4091"/>
    <cellStyle name="Input 7 2 5 2" xfId="12415"/>
    <cellStyle name="Input 7 2 5 2 2" xfId="24437"/>
    <cellStyle name="Input 7 2 5 3" xfId="19324"/>
    <cellStyle name="Input 7 2 5_Table 2A-1_EFT (Annual)" xfId="15388"/>
    <cellStyle name="Input 7 2 6" xfId="9754"/>
    <cellStyle name="Input 7 2 6 2" xfId="21891"/>
    <cellStyle name="Input 7 2 7" xfId="16778"/>
    <cellStyle name="Input 7 2_Table 2A-1_EFT (Annual)" xfId="3084"/>
    <cellStyle name="Input 7 3" xfId="359"/>
    <cellStyle name="Input 7 3 2" xfId="1342"/>
    <cellStyle name="Input 7 3 2 2" xfId="2612"/>
    <cellStyle name="Input 7 3 2 2 2" xfId="6173"/>
    <cellStyle name="Input 7 3 2 2 2 2" xfId="14367"/>
    <cellStyle name="Input 7 3 2 2 2 2 2" xfId="26339"/>
    <cellStyle name="Input 7 3 2 2 2 3" xfId="21226"/>
    <cellStyle name="Input 7 3 2 2 2_Table 2A-1_EFT (Annual)" xfId="15389"/>
    <cellStyle name="Input 7 3 2 2 3" xfId="11709"/>
    <cellStyle name="Input 7 3 2 2 3 2" xfId="23793"/>
    <cellStyle name="Input 7 3 2 2 4" xfId="18680"/>
    <cellStyle name="Input 7 3 2 2_Table 2A-1_EFT (Annual)" xfId="7125"/>
    <cellStyle name="Input 7 3 2 3" xfId="4903"/>
    <cellStyle name="Input 7 3 2 3 2" xfId="13163"/>
    <cellStyle name="Input 7 3 2 3 2 2" xfId="25169"/>
    <cellStyle name="Input 7 3 2 3 3" xfId="20056"/>
    <cellStyle name="Input 7 3 2 3_Table 2A-1_EFT (Annual)" xfId="15390"/>
    <cellStyle name="Input 7 3 2 4" xfId="10507"/>
    <cellStyle name="Input 7 3 2 4 2" xfId="22623"/>
    <cellStyle name="Input 7 3 2 5" xfId="17510"/>
    <cellStyle name="Input 7 3 2_Table 2A-1_EFT (Annual)" xfId="7124"/>
    <cellStyle name="Input 7 3 3" xfId="899"/>
    <cellStyle name="Input 7 3 3 2" xfId="4460"/>
    <cellStyle name="Input 7 3 3 2 2" xfId="12722"/>
    <cellStyle name="Input 7 3 3 2 2 2" xfId="24732"/>
    <cellStyle name="Input 7 3 3 2 3" xfId="19619"/>
    <cellStyle name="Input 7 3 3 2_Table 2A-1_EFT (Annual)" xfId="15391"/>
    <cellStyle name="Input 7 3 3 3" xfId="10069"/>
    <cellStyle name="Input 7 3 3 3 2" xfId="22186"/>
    <cellStyle name="Input 7 3 3 4" xfId="17073"/>
    <cellStyle name="Input 7 3 3_Table 2A-1_EFT (Annual)" xfId="7126"/>
    <cellStyle name="Input 7 3 4" xfId="2081"/>
    <cellStyle name="Input 7 3 4 2" xfId="5642"/>
    <cellStyle name="Input 7 3 4 2 2" xfId="13857"/>
    <cellStyle name="Input 7 3 4 2 2 2" xfId="25845"/>
    <cellStyle name="Input 7 3 4 2 3" xfId="20732"/>
    <cellStyle name="Input 7 3 4 2_Table 2A-1_EFT (Annual)" xfId="15392"/>
    <cellStyle name="Input 7 3 4 3" xfId="11201"/>
    <cellStyle name="Input 7 3 4 3 2" xfId="23299"/>
    <cellStyle name="Input 7 3 4 4" xfId="18186"/>
    <cellStyle name="Input 7 3 4_Table 2A-1_EFT (Annual)" xfId="7127"/>
    <cellStyle name="Input 7 3 5" xfId="3929"/>
    <cellStyle name="Input 7 3 5 2" xfId="12257"/>
    <cellStyle name="Input 7 3 5 2 2" xfId="24281"/>
    <cellStyle name="Input 7 3 5 3" xfId="19168"/>
    <cellStyle name="Input 7 3 5_Table 2A-1_EFT (Annual)" xfId="15393"/>
    <cellStyle name="Input 7 3 6" xfId="9594"/>
    <cellStyle name="Input 7 3 6 2" xfId="21735"/>
    <cellStyle name="Input 7 3 7" xfId="16622"/>
    <cellStyle name="Input 7 3_Table 2A-1_EFT (Annual)" xfId="3085"/>
    <cellStyle name="Input 7 4" xfId="1176"/>
    <cellStyle name="Input 7 4 2" xfId="2446"/>
    <cellStyle name="Input 7 4 2 2" xfId="6007"/>
    <cellStyle name="Input 7 4 2 2 2" xfId="14201"/>
    <cellStyle name="Input 7 4 2 2 2 2" xfId="26173"/>
    <cellStyle name="Input 7 4 2 2 3" xfId="21060"/>
    <cellStyle name="Input 7 4 2 2_Table 2A-1_EFT (Annual)" xfId="15394"/>
    <cellStyle name="Input 7 4 2 3" xfId="11543"/>
    <cellStyle name="Input 7 4 2 3 2" xfId="23627"/>
    <cellStyle name="Input 7 4 2 4" xfId="18514"/>
    <cellStyle name="Input 7 4 2_Table 2A-1_EFT (Annual)" xfId="7129"/>
    <cellStyle name="Input 7 4 3" xfId="4737"/>
    <cellStyle name="Input 7 4 3 2" xfId="12997"/>
    <cellStyle name="Input 7 4 3 2 2" xfId="25003"/>
    <cellStyle name="Input 7 4 3 3" xfId="19890"/>
    <cellStyle name="Input 7 4 3_Table 2A-1_EFT (Annual)" xfId="15395"/>
    <cellStyle name="Input 7 4 4" xfId="10341"/>
    <cellStyle name="Input 7 4 4 2" xfId="22457"/>
    <cellStyle name="Input 7 4 5" xfId="17344"/>
    <cellStyle name="Input 7 4_Table 2A-1_EFT (Annual)" xfId="7128"/>
    <cellStyle name="Input 7 5" xfId="740"/>
    <cellStyle name="Input 7 5 2" xfId="4301"/>
    <cellStyle name="Input 7 5 2 2" xfId="12581"/>
    <cellStyle name="Input 7 5 2 2 2" xfId="24598"/>
    <cellStyle name="Input 7 5 2 3" xfId="19485"/>
    <cellStyle name="Input 7 5 2_Table 2A-1_EFT (Annual)" xfId="15396"/>
    <cellStyle name="Input 7 5 3" xfId="9929"/>
    <cellStyle name="Input 7 5 3 2" xfId="22052"/>
    <cellStyle name="Input 7 5 4" xfId="16939"/>
    <cellStyle name="Input 7 5_Table 2A-1_EFT (Annual)" xfId="7130"/>
    <cellStyle name="Input 7 6" xfId="1794"/>
    <cellStyle name="Input 7 6 2" xfId="5355"/>
    <cellStyle name="Input 7 6 2 2" xfId="13570"/>
    <cellStyle name="Input 7 6 2 2 2" xfId="25558"/>
    <cellStyle name="Input 7 6 2 3" xfId="20445"/>
    <cellStyle name="Input 7 6 2_Table 2A-1_EFT (Annual)" xfId="15397"/>
    <cellStyle name="Input 7 6 3" xfId="10914"/>
    <cellStyle name="Input 7 6 3 2" xfId="23012"/>
    <cellStyle name="Input 7 6 4" xfId="17899"/>
    <cellStyle name="Input 7 6_Table 2A-1_EFT (Annual)" xfId="7131"/>
    <cellStyle name="Input 7 7" xfId="3717"/>
    <cellStyle name="Input 7 7 2" xfId="12085"/>
    <cellStyle name="Input 7 7 2 2" xfId="24115"/>
    <cellStyle name="Input 7 7 3" xfId="19002"/>
    <cellStyle name="Input 7 7_Table 2A-1_EFT (Annual)" xfId="15398"/>
    <cellStyle name="Input 7 8" xfId="9404"/>
    <cellStyle name="Input 7 8 2" xfId="21569"/>
    <cellStyle name="Input 7 9" xfId="16456"/>
    <cellStyle name="Input 7_Table 2A-1_EFT (Annual)" xfId="3083"/>
    <cellStyle name="Input 8" xfId="123"/>
    <cellStyle name="Input 8 2" xfId="516"/>
    <cellStyle name="Input 8 2 2" xfId="1493"/>
    <cellStyle name="Input 8 2 2 2" xfId="2763"/>
    <cellStyle name="Input 8 2 2 2 2" xfId="6324"/>
    <cellStyle name="Input 8 2 2 2 2 2" xfId="14518"/>
    <cellStyle name="Input 8 2 2 2 2 2 2" xfId="26490"/>
    <cellStyle name="Input 8 2 2 2 2 3" xfId="21377"/>
    <cellStyle name="Input 8 2 2 2 2_Table 2A-1_EFT (Annual)" xfId="15399"/>
    <cellStyle name="Input 8 2 2 2 3" xfId="11860"/>
    <cellStyle name="Input 8 2 2 2 3 2" xfId="23944"/>
    <cellStyle name="Input 8 2 2 2 4" xfId="18831"/>
    <cellStyle name="Input 8 2 2 2_Table 2A-1_EFT (Annual)" xfId="7133"/>
    <cellStyle name="Input 8 2 2 3" xfId="5054"/>
    <cellStyle name="Input 8 2 2 3 2" xfId="13314"/>
    <cellStyle name="Input 8 2 2 3 2 2" xfId="25320"/>
    <cellStyle name="Input 8 2 2 3 3" xfId="20207"/>
    <cellStyle name="Input 8 2 2 3_Table 2A-1_EFT (Annual)" xfId="15400"/>
    <cellStyle name="Input 8 2 2 4" xfId="10658"/>
    <cellStyle name="Input 8 2 2 4 2" xfId="22774"/>
    <cellStyle name="Input 8 2 2 5" xfId="17661"/>
    <cellStyle name="Input 8 2 2_Table 2A-1_EFT (Annual)" xfId="7132"/>
    <cellStyle name="Input 8 2 3" xfId="1027"/>
    <cellStyle name="Input 8 2 3 2" xfId="4588"/>
    <cellStyle name="Input 8 2 3 2 2" xfId="12848"/>
    <cellStyle name="Input 8 2 3 2 2 2" xfId="24854"/>
    <cellStyle name="Input 8 2 3 2 3" xfId="19741"/>
    <cellStyle name="Input 8 2 3 2_Table 2A-1_EFT (Annual)" xfId="15401"/>
    <cellStyle name="Input 8 2 3 3" xfId="10192"/>
    <cellStyle name="Input 8 2 3 3 2" xfId="22308"/>
    <cellStyle name="Input 8 2 3 4" xfId="17195"/>
    <cellStyle name="Input 8 2 3_Table 2A-1_EFT (Annual)" xfId="7134"/>
    <cellStyle name="Input 8 2 4" xfId="2232"/>
    <cellStyle name="Input 8 2 4 2" xfId="5793"/>
    <cellStyle name="Input 8 2 4 2 2" xfId="14008"/>
    <cellStyle name="Input 8 2 4 2 2 2" xfId="25996"/>
    <cellStyle name="Input 8 2 4 2 3" xfId="20883"/>
    <cellStyle name="Input 8 2 4 2_Table 2A-1_EFT (Annual)" xfId="15402"/>
    <cellStyle name="Input 8 2 4 3" xfId="11352"/>
    <cellStyle name="Input 8 2 4 3 2" xfId="23450"/>
    <cellStyle name="Input 8 2 4 4" xfId="18337"/>
    <cellStyle name="Input 8 2 4_Table 2A-1_EFT (Annual)" xfId="7135"/>
    <cellStyle name="Input 8 2 5" xfId="4086"/>
    <cellStyle name="Input 8 2 5 2" xfId="12410"/>
    <cellStyle name="Input 8 2 5 2 2" xfId="24432"/>
    <cellStyle name="Input 8 2 5 3" xfId="19319"/>
    <cellStyle name="Input 8 2 5_Table 2A-1_EFT (Annual)" xfId="15403"/>
    <cellStyle name="Input 8 2 6" xfId="9749"/>
    <cellStyle name="Input 8 2 6 2" xfId="21886"/>
    <cellStyle name="Input 8 2 7" xfId="16773"/>
    <cellStyle name="Input 8 2_Table 2A-1_EFT (Annual)" xfId="3087"/>
    <cellStyle name="Input 8 3" xfId="354"/>
    <cellStyle name="Input 8 3 2" xfId="1337"/>
    <cellStyle name="Input 8 3 2 2" xfId="2607"/>
    <cellStyle name="Input 8 3 2 2 2" xfId="6168"/>
    <cellStyle name="Input 8 3 2 2 2 2" xfId="14362"/>
    <cellStyle name="Input 8 3 2 2 2 2 2" xfId="26334"/>
    <cellStyle name="Input 8 3 2 2 2 3" xfId="21221"/>
    <cellStyle name="Input 8 3 2 2 2_Table 2A-1_EFT (Annual)" xfId="15404"/>
    <cellStyle name="Input 8 3 2 2 3" xfId="11704"/>
    <cellStyle name="Input 8 3 2 2 3 2" xfId="23788"/>
    <cellStyle name="Input 8 3 2 2 4" xfId="18675"/>
    <cellStyle name="Input 8 3 2 2_Table 2A-1_EFT (Annual)" xfId="7137"/>
    <cellStyle name="Input 8 3 2 3" xfId="4898"/>
    <cellStyle name="Input 8 3 2 3 2" xfId="13158"/>
    <cellStyle name="Input 8 3 2 3 2 2" xfId="25164"/>
    <cellStyle name="Input 8 3 2 3 3" xfId="20051"/>
    <cellStyle name="Input 8 3 2 3_Table 2A-1_EFT (Annual)" xfId="15405"/>
    <cellStyle name="Input 8 3 2 4" xfId="10502"/>
    <cellStyle name="Input 8 3 2 4 2" xfId="22618"/>
    <cellStyle name="Input 8 3 2 5" xfId="17505"/>
    <cellStyle name="Input 8 3 2_Table 2A-1_EFT (Annual)" xfId="7136"/>
    <cellStyle name="Input 8 3 3" xfId="895"/>
    <cellStyle name="Input 8 3 3 2" xfId="4456"/>
    <cellStyle name="Input 8 3 3 2 2" xfId="12718"/>
    <cellStyle name="Input 8 3 3 2 2 2" xfId="24728"/>
    <cellStyle name="Input 8 3 3 2 3" xfId="19615"/>
    <cellStyle name="Input 8 3 3 2_Table 2A-1_EFT (Annual)" xfId="15406"/>
    <cellStyle name="Input 8 3 3 3" xfId="10065"/>
    <cellStyle name="Input 8 3 3 3 2" xfId="22182"/>
    <cellStyle name="Input 8 3 3 4" xfId="17069"/>
    <cellStyle name="Input 8 3 3_Table 2A-1_EFT (Annual)" xfId="7138"/>
    <cellStyle name="Input 8 3 4" xfId="2076"/>
    <cellStyle name="Input 8 3 4 2" xfId="5637"/>
    <cellStyle name="Input 8 3 4 2 2" xfId="13852"/>
    <cellStyle name="Input 8 3 4 2 2 2" xfId="25840"/>
    <cellStyle name="Input 8 3 4 2 3" xfId="20727"/>
    <cellStyle name="Input 8 3 4 2_Table 2A-1_EFT (Annual)" xfId="15407"/>
    <cellStyle name="Input 8 3 4 3" xfId="11196"/>
    <cellStyle name="Input 8 3 4 3 2" xfId="23294"/>
    <cellStyle name="Input 8 3 4 4" xfId="18181"/>
    <cellStyle name="Input 8 3 4_Table 2A-1_EFT (Annual)" xfId="7139"/>
    <cellStyle name="Input 8 3 5" xfId="3924"/>
    <cellStyle name="Input 8 3 5 2" xfId="12252"/>
    <cellStyle name="Input 8 3 5 2 2" xfId="24276"/>
    <cellStyle name="Input 8 3 5 3" xfId="19163"/>
    <cellStyle name="Input 8 3 5_Table 2A-1_EFT (Annual)" xfId="15408"/>
    <cellStyle name="Input 8 3 6" xfId="9589"/>
    <cellStyle name="Input 8 3 6 2" xfId="21730"/>
    <cellStyle name="Input 8 3 7" xfId="16617"/>
    <cellStyle name="Input 8 3_Table 2A-1_EFT (Annual)" xfId="3088"/>
    <cellStyle name="Input 8 4" xfId="1171"/>
    <cellStyle name="Input 8 4 2" xfId="2441"/>
    <cellStyle name="Input 8 4 2 2" xfId="6002"/>
    <cellStyle name="Input 8 4 2 2 2" xfId="14196"/>
    <cellStyle name="Input 8 4 2 2 2 2" xfId="26168"/>
    <cellStyle name="Input 8 4 2 2 3" xfId="21055"/>
    <cellStyle name="Input 8 4 2 2_Table 2A-1_EFT (Annual)" xfId="15409"/>
    <cellStyle name="Input 8 4 2 3" xfId="11538"/>
    <cellStyle name="Input 8 4 2 3 2" xfId="23622"/>
    <cellStyle name="Input 8 4 2 4" xfId="18509"/>
    <cellStyle name="Input 8 4 2_Table 2A-1_EFT (Annual)" xfId="7141"/>
    <cellStyle name="Input 8 4 3" xfId="4732"/>
    <cellStyle name="Input 8 4 3 2" xfId="12992"/>
    <cellStyle name="Input 8 4 3 2 2" xfId="24998"/>
    <cellStyle name="Input 8 4 3 3" xfId="19885"/>
    <cellStyle name="Input 8 4 3_Table 2A-1_EFT (Annual)" xfId="15410"/>
    <cellStyle name="Input 8 4 4" xfId="10336"/>
    <cellStyle name="Input 8 4 4 2" xfId="22452"/>
    <cellStyle name="Input 8 4 5" xfId="17339"/>
    <cellStyle name="Input 8 4_Table 2A-1_EFT (Annual)" xfId="7140"/>
    <cellStyle name="Input 8 5" xfId="736"/>
    <cellStyle name="Input 8 5 2" xfId="4297"/>
    <cellStyle name="Input 8 5 2 2" xfId="12577"/>
    <cellStyle name="Input 8 5 2 2 2" xfId="24594"/>
    <cellStyle name="Input 8 5 2 3" xfId="19481"/>
    <cellStyle name="Input 8 5 2_Table 2A-1_EFT (Annual)" xfId="15411"/>
    <cellStyle name="Input 8 5 3" xfId="9925"/>
    <cellStyle name="Input 8 5 3 2" xfId="22048"/>
    <cellStyle name="Input 8 5 4" xfId="16935"/>
    <cellStyle name="Input 8 5_Table 2A-1_EFT (Annual)" xfId="7142"/>
    <cellStyle name="Input 8 6" xfId="1864"/>
    <cellStyle name="Input 8 6 2" xfId="5425"/>
    <cellStyle name="Input 8 6 2 2" xfId="13640"/>
    <cellStyle name="Input 8 6 2 2 2" xfId="25628"/>
    <cellStyle name="Input 8 6 2 3" xfId="20515"/>
    <cellStyle name="Input 8 6 2_Table 2A-1_EFT (Annual)" xfId="15412"/>
    <cellStyle name="Input 8 6 3" xfId="10984"/>
    <cellStyle name="Input 8 6 3 2" xfId="23082"/>
    <cellStyle name="Input 8 6 4" xfId="17969"/>
    <cellStyle name="Input 8 6_Table 2A-1_EFT (Annual)" xfId="7143"/>
    <cellStyle name="Input 8 7" xfId="3712"/>
    <cellStyle name="Input 8 7 2" xfId="12080"/>
    <cellStyle name="Input 8 7 2 2" xfId="24110"/>
    <cellStyle name="Input 8 7 3" xfId="18997"/>
    <cellStyle name="Input 8 7_Table 2A-1_EFT (Annual)" xfId="15413"/>
    <cellStyle name="Input 8 8" xfId="9399"/>
    <cellStyle name="Input 8 8 2" xfId="21564"/>
    <cellStyle name="Input 8 9" xfId="16451"/>
    <cellStyle name="Input 8_Table 2A-1_EFT (Annual)" xfId="3086"/>
    <cellStyle name="Input 9" xfId="113"/>
    <cellStyle name="Input 9 2" xfId="506"/>
    <cellStyle name="Input 9 2 2" xfId="1483"/>
    <cellStyle name="Input 9 2 2 2" xfId="2753"/>
    <cellStyle name="Input 9 2 2 2 2" xfId="6314"/>
    <cellStyle name="Input 9 2 2 2 2 2" xfId="14508"/>
    <cellStyle name="Input 9 2 2 2 2 2 2" xfId="26480"/>
    <cellStyle name="Input 9 2 2 2 2 3" xfId="21367"/>
    <cellStyle name="Input 9 2 2 2 2_Table 2A-1_EFT (Annual)" xfId="15414"/>
    <cellStyle name="Input 9 2 2 2 3" xfId="11850"/>
    <cellStyle name="Input 9 2 2 2 3 2" xfId="23934"/>
    <cellStyle name="Input 9 2 2 2 4" xfId="18821"/>
    <cellStyle name="Input 9 2 2 2_Table 2A-1_EFT (Annual)" xfId="7145"/>
    <cellStyle name="Input 9 2 2 3" xfId="5044"/>
    <cellStyle name="Input 9 2 2 3 2" xfId="13304"/>
    <cellStyle name="Input 9 2 2 3 2 2" xfId="25310"/>
    <cellStyle name="Input 9 2 2 3 3" xfId="20197"/>
    <cellStyle name="Input 9 2 2 3_Table 2A-1_EFT (Annual)" xfId="15415"/>
    <cellStyle name="Input 9 2 2 4" xfId="10648"/>
    <cellStyle name="Input 9 2 2 4 2" xfId="22764"/>
    <cellStyle name="Input 9 2 2 5" xfId="17651"/>
    <cellStyle name="Input 9 2 2_Table 2A-1_EFT (Annual)" xfId="7144"/>
    <cellStyle name="Input 9 2 3" xfId="1019"/>
    <cellStyle name="Input 9 2 3 2" xfId="4580"/>
    <cellStyle name="Input 9 2 3 2 2" xfId="12840"/>
    <cellStyle name="Input 9 2 3 2 2 2" xfId="24846"/>
    <cellStyle name="Input 9 2 3 2 3" xfId="19733"/>
    <cellStyle name="Input 9 2 3 2_Table 2A-1_EFT (Annual)" xfId="15416"/>
    <cellStyle name="Input 9 2 3 3" xfId="10184"/>
    <cellStyle name="Input 9 2 3 3 2" xfId="22300"/>
    <cellStyle name="Input 9 2 3 4" xfId="17187"/>
    <cellStyle name="Input 9 2 3_Table 2A-1_EFT (Annual)" xfId="7146"/>
    <cellStyle name="Input 9 2 4" xfId="2222"/>
    <cellStyle name="Input 9 2 4 2" xfId="5783"/>
    <cellStyle name="Input 9 2 4 2 2" xfId="13998"/>
    <cellStyle name="Input 9 2 4 2 2 2" xfId="25986"/>
    <cellStyle name="Input 9 2 4 2 3" xfId="20873"/>
    <cellStyle name="Input 9 2 4 2_Table 2A-1_EFT (Annual)" xfId="15417"/>
    <cellStyle name="Input 9 2 4 3" xfId="11342"/>
    <cellStyle name="Input 9 2 4 3 2" xfId="23440"/>
    <cellStyle name="Input 9 2 4 4" xfId="18327"/>
    <cellStyle name="Input 9 2 4_Table 2A-1_EFT (Annual)" xfId="7147"/>
    <cellStyle name="Input 9 2 5" xfId="4076"/>
    <cellStyle name="Input 9 2 5 2" xfId="12400"/>
    <cellStyle name="Input 9 2 5 2 2" xfId="24422"/>
    <cellStyle name="Input 9 2 5 3" xfId="19309"/>
    <cellStyle name="Input 9 2 5_Table 2A-1_EFT (Annual)" xfId="15418"/>
    <cellStyle name="Input 9 2 6" xfId="9739"/>
    <cellStyle name="Input 9 2 6 2" xfId="21876"/>
    <cellStyle name="Input 9 2 7" xfId="16763"/>
    <cellStyle name="Input 9 2_Table 2A-1_EFT (Annual)" xfId="3090"/>
    <cellStyle name="Input 9 3" xfId="344"/>
    <cellStyle name="Input 9 3 2" xfId="1327"/>
    <cellStyle name="Input 9 3 2 2" xfId="2597"/>
    <cellStyle name="Input 9 3 2 2 2" xfId="6158"/>
    <cellStyle name="Input 9 3 2 2 2 2" xfId="14352"/>
    <cellStyle name="Input 9 3 2 2 2 2 2" xfId="26324"/>
    <cellStyle name="Input 9 3 2 2 2 3" xfId="21211"/>
    <cellStyle name="Input 9 3 2 2 2_Table 2A-1_EFT (Annual)" xfId="15419"/>
    <cellStyle name="Input 9 3 2 2 3" xfId="11694"/>
    <cellStyle name="Input 9 3 2 2 3 2" xfId="23778"/>
    <cellStyle name="Input 9 3 2 2 4" xfId="18665"/>
    <cellStyle name="Input 9 3 2 2_Table 2A-1_EFT (Annual)" xfId="7149"/>
    <cellStyle name="Input 9 3 2 3" xfId="4888"/>
    <cellStyle name="Input 9 3 2 3 2" xfId="13148"/>
    <cellStyle name="Input 9 3 2 3 2 2" xfId="25154"/>
    <cellStyle name="Input 9 3 2 3 3" xfId="20041"/>
    <cellStyle name="Input 9 3 2 3_Table 2A-1_EFT (Annual)" xfId="15420"/>
    <cellStyle name="Input 9 3 2 4" xfId="10492"/>
    <cellStyle name="Input 9 3 2 4 2" xfId="22608"/>
    <cellStyle name="Input 9 3 2 5" xfId="17495"/>
    <cellStyle name="Input 9 3 2_Table 2A-1_EFT (Annual)" xfId="7148"/>
    <cellStyle name="Input 9 3 3" xfId="887"/>
    <cellStyle name="Input 9 3 3 2" xfId="4448"/>
    <cellStyle name="Input 9 3 3 2 2" xfId="12710"/>
    <cellStyle name="Input 9 3 3 2 2 2" xfId="24720"/>
    <cellStyle name="Input 9 3 3 2 3" xfId="19607"/>
    <cellStyle name="Input 9 3 3 2_Table 2A-1_EFT (Annual)" xfId="15421"/>
    <cellStyle name="Input 9 3 3 3" xfId="10057"/>
    <cellStyle name="Input 9 3 3 3 2" xfId="22174"/>
    <cellStyle name="Input 9 3 3 4" xfId="17061"/>
    <cellStyle name="Input 9 3 3_Table 2A-1_EFT (Annual)" xfId="7150"/>
    <cellStyle name="Input 9 3 4" xfId="2066"/>
    <cellStyle name="Input 9 3 4 2" xfId="5627"/>
    <cellStyle name="Input 9 3 4 2 2" xfId="13842"/>
    <cellStyle name="Input 9 3 4 2 2 2" xfId="25830"/>
    <cellStyle name="Input 9 3 4 2 3" xfId="20717"/>
    <cellStyle name="Input 9 3 4 2_Table 2A-1_EFT (Annual)" xfId="15422"/>
    <cellStyle name="Input 9 3 4 3" xfId="11186"/>
    <cellStyle name="Input 9 3 4 3 2" xfId="23284"/>
    <cellStyle name="Input 9 3 4 4" xfId="18171"/>
    <cellStyle name="Input 9 3 4_Table 2A-1_EFT (Annual)" xfId="7151"/>
    <cellStyle name="Input 9 3 5" xfId="3914"/>
    <cellStyle name="Input 9 3 5 2" xfId="12242"/>
    <cellStyle name="Input 9 3 5 2 2" xfId="24266"/>
    <cellStyle name="Input 9 3 5 3" xfId="19153"/>
    <cellStyle name="Input 9 3 5_Table 2A-1_EFT (Annual)" xfId="15423"/>
    <cellStyle name="Input 9 3 6" xfId="9579"/>
    <cellStyle name="Input 9 3 6 2" xfId="21720"/>
    <cellStyle name="Input 9 3 7" xfId="16607"/>
    <cellStyle name="Input 9 3_Table 2A-1_EFT (Annual)" xfId="3091"/>
    <cellStyle name="Input 9 4" xfId="1161"/>
    <cellStyle name="Input 9 4 2" xfId="2431"/>
    <cellStyle name="Input 9 4 2 2" xfId="5992"/>
    <cellStyle name="Input 9 4 2 2 2" xfId="14186"/>
    <cellStyle name="Input 9 4 2 2 2 2" xfId="26158"/>
    <cellStyle name="Input 9 4 2 2 3" xfId="21045"/>
    <cellStyle name="Input 9 4 2 2_Table 2A-1_EFT (Annual)" xfId="15424"/>
    <cellStyle name="Input 9 4 2 3" xfId="11528"/>
    <cellStyle name="Input 9 4 2 3 2" xfId="23612"/>
    <cellStyle name="Input 9 4 2 4" xfId="18499"/>
    <cellStyle name="Input 9 4 2_Table 2A-1_EFT (Annual)" xfId="7153"/>
    <cellStyle name="Input 9 4 3" xfId="4722"/>
    <cellStyle name="Input 9 4 3 2" xfId="12982"/>
    <cellStyle name="Input 9 4 3 2 2" xfId="24988"/>
    <cellStyle name="Input 9 4 3 3" xfId="19875"/>
    <cellStyle name="Input 9 4 3_Table 2A-1_EFT (Annual)" xfId="15425"/>
    <cellStyle name="Input 9 4 4" xfId="10326"/>
    <cellStyle name="Input 9 4 4 2" xfId="22442"/>
    <cellStyle name="Input 9 4 5" xfId="17329"/>
    <cellStyle name="Input 9 4_Table 2A-1_EFT (Annual)" xfId="7152"/>
    <cellStyle name="Input 9 5" xfId="728"/>
    <cellStyle name="Input 9 5 2" xfId="4289"/>
    <cellStyle name="Input 9 5 2 2" xfId="12569"/>
    <cellStyle name="Input 9 5 2 2 2" xfId="24586"/>
    <cellStyle name="Input 9 5 2 3" xfId="19473"/>
    <cellStyle name="Input 9 5 2_Table 2A-1_EFT (Annual)" xfId="15426"/>
    <cellStyle name="Input 9 5 3" xfId="9917"/>
    <cellStyle name="Input 9 5 3 2" xfId="22040"/>
    <cellStyle name="Input 9 5 4" xfId="16927"/>
    <cellStyle name="Input 9 5_Table 2A-1_EFT (Annual)" xfId="7154"/>
    <cellStyle name="Input 9 6" xfId="1869"/>
    <cellStyle name="Input 9 6 2" xfId="5430"/>
    <cellStyle name="Input 9 6 2 2" xfId="13645"/>
    <cellStyle name="Input 9 6 2 2 2" xfId="25633"/>
    <cellStyle name="Input 9 6 2 3" xfId="20520"/>
    <cellStyle name="Input 9 6 2_Table 2A-1_EFT (Annual)" xfId="15427"/>
    <cellStyle name="Input 9 6 3" xfId="10989"/>
    <cellStyle name="Input 9 6 3 2" xfId="23087"/>
    <cellStyle name="Input 9 6 4" xfId="17974"/>
    <cellStyle name="Input 9 6_Table 2A-1_EFT (Annual)" xfId="7155"/>
    <cellStyle name="Input 9 7" xfId="3702"/>
    <cellStyle name="Input 9 7 2" xfId="12070"/>
    <cellStyle name="Input 9 7 2 2" xfId="24100"/>
    <cellStyle name="Input 9 7 3" xfId="18987"/>
    <cellStyle name="Input 9 7_Table 2A-1_EFT (Annual)" xfId="15428"/>
    <cellStyle name="Input 9 8" xfId="9389"/>
    <cellStyle name="Input 9 8 2" xfId="21554"/>
    <cellStyle name="Input 9 9" xfId="16441"/>
    <cellStyle name="Input 9_Table 2A-1_EFT (Annual)" xfId="3089"/>
    <cellStyle name="Linked Cell" xfId="42" builtinId="24" customBuiltin="1"/>
    <cellStyle name="Linked Cell 2" xfId="291"/>
    <cellStyle name="Linked Cell 3" xfId="695"/>
    <cellStyle name="Linked Cell 4" xfId="16009"/>
    <cellStyle name="Neutral" xfId="43" builtinId="28" customBuiltin="1"/>
    <cellStyle name="Neutral 2" xfId="292"/>
    <cellStyle name="Neutral 3" xfId="696"/>
    <cellStyle name="Neutral 4" xfId="16010"/>
    <cellStyle name="Normal" xfId="0" builtinId="0"/>
    <cellStyle name="Normal 10" xfId="74"/>
    <cellStyle name="Normal 10 2" xfId="229"/>
    <cellStyle name="Normal 10 2 2" xfId="456"/>
    <cellStyle name="Normal 10 2 2 2" xfId="980"/>
    <cellStyle name="Normal 10 2 2 2 2" xfId="2400"/>
    <cellStyle name="Normal 10 2 2 2 2 2" xfId="5961"/>
    <cellStyle name="Normal 10 2 2 2 2 2 2" xfId="16409"/>
    <cellStyle name="Normal 10 2 2 2 2 3" xfId="16211"/>
    <cellStyle name="Normal 10 2 2 2 2_Table 2A-1_EFT (Annual)" xfId="3096"/>
    <cellStyle name="Normal 10 2 2 2 3" xfId="4541"/>
    <cellStyle name="Normal 10 2 2 2 3 2" xfId="16309"/>
    <cellStyle name="Normal 10 2 2 2 4" xfId="16112"/>
    <cellStyle name="Normal 10 2 2 2_Table 2A-1_EFT (Annual)" xfId="3095"/>
    <cellStyle name="Normal 10 2 2 3" xfId="1728"/>
    <cellStyle name="Normal 10 2 2 3 2" xfId="5289"/>
    <cellStyle name="Normal 10 2 2 3 2 2" xfId="16360"/>
    <cellStyle name="Normal 10 2 2 3 3" xfId="16162"/>
    <cellStyle name="Normal 10 2 2 3_Table 2A-1_EFT (Annual)" xfId="3097"/>
    <cellStyle name="Normal 10 2 2 4" xfId="4026"/>
    <cellStyle name="Normal 10 2 2 4 2" xfId="16260"/>
    <cellStyle name="Normal 10 2 2 5" xfId="16063"/>
    <cellStyle name="Normal 10 2 2_Table 2A-1_EFT (Annual)" xfId="3094"/>
    <cellStyle name="Normal 10 2 3" xfId="824"/>
    <cellStyle name="Normal 10 2 3 2" xfId="2375"/>
    <cellStyle name="Normal 10 2 3 2 2" xfId="5936"/>
    <cellStyle name="Normal 10 2 3 2 2 2" xfId="16384"/>
    <cellStyle name="Normal 10 2 3 2 3" xfId="16186"/>
    <cellStyle name="Normal 10 2 3 2_Table 2A-1_EFT (Annual)" xfId="3099"/>
    <cellStyle name="Normal 10 2 3 3" xfId="4385"/>
    <cellStyle name="Normal 10 2 3 3 2" xfId="16284"/>
    <cellStyle name="Normal 10 2 3 4" xfId="16087"/>
    <cellStyle name="Normal 10 2 3_Table 2A-1_EFT (Annual)" xfId="3098"/>
    <cellStyle name="Normal 10 2 4" xfId="1672"/>
    <cellStyle name="Normal 10 2 4 2" xfId="5233"/>
    <cellStyle name="Normal 10 2 4 2 2" xfId="16335"/>
    <cellStyle name="Normal 10 2 4 3" xfId="16137"/>
    <cellStyle name="Normal 10 2 4_Table 2A-1_EFT (Annual)" xfId="3100"/>
    <cellStyle name="Normal 10 2 5" xfId="3818"/>
    <cellStyle name="Normal 10 2 5 2" xfId="16235"/>
    <cellStyle name="Normal 10 2 6" xfId="16038"/>
    <cellStyle name="Normal 10 2_Table 2A-1_EFT (Annual)" xfId="3093"/>
    <cellStyle name="Normal 10 3" xfId="308"/>
    <cellStyle name="Normal 10 3 2" xfId="858"/>
    <cellStyle name="Normal 10 3 2 2" xfId="2388"/>
    <cellStyle name="Normal 10 3 2 2 2" xfId="5949"/>
    <cellStyle name="Normal 10 3 2 2 2 2" xfId="16397"/>
    <cellStyle name="Normal 10 3 2 2 3" xfId="16199"/>
    <cellStyle name="Normal 10 3 2 2_Table 2A-1_EFT (Annual)" xfId="3103"/>
    <cellStyle name="Normal 10 3 2 3" xfId="4419"/>
    <cellStyle name="Normal 10 3 2 3 2" xfId="16297"/>
    <cellStyle name="Normal 10 3 2 4" xfId="16100"/>
    <cellStyle name="Normal 10 3 2_Table 2A-1_EFT (Annual)" xfId="3102"/>
    <cellStyle name="Normal 10 3 3" xfId="1690"/>
    <cellStyle name="Normal 10 3 3 2" xfId="5251"/>
    <cellStyle name="Normal 10 3 3 2 2" xfId="16348"/>
    <cellStyle name="Normal 10 3 3 3" xfId="16150"/>
    <cellStyle name="Normal 10 3 3_Table 2A-1_EFT (Annual)" xfId="3104"/>
    <cellStyle name="Normal 10 3 4" xfId="3878"/>
    <cellStyle name="Normal 10 3 4 2" xfId="16248"/>
    <cellStyle name="Normal 10 3 5" xfId="16051"/>
    <cellStyle name="Normal 10 3_Table 2A-1_EFT (Annual)" xfId="3101"/>
    <cellStyle name="Normal 10 4" xfId="654"/>
    <cellStyle name="Normal 10 4 2" xfId="1775"/>
    <cellStyle name="Normal 10 4 2 2" xfId="5336"/>
    <cellStyle name="Normal 10 4 2 2 2" xfId="16372"/>
    <cellStyle name="Normal 10 4 2 3" xfId="16174"/>
    <cellStyle name="Normal 10 4 2_Table 2A-1_EFT (Annual)" xfId="3106"/>
    <cellStyle name="Normal 10 4 3" xfId="4224"/>
    <cellStyle name="Normal 10 4 3 2" xfId="16272"/>
    <cellStyle name="Normal 10 4 4" xfId="16075"/>
    <cellStyle name="Normal 10 4_Table 2A-1_EFT (Annual)" xfId="3105"/>
    <cellStyle name="Normal 10 5" xfId="1633"/>
    <cellStyle name="Normal 10 5 2" xfId="5194"/>
    <cellStyle name="Normal 10 5 2 2" xfId="16323"/>
    <cellStyle name="Normal 10 5 3" xfId="16125"/>
    <cellStyle name="Normal 10 5_Table 2A-1_EFT (Annual)" xfId="3107"/>
    <cellStyle name="Normal 10 6" xfId="3665"/>
    <cellStyle name="Normal 10 6 2" xfId="16223"/>
    <cellStyle name="Normal 10 7" xfId="16026"/>
    <cellStyle name="Normal 10_Table 2A-1_EFT (Annual)" xfId="3092"/>
    <cellStyle name="Normal 11" xfId="75"/>
    <cellStyle name="Normal 11 2" xfId="230"/>
    <cellStyle name="Normal 11 2 2" xfId="457"/>
    <cellStyle name="Normal 11 2 2 2" xfId="981"/>
    <cellStyle name="Normal 11 2 2 2 2" xfId="2401"/>
    <cellStyle name="Normal 11 2 2 2 2 2" xfId="5962"/>
    <cellStyle name="Normal 11 2 2 2 2 2 2" xfId="16410"/>
    <cellStyle name="Normal 11 2 2 2 2 3" xfId="16212"/>
    <cellStyle name="Normal 11 2 2 2 2_Table 2A-1_EFT (Annual)" xfId="3112"/>
    <cellStyle name="Normal 11 2 2 2 3" xfId="4542"/>
    <cellStyle name="Normal 11 2 2 2 3 2" xfId="16310"/>
    <cellStyle name="Normal 11 2 2 2 4" xfId="16113"/>
    <cellStyle name="Normal 11 2 2 2_Table 2A-1_EFT (Annual)" xfId="3111"/>
    <cellStyle name="Normal 11 2 2 3" xfId="1729"/>
    <cellStyle name="Normal 11 2 2 3 2" xfId="5290"/>
    <cellStyle name="Normal 11 2 2 3 2 2" xfId="16361"/>
    <cellStyle name="Normal 11 2 2 3 3" xfId="16163"/>
    <cellStyle name="Normal 11 2 2 3_Table 2A-1_EFT (Annual)" xfId="3113"/>
    <cellStyle name="Normal 11 2 2 4" xfId="4027"/>
    <cellStyle name="Normal 11 2 2 4 2" xfId="16261"/>
    <cellStyle name="Normal 11 2 2 5" xfId="16064"/>
    <cellStyle name="Normal 11 2 2_Table 2A-1_EFT (Annual)" xfId="3110"/>
    <cellStyle name="Normal 11 2 3" xfId="825"/>
    <cellStyle name="Normal 11 2 3 2" xfId="2376"/>
    <cellStyle name="Normal 11 2 3 2 2" xfId="5937"/>
    <cellStyle name="Normal 11 2 3 2 2 2" xfId="16385"/>
    <cellStyle name="Normal 11 2 3 2 3" xfId="16187"/>
    <cellStyle name="Normal 11 2 3 2_Table 2A-1_EFT (Annual)" xfId="3115"/>
    <cellStyle name="Normal 11 2 3 3" xfId="4386"/>
    <cellStyle name="Normal 11 2 3 3 2" xfId="16285"/>
    <cellStyle name="Normal 11 2 3 4" xfId="16088"/>
    <cellStyle name="Normal 11 2 3_Table 2A-1_EFT (Annual)" xfId="3114"/>
    <cellStyle name="Normal 11 2 4" xfId="1673"/>
    <cellStyle name="Normal 11 2 4 2" xfId="5234"/>
    <cellStyle name="Normal 11 2 4 2 2" xfId="16336"/>
    <cellStyle name="Normal 11 2 4 3" xfId="16138"/>
    <cellStyle name="Normal 11 2 4_Table 2A-1_EFT (Annual)" xfId="3116"/>
    <cellStyle name="Normal 11 2 5" xfId="3819"/>
    <cellStyle name="Normal 11 2 5 2" xfId="16236"/>
    <cellStyle name="Normal 11 2 6" xfId="16039"/>
    <cellStyle name="Normal 11 2_Table 2A-1_EFT (Annual)" xfId="3109"/>
    <cellStyle name="Normal 11 3" xfId="309"/>
    <cellStyle name="Normal 11 3 2" xfId="859"/>
    <cellStyle name="Normal 11 3 2 2" xfId="2389"/>
    <cellStyle name="Normal 11 3 2 2 2" xfId="5950"/>
    <cellStyle name="Normal 11 3 2 2 2 2" xfId="16398"/>
    <cellStyle name="Normal 11 3 2 2 3" xfId="16200"/>
    <cellStyle name="Normal 11 3 2 2_Table 2A-1_EFT (Annual)" xfId="3119"/>
    <cellStyle name="Normal 11 3 2 3" xfId="4420"/>
    <cellStyle name="Normal 11 3 2 3 2" xfId="16298"/>
    <cellStyle name="Normal 11 3 2 4" xfId="16101"/>
    <cellStyle name="Normal 11 3 2_Table 2A-1_EFT (Annual)" xfId="3118"/>
    <cellStyle name="Normal 11 3 3" xfId="1691"/>
    <cellStyle name="Normal 11 3 3 2" xfId="5252"/>
    <cellStyle name="Normal 11 3 3 2 2" xfId="16349"/>
    <cellStyle name="Normal 11 3 3 3" xfId="16151"/>
    <cellStyle name="Normal 11 3 3_Table 2A-1_EFT (Annual)" xfId="3120"/>
    <cellStyle name="Normal 11 3 4" xfId="3879"/>
    <cellStyle name="Normal 11 3 4 2" xfId="16249"/>
    <cellStyle name="Normal 11 3 5" xfId="16052"/>
    <cellStyle name="Normal 11 3_Table 2A-1_EFT (Annual)" xfId="3117"/>
    <cellStyle name="Normal 11 4" xfId="655"/>
    <cellStyle name="Normal 11 4 2" xfId="1776"/>
    <cellStyle name="Normal 11 4 2 2" xfId="5337"/>
    <cellStyle name="Normal 11 4 2 2 2" xfId="16373"/>
    <cellStyle name="Normal 11 4 2 3" xfId="16175"/>
    <cellStyle name="Normal 11 4 2_Table 2A-1_EFT (Annual)" xfId="3122"/>
    <cellStyle name="Normal 11 4 3" xfId="4225"/>
    <cellStyle name="Normal 11 4 3 2" xfId="16273"/>
    <cellStyle name="Normal 11 4 4" xfId="16076"/>
    <cellStyle name="Normal 11 4_Table 2A-1_EFT (Annual)" xfId="3121"/>
    <cellStyle name="Normal 11 5" xfId="1634"/>
    <cellStyle name="Normal 11 5 2" xfId="5195"/>
    <cellStyle name="Normal 11 5 2 2" xfId="16324"/>
    <cellStyle name="Normal 11 5 3" xfId="16126"/>
    <cellStyle name="Normal 11 5_Table 2A-1_EFT (Annual)" xfId="3123"/>
    <cellStyle name="Normal 11 6" xfId="3666"/>
    <cellStyle name="Normal 11 6 2" xfId="16224"/>
    <cellStyle name="Normal 11 7" xfId="16027"/>
    <cellStyle name="Normal 11_Table 2A-1_EFT (Annual)" xfId="3108"/>
    <cellStyle name="Normal 12" xfId="76"/>
    <cellStyle name="Normal 12 2" xfId="231"/>
    <cellStyle name="Normal 12 2 2" xfId="458"/>
    <cellStyle name="Normal 12 2 2 2" xfId="982"/>
    <cellStyle name="Normal 12 2 2 2 2" xfId="2402"/>
    <cellStyle name="Normal 12 2 2 2 2 2" xfId="5963"/>
    <cellStyle name="Normal 12 2 2 2 2 2 2" xfId="16411"/>
    <cellStyle name="Normal 12 2 2 2 2 3" xfId="16213"/>
    <cellStyle name="Normal 12 2 2 2 2_Table 2A-1_EFT (Annual)" xfId="3128"/>
    <cellStyle name="Normal 12 2 2 2 3" xfId="4543"/>
    <cellStyle name="Normal 12 2 2 2 3 2" xfId="16311"/>
    <cellStyle name="Normal 12 2 2 2 4" xfId="16114"/>
    <cellStyle name="Normal 12 2 2 2_Table 2A-1_EFT (Annual)" xfId="3127"/>
    <cellStyle name="Normal 12 2 2 3" xfId="1730"/>
    <cellStyle name="Normal 12 2 2 3 2" xfId="5291"/>
    <cellStyle name="Normal 12 2 2 3 2 2" xfId="16362"/>
    <cellStyle name="Normal 12 2 2 3 3" xfId="16164"/>
    <cellStyle name="Normal 12 2 2 3_Table 2A-1_EFT (Annual)" xfId="3129"/>
    <cellStyle name="Normal 12 2 2 4" xfId="4028"/>
    <cellStyle name="Normal 12 2 2 4 2" xfId="16262"/>
    <cellStyle name="Normal 12 2 2 5" xfId="16065"/>
    <cellStyle name="Normal 12 2 2_Table 2A-1_EFT (Annual)" xfId="3126"/>
    <cellStyle name="Normal 12 2 3" xfId="826"/>
    <cellStyle name="Normal 12 2 3 2" xfId="2377"/>
    <cellStyle name="Normal 12 2 3 2 2" xfId="5938"/>
    <cellStyle name="Normal 12 2 3 2 2 2" xfId="16386"/>
    <cellStyle name="Normal 12 2 3 2 3" xfId="16188"/>
    <cellStyle name="Normal 12 2 3 2_Table 2A-1_EFT (Annual)" xfId="3131"/>
    <cellStyle name="Normal 12 2 3 3" xfId="4387"/>
    <cellStyle name="Normal 12 2 3 3 2" xfId="16286"/>
    <cellStyle name="Normal 12 2 3 4" xfId="16089"/>
    <cellStyle name="Normal 12 2 3_Table 2A-1_EFT (Annual)" xfId="3130"/>
    <cellStyle name="Normal 12 2 4" xfId="1674"/>
    <cellStyle name="Normal 12 2 4 2" xfId="5235"/>
    <cellStyle name="Normal 12 2 4 2 2" xfId="16337"/>
    <cellStyle name="Normal 12 2 4 3" xfId="16139"/>
    <cellStyle name="Normal 12 2 4_Table 2A-1_EFT (Annual)" xfId="3132"/>
    <cellStyle name="Normal 12 2 5" xfId="3820"/>
    <cellStyle name="Normal 12 2 5 2" xfId="16237"/>
    <cellStyle name="Normal 12 2 6" xfId="16040"/>
    <cellStyle name="Normal 12 2_Table 2A-1_EFT (Annual)" xfId="3125"/>
    <cellStyle name="Normal 12 3" xfId="310"/>
    <cellStyle name="Normal 12 3 2" xfId="860"/>
    <cellStyle name="Normal 12 3 2 2" xfId="2390"/>
    <cellStyle name="Normal 12 3 2 2 2" xfId="5951"/>
    <cellStyle name="Normal 12 3 2 2 2 2" xfId="16399"/>
    <cellStyle name="Normal 12 3 2 2 3" xfId="16201"/>
    <cellStyle name="Normal 12 3 2 2_Table 2A-1_EFT (Annual)" xfId="3135"/>
    <cellStyle name="Normal 12 3 2 3" xfId="4421"/>
    <cellStyle name="Normal 12 3 2 3 2" xfId="16299"/>
    <cellStyle name="Normal 12 3 2 4" xfId="16102"/>
    <cellStyle name="Normal 12 3 2_Table 2A-1_EFT (Annual)" xfId="3134"/>
    <cellStyle name="Normal 12 3 3" xfId="1692"/>
    <cellStyle name="Normal 12 3 3 2" xfId="5253"/>
    <cellStyle name="Normal 12 3 3 2 2" xfId="16350"/>
    <cellStyle name="Normal 12 3 3 3" xfId="16152"/>
    <cellStyle name="Normal 12 3 3_Table 2A-1_EFT (Annual)" xfId="3136"/>
    <cellStyle name="Normal 12 3 4" xfId="3880"/>
    <cellStyle name="Normal 12 3 4 2" xfId="16250"/>
    <cellStyle name="Normal 12 3 5" xfId="16053"/>
    <cellStyle name="Normal 12 3_Table 2A-1_EFT (Annual)" xfId="3133"/>
    <cellStyle name="Normal 12 4" xfId="656"/>
    <cellStyle name="Normal 12 4 2" xfId="1777"/>
    <cellStyle name="Normal 12 4 2 2" xfId="5338"/>
    <cellStyle name="Normal 12 4 2 2 2" xfId="16374"/>
    <cellStyle name="Normal 12 4 2 3" xfId="16176"/>
    <cellStyle name="Normal 12 4 2_Table 2A-1_EFT (Annual)" xfId="3138"/>
    <cellStyle name="Normal 12 4 3" xfId="4226"/>
    <cellStyle name="Normal 12 4 3 2" xfId="16274"/>
    <cellStyle name="Normal 12 4 4" xfId="16077"/>
    <cellStyle name="Normal 12 4_Table 2A-1_EFT (Annual)" xfId="3137"/>
    <cellStyle name="Normal 12 5" xfId="1635"/>
    <cellStyle name="Normal 12 5 2" xfId="5196"/>
    <cellStyle name="Normal 12 5 2 2" xfId="16325"/>
    <cellStyle name="Normal 12 5 3" xfId="16127"/>
    <cellStyle name="Normal 12 5_Table 2A-1_EFT (Annual)" xfId="3139"/>
    <cellStyle name="Normal 12 6" xfId="3667"/>
    <cellStyle name="Normal 12 6 2" xfId="16225"/>
    <cellStyle name="Normal 12 7" xfId="16028"/>
    <cellStyle name="Normal 12_Table 2A-1_EFT (Annual)" xfId="3124"/>
    <cellStyle name="Normal 13" xfId="254"/>
    <cellStyle name="Normal 14" xfId="253"/>
    <cellStyle name="Normal 14 2" xfId="844"/>
    <cellStyle name="Normal 14 2 2" xfId="2378"/>
    <cellStyle name="Normal 14 2 2 2" xfId="5939"/>
    <cellStyle name="Normal 14 2 2 2 2" xfId="16387"/>
    <cellStyle name="Normal 14 2 2 3" xfId="16189"/>
    <cellStyle name="Normal 14 2 2_Table 2A-1_EFT (Annual)" xfId="3142"/>
    <cellStyle name="Normal 14 2 3" xfId="4405"/>
    <cellStyle name="Normal 14 2 3 2" xfId="16287"/>
    <cellStyle name="Normal 14 2 4" xfId="16090"/>
    <cellStyle name="Normal 14 2_Table 2A-1_EFT (Annual)" xfId="3141"/>
    <cellStyle name="Normal 14 3" xfId="1679"/>
    <cellStyle name="Normal 14 3 2" xfId="5240"/>
    <cellStyle name="Normal 14 3 2 2" xfId="16338"/>
    <cellStyle name="Normal 14 3 3" xfId="16140"/>
    <cellStyle name="Normal 14 3_Table 2A-1_EFT (Annual)" xfId="3143"/>
    <cellStyle name="Normal 14 4" xfId="3842"/>
    <cellStyle name="Normal 14 4 2" xfId="16238"/>
    <cellStyle name="Normal 14 5" xfId="16041"/>
    <cellStyle name="Normal 14_Table 2A-1_EFT (Annual)" xfId="3140"/>
    <cellStyle name="Normal 15" xfId="658"/>
    <cellStyle name="Normal 15 2" xfId="2361"/>
    <cellStyle name="Normal 15_Table 2A-1_EFT (Annual)" xfId="15429"/>
    <cellStyle name="Normal 16" xfId="1622"/>
    <cellStyle name="Normal 16 2" xfId="5183"/>
    <cellStyle name="Normal 16 2 2" xfId="16313"/>
    <cellStyle name="Normal 16 3" xfId="16115"/>
    <cellStyle name="Normal 16_Table 2A-1_EFT (Annual)" xfId="3144"/>
    <cellStyle name="Normal 17" xfId="15972"/>
    <cellStyle name="Normal 17 2" xfId="16312"/>
    <cellStyle name="Normal 18" xfId="16413"/>
    <cellStyle name="Normal 18 2" xfId="26620"/>
    <cellStyle name="Normal 19" xfId="21526"/>
    <cellStyle name="Normal 19 2" xfId="16412"/>
    <cellStyle name="Normal 2" xfId="44"/>
    <cellStyle name="Normal 2 2" xfId="65"/>
    <cellStyle name="Normal 2 3" xfId="77"/>
    <cellStyle name="Normal 2 4" xfId="78"/>
    <cellStyle name="Normal 2_Table 2A-1_EFT (Annual)" xfId="3145"/>
    <cellStyle name="Normal 20" xfId="26619"/>
    <cellStyle name="Normal 20 2" xfId="26621"/>
    <cellStyle name="Normal 21" xfId="15971"/>
    <cellStyle name="Normal 3" xfId="53"/>
    <cellStyle name="Normal 4" xfId="60"/>
    <cellStyle name="Normal 4 2" xfId="105"/>
    <cellStyle name="Normal 4 2 2" xfId="336"/>
    <cellStyle name="Normal 4 2 2 2" xfId="880"/>
    <cellStyle name="Normal 4 2 2 2 2" xfId="2393"/>
    <cellStyle name="Normal 4 2 2 2 2 2" xfId="5954"/>
    <cellStyle name="Normal 4 2 2 2 2 2 2" xfId="16402"/>
    <cellStyle name="Normal 4 2 2 2 2 3" xfId="16204"/>
    <cellStyle name="Normal 4 2 2 2 2_Table 2A-1_EFT (Annual)" xfId="3150"/>
    <cellStyle name="Normal 4 2 2 2 3" xfId="4441"/>
    <cellStyle name="Normal 4 2 2 2 3 2" xfId="16302"/>
    <cellStyle name="Normal 4 2 2 2 4" xfId="16105"/>
    <cellStyle name="Normal 4 2 2 2_Table 2A-1_EFT (Annual)" xfId="3149"/>
    <cellStyle name="Normal 4 2 2 3" xfId="1701"/>
    <cellStyle name="Normal 4 2 2 3 2" xfId="5262"/>
    <cellStyle name="Normal 4 2 2 3 2 2" xfId="16353"/>
    <cellStyle name="Normal 4 2 2 3 3" xfId="16155"/>
    <cellStyle name="Normal 4 2 2 3_Table 2A-1_EFT (Annual)" xfId="3151"/>
    <cellStyle name="Normal 4 2 2 4" xfId="3906"/>
    <cellStyle name="Normal 4 2 2 4 2" xfId="16253"/>
    <cellStyle name="Normal 4 2 2 5" xfId="16056"/>
    <cellStyle name="Normal 4 2 2_Table 2A-1_EFT (Annual)" xfId="3148"/>
    <cellStyle name="Normal 4 2 3" xfId="721"/>
    <cellStyle name="Normal 4 2 3 2" xfId="2368"/>
    <cellStyle name="Normal 4 2 3 2 2" xfId="5929"/>
    <cellStyle name="Normal 4 2 3 2 2 2" xfId="16377"/>
    <cellStyle name="Normal 4 2 3 2 3" xfId="16179"/>
    <cellStyle name="Normal 4 2 3 2_Table 2A-1_EFT (Annual)" xfId="3153"/>
    <cellStyle name="Normal 4 2 3 3" xfId="4282"/>
    <cellStyle name="Normal 4 2 3 3 2" xfId="16277"/>
    <cellStyle name="Normal 4 2 3 4" xfId="16080"/>
    <cellStyle name="Normal 4 2 3_Table 2A-1_EFT (Annual)" xfId="3152"/>
    <cellStyle name="Normal 4 2 4" xfId="1644"/>
    <cellStyle name="Normal 4 2 4 2" xfId="5205"/>
    <cellStyle name="Normal 4 2 4 2 2" xfId="16328"/>
    <cellStyle name="Normal 4 2 4 3" xfId="16130"/>
    <cellStyle name="Normal 4 2 4_Table 2A-1_EFT (Annual)" xfId="3154"/>
    <cellStyle name="Normal 4 2 5" xfId="3694"/>
    <cellStyle name="Normal 4 2 5 2" xfId="16228"/>
    <cellStyle name="Normal 4 2 6" xfId="16031"/>
    <cellStyle name="Normal 4 2_Table 2A-1_EFT (Annual)" xfId="3147"/>
    <cellStyle name="Normal 4 3" xfId="301"/>
    <cellStyle name="Normal 4 3 2" xfId="851"/>
    <cellStyle name="Normal 4 3 2 2" xfId="2381"/>
    <cellStyle name="Normal 4 3 2 2 2" xfId="5942"/>
    <cellStyle name="Normal 4 3 2 2 2 2" xfId="16390"/>
    <cellStyle name="Normal 4 3 2 2 3" xfId="16192"/>
    <cellStyle name="Normal 4 3 2 2_Table 2A-1_EFT (Annual)" xfId="3157"/>
    <cellStyle name="Normal 4 3 2 3" xfId="4412"/>
    <cellStyle name="Normal 4 3 2 3 2" xfId="16290"/>
    <cellStyle name="Normal 4 3 2 4" xfId="16093"/>
    <cellStyle name="Normal 4 3 2_Table 2A-1_EFT (Annual)" xfId="3156"/>
    <cellStyle name="Normal 4 3 3" xfId="1683"/>
    <cellStyle name="Normal 4 3 3 2" xfId="5244"/>
    <cellStyle name="Normal 4 3 3 2 2" xfId="16341"/>
    <cellStyle name="Normal 4 3 3 3" xfId="16143"/>
    <cellStyle name="Normal 4 3 3_Table 2A-1_EFT (Annual)" xfId="3158"/>
    <cellStyle name="Normal 4 3 4" xfId="3871"/>
    <cellStyle name="Normal 4 3 4 2" xfId="16241"/>
    <cellStyle name="Normal 4 3 5" xfId="16044"/>
    <cellStyle name="Normal 4 3_Table 2A-1_EFT (Annual)" xfId="3155"/>
    <cellStyle name="Normal 4 4" xfId="647"/>
    <cellStyle name="Normal 4 4 2" xfId="1768"/>
    <cellStyle name="Normal 4 4 2 2" xfId="5329"/>
    <cellStyle name="Normal 4 4 2 2 2" xfId="16365"/>
    <cellStyle name="Normal 4 4 2 3" xfId="16167"/>
    <cellStyle name="Normal 4 4 2_Table 2A-1_EFT (Annual)" xfId="3160"/>
    <cellStyle name="Normal 4 4 3" xfId="4217"/>
    <cellStyle name="Normal 4 4 3 2" xfId="16265"/>
    <cellStyle name="Normal 4 4 4" xfId="16068"/>
    <cellStyle name="Normal 4 4_Table 2A-1_EFT (Annual)" xfId="3159"/>
    <cellStyle name="Normal 4 5" xfId="1626"/>
    <cellStyle name="Normal 4 5 2" xfId="5187"/>
    <cellStyle name="Normal 4 5 2 2" xfId="16316"/>
    <cellStyle name="Normal 4 5 3" xfId="16118"/>
    <cellStyle name="Normal 4 5_Table 2A-1_EFT (Annual)" xfId="3161"/>
    <cellStyle name="Normal 4 6" xfId="3652"/>
    <cellStyle name="Normal 4 6 2" xfId="16216"/>
    <cellStyle name="Normal 4 7" xfId="16019"/>
    <cellStyle name="Normal 4_Table 2A-1_EFT (Annual)" xfId="3146"/>
    <cellStyle name="Normal 5" xfId="61"/>
    <cellStyle name="Normal 5 2" xfId="106"/>
    <cellStyle name="Normal 5 2 2" xfId="337"/>
    <cellStyle name="Normal 5 2 2 2" xfId="881"/>
    <cellStyle name="Normal 5 2 2 2 2" xfId="2394"/>
    <cellStyle name="Normal 5 2 2 2 2 2" xfId="5955"/>
    <cellStyle name="Normal 5 2 2 2 2 2 2" xfId="16403"/>
    <cellStyle name="Normal 5 2 2 2 2 3" xfId="16205"/>
    <cellStyle name="Normal 5 2 2 2 2_Table 2A-1_EFT (Annual)" xfId="3166"/>
    <cellStyle name="Normal 5 2 2 2 3" xfId="4442"/>
    <cellStyle name="Normal 5 2 2 2 3 2" xfId="16303"/>
    <cellStyle name="Normal 5 2 2 2 4" xfId="16106"/>
    <cellStyle name="Normal 5 2 2 2_Table 2A-1_EFT (Annual)" xfId="3165"/>
    <cellStyle name="Normal 5 2 2 3" xfId="1702"/>
    <cellStyle name="Normal 5 2 2 3 2" xfId="5263"/>
    <cellStyle name="Normal 5 2 2 3 2 2" xfId="16354"/>
    <cellStyle name="Normal 5 2 2 3 3" xfId="16156"/>
    <cellStyle name="Normal 5 2 2 3_Table 2A-1_EFT (Annual)" xfId="3167"/>
    <cellStyle name="Normal 5 2 2 4" xfId="3907"/>
    <cellStyle name="Normal 5 2 2 4 2" xfId="16254"/>
    <cellStyle name="Normal 5 2 2 5" xfId="16057"/>
    <cellStyle name="Normal 5 2 2_Table 2A-1_EFT (Annual)" xfId="3164"/>
    <cellStyle name="Normal 5 2 3" xfId="722"/>
    <cellStyle name="Normal 5 2 3 2" xfId="2369"/>
    <cellStyle name="Normal 5 2 3 2 2" xfId="5930"/>
    <cellStyle name="Normal 5 2 3 2 2 2" xfId="16378"/>
    <cellStyle name="Normal 5 2 3 2 3" xfId="16180"/>
    <cellStyle name="Normal 5 2 3 2_Table 2A-1_EFT (Annual)" xfId="3169"/>
    <cellStyle name="Normal 5 2 3 3" xfId="4283"/>
    <cellStyle name="Normal 5 2 3 3 2" xfId="16278"/>
    <cellStyle name="Normal 5 2 3 4" xfId="16081"/>
    <cellStyle name="Normal 5 2 3_Table 2A-1_EFT (Annual)" xfId="3168"/>
    <cellStyle name="Normal 5 2 4" xfId="1645"/>
    <cellStyle name="Normal 5 2 4 2" xfId="5206"/>
    <cellStyle name="Normal 5 2 4 2 2" xfId="16329"/>
    <cellStyle name="Normal 5 2 4 3" xfId="16131"/>
    <cellStyle name="Normal 5 2 4_Table 2A-1_EFT (Annual)" xfId="3170"/>
    <cellStyle name="Normal 5 2 5" xfId="3695"/>
    <cellStyle name="Normal 5 2 5 2" xfId="16229"/>
    <cellStyle name="Normal 5 2 6" xfId="16032"/>
    <cellStyle name="Normal 5 2_Table 2A-1_EFT (Annual)" xfId="3163"/>
    <cellStyle name="Normal 5 3" xfId="302"/>
    <cellStyle name="Normal 5 3 2" xfId="852"/>
    <cellStyle name="Normal 5 3 2 2" xfId="2382"/>
    <cellStyle name="Normal 5 3 2 2 2" xfId="5943"/>
    <cellStyle name="Normal 5 3 2 2 2 2" xfId="16391"/>
    <cellStyle name="Normal 5 3 2 2 3" xfId="16193"/>
    <cellStyle name="Normal 5 3 2 2_Table 2A-1_EFT (Annual)" xfId="3173"/>
    <cellStyle name="Normal 5 3 2 3" xfId="4413"/>
    <cellStyle name="Normal 5 3 2 3 2" xfId="16291"/>
    <cellStyle name="Normal 5 3 2 4" xfId="16094"/>
    <cellStyle name="Normal 5 3 2_Table 2A-1_EFT (Annual)" xfId="3172"/>
    <cellStyle name="Normal 5 3 3" xfId="1684"/>
    <cellStyle name="Normal 5 3 3 2" xfId="5245"/>
    <cellStyle name="Normal 5 3 3 2 2" xfId="16342"/>
    <cellStyle name="Normal 5 3 3 3" xfId="16144"/>
    <cellStyle name="Normal 5 3 3_Table 2A-1_EFT (Annual)" xfId="3174"/>
    <cellStyle name="Normal 5 3 4" xfId="3872"/>
    <cellStyle name="Normal 5 3 4 2" xfId="16242"/>
    <cellStyle name="Normal 5 3 5" xfId="16045"/>
    <cellStyle name="Normal 5 3_Table 2A-1_EFT (Annual)" xfId="3171"/>
    <cellStyle name="Normal 5 4" xfId="648"/>
    <cellStyle name="Normal 5 4 2" xfId="1769"/>
    <cellStyle name="Normal 5 4 2 2" xfId="5330"/>
    <cellStyle name="Normal 5 4 2 2 2" xfId="16366"/>
    <cellStyle name="Normal 5 4 2 3" xfId="16168"/>
    <cellStyle name="Normal 5 4 2_Table 2A-1_EFT (Annual)" xfId="3176"/>
    <cellStyle name="Normal 5 4 3" xfId="4218"/>
    <cellStyle name="Normal 5 4 3 2" xfId="16266"/>
    <cellStyle name="Normal 5 4 4" xfId="16069"/>
    <cellStyle name="Normal 5 4_Table 2A-1_EFT (Annual)" xfId="3175"/>
    <cellStyle name="Normal 5 5" xfId="1627"/>
    <cellStyle name="Normal 5 5 2" xfId="5188"/>
    <cellStyle name="Normal 5 5 2 2" xfId="16317"/>
    <cellStyle name="Normal 5 5 3" xfId="16119"/>
    <cellStyle name="Normal 5 5_Table 2A-1_EFT (Annual)" xfId="3177"/>
    <cellStyle name="Normal 5 6" xfId="3653"/>
    <cellStyle name="Normal 5 6 2" xfId="16217"/>
    <cellStyle name="Normal 5 7" xfId="16020"/>
    <cellStyle name="Normal 5_Table 2A-1_EFT (Annual)" xfId="3162"/>
    <cellStyle name="Normal 6" xfId="62"/>
    <cellStyle name="Normal 6 2" xfId="107"/>
    <cellStyle name="Normal 6 2 2" xfId="338"/>
    <cellStyle name="Normal 6 2 2 2" xfId="882"/>
    <cellStyle name="Normal 6 2 2 2 2" xfId="2395"/>
    <cellStyle name="Normal 6 2 2 2 2 2" xfId="5956"/>
    <cellStyle name="Normal 6 2 2 2 2 2 2" xfId="16404"/>
    <cellStyle name="Normal 6 2 2 2 2 3" xfId="16206"/>
    <cellStyle name="Normal 6 2 2 2 2_Table 2A-1_EFT (Annual)" xfId="3182"/>
    <cellStyle name="Normal 6 2 2 2 3" xfId="4443"/>
    <cellStyle name="Normal 6 2 2 2 3 2" xfId="16304"/>
    <cellStyle name="Normal 6 2 2 2 4" xfId="16107"/>
    <cellStyle name="Normal 6 2 2 2_Table 2A-1_EFT (Annual)" xfId="3181"/>
    <cellStyle name="Normal 6 2 2 3" xfId="1703"/>
    <cellStyle name="Normal 6 2 2 3 2" xfId="5264"/>
    <cellStyle name="Normal 6 2 2 3 2 2" xfId="16355"/>
    <cellStyle name="Normal 6 2 2 3 3" xfId="16157"/>
    <cellStyle name="Normal 6 2 2 3_Table 2A-1_EFT (Annual)" xfId="3183"/>
    <cellStyle name="Normal 6 2 2 4" xfId="3908"/>
    <cellStyle name="Normal 6 2 2 4 2" xfId="16255"/>
    <cellStyle name="Normal 6 2 2 5" xfId="16058"/>
    <cellStyle name="Normal 6 2 2_Table 2A-1_EFT (Annual)" xfId="3180"/>
    <cellStyle name="Normal 6 2 3" xfId="723"/>
    <cellStyle name="Normal 6 2 3 2" xfId="2370"/>
    <cellStyle name="Normal 6 2 3 2 2" xfId="5931"/>
    <cellStyle name="Normal 6 2 3 2 2 2" xfId="16379"/>
    <cellStyle name="Normal 6 2 3 2 3" xfId="16181"/>
    <cellStyle name="Normal 6 2 3 2_Table 2A-1_EFT (Annual)" xfId="3185"/>
    <cellStyle name="Normal 6 2 3 3" xfId="4284"/>
    <cellStyle name="Normal 6 2 3 3 2" xfId="16279"/>
    <cellStyle name="Normal 6 2 3 4" xfId="16082"/>
    <cellStyle name="Normal 6 2 3_Table 2A-1_EFT (Annual)" xfId="3184"/>
    <cellStyle name="Normal 6 2 4" xfId="1646"/>
    <cellStyle name="Normal 6 2 4 2" xfId="5207"/>
    <cellStyle name="Normal 6 2 4 2 2" xfId="16330"/>
    <cellStyle name="Normal 6 2 4 3" xfId="16132"/>
    <cellStyle name="Normal 6 2 4_Table 2A-1_EFT (Annual)" xfId="3186"/>
    <cellStyle name="Normal 6 2 5" xfId="3696"/>
    <cellStyle name="Normal 6 2 5 2" xfId="16230"/>
    <cellStyle name="Normal 6 2 6" xfId="16033"/>
    <cellStyle name="Normal 6 2_Table 2A-1_EFT (Annual)" xfId="3179"/>
    <cellStyle name="Normal 6 3" xfId="303"/>
    <cellStyle name="Normal 6 3 2" xfId="853"/>
    <cellStyle name="Normal 6 3 2 2" xfId="2383"/>
    <cellStyle name="Normal 6 3 2 2 2" xfId="5944"/>
    <cellStyle name="Normal 6 3 2 2 2 2" xfId="16392"/>
    <cellStyle name="Normal 6 3 2 2 3" xfId="16194"/>
    <cellStyle name="Normal 6 3 2 2_Table 2A-1_EFT (Annual)" xfId="3189"/>
    <cellStyle name="Normal 6 3 2 3" xfId="4414"/>
    <cellStyle name="Normal 6 3 2 3 2" xfId="16292"/>
    <cellStyle name="Normal 6 3 2 4" xfId="16095"/>
    <cellStyle name="Normal 6 3 2_Table 2A-1_EFT (Annual)" xfId="3188"/>
    <cellStyle name="Normal 6 3 3" xfId="1685"/>
    <cellStyle name="Normal 6 3 3 2" xfId="5246"/>
    <cellStyle name="Normal 6 3 3 2 2" xfId="16343"/>
    <cellStyle name="Normal 6 3 3 3" xfId="16145"/>
    <cellStyle name="Normal 6 3 3_Table 2A-1_EFT (Annual)" xfId="3190"/>
    <cellStyle name="Normal 6 3 4" xfId="3873"/>
    <cellStyle name="Normal 6 3 4 2" xfId="16243"/>
    <cellStyle name="Normal 6 3 5" xfId="16046"/>
    <cellStyle name="Normal 6 3_Table 2A-1_EFT (Annual)" xfId="3187"/>
    <cellStyle name="Normal 6 4" xfId="649"/>
    <cellStyle name="Normal 6 4 2" xfId="1770"/>
    <cellStyle name="Normal 6 4 2 2" xfId="5331"/>
    <cellStyle name="Normal 6 4 2 2 2" xfId="16367"/>
    <cellStyle name="Normal 6 4 2 3" xfId="16169"/>
    <cellStyle name="Normal 6 4 2_Table 2A-1_EFT (Annual)" xfId="3192"/>
    <cellStyle name="Normal 6 4 3" xfId="4219"/>
    <cellStyle name="Normal 6 4 3 2" xfId="16267"/>
    <cellStyle name="Normal 6 4 4" xfId="16070"/>
    <cellStyle name="Normal 6 4_Table 2A-1_EFT (Annual)" xfId="3191"/>
    <cellStyle name="Normal 6 5" xfId="1628"/>
    <cellStyle name="Normal 6 5 2" xfId="5189"/>
    <cellStyle name="Normal 6 5 2 2" xfId="16318"/>
    <cellStyle name="Normal 6 5 3" xfId="16120"/>
    <cellStyle name="Normal 6 5_Table 2A-1_EFT (Annual)" xfId="3193"/>
    <cellStyle name="Normal 6 6" xfId="3654"/>
    <cellStyle name="Normal 6 6 2" xfId="16218"/>
    <cellStyle name="Normal 6 7" xfId="16021"/>
    <cellStyle name="Normal 6_Table 2A-1_EFT (Annual)" xfId="3178"/>
    <cellStyle name="Normal 7" xfId="70"/>
    <cellStyle name="Normal 7 2" xfId="225"/>
    <cellStyle name="Normal 7 2 2" xfId="452"/>
    <cellStyle name="Normal 7 2 2 2" xfId="976"/>
    <cellStyle name="Normal 7 2 2 2 2" xfId="2398"/>
    <cellStyle name="Normal 7 2 2 2 2 2" xfId="5959"/>
    <cellStyle name="Normal 7 2 2 2 2 2 2" xfId="16407"/>
    <cellStyle name="Normal 7 2 2 2 2 3" xfId="16209"/>
    <cellStyle name="Normal 7 2 2 2 2_Table 2A-1_EFT (Annual)" xfId="3198"/>
    <cellStyle name="Normal 7 2 2 2 3" xfId="4537"/>
    <cellStyle name="Normal 7 2 2 2 3 2" xfId="16307"/>
    <cellStyle name="Normal 7 2 2 2 4" xfId="16110"/>
    <cellStyle name="Normal 7 2 2 2_Table 2A-1_EFT (Annual)" xfId="3197"/>
    <cellStyle name="Normal 7 2 2 3" xfId="1726"/>
    <cellStyle name="Normal 7 2 2 3 2" xfId="5287"/>
    <cellStyle name="Normal 7 2 2 3 2 2" xfId="16358"/>
    <cellStyle name="Normal 7 2 2 3 3" xfId="16160"/>
    <cellStyle name="Normal 7 2 2 3_Table 2A-1_EFT (Annual)" xfId="3199"/>
    <cellStyle name="Normal 7 2 2 4" xfId="4022"/>
    <cellStyle name="Normal 7 2 2 4 2" xfId="16258"/>
    <cellStyle name="Normal 7 2 2 5" xfId="16061"/>
    <cellStyle name="Normal 7 2 2_Table 2A-1_EFT (Annual)" xfId="3196"/>
    <cellStyle name="Normal 7 2 3" xfId="820"/>
    <cellStyle name="Normal 7 2 3 2" xfId="2373"/>
    <cellStyle name="Normal 7 2 3 2 2" xfId="5934"/>
    <cellStyle name="Normal 7 2 3 2 2 2" xfId="16382"/>
    <cellStyle name="Normal 7 2 3 2 3" xfId="16184"/>
    <cellStyle name="Normal 7 2 3 2_Table 2A-1_EFT (Annual)" xfId="3201"/>
    <cellStyle name="Normal 7 2 3 3" xfId="4381"/>
    <cellStyle name="Normal 7 2 3 3 2" xfId="16282"/>
    <cellStyle name="Normal 7 2 3 4" xfId="16085"/>
    <cellStyle name="Normal 7 2 3_Table 2A-1_EFT (Annual)" xfId="3200"/>
    <cellStyle name="Normal 7 2 4" xfId="1670"/>
    <cellStyle name="Normal 7 2 4 2" xfId="5231"/>
    <cellStyle name="Normal 7 2 4 2 2" xfId="16333"/>
    <cellStyle name="Normal 7 2 4 3" xfId="16135"/>
    <cellStyle name="Normal 7 2 4_Table 2A-1_EFT (Annual)" xfId="3202"/>
    <cellStyle name="Normal 7 2 5" xfId="3814"/>
    <cellStyle name="Normal 7 2 5 2" xfId="16233"/>
    <cellStyle name="Normal 7 2 6" xfId="16036"/>
    <cellStyle name="Normal 7 2_Table 2A-1_EFT (Annual)" xfId="3195"/>
    <cellStyle name="Normal 7 3" xfId="306"/>
    <cellStyle name="Normal 7 3 2" xfId="856"/>
    <cellStyle name="Normal 7 3 2 2" xfId="2386"/>
    <cellStyle name="Normal 7 3 2 2 2" xfId="5947"/>
    <cellStyle name="Normal 7 3 2 2 2 2" xfId="16395"/>
    <cellStyle name="Normal 7 3 2 2 3" xfId="16197"/>
    <cellStyle name="Normal 7 3 2 2_Table 2A-1_EFT (Annual)" xfId="3205"/>
    <cellStyle name="Normal 7 3 2 3" xfId="4417"/>
    <cellStyle name="Normal 7 3 2 3 2" xfId="16295"/>
    <cellStyle name="Normal 7 3 2 4" xfId="16098"/>
    <cellStyle name="Normal 7 3 2_Table 2A-1_EFT (Annual)" xfId="3204"/>
    <cellStyle name="Normal 7 3 3" xfId="1688"/>
    <cellStyle name="Normal 7 3 3 2" xfId="5249"/>
    <cellStyle name="Normal 7 3 3 2 2" xfId="16346"/>
    <cellStyle name="Normal 7 3 3 3" xfId="16148"/>
    <cellStyle name="Normal 7 3 3_Table 2A-1_EFT (Annual)" xfId="3206"/>
    <cellStyle name="Normal 7 3 4" xfId="3876"/>
    <cellStyle name="Normal 7 3 4 2" xfId="16246"/>
    <cellStyle name="Normal 7 3 5" xfId="16049"/>
    <cellStyle name="Normal 7 3_Table 2A-1_EFT (Annual)" xfId="3203"/>
    <cellStyle name="Normal 7 4" xfId="652"/>
    <cellStyle name="Normal 7 4 2" xfId="1773"/>
    <cellStyle name="Normal 7 4 2 2" xfId="5334"/>
    <cellStyle name="Normal 7 4 2 2 2" xfId="16370"/>
    <cellStyle name="Normal 7 4 2 3" xfId="16172"/>
    <cellStyle name="Normal 7 4 2_Table 2A-1_EFT (Annual)" xfId="3208"/>
    <cellStyle name="Normal 7 4 3" xfId="4222"/>
    <cellStyle name="Normal 7 4 3 2" xfId="16270"/>
    <cellStyle name="Normal 7 4 4" xfId="16073"/>
    <cellStyle name="Normal 7 4_Table 2A-1_EFT (Annual)" xfId="3207"/>
    <cellStyle name="Normal 7 5" xfId="1631"/>
    <cellStyle name="Normal 7 5 2" xfId="5192"/>
    <cellStyle name="Normal 7 5 2 2" xfId="16321"/>
    <cellStyle name="Normal 7 5 3" xfId="16123"/>
    <cellStyle name="Normal 7 5_Table 2A-1_EFT (Annual)" xfId="3209"/>
    <cellStyle name="Normal 7 6" xfId="3661"/>
    <cellStyle name="Normal 7 6 2" xfId="16221"/>
    <cellStyle name="Normal 7 7" xfId="16024"/>
    <cellStyle name="Normal 7_Table 2A-1_EFT (Annual)" xfId="3194"/>
    <cellStyle name="Normal 8" xfId="58"/>
    <cellStyle name="Normal 9" xfId="59"/>
    <cellStyle name="Normal 9 2" xfId="104"/>
    <cellStyle name="Normal 9 2 2" xfId="335"/>
    <cellStyle name="Normal 9 2 2 2" xfId="879"/>
    <cellStyle name="Normal 9 2 2 2 2" xfId="2392"/>
    <cellStyle name="Normal 9 2 2 2 2 2" xfId="5953"/>
    <cellStyle name="Normal 9 2 2 2 2 2 2" xfId="16401"/>
    <cellStyle name="Normal 9 2 2 2 2 3" xfId="16203"/>
    <cellStyle name="Normal 9 2 2 2 2_Table 2A-1_EFT (Annual)" xfId="3214"/>
    <cellStyle name="Normal 9 2 2 2 3" xfId="4440"/>
    <cellStyle name="Normal 9 2 2 2 3 2" xfId="16301"/>
    <cellStyle name="Normal 9 2 2 2 4" xfId="16104"/>
    <cellStyle name="Normal 9 2 2 2_Table 2A-1_EFT (Annual)" xfId="3213"/>
    <cellStyle name="Normal 9 2 2 3" xfId="1700"/>
    <cellStyle name="Normal 9 2 2 3 2" xfId="5261"/>
    <cellStyle name="Normal 9 2 2 3 2 2" xfId="16352"/>
    <cellStyle name="Normal 9 2 2 3 3" xfId="16154"/>
    <cellStyle name="Normal 9 2 2 3_Table 2A-1_EFT (Annual)" xfId="3215"/>
    <cellStyle name="Normal 9 2 2 4" xfId="3905"/>
    <cellStyle name="Normal 9 2 2 4 2" xfId="16252"/>
    <cellStyle name="Normal 9 2 2 5" xfId="16055"/>
    <cellStyle name="Normal 9 2 2_Table 2A-1_EFT (Annual)" xfId="3212"/>
    <cellStyle name="Normal 9 2 3" xfId="720"/>
    <cellStyle name="Normal 9 2 3 2" xfId="2367"/>
    <cellStyle name="Normal 9 2 3 2 2" xfId="5928"/>
    <cellStyle name="Normal 9 2 3 2 2 2" xfId="16376"/>
    <cellStyle name="Normal 9 2 3 2 3" xfId="16178"/>
    <cellStyle name="Normal 9 2 3 2_Table 2A-1_EFT (Annual)" xfId="3217"/>
    <cellStyle name="Normal 9 2 3 3" xfId="4281"/>
    <cellStyle name="Normal 9 2 3 3 2" xfId="16276"/>
    <cellStyle name="Normal 9 2 3 4" xfId="16079"/>
    <cellStyle name="Normal 9 2 3_Table 2A-1_EFT (Annual)" xfId="3216"/>
    <cellStyle name="Normal 9 2 4" xfId="1643"/>
    <cellStyle name="Normal 9 2 4 2" xfId="5204"/>
    <cellStyle name="Normal 9 2 4 2 2" xfId="16327"/>
    <cellStyle name="Normal 9 2 4 3" xfId="16129"/>
    <cellStyle name="Normal 9 2 4_Table 2A-1_EFT (Annual)" xfId="3218"/>
    <cellStyle name="Normal 9 2 5" xfId="3693"/>
    <cellStyle name="Normal 9 2 5 2" xfId="16227"/>
    <cellStyle name="Normal 9 2 6" xfId="16030"/>
    <cellStyle name="Normal 9 2_Table 2A-1_EFT (Annual)" xfId="3211"/>
    <cellStyle name="Normal 9 3" xfId="300"/>
    <cellStyle name="Normal 9 3 2" xfId="850"/>
    <cellStyle name="Normal 9 3 2 2" xfId="2380"/>
    <cellStyle name="Normal 9 3 2 2 2" xfId="5941"/>
    <cellStyle name="Normal 9 3 2 2 2 2" xfId="16389"/>
    <cellStyle name="Normal 9 3 2 2 3" xfId="16191"/>
    <cellStyle name="Normal 9 3 2 2_Table 2A-1_EFT (Annual)" xfId="3221"/>
    <cellStyle name="Normal 9 3 2 3" xfId="4411"/>
    <cellStyle name="Normal 9 3 2 3 2" xfId="16289"/>
    <cellStyle name="Normal 9 3 2 4" xfId="16092"/>
    <cellStyle name="Normal 9 3 2_Table 2A-1_EFT (Annual)" xfId="3220"/>
    <cellStyle name="Normal 9 3 3" xfId="1682"/>
    <cellStyle name="Normal 9 3 3 2" xfId="5243"/>
    <cellStyle name="Normal 9 3 3 2 2" xfId="16340"/>
    <cellStyle name="Normal 9 3 3 3" xfId="16142"/>
    <cellStyle name="Normal 9 3 3_Table 2A-1_EFT (Annual)" xfId="3222"/>
    <cellStyle name="Normal 9 3 4" xfId="3870"/>
    <cellStyle name="Normal 9 3 4 2" xfId="16240"/>
    <cellStyle name="Normal 9 3 5" xfId="16043"/>
    <cellStyle name="Normal 9 3_Table 2A-1_EFT (Annual)" xfId="3219"/>
    <cellStyle name="Normal 9 4" xfId="646"/>
    <cellStyle name="Normal 9 4 2" xfId="1767"/>
    <cellStyle name="Normal 9 4 2 2" xfId="5328"/>
    <cellStyle name="Normal 9 4 2 2 2" xfId="16364"/>
    <cellStyle name="Normal 9 4 2 3" xfId="16166"/>
    <cellStyle name="Normal 9 4 2_Table 2A-1_EFT (Annual)" xfId="3224"/>
    <cellStyle name="Normal 9 4 3" xfId="4216"/>
    <cellStyle name="Normal 9 4 3 2" xfId="16264"/>
    <cellStyle name="Normal 9 4 4" xfId="16067"/>
    <cellStyle name="Normal 9 4_Table 2A-1_EFT (Annual)" xfId="3223"/>
    <cellStyle name="Normal 9 5" xfId="1625"/>
    <cellStyle name="Normal 9 5 2" xfId="5186"/>
    <cellStyle name="Normal 9 5 2 2" xfId="16315"/>
    <cellStyle name="Normal 9 5 3" xfId="16117"/>
    <cellStyle name="Normal 9 5_Table 2A-1_EFT (Annual)" xfId="3225"/>
    <cellStyle name="Normal 9 6" xfId="3651"/>
    <cellStyle name="Normal 9 6 2" xfId="16215"/>
    <cellStyle name="Normal 9 7" xfId="16018"/>
    <cellStyle name="Normal 9_Table 2A-1_EFT (Annual)" xfId="3210"/>
    <cellStyle name="Normal_Sheet1" xfId="45"/>
    <cellStyle name="Normal_Sheet1 2" xfId="72"/>
    <cellStyle name="Normal_Sheet1 3" xfId="64"/>
    <cellStyle name="Normal_Sheet1 3 2" xfId="71"/>
    <cellStyle name="Note" xfId="46" builtinId="10" customBuiltin="1"/>
    <cellStyle name="Note 10" xfId="137"/>
    <cellStyle name="Note 10 2" xfId="530"/>
    <cellStyle name="Note 10 2 2" xfId="1507"/>
    <cellStyle name="Note 10 2 2 2" xfId="2777"/>
    <cellStyle name="Note 10 2 2 2 2" xfId="6338"/>
    <cellStyle name="Note 10 2 2 2 2 2" xfId="14532"/>
    <cellStyle name="Note 10 2 2 2 2 2 2" xfId="26504"/>
    <cellStyle name="Note 10 2 2 2 2 3" xfId="21391"/>
    <cellStyle name="Note 10 2 2 2 2_Table 2A-1_EFT (Annual)" xfId="15430"/>
    <cellStyle name="Note 10 2 2 2 3" xfId="11874"/>
    <cellStyle name="Note 10 2 2 2 3 2" xfId="23958"/>
    <cellStyle name="Note 10 2 2 2 4" xfId="18845"/>
    <cellStyle name="Note 10 2 2 2_Table 2A-1_EFT (Annual)" xfId="7157"/>
    <cellStyle name="Note 10 2 2 3" xfId="5068"/>
    <cellStyle name="Note 10 2 2 3 2" xfId="13328"/>
    <cellStyle name="Note 10 2 2 3 2 2" xfId="25334"/>
    <cellStyle name="Note 10 2 2 3 3" xfId="20221"/>
    <cellStyle name="Note 10 2 2 3_Table 2A-1_EFT (Annual)" xfId="15431"/>
    <cellStyle name="Note 10 2 2 4" xfId="10672"/>
    <cellStyle name="Note 10 2 2 4 2" xfId="22788"/>
    <cellStyle name="Note 10 2 2 5" xfId="17675"/>
    <cellStyle name="Note 10 2 2_Table 2A-1_EFT (Annual)" xfId="7156"/>
    <cellStyle name="Note 10 2 3" xfId="1040"/>
    <cellStyle name="Note 10 2 3 2" xfId="4601"/>
    <cellStyle name="Note 10 2 3 2 2" xfId="12861"/>
    <cellStyle name="Note 10 2 3 2 2 2" xfId="24867"/>
    <cellStyle name="Note 10 2 3 2 3" xfId="19754"/>
    <cellStyle name="Note 10 2 3 2_Table 2A-1_EFT (Annual)" xfId="15432"/>
    <cellStyle name="Note 10 2 3 3" xfId="10205"/>
    <cellStyle name="Note 10 2 3 3 2" xfId="22321"/>
    <cellStyle name="Note 10 2 3 4" xfId="17208"/>
    <cellStyle name="Note 10 2 3_Table 2A-1_EFT (Annual)" xfId="7158"/>
    <cellStyle name="Note 10 2 4" xfId="2246"/>
    <cellStyle name="Note 10 2 4 2" xfId="5807"/>
    <cellStyle name="Note 10 2 4 2 2" xfId="14022"/>
    <cellStyle name="Note 10 2 4 2 2 2" xfId="26010"/>
    <cellStyle name="Note 10 2 4 2 3" xfId="20897"/>
    <cellStyle name="Note 10 2 4 2_Table 2A-1_EFT (Annual)" xfId="15433"/>
    <cellStyle name="Note 10 2 4 3" xfId="11366"/>
    <cellStyle name="Note 10 2 4 3 2" xfId="23464"/>
    <cellStyle name="Note 10 2 4 4" xfId="18351"/>
    <cellStyle name="Note 10 2 4_Table 2A-1_EFT (Annual)" xfId="7159"/>
    <cellStyle name="Note 10 2 5" xfId="4100"/>
    <cellStyle name="Note 10 2 5 2" xfId="12424"/>
    <cellStyle name="Note 10 2 5 2 2" xfId="24446"/>
    <cellStyle name="Note 10 2 5 3" xfId="19333"/>
    <cellStyle name="Note 10 2 5_Table 2A-1_EFT (Annual)" xfId="15434"/>
    <cellStyle name="Note 10 2 6" xfId="9763"/>
    <cellStyle name="Note 10 2 6 2" xfId="21900"/>
    <cellStyle name="Note 10 2 7" xfId="16787"/>
    <cellStyle name="Note 10 2_Table 2A-1_EFT (Annual)" xfId="3227"/>
    <cellStyle name="Note 10 3" xfId="368"/>
    <cellStyle name="Note 10 3 2" xfId="1351"/>
    <cellStyle name="Note 10 3 2 2" xfId="2621"/>
    <cellStyle name="Note 10 3 2 2 2" xfId="6182"/>
    <cellStyle name="Note 10 3 2 2 2 2" xfId="14376"/>
    <cellStyle name="Note 10 3 2 2 2 2 2" xfId="26348"/>
    <cellStyle name="Note 10 3 2 2 2 3" xfId="21235"/>
    <cellStyle name="Note 10 3 2 2 2_Table 2A-1_EFT (Annual)" xfId="15435"/>
    <cellStyle name="Note 10 3 2 2 3" xfId="11718"/>
    <cellStyle name="Note 10 3 2 2 3 2" xfId="23802"/>
    <cellStyle name="Note 10 3 2 2 4" xfId="18689"/>
    <cellStyle name="Note 10 3 2 2_Table 2A-1_EFT (Annual)" xfId="7161"/>
    <cellStyle name="Note 10 3 2 3" xfId="4912"/>
    <cellStyle name="Note 10 3 2 3 2" xfId="13172"/>
    <cellStyle name="Note 10 3 2 3 2 2" xfId="25178"/>
    <cellStyle name="Note 10 3 2 3 3" xfId="20065"/>
    <cellStyle name="Note 10 3 2 3_Table 2A-1_EFT (Annual)" xfId="15436"/>
    <cellStyle name="Note 10 3 2 4" xfId="10516"/>
    <cellStyle name="Note 10 3 2 4 2" xfId="22632"/>
    <cellStyle name="Note 10 3 2 5" xfId="17519"/>
    <cellStyle name="Note 10 3 2_Table 2A-1_EFT (Annual)" xfId="7160"/>
    <cellStyle name="Note 10 3 3" xfId="908"/>
    <cellStyle name="Note 10 3 3 2" xfId="4469"/>
    <cellStyle name="Note 10 3 3 2 2" xfId="12731"/>
    <cellStyle name="Note 10 3 3 2 2 2" xfId="24741"/>
    <cellStyle name="Note 10 3 3 2 3" xfId="19628"/>
    <cellStyle name="Note 10 3 3 2_Table 2A-1_EFT (Annual)" xfId="15437"/>
    <cellStyle name="Note 10 3 3 3" xfId="10078"/>
    <cellStyle name="Note 10 3 3 3 2" xfId="22195"/>
    <cellStyle name="Note 10 3 3 4" xfId="17082"/>
    <cellStyle name="Note 10 3 3_Table 2A-1_EFT (Annual)" xfId="7162"/>
    <cellStyle name="Note 10 3 4" xfId="2090"/>
    <cellStyle name="Note 10 3 4 2" xfId="5651"/>
    <cellStyle name="Note 10 3 4 2 2" xfId="13866"/>
    <cellStyle name="Note 10 3 4 2 2 2" xfId="25854"/>
    <cellStyle name="Note 10 3 4 2 3" xfId="20741"/>
    <cellStyle name="Note 10 3 4 2_Table 2A-1_EFT (Annual)" xfId="15438"/>
    <cellStyle name="Note 10 3 4 3" xfId="11210"/>
    <cellStyle name="Note 10 3 4 3 2" xfId="23308"/>
    <cellStyle name="Note 10 3 4 4" xfId="18195"/>
    <cellStyle name="Note 10 3 4_Table 2A-1_EFT (Annual)" xfId="7163"/>
    <cellStyle name="Note 10 3 5" xfId="3938"/>
    <cellStyle name="Note 10 3 5 2" xfId="12266"/>
    <cellStyle name="Note 10 3 5 2 2" xfId="24290"/>
    <cellStyle name="Note 10 3 5 3" xfId="19177"/>
    <cellStyle name="Note 10 3 5_Table 2A-1_EFT (Annual)" xfId="15439"/>
    <cellStyle name="Note 10 3 6" xfId="9603"/>
    <cellStyle name="Note 10 3 6 2" xfId="21744"/>
    <cellStyle name="Note 10 3 7" xfId="16631"/>
    <cellStyle name="Note 10 3_Table 2A-1_EFT (Annual)" xfId="3228"/>
    <cellStyle name="Note 10 4" xfId="1185"/>
    <cellStyle name="Note 10 4 2" xfId="2455"/>
    <cellStyle name="Note 10 4 2 2" xfId="6016"/>
    <cellStyle name="Note 10 4 2 2 2" xfId="14210"/>
    <cellStyle name="Note 10 4 2 2 2 2" xfId="26182"/>
    <cellStyle name="Note 10 4 2 2 3" xfId="21069"/>
    <cellStyle name="Note 10 4 2 2_Table 2A-1_EFT (Annual)" xfId="15440"/>
    <cellStyle name="Note 10 4 2 3" xfId="11552"/>
    <cellStyle name="Note 10 4 2 3 2" xfId="23636"/>
    <cellStyle name="Note 10 4 2 4" xfId="18523"/>
    <cellStyle name="Note 10 4 2_Table 2A-1_EFT (Annual)" xfId="7165"/>
    <cellStyle name="Note 10 4 3" xfId="4746"/>
    <cellStyle name="Note 10 4 3 2" xfId="13006"/>
    <cellStyle name="Note 10 4 3 2 2" xfId="25012"/>
    <cellStyle name="Note 10 4 3 3" xfId="19899"/>
    <cellStyle name="Note 10 4 3_Table 2A-1_EFT (Annual)" xfId="15441"/>
    <cellStyle name="Note 10 4 4" xfId="10350"/>
    <cellStyle name="Note 10 4 4 2" xfId="22466"/>
    <cellStyle name="Note 10 4 5" xfId="17353"/>
    <cellStyle name="Note 10 4_Table 2A-1_EFT (Annual)" xfId="7164"/>
    <cellStyle name="Note 10 5" xfId="749"/>
    <cellStyle name="Note 10 5 2" xfId="4310"/>
    <cellStyle name="Note 10 5 2 2" xfId="12590"/>
    <cellStyle name="Note 10 5 2 2 2" xfId="24607"/>
    <cellStyle name="Note 10 5 2 3" xfId="19494"/>
    <cellStyle name="Note 10 5 2_Table 2A-1_EFT (Annual)" xfId="15442"/>
    <cellStyle name="Note 10 5 3" xfId="9938"/>
    <cellStyle name="Note 10 5 3 2" xfId="22061"/>
    <cellStyle name="Note 10 5 4" xfId="16948"/>
    <cellStyle name="Note 10 5_Table 2A-1_EFT (Annual)" xfId="7166"/>
    <cellStyle name="Note 10 6" xfId="1857"/>
    <cellStyle name="Note 10 6 2" xfId="5418"/>
    <cellStyle name="Note 10 6 2 2" xfId="13633"/>
    <cellStyle name="Note 10 6 2 2 2" xfId="25621"/>
    <cellStyle name="Note 10 6 2 3" xfId="20508"/>
    <cellStyle name="Note 10 6 2_Table 2A-1_EFT (Annual)" xfId="15443"/>
    <cellStyle name="Note 10 6 3" xfId="10977"/>
    <cellStyle name="Note 10 6 3 2" xfId="23075"/>
    <cellStyle name="Note 10 6 4" xfId="17962"/>
    <cellStyle name="Note 10 6_Table 2A-1_EFT (Annual)" xfId="7167"/>
    <cellStyle name="Note 10 7" xfId="3726"/>
    <cellStyle name="Note 10 7 2" xfId="12094"/>
    <cellStyle name="Note 10 7 2 2" xfId="24124"/>
    <cellStyle name="Note 10 7 3" xfId="19011"/>
    <cellStyle name="Note 10 7_Table 2A-1_EFT (Annual)" xfId="15444"/>
    <cellStyle name="Note 10 8" xfId="9413"/>
    <cellStyle name="Note 10 8 2" xfId="21578"/>
    <cellStyle name="Note 10 9" xfId="16465"/>
    <cellStyle name="Note 10_Table 2A-1_EFT (Annual)" xfId="3226"/>
    <cellStyle name="Note 11" xfId="136"/>
    <cellStyle name="Note 11 2" xfId="529"/>
    <cellStyle name="Note 11 2 2" xfId="1506"/>
    <cellStyle name="Note 11 2 2 2" xfId="2776"/>
    <cellStyle name="Note 11 2 2 2 2" xfId="6337"/>
    <cellStyle name="Note 11 2 2 2 2 2" xfId="14531"/>
    <cellStyle name="Note 11 2 2 2 2 2 2" xfId="26503"/>
    <cellStyle name="Note 11 2 2 2 2 3" xfId="21390"/>
    <cellStyle name="Note 11 2 2 2 2_Table 2A-1_EFT (Annual)" xfId="15445"/>
    <cellStyle name="Note 11 2 2 2 3" xfId="11873"/>
    <cellStyle name="Note 11 2 2 2 3 2" xfId="23957"/>
    <cellStyle name="Note 11 2 2 2 4" xfId="18844"/>
    <cellStyle name="Note 11 2 2 2_Table 2A-1_EFT (Annual)" xfId="7169"/>
    <cellStyle name="Note 11 2 2 3" xfId="5067"/>
    <cellStyle name="Note 11 2 2 3 2" xfId="13327"/>
    <cellStyle name="Note 11 2 2 3 2 2" xfId="25333"/>
    <cellStyle name="Note 11 2 2 3 3" xfId="20220"/>
    <cellStyle name="Note 11 2 2 3_Table 2A-1_EFT (Annual)" xfId="15446"/>
    <cellStyle name="Note 11 2 2 4" xfId="10671"/>
    <cellStyle name="Note 11 2 2 4 2" xfId="22787"/>
    <cellStyle name="Note 11 2 2 5" xfId="17674"/>
    <cellStyle name="Note 11 2 2_Table 2A-1_EFT (Annual)" xfId="7168"/>
    <cellStyle name="Note 11 2 3" xfId="1039"/>
    <cellStyle name="Note 11 2 3 2" xfId="4600"/>
    <cellStyle name="Note 11 2 3 2 2" xfId="12860"/>
    <cellStyle name="Note 11 2 3 2 2 2" xfId="24866"/>
    <cellStyle name="Note 11 2 3 2 3" xfId="19753"/>
    <cellStyle name="Note 11 2 3 2_Table 2A-1_EFT (Annual)" xfId="15447"/>
    <cellStyle name="Note 11 2 3 3" xfId="10204"/>
    <cellStyle name="Note 11 2 3 3 2" xfId="22320"/>
    <cellStyle name="Note 11 2 3 4" xfId="17207"/>
    <cellStyle name="Note 11 2 3_Table 2A-1_EFT (Annual)" xfId="7170"/>
    <cellStyle name="Note 11 2 4" xfId="2245"/>
    <cellStyle name="Note 11 2 4 2" xfId="5806"/>
    <cellStyle name="Note 11 2 4 2 2" xfId="14021"/>
    <cellStyle name="Note 11 2 4 2 2 2" xfId="26009"/>
    <cellStyle name="Note 11 2 4 2 3" xfId="20896"/>
    <cellStyle name="Note 11 2 4 2_Table 2A-1_EFT (Annual)" xfId="15448"/>
    <cellStyle name="Note 11 2 4 3" xfId="11365"/>
    <cellStyle name="Note 11 2 4 3 2" xfId="23463"/>
    <cellStyle name="Note 11 2 4 4" xfId="18350"/>
    <cellStyle name="Note 11 2 4_Table 2A-1_EFT (Annual)" xfId="7171"/>
    <cellStyle name="Note 11 2 5" xfId="4099"/>
    <cellStyle name="Note 11 2 5 2" xfId="12423"/>
    <cellStyle name="Note 11 2 5 2 2" xfId="24445"/>
    <cellStyle name="Note 11 2 5 3" xfId="19332"/>
    <cellStyle name="Note 11 2 5_Table 2A-1_EFT (Annual)" xfId="15449"/>
    <cellStyle name="Note 11 2 6" xfId="9762"/>
    <cellStyle name="Note 11 2 6 2" xfId="21899"/>
    <cellStyle name="Note 11 2 7" xfId="16786"/>
    <cellStyle name="Note 11 2_Table 2A-1_EFT (Annual)" xfId="3230"/>
    <cellStyle name="Note 11 3" xfId="367"/>
    <cellStyle name="Note 11 3 2" xfId="1350"/>
    <cellStyle name="Note 11 3 2 2" xfId="2620"/>
    <cellStyle name="Note 11 3 2 2 2" xfId="6181"/>
    <cellStyle name="Note 11 3 2 2 2 2" xfId="14375"/>
    <cellStyle name="Note 11 3 2 2 2 2 2" xfId="26347"/>
    <cellStyle name="Note 11 3 2 2 2 3" xfId="21234"/>
    <cellStyle name="Note 11 3 2 2 2_Table 2A-1_EFT (Annual)" xfId="15450"/>
    <cellStyle name="Note 11 3 2 2 3" xfId="11717"/>
    <cellStyle name="Note 11 3 2 2 3 2" xfId="23801"/>
    <cellStyle name="Note 11 3 2 2 4" xfId="18688"/>
    <cellStyle name="Note 11 3 2 2_Table 2A-1_EFT (Annual)" xfId="7173"/>
    <cellStyle name="Note 11 3 2 3" xfId="4911"/>
    <cellStyle name="Note 11 3 2 3 2" xfId="13171"/>
    <cellStyle name="Note 11 3 2 3 2 2" xfId="25177"/>
    <cellStyle name="Note 11 3 2 3 3" xfId="20064"/>
    <cellStyle name="Note 11 3 2 3_Table 2A-1_EFT (Annual)" xfId="15451"/>
    <cellStyle name="Note 11 3 2 4" xfId="10515"/>
    <cellStyle name="Note 11 3 2 4 2" xfId="22631"/>
    <cellStyle name="Note 11 3 2 5" xfId="17518"/>
    <cellStyle name="Note 11 3 2_Table 2A-1_EFT (Annual)" xfId="7172"/>
    <cellStyle name="Note 11 3 3" xfId="907"/>
    <cellStyle name="Note 11 3 3 2" xfId="4468"/>
    <cellStyle name="Note 11 3 3 2 2" xfId="12730"/>
    <cellStyle name="Note 11 3 3 2 2 2" xfId="24740"/>
    <cellStyle name="Note 11 3 3 2 3" xfId="19627"/>
    <cellStyle name="Note 11 3 3 2_Table 2A-1_EFT (Annual)" xfId="15452"/>
    <cellStyle name="Note 11 3 3 3" xfId="10077"/>
    <cellStyle name="Note 11 3 3 3 2" xfId="22194"/>
    <cellStyle name="Note 11 3 3 4" xfId="17081"/>
    <cellStyle name="Note 11 3 3_Table 2A-1_EFT (Annual)" xfId="7174"/>
    <cellStyle name="Note 11 3 4" xfId="2089"/>
    <cellStyle name="Note 11 3 4 2" xfId="5650"/>
    <cellStyle name="Note 11 3 4 2 2" xfId="13865"/>
    <cellStyle name="Note 11 3 4 2 2 2" xfId="25853"/>
    <cellStyle name="Note 11 3 4 2 3" xfId="20740"/>
    <cellStyle name="Note 11 3 4 2_Table 2A-1_EFT (Annual)" xfId="15453"/>
    <cellStyle name="Note 11 3 4 3" xfId="11209"/>
    <cellStyle name="Note 11 3 4 3 2" xfId="23307"/>
    <cellStyle name="Note 11 3 4 4" xfId="18194"/>
    <cellStyle name="Note 11 3 4_Table 2A-1_EFT (Annual)" xfId="7175"/>
    <cellStyle name="Note 11 3 5" xfId="3937"/>
    <cellStyle name="Note 11 3 5 2" xfId="12265"/>
    <cellStyle name="Note 11 3 5 2 2" xfId="24289"/>
    <cellStyle name="Note 11 3 5 3" xfId="19176"/>
    <cellStyle name="Note 11 3 5_Table 2A-1_EFT (Annual)" xfId="15454"/>
    <cellStyle name="Note 11 3 6" xfId="9602"/>
    <cellStyle name="Note 11 3 6 2" xfId="21743"/>
    <cellStyle name="Note 11 3 7" xfId="16630"/>
    <cellStyle name="Note 11 3_Table 2A-1_EFT (Annual)" xfId="3231"/>
    <cellStyle name="Note 11 4" xfId="1184"/>
    <cellStyle name="Note 11 4 2" xfId="2454"/>
    <cellStyle name="Note 11 4 2 2" xfId="6015"/>
    <cellStyle name="Note 11 4 2 2 2" xfId="14209"/>
    <cellStyle name="Note 11 4 2 2 2 2" xfId="26181"/>
    <cellStyle name="Note 11 4 2 2 3" xfId="21068"/>
    <cellStyle name="Note 11 4 2 2_Table 2A-1_EFT (Annual)" xfId="15455"/>
    <cellStyle name="Note 11 4 2 3" xfId="11551"/>
    <cellStyle name="Note 11 4 2 3 2" xfId="23635"/>
    <cellStyle name="Note 11 4 2 4" xfId="18522"/>
    <cellStyle name="Note 11 4 2_Table 2A-1_EFT (Annual)" xfId="7177"/>
    <cellStyle name="Note 11 4 3" xfId="4745"/>
    <cellStyle name="Note 11 4 3 2" xfId="13005"/>
    <cellStyle name="Note 11 4 3 2 2" xfId="25011"/>
    <cellStyle name="Note 11 4 3 3" xfId="19898"/>
    <cellStyle name="Note 11 4 3_Table 2A-1_EFT (Annual)" xfId="15456"/>
    <cellStyle name="Note 11 4 4" xfId="10349"/>
    <cellStyle name="Note 11 4 4 2" xfId="22465"/>
    <cellStyle name="Note 11 4 5" xfId="17352"/>
    <cellStyle name="Note 11 4_Table 2A-1_EFT (Annual)" xfId="7176"/>
    <cellStyle name="Note 11 5" xfId="748"/>
    <cellStyle name="Note 11 5 2" xfId="4309"/>
    <cellStyle name="Note 11 5 2 2" xfId="12589"/>
    <cellStyle name="Note 11 5 2 2 2" xfId="24606"/>
    <cellStyle name="Note 11 5 2 3" xfId="19493"/>
    <cellStyle name="Note 11 5 2_Table 2A-1_EFT (Annual)" xfId="15457"/>
    <cellStyle name="Note 11 5 3" xfId="9937"/>
    <cellStyle name="Note 11 5 3 2" xfId="22060"/>
    <cellStyle name="Note 11 5 4" xfId="16947"/>
    <cellStyle name="Note 11 5_Table 2A-1_EFT (Annual)" xfId="7178"/>
    <cellStyle name="Note 11 6" xfId="1790"/>
    <cellStyle name="Note 11 6 2" xfId="5351"/>
    <cellStyle name="Note 11 6 2 2" xfId="13566"/>
    <cellStyle name="Note 11 6 2 2 2" xfId="25554"/>
    <cellStyle name="Note 11 6 2 3" xfId="20441"/>
    <cellStyle name="Note 11 6 2_Table 2A-1_EFT (Annual)" xfId="15458"/>
    <cellStyle name="Note 11 6 3" xfId="10910"/>
    <cellStyle name="Note 11 6 3 2" xfId="23008"/>
    <cellStyle name="Note 11 6 4" xfId="17895"/>
    <cellStyle name="Note 11 6_Table 2A-1_EFT (Annual)" xfId="7179"/>
    <cellStyle name="Note 11 7" xfId="3725"/>
    <cellStyle name="Note 11 7 2" xfId="12093"/>
    <cellStyle name="Note 11 7 2 2" xfId="24123"/>
    <cellStyle name="Note 11 7 3" xfId="19010"/>
    <cellStyle name="Note 11 7_Table 2A-1_EFT (Annual)" xfId="15459"/>
    <cellStyle name="Note 11 8" xfId="9412"/>
    <cellStyle name="Note 11 8 2" xfId="21577"/>
    <cellStyle name="Note 11 9" xfId="16464"/>
    <cellStyle name="Note 11_Table 2A-1_EFT (Annual)" xfId="3229"/>
    <cellStyle name="Note 12" xfId="144"/>
    <cellStyle name="Note 12 2" xfId="537"/>
    <cellStyle name="Note 12 2 2" xfId="1514"/>
    <cellStyle name="Note 12 2 2 2" xfId="2784"/>
    <cellStyle name="Note 12 2 2 2 2" xfId="6345"/>
    <cellStyle name="Note 12 2 2 2 2 2" xfId="14539"/>
    <cellStyle name="Note 12 2 2 2 2 2 2" xfId="26511"/>
    <cellStyle name="Note 12 2 2 2 2 3" xfId="21398"/>
    <cellStyle name="Note 12 2 2 2 2_Table 2A-1_EFT (Annual)" xfId="15460"/>
    <cellStyle name="Note 12 2 2 2 3" xfId="11881"/>
    <cellStyle name="Note 12 2 2 2 3 2" xfId="23965"/>
    <cellStyle name="Note 12 2 2 2 4" xfId="18852"/>
    <cellStyle name="Note 12 2 2 2_Table 2A-1_EFT (Annual)" xfId="7181"/>
    <cellStyle name="Note 12 2 2 3" xfId="5075"/>
    <cellStyle name="Note 12 2 2 3 2" xfId="13335"/>
    <cellStyle name="Note 12 2 2 3 2 2" xfId="25341"/>
    <cellStyle name="Note 12 2 2 3 3" xfId="20228"/>
    <cellStyle name="Note 12 2 2 3_Table 2A-1_EFT (Annual)" xfId="15461"/>
    <cellStyle name="Note 12 2 2 4" xfId="10679"/>
    <cellStyle name="Note 12 2 2 4 2" xfId="22795"/>
    <cellStyle name="Note 12 2 2 5" xfId="17682"/>
    <cellStyle name="Note 12 2 2_Table 2A-1_EFT (Annual)" xfId="7180"/>
    <cellStyle name="Note 12 2 3" xfId="1046"/>
    <cellStyle name="Note 12 2 3 2" xfId="4607"/>
    <cellStyle name="Note 12 2 3 2 2" xfId="12867"/>
    <cellStyle name="Note 12 2 3 2 2 2" xfId="24873"/>
    <cellStyle name="Note 12 2 3 2 3" xfId="19760"/>
    <cellStyle name="Note 12 2 3 2_Table 2A-1_EFT (Annual)" xfId="15462"/>
    <cellStyle name="Note 12 2 3 3" xfId="10211"/>
    <cellStyle name="Note 12 2 3 3 2" xfId="22327"/>
    <cellStyle name="Note 12 2 3 4" xfId="17214"/>
    <cellStyle name="Note 12 2 3_Table 2A-1_EFT (Annual)" xfId="7182"/>
    <cellStyle name="Note 12 2 4" xfId="2253"/>
    <cellStyle name="Note 12 2 4 2" xfId="5814"/>
    <cellStyle name="Note 12 2 4 2 2" xfId="14029"/>
    <cellStyle name="Note 12 2 4 2 2 2" xfId="26017"/>
    <cellStyle name="Note 12 2 4 2 3" xfId="20904"/>
    <cellStyle name="Note 12 2 4 2_Table 2A-1_EFT (Annual)" xfId="15463"/>
    <cellStyle name="Note 12 2 4 3" xfId="11373"/>
    <cellStyle name="Note 12 2 4 3 2" xfId="23471"/>
    <cellStyle name="Note 12 2 4 4" xfId="18358"/>
    <cellStyle name="Note 12 2 4_Table 2A-1_EFT (Annual)" xfId="7183"/>
    <cellStyle name="Note 12 2 5" xfId="4107"/>
    <cellStyle name="Note 12 2 5 2" xfId="12431"/>
    <cellStyle name="Note 12 2 5 2 2" xfId="24453"/>
    <cellStyle name="Note 12 2 5 3" xfId="19340"/>
    <cellStyle name="Note 12 2 5_Table 2A-1_EFT (Annual)" xfId="15464"/>
    <cellStyle name="Note 12 2 6" xfId="9770"/>
    <cellStyle name="Note 12 2 6 2" xfId="21907"/>
    <cellStyle name="Note 12 2 7" xfId="16794"/>
    <cellStyle name="Note 12 2_Table 2A-1_EFT (Annual)" xfId="3233"/>
    <cellStyle name="Note 12 3" xfId="375"/>
    <cellStyle name="Note 12 3 2" xfId="1358"/>
    <cellStyle name="Note 12 3 2 2" xfId="2628"/>
    <cellStyle name="Note 12 3 2 2 2" xfId="6189"/>
    <cellStyle name="Note 12 3 2 2 2 2" xfId="14383"/>
    <cellStyle name="Note 12 3 2 2 2 2 2" xfId="26355"/>
    <cellStyle name="Note 12 3 2 2 2 3" xfId="21242"/>
    <cellStyle name="Note 12 3 2 2 2_Table 2A-1_EFT (Annual)" xfId="15465"/>
    <cellStyle name="Note 12 3 2 2 3" xfId="11725"/>
    <cellStyle name="Note 12 3 2 2 3 2" xfId="23809"/>
    <cellStyle name="Note 12 3 2 2 4" xfId="18696"/>
    <cellStyle name="Note 12 3 2 2_Table 2A-1_EFT (Annual)" xfId="7185"/>
    <cellStyle name="Note 12 3 2 3" xfId="4919"/>
    <cellStyle name="Note 12 3 2 3 2" xfId="13179"/>
    <cellStyle name="Note 12 3 2 3 2 2" xfId="25185"/>
    <cellStyle name="Note 12 3 2 3 3" xfId="20072"/>
    <cellStyle name="Note 12 3 2 3_Table 2A-1_EFT (Annual)" xfId="15466"/>
    <cellStyle name="Note 12 3 2 4" xfId="10523"/>
    <cellStyle name="Note 12 3 2 4 2" xfId="22639"/>
    <cellStyle name="Note 12 3 2 5" xfId="17526"/>
    <cellStyle name="Note 12 3 2_Table 2A-1_EFT (Annual)" xfId="7184"/>
    <cellStyle name="Note 12 3 3" xfId="914"/>
    <cellStyle name="Note 12 3 3 2" xfId="4475"/>
    <cellStyle name="Note 12 3 3 2 2" xfId="12737"/>
    <cellStyle name="Note 12 3 3 2 2 2" xfId="24747"/>
    <cellStyle name="Note 12 3 3 2 3" xfId="19634"/>
    <cellStyle name="Note 12 3 3 2_Table 2A-1_EFT (Annual)" xfId="15467"/>
    <cellStyle name="Note 12 3 3 3" xfId="10084"/>
    <cellStyle name="Note 12 3 3 3 2" xfId="22201"/>
    <cellStyle name="Note 12 3 3 4" xfId="17088"/>
    <cellStyle name="Note 12 3 3_Table 2A-1_EFT (Annual)" xfId="7186"/>
    <cellStyle name="Note 12 3 4" xfId="2097"/>
    <cellStyle name="Note 12 3 4 2" xfId="5658"/>
    <cellStyle name="Note 12 3 4 2 2" xfId="13873"/>
    <cellStyle name="Note 12 3 4 2 2 2" xfId="25861"/>
    <cellStyle name="Note 12 3 4 2 3" xfId="20748"/>
    <cellStyle name="Note 12 3 4 2_Table 2A-1_EFT (Annual)" xfId="15468"/>
    <cellStyle name="Note 12 3 4 3" xfId="11217"/>
    <cellStyle name="Note 12 3 4 3 2" xfId="23315"/>
    <cellStyle name="Note 12 3 4 4" xfId="18202"/>
    <cellStyle name="Note 12 3 4_Table 2A-1_EFT (Annual)" xfId="7187"/>
    <cellStyle name="Note 12 3 5" xfId="3945"/>
    <cellStyle name="Note 12 3 5 2" xfId="12273"/>
    <cellStyle name="Note 12 3 5 2 2" xfId="24297"/>
    <cellStyle name="Note 12 3 5 3" xfId="19184"/>
    <cellStyle name="Note 12 3 5_Table 2A-1_EFT (Annual)" xfId="15469"/>
    <cellStyle name="Note 12 3 6" xfId="9610"/>
    <cellStyle name="Note 12 3 6 2" xfId="21751"/>
    <cellStyle name="Note 12 3 7" xfId="16638"/>
    <cellStyle name="Note 12 3_Table 2A-1_EFT (Annual)" xfId="3234"/>
    <cellStyle name="Note 12 4" xfId="1192"/>
    <cellStyle name="Note 12 4 2" xfId="2462"/>
    <cellStyle name="Note 12 4 2 2" xfId="6023"/>
    <cellStyle name="Note 12 4 2 2 2" xfId="14217"/>
    <cellStyle name="Note 12 4 2 2 2 2" xfId="26189"/>
    <cellStyle name="Note 12 4 2 2 3" xfId="21076"/>
    <cellStyle name="Note 12 4 2 2_Table 2A-1_EFT (Annual)" xfId="15470"/>
    <cellStyle name="Note 12 4 2 3" xfId="11559"/>
    <cellStyle name="Note 12 4 2 3 2" xfId="23643"/>
    <cellStyle name="Note 12 4 2 4" xfId="18530"/>
    <cellStyle name="Note 12 4 2_Table 2A-1_EFT (Annual)" xfId="7189"/>
    <cellStyle name="Note 12 4 3" xfId="4753"/>
    <cellStyle name="Note 12 4 3 2" xfId="13013"/>
    <cellStyle name="Note 12 4 3 2 2" xfId="25019"/>
    <cellStyle name="Note 12 4 3 3" xfId="19906"/>
    <cellStyle name="Note 12 4 3_Table 2A-1_EFT (Annual)" xfId="15471"/>
    <cellStyle name="Note 12 4 4" xfId="10357"/>
    <cellStyle name="Note 12 4 4 2" xfId="22473"/>
    <cellStyle name="Note 12 4 5" xfId="17360"/>
    <cellStyle name="Note 12 4_Table 2A-1_EFT (Annual)" xfId="7188"/>
    <cellStyle name="Note 12 5" xfId="755"/>
    <cellStyle name="Note 12 5 2" xfId="4316"/>
    <cellStyle name="Note 12 5 2 2" xfId="12596"/>
    <cellStyle name="Note 12 5 2 2 2" xfId="24613"/>
    <cellStyle name="Note 12 5 2 3" xfId="19500"/>
    <cellStyle name="Note 12 5 2_Table 2A-1_EFT (Annual)" xfId="15472"/>
    <cellStyle name="Note 12 5 3" xfId="9944"/>
    <cellStyle name="Note 12 5 3 2" xfId="22067"/>
    <cellStyle name="Note 12 5 4" xfId="16954"/>
    <cellStyle name="Note 12 5_Table 2A-1_EFT (Annual)" xfId="7190"/>
    <cellStyle name="Note 12 6" xfId="1786"/>
    <cellStyle name="Note 12 6 2" xfId="5347"/>
    <cellStyle name="Note 12 6 2 2" xfId="13562"/>
    <cellStyle name="Note 12 6 2 2 2" xfId="25550"/>
    <cellStyle name="Note 12 6 2 3" xfId="20437"/>
    <cellStyle name="Note 12 6 2_Table 2A-1_EFT (Annual)" xfId="15473"/>
    <cellStyle name="Note 12 6 3" xfId="10906"/>
    <cellStyle name="Note 12 6 3 2" xfId="23004"/>
    <cellStyle name="Note 12 6 4" xfId="17891"/>
    <cellStyle name="Note 12 6_Table 2A-1_EFT (Annual)" xfId="7191"/>
    <cellStyle name="Note 12 7" xfId="3733"/>
    <cellStyle name="Note 12 7 2" xfId="12101"/>
    <cellStyle name="Note 12 7 2 2" xfId="24131"/>
    <cellStyle name="Note 12 7 3" xfId="19018"/>
    <cellStyle name="Note 12 7_Table 2A-1_EFT (Annual)" xfId="15474"/>
    <cellStyle name="Note 12 8" xfId="9420"/>
    <cellStyle name="Note 12 8 2" xfId="21585"/>
    <cellStyle name="Note 12 9" xfId="16472"/>
    <cellStyle name="Note 12_Table 2A-1_EFT (Annual)" xfId="3232"/>
    <cellStyle name="Note 13" xfId="151"/>
    <cellStyle name="Note 13 2" xfId="544"/>
    <cellStyle name="Note 13 2 2" xfId="1521"/>
    <cellStyle name="Note 13 2 2 2" xfId="2791"/>
    <cellStyle name="Note 13 2 2 2 2" xfId="6352"/>
    <cellStyle name="Note 13 2 2 2 2 2" xfId="14546"/>
    <cellStyle name="Note 13 2 2 2 2 2 2" xfId="26518"/>
    <cellStyle name="Note 13 2 2 2 2 3" xfId="21405"/>
    <cellStyle name="Note 13 2 2 2 2_Table 2A-1_EFT (Annual)" xfId="15475"/>
    <cellStyle name="Note 13 2 2 2 3" xfId="11888"/>
    <cellStyle name="Note 13 2 2 2 3 2" xfId="23972"/>
    <cellStyle name="Note 13 2 2 2 4" xfId="18859"/>
    <cellStyle name="Note 13 2 2 2_Table 2A-1_EFT (Annual)" xfId="7193"/>
    <cellStyle name="Note 13 2 2 3" xfId="5082"/>
    <cellStyle name="Note 13 2 2 3 2" xfId="13342"/>
    <cellStyle name="Note 13 2 2 3 2 2" xfId="25348"/>
    <cellStyle name="Note 13 2 2 3 3" xfId="20235"/>
    <cellStyle name="Note 13 2 2 3_Table 2A-1_EFT (Annual)" xfId="15476"/>
    <cellStyle name="Note 13 2 2 4" xfId="10686"/>
    <cellStyle name="Note 13 2 2 4 2" xfId="22802"/>
    <cellStyle name="Note 13 2 2 5" xfId="17689"/>
    <cellStyle name="Note 13 2 2_Table 2A-1_EFT (Annual)" xfId="7192"/>
    <cellStyle name="Note 13 2 3" xfId="1052"/>
    <cellStyle name="Note 13 2 3 2" xfId="4613"/>
    <cellStyle name="Note 13 2 3 2 2" xfId="12873"/>
    <cellStyle name="Note 13 2 3 2 2 2" xfId="24879"/>
    <cellStyle name="Note 13 2 3 2 3" xfId="19766"/>
    <cellStyle name="Note 13 2 3 2_Table 2A-1_EFT (Annual)" xfId="15477"/>
    <cellStyle name="Note 13 2 3 3" xfId="10217"/>
    <cellStyle name="Note 13 2 3 3 2" xfId="22333"/>
    <cellStyle name="Note 13 2 3 4" xfId="17220"/>
    <cellStyle name="Note 13 2 3_Table 2A-1_EFT (Annual)" xfId="7194"/>
    <cellStyle name="Note 13 2 4" xfId="2260"/>
    <cellStyle name="Note 13 2 4 2" xfId="5821"/>
    <cellStyle name="Note 13 2 4 2 2" xfId="14036"/>
    <cellStyle name="Note 13 2 4 2 2 2" xfId="26024"/>
    <cellStyle name="Note 13 2 4 2 3" xfId="20911"/>
    <cellStyle name="Note 13 2 4 2_Table 2A-1_EFT (Annual)" xfId="15478"/>
    <cellStyle name="Note 13 2 4 3" xfId="11380"/>
    <cellStyle name="Note 13 2 4 3 2" xfId="23478"/>
    <cellStyle name="Note 13 2 4 4" xfId="18365"/>
    <cellStyle name="Note 13 2 4_Table 2A-1_EFT (Annual)" xfId="7195"/>
    <cellStyle name="Note 13 2 5" xfId="4114"/>
    <cellStyle name="Note 13 2 5 2" xfId="12438"/>
    <cellStyle name="Note 13 2 5 2 2" xfId="24460"/>
    <cellStyle name="Note 13 2 5 3" xfId="19347"/>
    <cellStyle name="Note 13 2 5_Table 2A-1_EFT (Annual)" xfId="15479"/>
    <cellStyle name="Note 13 2 6" xfId="9777"/>
    <cellStyle name="Note 13 2 6 2" xfId="21914"/>
    <cellStyle name="Note 13 2 7" xfId="16801"/>
    <cellStyle name="Note 13 2_Table 2A-1_EFT (Annual)" xfId="3236"/>
    <cellStyle name="Note 13 3" xfId="382"/>
    <cellStyle name="Note 13 3 2" xfId="1365"/>
    <cellStyle name="Note 13 3 2 2" xfId="2635"/>
    <cellStyle name="Note 13 3 2 2 2" xfId="6196"/>
    <cellStyle name="Note 13 3 2 2 2 2" xfId="14390"/>
    <cellStyle name="Note 13 3 2 2 2 2 2" xfId="26362"/>
    <cellStyle name="Note 13 3 2 2 2 3" xfId="21249"/>
    <cellStyle name="Note 13 3 2 2 2_Table 2A-1_EFT (Annual)" xfId="15480"/>
    <cellStyle name="Note 13 3 2 2 3" xfId="11732"/>
    <cellStyle name="Note 13 3 2 2 3 2" xfId="23816"/>
    <cellStyle name="Note 13 3 2 2 4" xfId="18703"/>
    <cellStyle name="Note 13 3 2 2_Table 2A-1_EFT (Annual)" xfId="7197"/>
    <cellStyle name="Note 13 3 2 3" xfId="4926"/>
    <cellStyle name="Note 13 3 2 3 2" xfId="13186"/>
    <cellStyle name="Note 13 3 2 3 2 2" xfId="25192"/>
    <cellStyle name="Note 13 3 2 3 3" xfId="20079"/>
    <cellStyle name="Note 13 3 2 3_Table 2A-1_EFT (Annual)" xfId="15481"/>
    <cellStyle name="Note 13 3 2 4" xfId="10530"/>
    <cellStyle name="Note 13 3 2 4 2" xfId="22646"/>
    <cellStyle name="Note 13 3 2 5" xfId="17533"/>
    <cellStyle name="Note 13 3 2_Table 2A-1_EFT (Annual)" xfId="7196"/>
    <cellStyle name="Note 13 3 3" xfId="920"/>
    <cellStyle name="Note 13 3 3 2" xfId="4481"/>
    <cellStyle name="Note 13 3 3 2 2" xfId="12743"/>
    <cellStyle name="Note 13 3 3 2 2 2" xfId="24753"/>
    <cellStyle name="Note 13 3 3 2 3" xfId="19640"/>
    <cellStyle name="Note 13 3 3 2_Table 2A-1_EFT (Annual)" xfId="15482"/>
    <cellStyle name="Note 13 3 3 3" xfId="10090"/>
    <cellStyle name="Note 13 3 3 3 2" xfId="22207"/>
    <cellStyle name="Note 13 3 3 4" xfId="17094"/>
    <cellStyle name="Note 13 3 3_Table 2A-1_EFT (Annual)" xfId="7198"/>
    <cellStyle name="Note 13 3 4" xfId="2104"/>
    <cellStyle name="Note 13 3 4 2" xfId="5665"/>
    <cellStyle name="Note 13 3 4 2 2" xfId="13880"/>
    <cellStyle name="Note 13 3 4 2 2 2" xfId="25868"/>
    <cellStyle name="Note 13 3 4 2 3" xfId="20755"/>
    <cellStyle name="Note 13 3 4 2_Table 2A-1_EFT (Annual)" xfId="15483"/>
    <cellStyle name="Note 13 3 4 3" xfId="11224"/>
    <cellStyle name="Note 13 3 4 3 2" xfId="23322"/>
    <cellStyle name="Note 13 3 4 4" xfId="18209"/>
    <cellStyle name="Note 13 3 4_Table 2A-1_EFT (Annual)" xfId="7199"/>
    <cellStyle name="Note 13 3 5" xfId="3952"/>
    <cellStyle name="Note 13 3 5 2" xfId="12280"/>
    <cellStyle name="Note 13 3 5 2 2" xfId="24304"/>
    <cellStyle name="Note 13 3 5 3" xfId="19191"/>
    <cellStyle name="Note 13 3 5_Table 2A-1_EFT (Annual)" xfId="15484"/>
    <cellStyle name="Note 13 3 6" xfId="9617"/>
    <cellStyle name="Note 13 3 6 2" xfId="21758"/>
    <cellStyle name="Note 13 3 7" xfId="16645"/>
    <cellStyle name="Note 13 3_Table 2A-1_EFT (Annual)" xfId="3237"/>
    <cellStyle name="Note 13 4" xfId="1199"/>
    <cellStyle name="Note 13 4 2" xfId="2469"/>
    <cellStyle name="Note 13 4 2 2" xfId="6030"/>
    <cellStyle name="Note 13 4 2 2 2" xfId="14224"/>
    <cellStyle name="Note 13 4 2 2 2 2" xfId="26196"/>
    <cellStyle name="Note 13 4 2 2 3" xfId="21083"/>
    <cellStyle name="Note 13 4 2 2_Table 2A-1_EFT (Annual)" xfId="15485"/>
    <cellStyle name="Note 13 4 2 3" xfId="11566"/>
    <cellStyle name="Note 13 4 2 3 2" xfId="23650"/>
    <cellStyle name="Note 13 4 2 4" xfId="18537"/>
    <cellStyle name="Note 13 4 2_Table 2A-1_EFT (Annual)" xfId="7201"/>
    <cellStyle name="Note 13 4 3" xfId="4760"/>
    <cellStyle name="Note 13 4 3 2" xfId="13020"/>
    <cellStyle name="Note 13 4 3 2 2" xfId="25026"/>
    <cellStyle name="Note 13 4 3 3" xfId="19913"/>
    <cellStyle name="Note 13 4 3_Table 2A-1_EFT (Annual)" xfId="15486"/>
    <cellStyle name="Note 13 4 4" xfId="10364"/>
    <cellStyle name="Note 13 4 4 2" xfId="22480"/>
    <cellStyle name="Note 13 4 5" xfId="17367"/>
    <cellStyle name="Note 13 4_Table 2A-1_EFT (Annual)" xfId="7200"/>
    <cellStyle name="Note 13 5" xfId="761"/>
    <cellStyle name="Note 13 5 2" xfId="4322"/>
    <cellStyle name="Note 13 5 2 2" xfId="12602"/>
    <cellStyle name="Note 13 5 2 2 2" xfId="24619"/>
    <cellStyle name="Note 13 5 2 3" xfId="19506"/>
    <cellStyle name="Note 13 5 2_Table 2A-1_EFT (Annual)" xfId="15487"/>
    <cellStyle name="Note 13 5 3" xfId="9950"/>
    <cellStyle name="Note 13 5 3 2" xfId="22073"/>
    <cellStyle name="Note 13 5 4" xfId="16960"/>
    <cellStyle name="Note 13 5_Table 2A-1_EFT (Annual)" xfId="7202"/>
    <cellStyle name="Note 13 6" xfId="1850"/>
    <cellStyle name="Note 13 6 2" xfId="5411"/>
    <cellStyle name="Note 13 6 2 2" xfId="13626"/>
    <cellStyle name="Note 13 6 2 2 2" xfId="25614"/>
    <cellStyle name="Note 13 6 2 3" xfId="20501"/>
    <cellStyle name="Note 13 6 2_Table 2A-1_EFT (Annual)" xfId="15488"/>
    <cellStyle name="Note 13 6 3" xfId="10970"/>
    <cellStyle name="Note 13 6 3 2" xfId="23068"/>
    <cellStyle name="Note 13 6 4" xfId="17955"/>
    <cellStyle name="Note 13 6_Table 2A-1_EFT (Annual)" xfId="7203"/>
    <cellStyle name="Note 13 7" xfId="3740"/>
    <cellStyle name="Note 13 7 2" xfId="12108"/>
    <cellStyle name="Note 13 7 2 2" xfId="24138"/>
    <cellStyle name="Note 13 7 3" xfId="19025"/>
    <cellStyle name="Note 13 7_Table 2A-1_EFT (Annual)" xfId="15489"/>
    <cellStyle name="Note 13 8" xfId="9427"/>
    <cellStyle name="Note 13 8 2" xfId="21592"/>
    <cellStyle name="Note 13 9" xfId="16479"/>
    <cellStyle name="Note 13_Table 2A-1_EFT (Annual)" xfId="3235"/>
    <cellStyle name="Note 14" xfId="134"/>
    <cellStyle name="Note 14 2" xfId="527"/>
    <cellStyle name="Note 14 2 2" xfId="1504"/>
    <cellStyle name="Note 14 2 2 2" xfId="2774"/>
    <cellStyle name="Note 14 2 2 2 2" xfId="6335"/>
    <cellStyle name="Note 14 2 2 2 2 2" xfId="14529"/>
    <cellStyle name="Note 14 2 2 2 2 2 2" xfId="26501"/>
    <cellStyle name="Note 14 2 2 2 2 3" xfId="21388"/>
    <cellStyle name="Note 14 2 2 2 2_Table 2A-1_EFT (Annual)" xfId="15490"/>
    <cellStyle name="Note 14 2 2 2 3" xfId="11871"/>
    <cellStyle name="Note 14 2 2 2 3 2" xfId="23955"/>
    <cellStyle name="Note 14 2 2 2 4" xfId="18842"/>
    <cellStyle name="Note 14 2 2 2_Table 2A-1_EFT (Annual)" xfId="7205"/>
    <cellStyle name="Note 14 2 2 3" xfId="5065"/>
    <cellStyle name="Note 14 2 2 3 2" xfId="13325"/>
    <cellStyle name="Note 14 2 2 3 2 2" xfId="25331"/>
    <cellStyle name="Note 14 2 2 3 3" xfId="20218"/>
    <cellStyle name="Note 14 2 2 3_Table 2A-1_EFT (Annual)" xfId="15491"/>
    <cellStyle name="Note 14 2 2 4" xfId="10669"/>
    <cellStyle name="Note 14 2 2 4 2" xfId="22785"/>
    <cellStyle name="Note 14 2 2 5" xfId="17672"/>
    <cellStyle name="Note 14 2 2_Table 2A-1_EFT (Annual)" xfId="7204"/>
    <cellStyle name="Note 14 2 3" xfId="1037"/>
    <cellStyle name="Note 14 2 3 2" xfId="4598"/>
    <cellStyle name="Note 14 2 3 2 2" xfId="12858"/>
    <cellStyle name="Note 14 2 3 2 2 2" xfId="24864"/>
    <cellStyle name="Note 14 2 3 2 3" xfId="19751"/>
    <cellStyle name="Note 14 2 3 2_Table 2A-1_EFT (Annual)" xfId="15492"/>
    <cellStyle name="Note 14 2 3 3" xfId="10202"/>
    <cellStyle name="Note 14 2 3 3 2" xfId="22318"/>
    <cellStyle name="Note 14 2 3 4" xfId="17205"/>
    <cellStyle name="Note 14 2 3_Table 2A-1_EFT (Annual)" xfId="7206"/>
    <cellStyle name="Note 14 2 4" xfId="2243"/>
    <cellStyle name="Note 14 2 4 2" xfId="5804"/>
    <cellStyle name="Note 14 2 4 2 2" xfId="14019"/>
    <cellStyle name="Note 14 2 4 2 2 2" xfId="26007"/>
    <cellStyle name="Note 14 2 4 2 3" xfId="20894"/>
    <cellStyle name="Note 14 2 4 2_Table 2A-1_EFT (Annual)" xfId="15493"/>
    <cellStyle name="Note 14 2 4 3" xfId="11363"/>
    <cellStyle name="Note 14 2 4 3 2" xfId="23461"/>
    <cellStyle name="Note 14 2 4 4" xfId="18348"/>
    <cellStyle name="Note 14 2 4_Table 2A-1_EFT (Annual)" xfId="7207"/>
    <cellStyle name="Note 14 2 5" xfId="4097"/>
    <cellStyle name="Note 14 2 5 2" xfId="12421"/>
    <cellStyle name="Note 14 2 5 2 2" xfId="24443"/>
    <cellStyle name="Note 14 2 5 3" xfId="19330"/>
    <cellStyle name="Note 14 2 5_Table 2A-1_EFT (Annual)" xfId="15494"/>
    <cellStyle name="Note 14 2 6" xfId="9760"/>
    <cellStyle name="Note 14 2 6 2" xfId="21897"/>
    <cellStyle name="Note 14 2 7" xfId="16784"/>
    <cellStyle name="Note 14 2_Table 2A-1_EFT (Annual)" xfId="3239"/>
    <cellStyle name="Note 14 3" xfId="365"/>
    <cellStyle name="Note 14 3 2" xfId="1348"/>
    <cellStyle name="Note 14 3 2 2" xfId="2618"/>
    <cellStyle name="Note 14 3 2 2 2" xfId="6179"/>
    <cellStyle name="Note 14 3 2 2 2 2" xfId="14373"/>
    <cellStyle name="Note 14 3 2 2 2 2 2" xfId="26345"/>
    <cellStyle name="Note 14 3 2 2 2 3" xfId="21232"/>
    <cellStyle name="Note 14 3 2 2 2_Table 2A-1_EFT (Annual)" xfId="15495"/>
    <cellStyle name="Note 14 3 2 2 3" xfId="11715"/>
    <cellStyle name="Note 14 3 2 2 3 2" xfId="23799"/>
    <cellStyle name="Note 14 3 2 2 4" xfId="18686"/>
    <cellStyle name="Note 14 3 2 2_Table 2A-1_EFT (Annual)" xfId="7209"/>
    <cellStyle name="Note 14 3 2 3" xfId="4909"/>
    <cellStyle name="Note 14 3 2 3 2" xfId="13169"/>
    <cellStyle name="Note 14 3 2 3 2 2" xfId="25175"/>
    <cellStyle name="Note 14 3 2 3 3" xfId="20062"/>
    <cellStyle name="Note 14 3 2 3_Table 2A-1_EFT (Annual)" xfId="15496"/>
    <cellStyle name="Note 14 3 2 4" xfId="10513"/>
    <cellStyle name="Note 14 3 2 4 2" xfId="22629"/>
    <cellStyle name="Note 14 3 2 5" xfId="17516"/>
    <cellStyle name="Note 14 3 2_Table 2A-1_EFT (Annual)" xfId="7208"/>
    <cellStyle name="Note 14 3 3" xfId="905"/>
    <cellStyle name="Note 14 3 3 2" xfId="4466"/>
    <cellStyle name="Note 14 3 3 2 2" xfId="12728"/>
    <cellStyle name="Note 14 3 3 2 2 2" xfId="24738"/>
    <cellStyle name="Note 14 3 3 2 3" xfId="19625"/>
    <cellStyle name="Note 14 3 3 2_Table 2A-1_EFT (Annual)" xfId="15497"/>
    <cellStyle name="Note 14 3 3 3" xfId="10075"/>
    <cellStyle name="Note 14 3 3 3 2" xfId="22192"/>
    <cellStyle name="Note 14 3 3 4" xfId="17079"/>
    <cellStyle name="Note 14 3 3_Table 2A-1_EFT (Annual)" xfId="7210"/>
    <cellStyle name="Note 14 3 4" xfId="2087"/>
    <cellStyle name="Note 14 3 4 2" xfId="5648"/>
    <cellStyle name="Note 14 3 4 2 2" xfId="13863"/>
    <cellStyle name="Note 14 3 4 2 2 2" xfId="25851"/>
    <cellStyle name="Note 14 3 4 2 3" xfId="20738"/>
    <cellStyle name="Note 14 3 4 2_Table 2A-1_EFT (Annual)" xfId="15498"/>
    <cellStyle name="Note 14 3 4 3" xfId="11207"/>
    <cellStyle name="Note 14 3 4 3 2" xfId="23305"/>
    <cellStyle name="Note 14 3 4 4" xfId="18192"/>
    <cellStyle name="Note 14 3 4_Table 2A-1_EFT (Annual)" xfId="7211"/>
    <cellStyle name="Note 14 3 5" xfId="3935"/>
    <cellStyle name="Note 14 3 5 2" xfId="12263"/>
    <cellStyle name="Note 14 3 5 2 2" xfId="24287"/>
    <cellStyle name="Note 14 3 5 3" xfId="19174"/>
    <cellStyle name="Note 14 3 5_Table 2A-1_EFT (Annual)" xfId="15499"/>
    <cellStyle name="Note 14 3 6" xfId="9600"/>
    <cellStyle name="Note 14 3 6 2" xfId="21741"/>
    <cellStyle name="Note 14 3 7" xfId="16628"/>
    <cellStyle name="Note 14 3_Table 2A-1_EFT (Annual)" xfId="3240"/>
    <cellStyle name="Note 14 4" xfId="1182"/>
    <cellStyle name="Note 14 4 2" xfId="2452"/>
    <cellStyle name="Note 14 4 2 2" xfId="6013"/>
    <cellStyle name="Note 14 4 2 2 2" xfId="14207"/>
    <cellStyle name="Note 14 4 2 2 2 2" xfId="26179"/>
    <cellStyle name="Note 14 4 2 2 3" xfId="21066"/>
    <cellStyle name="Note 14 4 2 2_Table 2A-1_EFT (Annual)" xfId="15500"/>
    <cellStyle name="Note 14 4 2 3" xfId="11549"/>
    <cellStyle name="Note 14 4 2 3 2" xfId="23633"/>
    <cellStyle name="Note 14 4 2 4" xfId="18520"/>
    <cellStyle name="Note 14 4 2_Table 2A-1_EFT (Annual)" xfId="7213"/>
    <cellStyle name="Note 14 4 3" xfId="4743"/>
    <cellStyle name="Note 14 4 3 2" xfId="13003"/>
    <cellStyle name="Note 14 4 3 2 2" xfId="25009"/>
    <cellStyle name="Note 14 4 3 3" xfId="19896"/>
    <cellStyle name="Note 14 4 3_Table 2A-1_EFT (Annual)" xfId="15501"/>
    <cellStyle name="Note 14 4 4" xfId="10347"/>
    <cellStyle name="Note 14 4 4 2" xfId="22463"/>
    <cellStyle name="Note 14 4 5" xfId="17350"/>
    <cellStyle name="Note 14 4_Table 2A-1_EFT (Annual)" xfId="7212"/>
    <cellStyle name="Note 14 5" xfId="746"/>
    <cellStyle name="Note 14 5 2" xfId="4307"/>
    <cellStyle name="Note 14 5 2 2" xfId="12587"/>
    <cellStyle name="Note 14 5 2 2 2" xfId="24604"/>
    <cellStyle name="Note 14 5 2 3" xfId="19491"/>
    <cellStyle name="Note 14 5 2_Table 2A-1_EFT (Annual)" xfId="15502"/>
    <cellStyle name="Note 14 5 3" xfId="9935"/>
    <cellStyle name="Note 14 5 3 2" xfId="22058"/>
    <cellStyle name="Note 14 5 4" xfId="16945"/>
    <cellStyle name="Note 14 5_Table 2A-1_EFT (Annual)" xfId="7214"/>
    <cellStyle name="Note 14 6" xfId="1791"/>
    <cellStyle name="Note 14 6 2" xfId="5352"/>
    <cellStyle name="Note 14 6 2 2" xfId="13567"/>
    <cellStyle name="Note 14 6 2 2 2" xfId="25555"/>
    <cellStyle name="Note 14 6 2 3" xfId="20442"/>
    <cellStyle name="Note 14 6 2_Table 2A-1_EFT (Annual)" xfId="15503"/>
    <cellStyle name="Note 14 6 3" xfId="10911"/>
    <cellStyle name="Note 14 6 3 2" xfId="23009"/>
    <cellStyle name="Note 14 6 4" xfId="17896"/>
    <cellStyle name="Note 14 6_Table 2A-1_EFT (Annual)" xfId="7215"/>
    <cellStyle name="Note 14 7" xfId="3723"/>
    <cellStyle name="Note 14 7 2" xfId="12091"/>
    <cellStyle name="Note 14 7 2 2" xfId="24121"/>
    <cellStyle name="Note 14 7 3" xfId="19008"/>
    <cellStyle name="Note 14 7_Table 2A-1_EFT (Annual)" xfId="15504"/>
    <cellStyle name="Note 14 8" xfId="9410"/>
    <cellStyle name="Note 14 8 2" xfId="21575"/>
    <cellStyle name="Note 14 9" xfId="16462"/>
    <cellStyle name="Note 14_Table 2A-1_EFT (Annual)" xfId="3238"/>
    <cellStyle name="Note 15" xfId="147"/>
    <cellStyle name="Note 15 2" xfId="540"/>
    <cellStyle name="Note 15 2 2" xfId="1517"/>
    <cellStyle name="Note 15 2 2 2" xfId="2787"/>
    <cellStyle name="Note 15 2 2 2 2" xfId="6348"/>
    <cellStyle name="Note 15 2 2 2 2 2" xfId="14542"/>
    <cellStyle name="Note 15 2 2 2 2 2 2" xfId="26514"/>
    <cellStyle name="Note 15 2 2 2 2 3" xfId="21401"/>
    <cellStyle name="Note 15 2 2 2 2_Table 2A-1_EFT (Annual)" xfId="15505"/>
    <cellStyle name="Note 15 2 2 2 3" xfId="11884"/>
    <cellStyle name="Note 15 2 2 2 3 2" xfId="23968"/>
    <cellStyle name="Note 15 2 2 2 4" xfId="18855"/>
    <cellStyle name="Note 15 2 2 2_Table 2A-1_EFT (Annual)" xfId="7217"/>
    <cellStyle name="Note 15 2 2 3" xfId="5078"/>
    <cellStyle name="Note 15 2 2 3 2" xfId="13338"/>
    <cellStyle name="Note 15 2 2 3 2 2" xfId="25344"/>
    <cellStyle name="Note 15 2 2 3 3" xfId="20231"/>
    <cellStyle name="Note 15 2 2 3_Table 2A-1_EFT (Annual)" xfId="15506"/>
    <cellStyle name="Note 15 2 2 4" xfId="10682"/>
    <cellStyle name="Note 15 2 2 4 2" xfId="22798"/>
    <cellStyle name="Note 15 2 2 5" xfId="17685"/>
    <cellStyle name="Note 15 2 2_Table 2A-1_EFT (Annual)" xfId="7216"/>
    <cellStyle name="Note 15 2 3" xfId="1048"/>
    <cellStyle name="Note 15 2 3 2" xfId="4609"/>
    <cellStyle name="Note 15 2 3 2 2" xfId="12869"/>
    <cellStyle name="Note 15 2 3 2 2 2" xfId="24875"/>
    <cellStyle name="Note 15 2 3 2 3" xfId="19762"/>
    <cellStyle name="Note 15 2 3 2_Table 2A-1_EFT (Annual)" xfId="15507"/>
    <cellStyle name="Note 15 2 3 3" xfId="10213"/>
    <cellStyle name="Note 15 2 3 3 2" xfId="22329"/>
    <cellStyle name="Note 15 2 3 4" xfId="17216"/>
    <cellStyle name="Note 15 2 3_Table 2A-1_EFT (Annual)" xfId="7218"/>
    <cellStyle name="Note 15 2 4" xfId="2256"/>
    <cellStyle name="Note 15 2 4 2" xfId="5817"/>
    <cellStyle name="Note 15 2 4 2 2" xfId="14032"/>
    <cellStyle name="Note 15 2 4 2 2 2" xfId="26020"/>
    <cellStyle name="Note 15 2 4 2 3" xfId="20907"/>
    <cellStyle name="Note 15 2 4 2_Table 2A-1_EFT (Annual)" xfId="15508"/>
    <cellStyle name="Note 15 2 4 3" xfId="11376"/>
    <cellStyle name="Note 15 2 4 3 2" xfId="23474"/>
    <cellStyle name="Note 15 2 4 4" xfId="18361"/>
    <cellStyle name="Note 15 2 4_Table 2A-1_EFT (Annual)" xfId="7219"/>
    <cellStyle name="Note 15 2 5" xfId="4110"/>
    <cellStyle name="Note 15 2 5 2" xfId="12434"/>
    <cellStyle name="Note 15 2 5 2 2" xfId="24456"/>
    <cellStyle name="Note 15 2 5 3" xfId="19343"/>
    <cellStyle name="Note 15 2 5_Table 2A-1_EFT (Annual)" xfId="15509"/>
    <cellStyle name="Note 15 2 6" xfId="9773"/>
    <cellStyle name="Note 15 2 6 2" xfId="21910"/>
    <cellStyle name="Note 15 2 7" xfId="16797"/>
    <cellStyle name="Note 15 2_Table 2A-1_EFT (Annual)" xfId="3242"/>
    <cellStyle name="Note 15 3" xfId="378"/>
    <cellStyle name="Note 15 3 2" xfId="1361"/>
    <cellStyle name="Note 15 3 2 2" xfId="2631"/>
    <cellStyle name="Note 15 3 2 2 2" xfId="6192"/>
    <cellStyle name="Note 15 3 2 2 2 2" xfId="14386"/>
    <cellStyle name="Note 15 3 2 2 2 2 2" xfId="26358"/>
    <cellStyle name="Note 15 3 2 2 2 3" xfId="21245"/>
    <cellStyle name="Note 15 3 2 2 2_Table 2A-1_EFT (Annual)" xfId="15510"/>
    <cellStyle name="Note 15 3 2 2 3" xfId="11728"/>
    <cellStyle name="Note 15 3 2 2 3 2" xfId="23812"/>
    <cellStyle name="Note 15 3 2 2 4" xfId="18699"/>
    <cellStyle name="Note 15 3 2 2_Table 2A-1_EFT (Annual)" xfId="7221"/>
    <cellStyle name="Note 15 3 2 3" xfId="4922"/>
    <cellStyle name="Note 15 3 2 3 2" xfId="13182"/>
    <cellStyle name="Note 15 3 2 3 2 2" xfId="25188"/>
    <cellStyle name="Note 15 3 2 3 3" xfId="20075"/>
    <cellStyle name="Note 15 3 2 3_Table 2A-1_EFT (Annual)" xfId="15511"/>
    <cellStyle name="Note 15 3 2 4" xfId="10526"/>
    <cellStyle name="Note 15 3 2 4 2" xfId="22642"/>
    <cellStyle name="Note 15 3 2 5" xfId="17529"/>
    <cellStyle name="Note 15 3 2_Table 2A-1_EFT (Annual)" xfId="7220"/>
    <cellStyle name="Note 15 3 3" xfId="916"/>
    <cellStyle name="Note 15 3 3 2" xfId="4477"/>
    <cellStyle name="Note 15 3 3 2 2" xfId="12739"/>
    <cellStyle name="Note 15 3 3 2 2 2" xfId="24749"/>
    <cellStyle name="Note 15 3 3 2 3" xfId="19636"/>
    <cellStyle name="Note 15 3 3 2_Table 2A-1_EFT (Annual)" xfId="15512"/>
    <cellStyle name="Note 15 3 3 3" xfId="10086"/>
    <cellStyle name="Note 15 3 3 3 2" xfId="22203"/>
    <cellStyle name="Note 15 3 3 4" xfId="17090"/>
    <cellStyle name="Note 15 3 3_Table 2A-1_EFT (Annual)" xfId="7222"/>
    <cellStyle name="Note 15 3 4" xfId="2100"/>
    <cellStyle name="Note 15 3 4 2" xfId="5661"/>
    <cellStyle name="Note 15 3 4 2 2" xfId="13876"/>
    <cellStyle name="Note 15 3 4 2 2 2" xfId="25864"/>
    <cellStyle name="Note 15 3 4 2 3" xfId="20751"/>
    <cellStyle name="Note 15 3 4 2_Table 2A-1_EFT (Annual)" xfId="15513"/>
    <cellStyle name="Note 15 3 4 3" xfId="11220"/>
    <cellStyle name="Note 15 3 4 3 2" xfId="23318"/>
    <cellStyle name="Note 15 3 4 4" xfId="18205"/>
    <cellStyle name="Note 15 3 4_Table 2A-1_EFT (Annual)" xfId="7223"/>
    <cellStyle name="Note 15 3 5" xfId="3948"/>
    <cellStyle name="Note 15 3 5 2" xfId="12276"/>
    <cellStyle name="Note 15 3 5 2 2" xfId="24300"/>
    <cellStyle name="Note 15 3 5 3" xfId="19187"/>
    <cellStyle name="Note 15 3 5_Table 2A-1_EFT (Annual)" xfId="15514"/>
    <cellStyle name="Note 15 3 6" xfId="9613"/>
    <cellStyle name="Note 15 3 6 2" xfId="21754"/>
    <cellStyle name="Note 15 3 7" xfId="16641"/>
    <cellStyle name="Note 15 3_Table 2A-1_EFT (Annual)" xfId="3243"/>
    <cellStyle name="Note 15 4" xfId="1195"/>
    <cellStyle name="Note 15 4 2" xfId="2465"/>
    <cellStyle name="Note 15 4 2 2" xfId="6026"/>
    <cellStyle name="Note 15 4 2 2 2" xfId="14220"/>
    <cellStyle name="Note 15 4 2 2 2 2" xfId="26192"/>
    <cellStyle name="Note 15 4 2 2 3" xfId="21079"/>
    <cellStyle name="Note 15 4 2 2_Table 2A-1_EFT (Annual)" xfId="15515"/>
    <cellStyle name="Note 15 4 2 3" xfId="11562"/>
    <cellStyle name="Note 15 4 2 3 2" xfId="23646"/>
    <cellStyle name="Note 15 4 2 4" xfId="18533"/>
    <cellStyle name="Note 15 4 2_Table 2A-1_EFT (Annual)" xfId="7225"/>
    <cellStyle name="Note 15 4 3" xfId="4756"/>
    <cellStyle name="Note 15 4 3 2" xfId="13016"/>
    <cellStyle name="Note 15 4 3 2 2" xfId="25022"/>
    <cellStyle name="Note 15 4 3 3" xfId="19909"/>
    <cellStyle name="Note 15 4 3_Table 2A-1_EFT (Annual)" xfId="15516"/>
    <cellStyle name="Note 15 4 4" xfId="10360"/>
    <cellStyle name="Note 15 4 4 2" xfId="22476"/>
    <cellStyle name="Note 15 4 5" xfId="17363"/>
    <cellStyle name="Note 15 4_Table 2A-1_EFT (Annual)" xfId="7224"/>
    <cellStyle name="Note 15 5" xfId="757"/>
    <cellStyle name="Note 15 5 2" xfId="4318"/>
    <cellStyle name="Note 15 5 2 2" xfId="12598"/>
    <cellStyle name="Note 15 5 2 2 2" xfId="24615"/>
    <cellStyle name="Note 15 5 2 3" xfId="19502"/>
    <cellStyle name="Note 15 5 2_Table 2A-1_EFT (Annual)" xfId="15517"/>
    <cellStyle name="Note 15 5 3" xfId="9946"/>
    <cellStyle name="Note 15 5 3 2" xfId="22069"/>
    <cellStyle name="Note 15 5 4" xfId="16956"/>
    <cellStyle name="Note 15 5_Table 2A-1_EFT (Annual)" xfId="7226"/>
    <cellStyle name="Note 15 6" xfId="1852"/>
    <cellStyle name="Note 15 6 2" xfId="5413"/>
    <cellStyle name="Note 15 6 2 2" xfId="13628"/>
    <cellStyle name="Note 15 6 2 2 2" xfId="25616"/>
    <cellStyle name="Note 15 6 2 3" xfId="20503"/>
    <cellStyle name="Note 15 6 2_Table 2A-1_EFT (Annual)" xfId="15518"/>
    <cellStyle name="Note 15 6 3" xfId="10972"/>
    <cellStyle name="Note 15 6 3 2" xfId="23070"/>
    <cellStyle name="Note 15 6 4" xfId="17957"/>
    <cellStyle name="Note 15 6_Table 2A-1_EFT (Annual)" xfId="7227"/>
    <cellStyle name="Note 15 7" xfId="3736"/>
    <cellStyle name="Note 15 7 2" xfId="12104"/>
    <cellStyle name="Note 15 7 2 2" xfId="24134"/>
    <cellStyle name="Note 15 7 3" xfId="19021"/>
    <cellStyle name="Note 15 7_Table 2A-1_EFT (Annual)" xfId="15519"/>
    <cellStyle name="Note 15 8" xfId="9423"/>
    <cellStyle name="Note 15 8 2" xfId="21588"/>
    <cellStyle name="Note 15 9" xfId="16475"/>
    <cellStyle name="Note 15_Table 2A-1_EFT (Annual)" xfId="3241"/>
    <cellStyle name="Note 16" xfId="163"/>
    <cellStyle name="Note 16 2" xfId="556"/>
    <cellStyle name="Note 16 2 2" xfId="1533"/>
    <cellStyle name="Note 16 2 2 2" xfId="2803"/>
    <cellStyle name="Note 16 2 2 2 2" xfId="6364"/>
    <cellStyle name="Note 16 2 2 2 2 2" xfId="14558"/>
    <cellStyle name="Note 16 2 2 2 2 2 2" xfId="26530"/>
    <cellStyle name="Note 16 2 2 2 2 3" xfId="21417"/>
    <cellStyle name="Note 16 2 2 2 2_Table 2A-1_EFT (Annual)" xfId="15520"/>
    <cellStyle name="Note 16 2 2 2 3" xfId="11900"/>
    <cellStyle name="Note 16 2 2 2 3 2" xfId="23984"/>
    <cellStyle name="Note 16 2 2 2 4" xfId="18871"/>
    <cellStyle name="Note 16 2 2 2_Table 2A-1_EFT (Annual)" xfId="7229"/>
    <cellStyle name="Note 16 2 2 3" xfId="5094"/>
    <cellStyle name="Note 16 2 2 3 2" xfId="13354"/>
    <cellStyle name="Note 16 2 2 3 2 2" xfId="25360"/>
    <cellStyle name="Note 16 2 2 3 3" xfId="20247"/>
    <cellStyle name="Note 16 2 2 3_Table 2A-1_EFT (Annual)" xfId="15521"/>
    <cellStyle name="Note 16 2 2 4" xfId="10698"/>
    <cellStyle name="Note 16 2 2 4 2" xfId="22814"/>
    <cellStyle name="Note 16 2 2 5" xfId="17701"/>
    <cellStyle name="Note 16 2 2_Table 2A-1_EFT (Annual)" xfId="7228"/>
    <cellStyle name="Note 16 2 3" xfId="1061"/>
    <cellStyle name="Note 16 2 3 2" xfId="4622"/>
    <cellStyle name="Note 16 2 3 2 2" xfId="12882"/>
    <cellStyle name="Note 16 2 3 2 2 2" xfId="24888"/>
    <cellStyle name="Note 16 2 3 2 3" xfId="19775"/>
    <cellStyle name="Note 16 2 3 2_Table 2A-1_EFT (Annual)" xfId="15522"/>
    <cellStyle name="Note 16 2 3 3" xfId="10226"/>
    <cellStyle name="Note 16 2 3 3 2" xfId="22342"/>
    <cellStyle name="Note 16 2 3 4" xfId="17229"/>
    <cellStyle name="Note 16 2 3_Table 2A-1_EFT (Annual)" xfId="7230"/>
    <cellStyle name="Note 16 2 4" xfId="2272"/>
    <cellStyle name="Note 16 2 4 2" xfId="5833"/>
    <cellStyle name="Note 16 2 4 2 2" xfId="14048"/>
    <cellStyle name="Note 16 2 4 2 2 2" xfId="26036"/>
    <cellStyle name="Note 16 2 4 2 3" xfId="20923"/>
    <cellStyle name="Note 16 2 4 2_Table 2A-1_EFT (Annual)" xfId="15523"/>
    <cellStyle name="Note 16 2 4 3" xfId="11392"/>
    <cellStyle name="Note 16 2 4 3 2" xfId="23490"/>
    <cellStyle name="Note 16 2 4 4" xfId="18377"/>
    <cellStyle name="Note 16 2 4_Table 2A-1_EFT (Annual)" xfId="7231"/>
    <cellStyle name="Note 16 2 5" xfId="4126"/>
    <cellStyle name="Note 16 2 5 2" xfId="12450"/>
    <cellStyle name="Note 16 2 5 2 2" xfId="24472"/>
    <cellStyle name="Note 16 2 5 3" xfId="19359"/>
    <cellStyle name="Note 16 2 5_Table 2A-1_EFT (Annual)" xfId="15524"/>
    <cellStyle name="Note 16 2 6" xfId="9789"/>
    <cellStyle name="Note 16 2 6 2" xfId="21926"/>
    <cellStyle name="Note 16 2 7" xfId="16813"/>
    <cellStyle name="Note 16 2_Table 2A-1_EFT (Annual)" xfId="3245"/>
    <cellStyle name="Note 16 3" xfId="394"/>
    <cellStyle name="Note 16 3 2" xfId="1377"/>
    <cellStyle name="Note 16 3 2 2" xfId="2647"/>
    <cellStyle name="Note 16 3 2 2 2" xfId="6208"/>
    <cellStyle name="Note 16 3 2 2 2 2" xfId="14402"/>
    <cellStyle name="Note 16 3 2 2 2 2 2" xfId="26374"/>
    <cellStyle name="Note 16 3 2 2 2 3" xfId="21261"/>
    <cellStyle name="Note 16 3 2 2 2_Table 2A-1_EFT (Annual)" xfId="15525"/>
    <cellStyle name="Note 16 3 2 2 3" xfId="11744"/>
    <cellStyle name="Note 16 3 2 2 3 2" xfId="23828"/>
    <cellStyle name="Note 16 3 2 2 4" xfId="18715"/>
    <cellStyle name="Note 16 3 2 2_Table 2A-1_EFT (Annual)" xfId="7233"/>
    <cellStyle name="Note 16 3 2 3" xfId="4938"/>
    <cellStyle name="Note 16 3 2 3 2" xfId="13198"/>
    <cellStyle name="Note 16 3 2 3 2 2" xfId="25204"/>
    <cellStyle name="Note 16 3 2 3 3" xfId="20091"/>
    <cellStyle name="Note 16 3 2 3_Table 2A-1_EFT (Annual)" xfId="15526"/>
    <cellStyle name="Note 16 3 2 4" xfId="10542"/>
    <cellStyle name="Note 16 3 2 4 2" xfId="22658"/>
    <cellStyle name="Note 16 3 2 5" xfId="17545"/>
    <cellStyle name="Note 16 3 2_Table 2A-1_EFT (Annual)" xfId="7232"/>
    <cellStyle name="Note 16 3 3" xfId="929"/>
    <cellStyle name="Note 16 3 3 2" xfId="4490"/>
    <cellStyle name="Note 16 3 3 2 2" xfId="12752"/>
    <cellStyle name="Note 16 3 3 2 2 2" xfId="24762"/>
    <cellStyle name="Note 16 3 3 2 3" xfId="19649"/>
    <cellStyle name="Note 16 3 3 2_Table 2A-1_EFT (Annual)" xfId="15527"/>
    <cellStyle name="Note 16 3 3 3" xfId="10099"/>
    <cellStyle name="Note 16 3 3 3 2" xfId="22216"/>
    <cellStyle name="Note 16 3 3 4" xfId="17103"/>
    <cellStyle name="Note 16 3 3_Table 2A-1_EFT (Annual)" xfId="7234"/>
    <cellStyle name="Note 16 3 4" xfId="2116"/>
    <cellStyle name="Note 16 3 4 2" xfId="5677"/>
    <cellStyle name="Note 16 3 4 2 2" xfId="13892"/>
    <cellStyle name="Note 16 3 4 2 2 2" xfId="25880"/>
    <cellStyle name="Note 16 3 4 2 3" xfId="20767"/>
    <cellStyle name="Note 16 3 4 2_Table 2A-1_EFT (Annual)" xfId="15528"/>
    <cellStyle name="Note 16 3 4 3" xfId="11236"/>
    <cellStyle name="Note 16 3 4 3 2" xfId="23334"/>
    <cellStyle name="Note 16 3 4 4" xfId="18221"/>
    <cellStyle name="Note 16 3 4_Table 2A-1_EFT (Annual)" xfId="7235"/>
    <cellStyle name="Note 16 3 5" xfId="3964"/>
    <cellStyle name="Note 16 3 5 2" xfId="12292"/>
    <cellStyle name="Note 16 3 5 2 2" xfId="24316"/>
    <cellStyle name="Note 16 3 5 3" xfId="19203"/>
    <cellStyle name="Note 16 3 5_Table 2A-1_EFT (Annual)" xfId="15529"/>
    <cellStyle name="Note 16 3 6" xfId="9629"/>
    <cellStyle name="Note 16 3 6 2" xfId="21770"/>
    <cellStyle name="Note 16 3 7" xfId="16657"/>
    <cellStyle name="Note 16 3_Table 2A-1_EFT (Annual)" xfId="3246"/>
    <cellStyle name="Note 16 4" xfId="1211"/>
    <cellStyle name="Note 16 4 2" xfId="2481"/>
    <cellStyle name="Note 16 4 2 2" xfId="6042"/>
    <cellStyle name="Note 16 4 2 2 2" xfId="14236"/>
    <cellStyle name="Note 16 4 2 2 2 2" xfId="26208"/>
    <cellStyle name="Note 16 4 2 2 3" xfId="21095"/>
    <cellStyle name="Note 16 4 2 2_Table 2A-1_EFT (Annual)" xfId="15530"/>
    <cellStyle name="Note 16 4 2 3" xfId="11578"/>
    <cellStyle name="Note 16 4 2 3 2" xfId="23662"/>
    <cellStyle name="Note 16 4 2 4" xfId="18549"/>
    <cellStyle name="Note 16 4 2_Table 2A-1_EFT (Annual)" xfId="7237"/>
    <cellStyle name="Note 16 4 3" xfId="4772"/>
    <cellStyle name="Note 16 4 3 2" xfId="13032"/>
    <cellStyle name="Note 16 4 3 2 2" xfId="25038"/>
    <cellStyle name="Note 16 4 3 3" xfId="19925"/>
    <cellStyle name="Note 16 4 3_Table 2A-1_EFT (Annual)" xfId="15531"/>
    <cellStyle name="Note 16 4 4" xfId="10376"/>
    <cellStyle name="Note 16 4 4 2" xfId="22492"/>
    <cellStyle name="Note 16 4 5" xfId="17379"/>
    <cellStyle name="Note 16 4_Table 2A-1_EFT (Annual)" xfId="7236"/>
    <cellStyle name="Note 16 5" xfId="770"/>
    <cellStyle name="Note 16 5 2" xfId="4331"/>
    <cellStyle name="Note 16 5 2 2" xfId="12611"/>
    <cellStyle name="Note 16 5 2 2 2" xfId="24628"/>
    <cellStyle name="Note 16 5 2 3" xfId="19515"/>
    <cellStyle name="Note 16 5 2_Table 2A-1_EFT (Annual)" xfId="15532"/>
    <cellStyle name="Note 16 5 3" xfId="9959"/>
    <cellStyle name="Note 16 5 3 2" xfId="22082"/>
    <cellStyle name="Note 16 5 4" xfId="16969"/>
    <cellStyle name="Note 16 5_Table 2A-1_EFT (Annual)" xfId="7238"/>
    <cellStyle name="Note 16 6" xfId="1950"/>
    <cellStyle name="Note 16 6 2" xfId="5511"/>
    <cellStyle name="Note 16 6 2 2" xfId="13726"/>
    <cellStyle name="Note 16 6 2 2 2" xfId="25714"/>
    <cellStyle name="Note 16 6 2 3" xfId="20601"/>
    <cellStyle name="Note 16 6 2_Table 2A-1_EFT (Annual)" xfId="15533"/>
    <cellStyle name="Note 16 6 3" xfId="11070"/>
    <cellStyle name="Note 16 6 3 2" xfId="23168"/>
    <cellStyle name="Note 16 6 4" xfId="18055"/>
    <cellStyle name="Note 16 6_Table 2A-1_EFT (Annual)" xfId="7239"/>
    <cellStyle name="Note 16 7" xfId="3752"/>
    <cellStyle name="Note 16 7 2" xfId="12120"/>
    <cellStyle name="Note 16 7 2 2" xfId="24150"/>
    <cellStyle name="Note 16 7 3" xfId="19037"/>
    <cellStyle name="Note 16 7_Table 2A-1_EFT (Annual)" xfId="15534"/>
    <cellStyle name="Note 16 8" xfId="9439"/>
    <cellStyle name="Note 16 8 2" xfId="21604"/>
    <cellStyle name="Note 16 9" xfId="16491"/>
    <cellStyle name="Note 16_Table 2A-1_EFT (Annual)" xfId="3244"/>
    <cellStyle name="Note 17" xfId="156"/>
    <cellStyle name="Note 17 2" xfId="549"/>
    <cellStyle name="Note 17 2 2" xfId="1526"/>
    <cellStyle name="Note 17 2 2 2" xfId="2796"/>
    <cellStyle name="Note 17 2 2 2 2" xfId="6357"/>
    <cellStyle name="Note 17 2 2 2 2 2" xfId="14551"/>
    <cellStyle name="Note 17 2 2 2 2 2 2" xfId="26523"/>
    <cellStyle name="Note 17 2 2 2 2 3" xfId="21410"/>
    <cellStyle name="Note 17 2 2 2 2_Table 2A-1_EFT (Annual)" xfId="15535"/>
    <cellStyle name="Note 17 2 2 2 3" xfId="11893"/>
    <cellStyle name="Note 17 2 2 2 3 2" xfId="23977"/>
    <cellStyle name="Note 17 2 2 2 4" xfId="18864"/>
    <cellStyle name="Note 17 2 2 2_Table 2A-1_EFT (Annual)" xfId="7241"/>
    <cellStyle name="Note 17 2 2 3" xfId="5087"/>
    <cellStyle name="Note 17 2 2 3 2" xfId="13347"/>
    <cellStyle name="Note 17 2 2 3 2 2" xfId="25353"/>
    <cellStyle name="Note 17 2 2 3 3" xfId="20240"/>
    <cellStyle name="Note 17 2 2 3_Table 2A-1_EFT (Annual)" xfId="15536"/>
    <cellStyle name="Note 17 2 2 4" xfId="10691"/>
    <cellStyle name="Note 17 2 2 4 2" xfId="22807"/>
    <cellStyle name="Note 17 2 2 5" xfId="17694"/>
    <cellStyle name="Note 17 2 2_Table 2A-1_EFT (Annual)" xfId="7240"/>
    <cellStyle name="Note 17 2 3" xfId="1055"/>
    <cellStyle name="Note 17 2 3 2" xfId="4616"/>
    <cellStyle name="Note 17 2 3 2 2" xfId="12876"/>
    <cellStyle name="Note 17 2 3 2 2 2" xfId="24882"/>
    <cellStyle name="Note 17 2 3 2 3" xfId="19769"/>
    <cellStyle name="Note 17 2 3 2_Table 2A-1_EFT (Annual)" xfId="15537"/>
    <cellStyle name="Note 17 2 3 3" xfId="10220"/>
    <cellStyle name="Note 17 2 3 3 2" xfId="22336"/>
    <cellStyle name="Note 17 2 3 4" xfId="17223"/>
    <cellStyle name="Note 17 2 3_Table 2A-1_EFT (Annual)" xfId="7242"/>
    <cellStyle name="Note 17 2 4" xfId="2265"/>
    <cellStyle name="Note 17 2 4 2" xfId="5826"/>
    <cellStyle name="Note 17 2 4 2 2" xfId="14041"/>
    <cellStyle name="Note 17 2 4 2 2 2" xfId="26029"/>
    <cellStyle name="Note 17 2 4 2 3" xfId="20916"/>
    <cellStyle name="Note 17 2 4 2_Table 2A-1_EFT (Annual)" xfId="15538"/>
    <cellStyle name="Note 17 2 4 3" xfId="11385"/>
    <cellStyle name="Note 17 2 4 3 2" xfId="23483"/>
    <cellStyle name="Note 17 2 4 4" xfId="18370"/>
    <cellStyle name="Note 17 2 4_Table 2A-1_EFT (Annual)" xfId="7243"/>
    <cellStyle name="Note 17 2 5" xfId="4119"/>
    <cellStyle name="Note 17 2 5 2" xfId="12443"/>
    <cellStyle name="Note 17 2 5 2 2" xfId="24465"/>
    <cellStyle name="Note 17 2 5 3" xfId="19352"/>
    <cellStyle name="Note 17 2 5_Table 2A-1_EFT (Annual)" xfId="15539"/>
    <cellStyle name="Note 17 2 6" xfId="9782"/>
    <cellStyle name="Note 17 2 6 2" xfId="21919"/>
    <cellStyle name="Note 17 2 7" xfId="16806"/>
    <cellStyle name="Note 17 2_Table 2A-1_EFT (Annual)" xfId="3248"/>
    <cellStyle name="Note 17 3" xfId="387"/>
    <cellStyle name="Note 17 3 2" xfId="1370"/>
    <cellStyle name="Note 17 3 2 2" xfId="2640"/>
    <cellStyle name="Note 17 3 2 2 2" xfId="6201"/>
    <cellStyle name="Note 17 3 2 2 2 2" xfId="14395"/>
    <cellStyle name="Note 17 3 2 2 2 2 2" xfId="26367"/>
    <cellStyle name="Note 17 3 2 2 2 3" xfId="21254"/>
    <cellStyle name="Note 17 3 2 2 2_Table 2A-1_EFT (Annual)" xfId="15540"/>
    <cellStyle name="Note 17 3 2 2 3" xfId="11737"/>
    <cellStyle name="Note 17 3 2 2 3 2" xfId="23821"/>
    <cellStyle name="Note 17 3 2 2 4" xfId="18708"/>
    <cellStyle name="Note 17 3 2 2_Table 2A-1_EFT (Annual)" xfId="7245"/>
    <cellStyle name="Note 17 3 2 3" xfId="4931"/>
    <cellStyle name="Note 17 3 2 3 2" xfId="13191"/>
    <cellStyle name="Note 17 3 2 3 2 2" xfId="25197"/>
    <cellStyle name="Note 17 3 2 3 3" xfId="20084"/>
    <cellStyle name="Note 17 3 2 3_Table 2A-1_EFT (Annual)" xfId="15541"/>
    <cellStyle name="Note 17 3 2 4" xfId="10535"/>
    <cellStyle name="Note 17 3 2 4 2" xfId="22651"/>
    <cellStyle name="Note 17 3 2 5" xfId="17538"/>
    <cellStyle name="Note 17 3 2_Table 2A-1_EFT (Annual)" xfId="7244"/>
    <cellStyle name="Note 17 3 3" xfId="923"/>
    <cellStyle name="Note 17 3 3 2" xfId="4484"/>
    <cellStyle name="Note 17 3 3 2 2" xfId="12746"/>
    <cellStyle name="Note 17 3 3 2 2 2" xfId="24756"/>
    <cellStyle name="Note 17 3 3 2 3" xfId="19643"/>
    <cellStyle name="Note 17 3 3 2_Table 2A-1_EFT (Annual)" xfId="15542"/>
    <cellStyle name="Note 17 3 3 3" xfId="10093"/>
    <cellStyle name="Note 17 3 3 3 2" xfId="22210"/>
    <cellStyle name="Note 17 3 3 4" xfId="17097"/>
    <cellStyle name="Note 17 3 3_Table 2A-1_EFT (Annual)" xfId="7246"/>
    <cellStyle name="Note 17 3 4" xfId="2109"/>
    <cellStyle name="Note 17 3 4 2" xfId="5670"/>
    <cellStyle name="Note 17 3 4 2 2" xfId="13885"/>
    <cellStyle name="Note 17 3 4 2 2 2" xfId="25873"/>
    <cellStyle name="Note 17 3 4 2 3" xfId="20760"/>
    <cellStyle name="Note 17 3 4 2_Table 2A-1_EFT (Annual)" xfId="15543"/>
    <cellStyle name="Note 17 3 4 3" xfId="11229"/>
    <cellStyle name="Note 17 3 4 3 2" xfId="23327"/>
    <cellStyle name="Note 17 3 4 4" xfId="18214"/>
    <cellStyle name="Note 17 3 4_Table 2A-1_EFT (Annual)" xfId="7247"/>
    <cellStyle name="Note 17 3 5" xfId="3957"/>
    <cellStyle name="Note 17 3 5 2" xfId="12285"/>
    <cellStyle name="Note 17 3 5 2 2" xfId="24309"/>
    <cellStyle name="Note 17 3 5 3" xfId="19196"/>
    <cellStyle name="Note 17 3 5_Table 2A-1_EFT (Annual)" xfId="15544"/>
    <cellStyle name="Note 17 3 6" xfId="9622"/>
    <cellStyle name="Note 17 3 6 2" xfId="21763"/>
    <cellStyle name="Note 17 3 7" xfId="16650"/>
    <cellStyle name="Note 17 3_Table 2A-1_EFT (Annual)" xfId="3249"/>
    <cellStyle name="Note 17 4" xfId="1204"/>
    <cellStyle name="Note 17 4 2" xfId="2474"/>
    <cellStyle name="Note 17 4 2 2" xfId="6035"/>
    <cellStyle name="Note 17 4 2 2 2" xfId="14229"/>
    <cellStyle name="Note 17 4 2 2 2 2" xfId="26201"/>
    <cellStyle name="Note 17 4 2 2 3" xfId="21088"/>
    <cellStyle name="Note 17 4 2 2_Table 2A-1_EFT (Annual)" xfId="15545"/>
    <cellStyle name="Note 17 4 2 3" xfId="11571"/>
    <cellStyle name="Note 17 4 2 3 2" xfId="23655"/>
    <cellStyle name="Note 17 4 2 4" xfId="18542"/>
    <cellStyle name="Note 17 4 2_Table 2A-1_EFT (Annual)" xfId="7249"/>
    <cellStyle name="Note 17 4 3" xfId="4765"/>
    <cellStyle name="Note 17 4 3 2" xfId="13025"/>
    <cellStyle name="Note 17 4 3 2 2" xfId="25031"/>
    <cellStyle name="Note 17 4 3 3" xfId="19918"/>
    <cellStyle name="Note 17 4 3_Table 2A-1_EFT (Annual)" xfId="15546"/>
    <cellStyle name="Note 17 4 4" xfId="10369"/>
    <cellStyle name="Note 17 4 4 2" xfId="22485"/>
    <cellStyle name="Note 17 4 5" xfId="17372"/>
    <cellStyle name="Note 17 4_Table 2A-1_EFT (Annual)" xfId="7248"/>
    <cellStyle name="Note 17 5" xfId="764"/>
    <cellStyle name="Note 17 5 2" xfId="4325"/>
    <cellStyle name="Note 17 5 2 2" xfId="12605"/>
    <cellStyle name="Note 17 5 2 2 2" xfId="24622"/>
    <cellStyle name="Note 17 5 2 3" xfId="19509"/>
    <cellStyle name="Note 17 5 2_Table 2A-1_EFT (Annual)" xfId="15547"/>
    <cellStyle name="Note 17 5 3" xfId="9953"/>
    <cellStyle name="Note 17 5 3 2" xfId="22076"/>
    <cellStyle name="Note 17 5 4" xfId="16963"/>
    <cellStyle name="Note 17 5_Table 2A-1_EFT (Annual)" xfId="7250"/>
    <cellStyle name="Note 17 6" xfId="1780"/>
    <cellStyle name="Note 17 6 2" xfId="5341"/>
    <cellStyle name="Note 17 6 2 2" xfId="13556"/>
    <cellStyle name="Note 17 6 2 2 2" xfId="25544"/>
    <cellStyle name="Note 17 6 2 3" xfId="20431"/>
    <cellStyle name="Note 17 6 2_Table 2A-1_EFT (Annual)" xfId="15548"/>
    <cellStyle name="Note 17 6 3" xfId="10900"/>
    <cellStyle name="Note 17 6 3 2" xfId="22998"/>
    <cellStyle name="Note 17 6 4" xfId="17885"/>
    <cellStyle name="Note 17 6_Table 2A-1_EFT (Annual)" xfId="7251"/>
    <cellStyle name="Note 17 7" xfId="3745"/>
    <cellStyle name="Note 17 7 2" xfId="12113"/>
    <cellStyle name="Note 17 7 2 2" xfId="24143"/>
    <cellStyle name="Note 17 7 3" xfId="19030"/>
    <cellStyle name="Note 17 7_Table 2A-1_EFT (Annual)" xfId="15549"/>
    <cellStyle name="Note 17 8" xfId="9432"/>
    <cellStyle name="Note 17 8 2" xfId="21597"/>
    <cellStyle name="Note 17 9" xfId="16484"/>
    <cellStyle name="Note 17_Table 2A-1_EFT (Annual)" xfId="3247"/>
    <cellStyle name="Note 18" xfId="173"/>
    <cellStyle name="Note 18 2" xfId="566"/>
    <cellStyle name="Note 18 2 2" xfId="1543"/>
    <cellStyle name="Note 18 2 2 2" xfId="2813"/>
    <cellStyle name="Note 18 2 2 2 2" xfId="6374"/>
    <cellStyle name="Note 18 2 2 2 2 2" xfId="14568"/>
    <cellStyle name="Note 18 2 2 2 2 2 2" xfId="26540"/>
    <cellStyle name="Note 18 2 2 2 2 3" xfId="21427"/>
    <cellStyle name="Note 18 2 2 2 2_Table 2A-1_EFT (Annual)" xfId="15550"/>
    <cellStyle name="Note 18 2 2 2 3" xfId="11910"/>
    <cellStyle name="Note 18 2 2 2 3 2" xfId="23994"/>
    <cellStyle name="Note 18 2 2 2 4" xfId="18881"/>
    <cellStyle name="Note 18 2 2 2_Table 2A-1_EFT (Annual)" xfId="7253"/>
    <cellStyle name="Note 18 2 2 3" xfId="5104"/>
    <cellStyle name="Note 18 2 2 3 2" xfId="13364"/>
    <cellStyle name="Note 18 2 2 3 2 2" xfId="25370"/>
    <cellStyle name="Note 18 2 2 3 3" xfId="20257"/>
    <cellStyle name="Note 18 2 2 3_Table 2A-1_EFT (Annual)" xfId="15551"/>
    <cellStyle name="Note 18 2 2 4" xfId="10708"/>
    <cellStyle name="Note 18 2 2 4 2" xfId="22824"/>
    <cellStyle name="Note 18 2 2 5" xfId="17711"/>
    <cellStyle name="Note 18 2 2_Table 2A-1_EFT (Annual)" xfId="7252"/>
    <cellStyle name="Note 18 2 3" xfId="1069"/>
    <cellStyle name="Note 18 2 3 2" xfId="4630"/>
    <cellStyle name="Note 18 2 3 2 2" xfId="12890"/>
    <cellStyle name="Note 18 2 3 2 2 2" xfId="24896"/>
    <cellStyle name="Note 18 2 3 2 3" xfId="19783"/>
    <cellStyle name="Note 18 2 3 2_Table 2A-1_EFT (Annual)" xfId="15552"/>
    <cellStyle name="Note 18 2 3 3" xfId="10234"/>
    <cellStyle name="Note 18 2 3 3 2" xfId="22350"/>
    <cellStyle name="Note 18 2 3 4" xfId="17237"/>
    <cellStyle name="Note 18 2 3_Table 2A-1_EFT (Annual)" xfId="7254"/>
    <cellStyle name="Note 18 2 4" xfId="2282"/>
    <cellStyle name="Note 18 2 4 2" xfId="5843"/>
    <cellStyle name="Note 18 2 4 2 2" xfId="14058"/>
    <cellStyle name="Note 18 2 4 2 2 2" xfId="26046"/>
    <cellStyle name="Note 18 2 4 2 3" xfId="20933"/>
    <cellStyle name="Note 18 2 4 2_Table 2A-1_EFT (Annual)" xfId="15553"/>
    <cellStyle name="Note 18 2 4 3" xfId="11402"/>
    <cellStyle name="Note 18 2 4 3 2" xfId="23500"/>
    <cellStyle name="Note 18 2 4 4" xfId="18387"/>
    <cellStyle name="Note 18 2 4_Table 2A-1_EFT (Annual)" xfId="7255"/>
    <cellStyle name="Note 18 2 5" xfId="4136"/>
    <cellStyle name="Note 18 2 5 2" xfId="12460"/>
    <cellStyle name="Note 18 2 5 2 2" xfId="24482"/>
    <cellStyle name="Note 18 2 5 3" xfId="19369"/>
    <cellStyle name="Note 18 2 5_Table 2A-1_EFT (Annual)" xfId="15554"/>
    <cellStyle name="Note 18 2 6" xfId="9799"/>
    <cellStyle name="Note 18 2 6 2" xfId="21936"/>
    <cellStyle name="Note 18 2 7" xfId="16823"/>
    <cellStyle name="Note 18 2_Table 2A-1_EFT (Annual)" xfId="3251"/>
    <cellStyle name="Note 18 3" xfId="404"/>
    <cellStyle name="Note 18 3 2" xfId="1387"/>
    <cellStyle name="Note 18 3 2 2" xfId="2657"/>
    <cellStyle name="Note 18 3 2 2 2" xfId="6218"/>
    <cellStyle name="Note 18 3 2 2 2 2" xfId="14412"/>
    <cellStyle name="Note 18 3 2 2 2 2 2" xfId="26384"/>
    <cellStyle name="Note 18 3 2 2 2 3" xfId="21271"/>
    <cellStyle name="Note 18 3 2 2 2_Table 2A-1_EFT (Annual)" xfId="15555"/>
    <cellStyle name="Note 18 3 2 2 3" xfId="11754"/>
    <cellStyle name="Note 18 3 2 2 3 2" xfId="23838"/>
    <cellStyle name="Note 18 3 2 2 4" xfId="18725"/>
    <cellStyle name="Note 18 3 2 2_Table 2A-1_EFT (Annual)" xfId="7257"/>
    <cellStyle name="Note 18 3 2 3" xfId="4948"/>
    <cellStyle name="Note 18 3 2 3 2" xfId="13208"/>
    <cellStyle name="Note 18 3 2 3 2 2" xfId="25214"/>
    <cellStyle name="Note 18 3 2 3 3" xfId="20101"/>
    <cellStyle name="Note 18 3 2 3_Table 2A-1_EFT (Annual)" xfId="15556"/>
    <cellStyle name="Note 18 3 2 4" xfId="10552"/>
    <cellStyle name="Note 18 3 2 4 2" xfId="22668"/>
    <cellStyle name="Note 18 3 2 5" xfId="17555"/>
    <cellStyle name="Note 18 3 2_Table 2A-1_EFT (Annual)" xfId="7256"/>
    <cellStyle name="Note 18 3 3" xfId="937"/>
    <cellStyle name="Note 18 3 3 2" xfId="4498"/>
    <cellStyle name="Note 18 3 3 2 2" xfId="12760"/>
    <cellStyle name="Note 18 3 3 2 2 2" xfId="24770"/>
    <cellStyle name="Note 18 3 3 2 3" xfId="19657"/>
    <cellStyle name="Note 18 3 3 2_Table 2A-1_EFT (Annual)" xfId="15557"/>
    <cellStyle name="Note 18 3 3 3" xfId="10107"/>
    <cellStyle name="Note 18 3 3 3 2" xfId="22224"/>
    <cellStyle name="Note 18 3 3 4" xfId="17111"/>
    <cellStyle name="Note 18 3 3_Table 2A-1_EFT (Annual)" xfId="7258"/>
    <cellStyle name="Note 18 3 4" xfId="2126"/>
    <cellStyle name="Note 18 3 4 2" xfId="5687"/>
    <cellStyle name="Note 18 3 4 2 2" xfId="13902"/>
    <cellStyle name="Note 18 3 4 2 2 2" xfId="25890"/>
    <cellStyle name="Note 18 3 4 2 3" xfId="20777"/>
    <cellStyle name="Note 18 3 4 2_Table 2A-1_EFT (Annual)" xfId="15558"/>
    <cellStyle name="Note 18 3 4 3" xfId="11246"/>
    <cellStyle name="Note 18 3 4 3 2" xfId="23344"/>
    <cellStyle name="Note 18 3 4 4" xfId="18231"/>
    <cellStyle name="Note 18 3 4_Table 2A-1_EFT (Annual)" xfId="7259"/>
    <cellStyle name="Note 18 3 5" xfId="3974"/>
    <cellStyle name="Note 18 3 5 2" xfId="12302"/>
    <cellStyle name="Note 18 3 5 2 2" xfId="24326"/>
    <cellStyle name="Note 18 3 5 3" xfId="19213"/>
    <cellStyle name="Note 18 3 5_Table 2A-1_EFT (Annual)" xfId="15559"/>
    <cellStyle name="Note 18 3 6" xfId="9639"/>
    <cellStyle name="Note 18 3 6 2" xfId="21780"/>
    <cellStyle name="Note 18 3 7" xfId="16667"/>
    <cellStyle name="Note 18 3_Table 2A-1_EFT (Annual)" xfId="3252"/>
    <cellStyle name="Note 18 4" xfId="1221"/>
    <cellStyle name="Note 18 4 2" xfId="2491"/>
    <cellStyle name="Note 18 4 2 2" xfId="6052"/>
    <cellStyle name="Note 18 4 2 2 2" xfId="14246"/>
    <cellStyle name="Note 18 4 2 2 2 2" xfId="26218"/>
    <cellStyle name="Note 18 4 2 2 3" xfId="21105"/>
    <cellStyle name="Note 18 4 2 2_Table 2A-1_EFT (Annual)" xfId="15560"/>
    <cellStyle name="Note 18 4 2 3" xfId="11588"/>
    <cellStyle name="Note 18 4 2 3 2" xfId="23672"/>
    <cellStyle name="Note 18 4 2 4" xfId="18559"/>
    <cellStyle name="Note 18 4 2_Table 2A-1_EFT (Annual)" xfId="7261"/>
    <cellStyle name="Note 18 4 3" xfId="4782"/>
    <cellStyle name="Note 18 4 3 2" xfId="13042"/>
    <cellStyle name="Note 18 4 3 2 2" xfId="25048"/>
    <cellStyle name="Note 18 4 3 3" xfId="19935"/>
    <cellStyle name="Note 18 4 3_Table 2A-1_EFT (Annual)" xfId="15561"/>
    <cellStyle name="Note 18 4 4" xfId="10386"/>
    <cellStyle name="Note 18 4 4 2" xfId="22502"/>
    <cellStyle name="Note 18 4 5" xfId="17389"/>
    <cellStyle name="Note 18 4_Table 2A-1_EFT (Annual)" xfId="7260"/>
    <cellStyle name="Note 18 5" xfId="778"/>
    <cellStyle name="Note 18 5 2" xfId="4339"/>
    <cellStyle name="Note 18 5 2 2" xfId="12619"/>
    <cellStyle name="Note 18 5 2 2 2" xfId="24636"/>
    <cellStyle name="Note 18 5 2 3" xfId="19523"/>
    <cellStyle name="Note 18 5 2_Table 2A-1_EFT (Annual)" xfId="15562"/>
    <cellStyle name="Note 18 5 3" xfId="9967"/>
    <cellStyle name="Note 18 5 3 2" xfId="22090"/>
    <cellStyle name="Note 18 5 4" xfId="16977"/>
    <cellStyle name="Note 18 5_Table 2A-1_EFT (Annual)" xfId="7262"/>
    <cellStyle name="Note 18 6" xfId="1960"/>
    <cellStyle name="Note 18 6 2" xfId="5521"/>
    <cellStyle name="Note 18 6 2 2" xfId="13736"/>
    <cellStyle name="Note 18 6 2 2 2" xfId="25724"/>
    <cellStyle name="Note 18 6 2 3" xfId="20611"/>
    <cellStyle name="Note 18 6 2_Table 2A-1_EFT (Annual)" xfId="15563"/>
    <cellStyle name="Note 18 6 3" xfId="11080"/>
    <cellStyle name="Note 18 6 3 2" xfId="23178"/>
    <cellStyle name="Note 18 6 4" xfId="18065"/>
    <cellStyle name="Note 18 6_Table 2A-1_EFT (Annual)" xfId="7263"/>
    <cellStyle name="Note 18 7" xfId="3762"/>
    <cellStyle name="Note 18 7 2" xfId="12130"/>
    <cellStyle name="Note 18 7 2 2" xfId="24160"/>
    <cellStyle name="Note 18 7 3" xfId="19047"/>
    <cellStyle name="Note 18 7_Table 2A-1_EFT (Annual)" xfId="15564"/>
    <cellStyle name="Note 18 8" xfId="9449"/>
    <cellStyle name="Note 18 8 2" xfId="21614"/>
    <cellStyle name="Note 18 9" xfId="16501"/>
    <cellStyle name="Note 18_Table 2A-1_EFT (Annual)" xfId="3250"/>
    <cellStyle name="Note 19" xfId="172"/>
    <cellStyle name="Note 19 2" xfId="565"/>
    <cellStyle name="Note 19 2 2" xfId="1542"/>
    <cellStyle name="Note 19 2 2 2" xfId="2812"/>
    <cellStyle name="Note 19 2 2 2 2" xfId="6373"/>
    <cellStyle name="Note 19 2 2 2 2 2" xfId="14567"/>
    <cellStyle name="Note 19 2 2 2 2 2 2" xfId="26539"/>
    <cellStyle name="Note 19 2 2 2 2 3" xfId="21426"/>
    <cellStyle name="Note 19 2 2 2 2_Table 2A-1_EFT (Annual)" xfId="15565"/>
    <cellStyle name="Note 19 2 2 2 3" xfId="11909"/>
    <cellStyle name="Note 19 2 2 2 3 2" xfId="23993"/>
    <cellStyle name="Note 19 2 2 2 4" xfId="18880"/>
    <cellStyle name="Note 19 2 2 2_Table 2A-1_EFT (Annual)" xfId="7265"/>
    <cellStyle name="Note 19 2 2 3" xfId="5103"/>
    <cellStyle name="Note 19 2 2 3 2" xfId="13363"/>
    <cellStyle name="Note 19 2 2 3 2 2" xfId="25369"/>
    <cellStyle name="Note 19 2 2 3 3" xfId="20256"/>
    <cellStyle name="Note 19 2 2 3_Table 2A-1_EFT (Annual)" xfId="15566"/>
    <cellStyle name="Note 19 2 2 4" xfId="10707"/>
    <cellStyle name="Note 19 2 2 4 2" xfId="22823"/>
    <cellStyle name="Note 19 2 2 5" xfId="17710"/>
    <cellStyle name="Note 19 2 2_Table 2A-1_EFT (Annual)" xfId="7264"/>
    <cellStyle name="Note 19 2 3" xfId="1068"/>
    <cellStyle name="Note 19 2 3 2" xfId="4629"/>
    <cellStyle name="Note 19 2 3 2 2" xfId="12889"/>
    <cellStyle name="Note 19 2 3 2 2 2" xfId="24895"/>
    <cellStyle name="Note 19 2 3 2 3" xfId="19782"/>
    <cellStyle name="Note 19 2 3 2_Table 2A-1_EFT (Annual)" xfId="15567"/>
    <cellStyle name="Note 19 2 3 3" xfId="10233"/>
    <cellStyle name="Note 19 2 3 3 2" xfId="22349"/>
    <cellStyle name="Note 19 2 3 4" xfId="17236"/>
    <cellStyle name="Note 19 2 3_Table 2A-1_EFT (Annual)" xfId="7266"/>
    <cellStyle name="Note 19 2 4" xfId="2281"/>
    <cellStyle name="Note 19 2 4 2" xfId="5842"/>
    <cellStyle name="Note 19 2 4 2 2" xfId="14057"/>
    <cellStyle name="Note 19 2 4 2 2 2" xfId="26045"/>
    <cellStyle name="Note 19 2 4 2 3" xfId="20932"/>
    <cellStyle name="Note 19 2 4 2_Table 2A-1_EFT (Annual)" xfId="15568"/>
    <cellStyle name="Note 19 2 4 3" xfId="11401"/>
    <cellStyle name="Note 19 2 4 3 2" xfId="23499"/>
    <cellStyle name="Note 19 2 4 4" xfId="18386"/>
    <cellStyle name="Note 19 2 4_Table 2A-1_EFT (Annual)" xfId="7267"/>
    <cellStyle name="Note 19 2 5" xfId="4135"/>
    <cellStyle name="Note 19 2 5 2" xfId="12459"/>
    <cellStyle name="Note 19 2 5 2 2" xfId="24481"/>
    <cellStyle name="Note 19 2 5 3" xfId="19368"/>
    <cellStyle name="Note 19 2 5_Table 2A-1_EFT (Annual)" xfId="15569"/>
    <cellStyle name="Note 19 2 6" xfId="9798"/>
    <cellStyle name="Note 19 2 6 2" xfId="21935"/>
    <cellStyle name="Note 19 2 7" xfId="16822"/>
    <cellStyle name="Note 19 2_Table 2A-1_EFT (Annual)" xfId="3254"/>
    <cellStyle name="Note 19 3" xfId="403"/>
    <cellStyle name="Note 19 3 2" xfId="1386"/>
    <cellStyle name="Note 19 3 2 2" xfId="2656"/>
    <cellStyle name="Note 19 3 2 2 2" xfId="6217"/>
    <cellStyle name="Note 19 3 2 2 2 2" xfId="14411"/>
    <cellStyle name="Note 19 3 2 2 2 2 2" xfId="26383"/>
    <cellStyle name="Note 19 3 2 2 2 3" xfId="21270"/>
    <cellStyle name="Note 19 3 2 2 2_Table 2A-1_EFT (Annual)" xfId="15570"/>
    <cellStyle name="Note 19 3 2 2 3" xfId="11753"/>
    <cellStyle name="Note 19 3 2 2 3 2" xfId="23837"/>
    <cellStyle name="Note 19 3 2 2 4" xfId="18724"/>
    <cellStyle name="Note 19 3 2 2_Table 2A-1_EFT (Annual)" xfId="7269"/>
    <cellStyle name="Note 19 3 2 3" xfId="4947"/>
    <cellStyle name="Note 19 3 2 3 2" xfId="13207"/>
    <cellStyle name="Note 19 3 2 3 2 2" xfId="25213"/>
    <cellStyle name="Note 19 3 2 3 3" xfId="20100"/>
    <cellStyle name="Note 19 3 2 3_Table 2A-1_EFT (Annual)" xfId="15571"/>
    <cellStyle name="Note 19 3 2 4" xfId="10551"/>
    <cellStyle name="Note 19 3 2 4 2" xfId="22667"/>
    <cellStyle name="Note 19 3 2 5" xfId="17554"/>
    <cellStyle name="Note 19 3 2_Table 2A-1_EFT (Annual)" xfId="7268"/>
    <cellStyle name="Note 19 3 3" xfId="936"/>
    <cellStyle name="Note 19 3 3 2" xfId="4497"/>
    <cellStyle name="Note 19 3 3 2 2" xfId="12759"/>
    <cellStyle name="Note 19 3 3 2 2 2" xfId="24769"/>
    <cellStyle name="Note 19 3 3 2 3" xfId="19656"/>
    <cellStyle name="Note 19 3 3 2_Table 2A-1_EFT (Annual)" xfId="15572"/>
    <cellStyle name="Note 19 3 3 3" xfId="10106"/>
    <cellStyle name="Note 19 3 3 3 2" xfId="22223"/>
    <cellStyle name="Note 19 3 3 4" xfId="17110"/>
    <cellStyle name="Note 19 3 3_Table 2A-1_EFT (Annual)" xfId="7270"/>
    <cellStyle name="Note 19 3 4" xfId="2125"/>
    <cellStyle name="Note 19 3 4 2" xfId="5686"/>
    <cellStyle name="Note 19 3 4 2 2" xfId="13901"/>
    <cellStyle name="Note 19 3 4 2 2 2" xfId="25889"/>
    <cellStyle name="Note 19 3 4 2 3" xfId="20776"/>
    <cellStyle name="Note 19 3 4 2_Table 2A-1_EFT (Annual)" xfId="15573"/>
    <cellStyle name="Note 19 3 4 3" xfId="11245"/>
    <cellStyle name="Note 19 3 4 3 2" xfId="23343"/>
    <cellStyle name="Note 19 3 4 4" xfId="18230"/>
    <cellStyle name="Note 19 3 4_Table 2A-1_EFT (Annual)" xfId="7271"/>
    <cellStyle name="Note 19 3 5" xfId="3973"/>
    <cellStyle name="Note 19 3 5 2" xfId="12301"/>
    <cellStyle name="Note 19 3 5 2 2" xfId="24325"/>
    <cellStyle name="Note 19 3 5 3" xfId="19212"/>
    <cellStyle name="Note 19 3 5_Table 2A-1_EFT (Annual)" xfId="15574"/>
    <cellStyle name="Note 19 3 6" xfId="9638"/>
    <cellStyle name="Note 19 3 6 2" xfId="21779"/>
    <cellStyle name="Note 19 3 7" xfId="16666"/>
    <cellStyle name="Note 19 3_Table 2A-1_EFT (Annual)" xfId="3255"/>
    <cellStyle name="Note 19 4" xfId="1220"/>
    <cellStyle name="Note 19 4 2" xfId="2490"/>
    <cellStyle name="Note 19 4 2 2" xfId="6051"/>
    <cellStyle name="Note 19 4 2 2 2" xfId="14245"/>
    <cellStyle name="Note 19 4 2 2 2 2" xfId="26217"/>
    <cellStyle name="Note 19 4 2 2 3" xfId="21104"/>
    <cellStyle name="Note 19 4 2 2_Table 2A-1_EFT (Annual)" xfId="15575"/>
    <cellStyle name="Note 19 4 2 3" xfId="11587"/>
    <cellStyle name="Note 19 4 2 3 2" xfId="23671"/>
    <cellStyle name="Note 19 4 2 4" xfId="18558"/>
    <cellStyle name="Note 19 4 2_Table 2A-1_EFT (Annual)" xfId="7273"/>
    <cellStyle name="Note 19 4 3" xfId="4781"/>
    <cellStyle name="Note 19 4 3 2" xfId="13041"/>
    <cellStyle name="Note 19 4 3 2 2" xfId="25047"/>
    <cellStyle name="Note 19 4 3 3" xfId="19934"/>
    <cellStyle name="Note 19 4 3_Table 2A-1_EFT (Annual)" xfId="15576"/>
    <cellStyle name="Note 19 4 4" xfId="10385"/>
    <cellStyle name="Note 19 4 4 2" xfId="22501"/>
    <cellStyle name="Note 19 4 5" xfId="17388"/>
    <cellStyle name="Note 19 4_Table 2A-1_EFT (Annual)" xfId="7272"/>
    <cellStyle name="Note 19 5" xfId="777"/>
    <cellStyle name="Note 19 5 2" xfId="4338"/>
    <cellStyle name="Note 19 5 2 2" xfId="12618"/>
    <cellStyle name="Note 19 5 2 2 2" xfId="24635"/>
    <cellStyle name="Note 19 5 2 3" xfId="19522"/>
    <cellStyle name="Note 19 5 2_Table 2A-1_EFT (Annual)" xfId="15577"/>
    <cellStyle name="Note 19 5 3" xfId="9966"/>
    <cellStyle name="Note 19 5 3 2" xfId="22089"/>
    <cellStyle name="Note 19 5 4" xfId="16976"/>
    <cellStyle name="Note 19 5_Table 2A-1_EFT (Annual)" xfId="7274"/>
    <cellStyle name="Note 19 6" xfId="1959"/>
    <cellStyle name="Note 19 6 2" xfId="5520"/>
    <cellStyle name="Note 19 6 2 2" xfId="13735"/>
    <cellStyle name="Note 19 6 2 2 2" xfId="25723"/>
    <cellStyle name="Note 19 6 2 3" xfId="20610"/>
    <cellStyle name="Note 19 6 2_Table 2A-1_EFT (Annual)" xfId="15578"/>
    <cellStyle name="Note 19 6 3" xfId="11079"/>
    <cellStyle name="Note 19 6 3 2" xfId="23177"/>
    <cellStyle name="Note 19 6 4" xfId="18064"/>
    <cellStyle name="Note 19 6_Table 2A-1_EFT (Annual)" xfId="7275"/>
    <cellStyle name="Note 19 7" xfId="3761"/>
    <cellStyle name="Note 19 7 2" xfId="12129"/>
    <cellStyle name="Note 19 7 2 2" xfId="24159"/>
    <cellStyle name="Note 19 7 3" xfId="19046"/>
    <cellStyle name="Note 19 7_Table 2A-1_EFT (Annual)" xfId="15579"/>
    <cellStyle name="Note 19 8" xfId="9448"/>
    <cellStyle name="Note 19 8 2" xfId="21613"/>
    <cellStyle name="Note 19 9" xfId="16500"/>
    <cellStyle name="Note 19_Table 2A-1_EFT (Annual)" xfId="3253"/>
    <cellStyle name="Note 2" xfId="101"/>
    <cellStyle name="Note 2 10" xfId="21514"/>
    <cellStyle name="Note 2 2" xfId="499"/>
    <cellStyle name="Note 2 2 2" xfId="1476"/>
    <cellStyle name="Note 2 2 2 2" xfId="2746"/>
    <cellStyle name="Note 2 2 2 2 2" xfId="6307"/>
    <cellStyle name="Note 2 2 2 2 2 2" xfId="14501"/>
    <cellStyle name="Note 2 2 2 2 2 2 2" xfId="26473"/>
    <cellStyle name="Note 2 2 2 2 2 3" xfId="21360"/>
    <cellStyle name="Note 2 2 2 2 2_Table 2A-1_EFT (Annual)" xfId="15580"/>
    <cellStyle name="Note 2 2 2 2 3" xfId="11843"/>
    <cellStyle name="Note 2 2 2 2 3 2" xfId="23927"/>
    <cellStyle name="Note 2 2 2 2 4" xfId="18814"/>
    <cellStyle name="Note 2 2 2 2_Table 2A-1_EFT (Annual)" xfId="7277"/>
    <cellStyle name="Note 2 2 2 3" xfId="5037"/>
    <cellStyle name="Note 2 2 2 3 2" xfId="13297"/>
    <cellStyle name="Note 2 2 2 3 2 2" xfId="25303"/>
    <cellStyle name="Note 2 2 2 3 3" xfId="20190"/>
    <cellStyle name="Note 2 2 2 3_Table 2A-1_EFT (Annual)" xfId="15581"/>
    <cellStyle name="Note 2 2 2 4" xfId="10641"/>
    <cellStyle name="Note 2 2 2 4 2" xfId="22757"/>
    <cellStyle name="Note 2 2 2 5" xfId="17644"/>
    <cellStyle name="Note 2 2 2_Table 2A-1_EFT (Annual)" xfId="7276"/>
    <cellStyle name="Note 2 2 3" xfId="1014"/>
    <cellStyle name="Note 2 2 3 2" xfId="4575"/>
    <cellStyle name="Note 2 2 3 2 2" xfId="12835"/>
    <cellStyle name="Note 2 2 3 2 2 2" xfId="24841"/>
    <cellStyle name="Note 2 2 3 2 3" xfId="19728"/>
    <cellStyle name="Note 2 2 3 2_Table 2A-1_EFT (Annual)" xfId="15582"/>
    <cellStyle name="Note 2 2 3 3" xfId="10179"/>
    <cellStyle name="Note 2 2 3 3 2" xfId="22295"/>
    <cellStyle name="Note 2 2 3 4" xfId="17182"/>
    <cellStyle name="Note 2 2 3_Table 2A-1_EFT (Annual)" xfId="7278"/>
    <cellStyle name="Note 2 2 4" xfId="2215"/>
    <cellStyle name="Note 2 2 4 2" xfId="5776"/>
    <cellStyle name="Note 2 2 4 2 2" xfId="13991"/>
    <cellStyle name="Note 2 2 4 2 2 2" xfId="25979"/>
    <cellStyle name="Note 2 2 4 2 3" xfId="20866"/>
    <cellStyle name="Note 2 2 4 2_Table 2A-1_EFT (Annual)" xfId="15583"/>
    <cellStyle name="Note 2 2 4 3" xfId="11335"/>
    <cellStyle name="Note 2 2 4 3 2" xfId="23433"/>
    <cellStyle name="Note 2 2 4 4" xfId="18320"/>
    <cellStyle name="Note 2 2 4_Table 2A-1_EFT (Annual)" xfId="7279"/>
    <cellStyle name="Note 2 2 5" xfId="4069"/>
    <cellStyle name="Note 2 2 5 2" xfId="12393"/>
    <cellStyle name="Note 2 2 5 2 2" xfId="24415"/>
    <cellStyle name="Note 2 2 5 3" xfId="19302"/>
    <cellStyle name="Note 2 2 5_Table 2A-1_EFT (Annual)" xfId="15584"/>
    <cellStyle name="Note 2 2 6" xfId="9732"/>
    <cellStyle name="Note 2 2 6 2" xfId="21869"/>
    <cellStyle name="Note 2 2 7" xfId="16756"/>
    <cellStyle name="Note 2 2_Table 2A-1_EFT (Annual)" xfId="3257"/>
    <cellStyle name="Note 2 3" xfId="332"/>
    <cellStyle name="Note 2 3 2" xfId="1320"/>
    <cellStyle name="Note 2 3 2 2" xfId="2590"/>
    <cellStyle name="Note 2 3 2 2 2" xfId="6151"/>
    <cellStyle name="Note 2 3 2 2 2 2" xfId="14345"/>
    <cellStyle name="Note 2 3 2 2 2 2 2" xfId="26317"/>
    <cellStyle name="Note 2 3 2 2 2 3" xfId="21204"/>
    <cellStyle name="Note 2 3 2 2 2_Table 2A-1_EFT (Annual)" xfId="15585"/>
    <cellStyle name="Note 2 3 2 2 3" xfId="11687"/>
    <cellStyle name="Note 2 3 2 2 3 2" xfId="23771"/>
    <cellStyle name="Note 2 3 2 2 4" xfId="18658"/>
    <cellStyle name="Note 2 3 2 2_Table 2A-1_EFT (Annual)" xfId="7281"/>
    <cellStyle name="Note 2 3 2 3" xfId="4881"/>
    <cellStyle name="Note 2 3 2 3 2" xfId="13141"/>
    <cellStyle name="Note 2 3 2 3 2 2" xfId="25147"/>
    <cellStyle name="Note 2 3 2 3 3" xfId="20034"/>
    <cellStyle name="Note 2 3 2 3_Table 2A-1_EFT (Annual)" xfId="15586"/>
    <cellStyle name="Note 2 3 2 4" xfId="10485"/>
    <cellStyle name="Note 2 3 2 4 2" xfId="22601"/>
    <cellStyle name="Note 2 3 2 5" xfId="17488"/>
    <cellStyle name="Note 2 3 2_Table 2A-1_EFT (Annual)" xfId="7280"/>
    <cellStyle name="Note 2 3 3" xfId="877"/>
    <cellStyle name="Note 2 3 3 2" xfId="4438"/>
    <cellStyle name="Note 2 3 3 2 2" xfId="12703"/>
    <cellStyle name="Note 2 3 3 2 2 2" xfId="24715"/>
    <cellStyle name="Note 2 3 3 2 3" xfId="19602"/>
    <cellStyle name="Note 2 3 3 2_Table 2A-1_EFT (Annual)" xfId="15587"/>
    <cellStyle name="Note 2 3 3 3" xfId="10050"/>
    <cellStyle name="Note 2 3 3 3 2" xfId="22169"/>
    <cellStyle name="Note 2 3 3 4" xfId="17056"/>
    <cellStyle name="Note 2 3 3_Table 2A-1_EFT (Annual)" xfId="7282"/>
    <cellStyle name="Note 2 3 4" xfId="2059"/>
    <cellStyle name="Note 2 3 4 2" xfId="5620"/>
    <cellStyle name="Note 2 3 4 2 2" xfId="13835"/>
    <cellStyle name="Note 2 3 4 2 2 2" xfId="25823"/>
    <cellStyle name="Note 2 3 4 2 3" xfId="20710"/>
    <cellStyle name="Note 2 3 4 2_Table 2A-1_EFT (Annual)" xfId="15588"/>
    <cellStyle name="Note 2 3 4 3" xfId="11179"/>
    <cellStyle name="Note 2 3 4 3 2" xfId="23277"/>
    <cellStyle name="Note 2 3 4 4" xfId="18164"/>
    <cellStyle name="Note 2 3 4_Table 2A-1_EFT (Annual)" xfId="7283"/>
    <cellStyle name="Note 2 3 5" xfId="3902"/>
    <cellStyle name="Note 2 3 5 2" xfId="12234"/>
    <cellStyle name="Note 2 3 5 2 2" xfId="24259"/>
    <cellStyle name="Note 2 3 5 3" xfId="19146"/>
    <cellStyle name="Note 2 3 5_Table 2A-1_EFT (Annual)" xfId="15589"/>
    <cellStyle name="Note 2 3 6" xfId="9571"/>
    <cellStyle name="Note 2 3 6 2" xfId="21713"/>
    <cellStyle name="Note 2 3 7" xfId="16600"/>
    <cellStyle name="Note 2 3_Table 2A-1_EFT (Annual)" xfId="3258"/>
    <cellStyle name="Note 2 4" xfId="1154"/>
    <cellStyle name="Note 2 4 2" xfId="2424"/>
    <cellStyle name="Note 2 4 2 2" xfId="5985"/>
    <cellStyle name="Note 2 4 2 2 2" xfId="14179"/>
    <cellStyle name="Note 2 4 2 2 2 2" xfId="26151"/>
    <cellStyle name="Note 2 4 2 2 3" xfId="21038"/>
    <cellStyle name="Note 2 4 2 2_Table 2A-1_EFT (Annual)" xfId="15590"/>
    <cellStyle name="Note 2 4 2 3" xfId="11521"/>
    <cellStyle name="Note 2 4 2 3 2" xfId="23605"/>
    <cellStyle name="Note 2 4 2 4" xfId="18492"/>
    <cellStyle name="Note 2 4 2_Table 2A-1_EFT (Annual)" xfId="7285"/>
    <cellStyle name="Note 2 4 3" xfId="4715"/>
    <cellStyle name="Note 2 4 3 2" xfId="12975"/>
    <cellStyle name="Note 2 4 3 2 2" xfId="24981"/>
    <cellStyle name="Note 2 4 3 3" xfId="19868"/>
    <cellStyle name="Note 2 4 3_Table 2A-1_EFT (Annual)" xfId="15591"/>
    <cellStyle name="Note 2 4 4" xfId="10319"/>
    <cellStyle name="Note 2 4 4 2" xfId="22435"/>
    <cellStyle name="Note 2 4 5" xfId="17322"/>
    <cellStyle name="Note 2 4_Table 2A-1_EFT (Annual)" xfId="7284"/>
    <cellStyle name="Note 2 5" xfId="718"/>
    <cellStyle name="Note 2 5 2" xfId="4279"/>
    <cellStyle name="Note 2 5 2 2" xfId="12563"/>
    <cellStyle name="Note 2 5 2 2 2" xfId="24581"/>
    <cellStyle name="Note 2 5 2 3" xfId="19468"/>
    <cellStyle name="Note 2 5 2_Table 2A-1_EFT (Annual)" xfId="15592"/>
    <cellStyle name="Note 2 5 3" xfId="9910"/>
    <cellStyle name="Note 2 5 3 2" xfId="22035"/>
    <cellStyle name="Note 2 5 4" xfId="16922"/>
    <cellStyle name="Note 2 5_Table 2A-1_EFT (Annual)" xfId="7286"/>
    <cellStyle name="Note 2 6" xfId="1807"/>
    <cellStyle name="Note 2 6 2" xfId="5368"/>
    <cellStyle name="Note 2 6 2 2" xfId="13583"/>
    <cellStyle name="Note 2 6 2 2 2" xfId="25571"/>
    <cellStyle name="Note 2 6 2 3" xfId="20458"/>
    <cellStyle name="Note 2 6 2_Table 2A-1_EFT (Annual)" xfId="15593"/>
    <cellStyle name="Note 2 6 3" xfId="10927"/>
    <cellStyle name="Note 2 6 3 2" xfId="23025"/>
    <cellStyle name="Note 2 6 4" xfId="17912"/>
    <cellStyle name="Note 2 6_Table 2A-1_EFT (Annual)" xfId="7287"/>
    <cellStyle name="Note 2 7" xfId="3690"/>
    <cellStyle name="Note 2 7 2" xfId="12062"/>
    <cellStyle name="Note 2 7 2 2" xfId="24093"/>
    <cellStyle name="Note 2 7 3" xfId="18980"/>
    <cellStyle name="Note 2 7_Table 2A-1_EFT (Annual)" xfId="15594"/>
    <cellStyle name="Note 2 8" xfId="9380"/>
    <cellStyle name="Note 2 8 2" xfId="21547"/>
    <cellStyle name="Note 2 9" xfId="16434"/>
    <cellStyle name="Note 2_Table 2A-1_EFT (Annual)" xfId="3256"/>
    <cellStyle name="Note 20" xfId="180"/>
    <cellStyle name="Note 20 2" xfId="573"/>
    <cellStyle name="Note 20 2 2" xfId="1550"/>
    <cellStyle name="Note 20 2 2 2" xfId="2820"/>
    <cellStyle name="Note 20 2 2 2 2" xfId="6381"/>
    <cellStyle name="Note 20 2 2 2 2 2" xfId="14575"/>
    <cellStyle name="Note 20 2 2 2 2 2 2" xfId="26547"/>
    <cellStyle name="Note 20 2 2 2 2 3" xfId="21434"/>
    <cellStyle name="Note 20 2 2 2 2_Table 2A-1_EFT (Annual)" xfId="15595"/>
    <cellStyle name="Note 20 2 2 2 3" xfId="11917"/>
    <cellStyle name="Note 20 2 2 2 3 2" xfId="24001"/>
    <cellStyle name="Note 20 2 2 2 4" xfId="18888"/>
    <cellStyle name="Note 20 2 2 2_Table 2A-1_EFT (Annual)" xfId="7289"/>
    <cellStyle name="Note 20 2 2 3" xfId="5111"/>
    <cellStyle name="Note 20 2 2 3 2" xfId="13371"/>
    <cellStyle name="Note 20 2 2 3 2 2" xfId="25377"/>
    <cellStyle name="Note 20 2 2 3 3" xfId="20264"/>
    <cellStyle name="Note 20 2 2 3_Table 2A-1_EFT (Annual)" xfId="15596"/>
    <cellStyle name="Note 20 2 2 4" xfId="10715"/>
    <cellStyle name="Note 20 2 2 4 2" xfId="22831"/>
    <cellStyle name="Note 20 2 2 5" xfId="17718"/>
    <cellStyle name="Note 20 2 2_Table 2A-1_EFT (Annual)" xfId="7288"/>
    <cellStyle name="Note 20 2 3" xfId="1075"/>
    <cellStyle name="Note 20 2 3 2" xfId="4636"/>
    <cellStyle name="Note 20 2 3 2 2" xfId="12896"/>
    <cellStyle name="Note 20 2 3 2 2 2" xfId="24902"/>
    <cellStyle name="Note 20 2 3 2 3" xfId="19789"/>
    <cellStyle name="Note 20 2 3 2_Table 2A-1_EFT (Annual)" xfId="15597"/>
    <cellStyle name="Note 20 2 3 3" xfId="10240"/>
    <cellStyle name="Note 20 2 3 3 2" xfId="22356"/>
    <cellStyle name="Note 20 2 3 4" xfId="17243"/>
    <cellStyle name="Note 20 2 3_Table 2A-1_EFT (Annual)" xfId="7290"/>
    <cellStyle name="Note 20 2 4" xfId="2289"/>
    <cellStyle name="Note 20 2 4 2" xfId="5850"/>
    <cellStyle name="Note 20 2 4 2 2" xfId="14065"/>
    <cellStyle name="Note 20 2 4 2 2 2" xfId="26053"/>
    <cellStyle name="Note 20 2 4 2 3" xfId="20940"/>
    <cellStyle name="Note 20 2 4 2_Table 2A-1_EFT (Annual)" xfId="15598"/>
    <cellStyle name="Note 20 2 4 3" xfId="11409"/>
    <cellStyle name="Note 20 2 4 3 2" xfId="23507"/>
    <cellStyle name="Note 20 2 4 4" xfId="18394"/>
    <cellStyle name="Note 20 2 4_Table 2A-1_EFT (Annual)" xfId="7291"/>
    <cellStyle name="Note 20 2 5" xfId="4143"/>
    <cellStyle name="Note 20 2 5 2" xfId="12467"/>
    <cellStyle name="Note 20 2 5 2 2" xfId="24489"/>
    <cellStyle name="Note 20 2 5 3" xfId="19376"/>
    <cellStyle name="Note 20 2 5_Table 2A-1_EFT (Annual)" xfId="15599"/>
    <cellStyle name="Note 20 2 6" xfId="9806"/>
    <cellStyle name="Note 20 2 6 2" xfId="21943"/>
    <cellStyle name="Note 20 2 7" xfId="16830"/>
    <cellStyle name="Note 20 2_Table 2A-1_EFT (Annual)" xfId="3260"/>
    <cellStyle name="Note 20 3" xfId="411"/>
    <cellStyle name="Note 20 3 2" xfId="1394"/>
    <cellStyle name="Note 20 3 2 2" xfId="2664"/>
    <cellStyle name="Note 20 3 2 2 2" xfId="6225"/>
    <cellStyle name="Note 20 3 2 2 2 2" xfId="14419"/>
    <cellStyle name="Note 20 3 2 2 2 2 2" xfId="26391"/>
    <cellStyle name="Note 20 3 2 2 2 3" xfId="21278"/>
    <cellStyle name="Note 20 3 2 2 2_Table 2A-1_EFT (Annual)" xfId="15600"/>
    <cellStyle name="Note 20 3 2 2 3" xfId="11761"/>
    <cellStyle name="Note 20 3 2 2 3 2" xfId="23845"/>
    <cellStyle name="Note 20 3 2 2 4" xfId="18732"/>
    <cellStyle name="Note 20 3 2 2_Table 2A-1_EFT (Annual)" xfId="7293"/>
    <cellStyle name="Note 20 3 2 3" xfId="4955"/>
    <cellStyle name="Note 20 3 2 3 2" xfId="13215"/>
    <cellStyle name="Note 20 3 2 3 2 2" xfId="25221"/>
    <cellStyle name="Note 20 3 2 3 3" xfId="20108"/>
    <cellStyle name="Note 20 3 2 3_Table 2A-1_EFT (Annual)" xfId="15601"/>
    <cellStyle name="Note 20 3 2 4" xfId="10559"/>
    <cellStyle name="Note 20 3 2 4 2" xfId="22675"/>
    <cellStyle name="Note 20 3 2 5" xfId="17562"/>
    <cellStyle name="Note 20 3 2_Table 2A-1_EFT (Annual)" xfId="7292"/>
    <cellStyle name="Note 20 3 3" xfId="943"/>
    <cellStyle name="Note 20 3 3 2" xfId="4504"/>
    <cellStyle name="Note 20 3 3 2 2" xfId="12766"/>
    <cellStyle name="Note 20 3 3 2 2 2" xfId="24776"/>
    <cellStyle name="Note 20 3 3 2 3" xfId="19663"/>
    <cellStyle name="Note 20 3 3 2_Table 2A-1_EFT (Annual)" xfId="15602"/>
    <cellStyle name="Note 20 3 3 3" xfId="10113"/>
    <cellStyle name="Note 20 3 3 3 2" xfId="22230"/>
    <cellStyle name="Note 20 3 3 4" xfId="17117"/>
    <cellStyle name="Note 20 3 3_Table 2A-1_EFT (Annual)" xfId="7294"/>
    <cellStyle name="Note 20 3 4" xfId="2133"/>
    <cellStyle name="Note 20 3 4 2" xfId="5694"/>
    <cellStyle name="Note 20 3 4 2 2" xfId="13909"/>
    <cellStyle name="Note 20 3 4 2 2 2" xfId="25897"/>
    <cellStyle name="Note 20 3 4 2 3" xfId="20784"/>
    <cellStyle name="Note 20 3 4 2_Table 2A-1_EFT (Annual)" xfId="15603"/>
    <cellStyle name="Note 20 3 4 3" xfId="11253"/>
    <cellStyle name="Note 20 3 4 3 2" xfId="23351"/>
    <cellStyle name="Note 20 3 4 4" xfId="18238"/>
    <cellStyle name="Note 20 3 4_Table 2A-1_EFT (Annual)" xfId="7295"/>
    <cellStyle name="Note 20 3 5" xfId="3981"/>
    <cellStyle name="Note 20 3 5 2" xfId="12309"/>
    <cellStyle name="Note 20 3 5 2 2" xfId="24333"/>
    <cellStyle name="Note 20 3 5 3" xfId="19220"/>
    <cellStyle name="Note 20 3 5_Table 2A-1_EFT (Annual)" xfId="15604"/>
    <cellStyle name="Note 20 3 6" xfId="9646"/>
    <cellStyle name="Note 20 3 6 2" xfId="21787"/>
    <cellStyle name="Note 20 3 7" xfId="16674"/>
    <cellStyle name="Note 20 3_Table 2A-1_EFT (Annual)" xfId="3261"/>
    <cellStyle name="Note 20 4" xfId="1228"/>
    <cellStyle name="Note 20 4 2" xfId="2498"/>
    <cellStyle name="Note 20 4 2 2" xfId="6059"/>
    <cellStyle name="Note 20 4 2 2 2" xfId="14253"/>
    <cellStyle name="Note 20 4 2 2 2 2" xfId="26225"/>
    <cellStyle name="Note 20 4 2 2 3" xfId="21112"/>
    <cellStyle name="Note 20 4 2 2_Table 2A-1_EFT (Annual)" xfId="15605"/>
    <cellStyle name="Note 20 4 2 3" xfId="11595"/>
    <cellStyle name="Note 20 4 2 3 2" xfId="23679"/>
    <cellStyle name="Note 20 4 2 4" xfId="18566"/>
    <cellStyle name="Note 20 4 2_Table 2A-1_EFT (Annual)" xfId="7297"/>
    <cellStyle name="Note 20 4 3" xfId="4789"/>
    <cellStyle name="Note 20 4 3 2" xfId="13049"/>
    <cellStyle name="Note 20 4 3 2 2" xfId="25055"/>
    <cellStyle name="Note 20 4 3 3" xfId="19942"/>
    <cellStyle name="Note 20 4 3_Table 2A-1_EFT (Annual)" xfId="15606"/>
    <cellStyle name="Note 20 4 4" xfId="10393"/>
    <cellStyle name="Note 20 4 4 2" xfId="22509"/>
    <cellStyle name="Note 20 4 5" xfId="17396"/>
    <cellStyle name="Note 20 4_Table 2A-1_EFT (Annual)" xfId="7296"/>
    <cellStyle name="Note 20 5" xfId="784"/>
    <cellStyle name="Note 20 5 2" xfId="4345"/>
    <cellStyle name="Note 20 5 2 2" xfId="12625"/>
    <cellStyle name="Note 20 5 2 2 2" xfId="24642"/>
    <cellStyle name="Note 20 5 2 3" xfId="19529"/>
    <cellStyle name="Note 20 5 2_Table 2A-1_EFT (Annual)" xfId="15607"/>
    <cellStyle name="Note 20 5 3" xfId="9973"/>
    <cellStyle name="Note 20 5 3 2" xfId="22096"/>
    <cellStyle name="Note 20 5 4" xfId="16983"/>
    <cellStyle name="Note 20 5_Table 2A-1_EFT (Annual)" xfId="7298"/>
    <cellStyle name="Note 20 6" xfId="1967"/>
    <cellStyle name="Note 20 6 2" xfId="5528"/>
    <cellStyle name="Note 20 6 2 2" xfId="13743"/>
    <cellStyle name="Note 20 6 2 2 2" xfId="25731"/>
    <cellStyle name="Note 20 6 2 3" xfId="20618"/>
    <cellStyle name="Note 20 6 2_Table 2A-1_EFT (Annual)" xfId="15608"/>
    <cellStyle name="Note 20 6 3" xfId="11087"/>
    <cellStyle name="Note 20 6 3 2" xfId="23185"/>
    <cellStyle name="Note 20 6 4" xfId="18072"/>
    <cellStyle name="Note 20 6_Table 2A-1_EFT (Annual)" xfId="7299"/>
    <cellStyle name="Note 20 7" xfId="3769"/>
    <cellStyle name="Note 20 7 2" xfId="12137"/>
    <cellStyle name="Note 20 7 2 2" xfId="24167"/>
    <cellStyle name="Note 20 7 3" xfId="19054"/>
    <cellStyle name="Note 20 7_Table 2A-1_EFT (Annual)" xfId="15609"/>
    <cellStyle name="Note 20 8" xfId="9456"/>
    <cellStyle name="Note 20 8 2" xfId="21621"/>
    <cellStyle name="Note 20 9" xfId="16508"/>
    <cellStyle name="Note 20_Table 2A-1_EFT (Annual)" xfId="3259"/>
    <cellStyle name="Note 21" xfId="203"/>
    <cellStyle name="Note 21 2" xfId="596"/>
    <cellStyle name="Note 21 2 2" xfId="1573"/>
    <cellStyle name="Note 21 2 2 2" xfId="2843"/>
    <cellStyle name="Note 21 2 2 2 2" xfId="6404"/>
    <cellStyle name="Note 21 2 2 2 2 2" xfId="14598"/>
    <cellStyle name="Note 21 2 2 2 2 2 2" xfId="26570"/>
    <cellStyle name="Note 21 2 2 2 2 3" xfId="21457"/>
    <cellStyle name="Note 21 2 2 2 2_Table 2A-1_EFT (Annual)" xfId="15610"/>
    <cellStyle name="Note 21 2 2 2 3" xfId="11940"/>
    <cellStyle name="Note 21 2 2 2 3 2" xfId="24024"/>
    <cellStyle name="Note 21 2 2 2 4" xfId="18911"/>
    <cellStyle name="Note 21 2 2 2_Table 2A-1_EFT (Annual)" xfId="7301"/>
    <cellStyle name="Note 21 2 2 3" xfId="5134"/>
    <cellStyle name="Note 21 2 2 3 2" xfId="13394"/>
    <cellStyle name="Note 21 2 2 3 2 2" xfId="25400"/>
    <cellStyle name="Note 21 2 2 3 3" xfId="20287"/>
    <cellStyle name="Note 21 2 2 3_Table 2A-1_EFT (Annual)" xfId="15611"/>
    <cellStyle name="Note 21 2 2 4" xfId="10738"/>
    <cellStyle name="Note 21 2 2 4 2" xfId="22854"/>
    <cellStyle name="Note 21 2 2 5" xfId="17741"/>
    <cellStyle name="Note 21 2 2_Table 2A-1_EFT (Annual)" xfId="7300"/>
    <cellStyle name="Note 21 2 3" xfId="1093"/>
    <cellStyle name="Note 21 2 3 2" xfId="4654"/>
    <cellStyle name="Note 21 2 3 2 2" xfId="12914"/>
    <cellStyle name="Note 21 2 3 2 2 2" xfId="24920"/>
    <cellStyle name="Note 21 2 3 2 3" xfId="19807"/>
    <cellStyle name="Note 21 2 3 2_Table 2A-1_EFT (Annual)" xfId="15612"/>
    <cellStyle name="Note 21 2 3 3" xfId="10258"/>
    <cellStyle name="Note 21 2 3 3 2" xfId="22374"/>
    <cellStyle name="Note 21 2 3 4" xfId="17261"/>
    <cellStyle name="Note 21 2 3_Table 2A-1_EFT (Annual)" xfId="7302"/>
    <cellStyle name="Note 21 2 4" xfId="2312"/>
    <cellStyle name="Note 21 2 4 2" xfId="5873"/>
    <cellStyle name="Note 21 2 4 2 2" xfId="14088"/>
    <cellStyle name="Note 21 2 4 2 2 2" xfId="26076"/>
    <cellStyle name="Note 21 2 4 2 3" xfId="20963"/>
    <cellStyle name="Note 21 2 4 2_Table 2A-1_EFT (Annual)" xfId="15613"/>
    <cellStyle name="Note 21 2 4 3" xfId="11432"/>
    <cellStyle name="Note 21 2 4 3 2" xfId="23530"/>
    <cellStyle name="Note 21 2 4 4" xfId="18417"/>
    <cellStyle name="Note 21 2 4_Table 2A-1_EFT (Annual)" xfId="7303"/>
    <cellStyle name="Note 21 2 5" xfId="4166"/>
    <cellStyle name="Note 21 2 5 2" xfId="12490"/>
    <cellStyle name="Note 21 2 5 2 2" xfId="24512"/>
    <cellStyle name="Note 21 2 5 3" xfId="19399"/>
    <cellStyle name="Note 21 2 5_Table 2A-1_EFT (Annual)" xfId="15614"/>
    <cellStyle name="Note 21 2 6" xfId="9829"/>
    <cellStyle name="Note 21 2 6 2" xfId="21966"/>
    <cellStyle name="Note 21 2 7" xfId="16853"/>
    <cellStyle name="Note 21 2_Table 2A-1_EFT (Annual)" xfId="3263"/>
    <cellStyle name="Note 21 3" xfId="432"/>
    <cellStyle name="Note 21 3 2" xfId="1415"/>
    <cellStyle name="Note 21 3 2 2" xfId="2685"/>
    <cellStyle name="Note 21 3 2 2 2" xfId="6246"/>
    <cellStyle name="Note 21 3 2 2 2 2" xfId="14440"/>
    <cellStyle name="Note 21 3 2 2 2 2 2" xfId="26412"/>
    <cellStyle name="Note 21 3 2 2 2 3" xfId="21299"/>
    <cellStyle name="Note 21 3 2 2 2_Table 2A-1_EFT (Annual)" xfId="15615"/>
    <cellStyle name="Note 21 3 2 2 3" xfId="11782"/>
    <cellStyle name="Note 21 3 2 2 3 2" xfId="23866"/>
    <cellStyle name="Note 21 3 2 2 4" xfId="18753"/>
    <cellStyle name="Note 21 3 2 2_Table 2A-1_EFT (Annual)" xfId="7305"/>
    <cellStyle name="Note 21 3 2 3" xfId="4976"/>
    <cellStyle name="Note 21 3 2 3 2" xfId="13236"/>
    <cellStyle name="Note 21 3 2 3 2 2" xfId="25242"/>
    <cellStyle name="Note 21 3 2 3 3" xfId="20129"/>
    <cellStyle name="Note 21 3 2 3_Table 2A-1_EFT (Annual)" xfId="15616"/>
    <cellStyle name="Note 21 3 2 4" xfId="10580"/>
    <cellStyle name="Note 21 3 2 4 2" xfId="22696"/>
    <cellStyle name="Note 21 3 2 5" xfId="17583"/>
    <cellStyle name="Note 21 3 2_Table 2A-1_EFT (Annual)" xfId="7304"/>
    <cellStyle name="Note 21 3 3" xfId="959"/>
    <cellStyle name="Note 21 3 3 2" xfId="4520"/>
    <cellStyle name="Note 21 3 3 2 2" xfId="12782"/>
    <cellStyle name="Note 21 3 3 2 2 2" xfId="24792"/>
    <cellStyle name="Note 21 3 3 2 3" xfId="19679"/>
    <cellStyle name="Note 21 3 3 2_Table 2A-1_EFT (Annual)" xfId="15617"/>
    <cellStyle name="Note 21 3 3 3" xfId="10129"/>
    <cellStyle name="Note 21 3 3 3 2" xfId="22246"/>
    <cellStyle name="Note 21 3 3 4" xfId="17133"/>
    <cellStyle name="Note 21 3 3_Table 2A-1_EFT (Annual)" xfId="7306"/>
    <cellStyle name="Note 21 3 4" xfId="2154"/>
    <cellStyle name="Note 21 3 4 2" xfId="5715"/>
    <cellStyle name="Note 21 3 4 2 2" xfId="13930"/>
    <cellStyle name="Note 21 3 4 2 2 2" xfId="25918"/>
    <cellStyle name="Note 21 3 4 2 3" xfId="20805"/>
    <cellStyle name="Note 21 3 4 2_Table 2A-1_EFT (Annual)" xfId="15618"/>
    <cellStyle name="Note 21 3 4 3" xfId="11274"/>
    <cellStyle name="Note 21 3 4 3 2" xfId="23372"/>
    <cellStyle name="Note 21 3 4 4" xfId="18259"/>
    <cellStyle name="Note 21 3 4_Table 2A-1_EFT (Annual)" xfId="7307"/>
    <cellStyle name="Note 21 3 5" xfId="4002"/>
    <cellStyle name="Note 21 3 5 2" xfId="12330"/>
    <cellStyle name="Note 21 3 5 2 2" xfId="24354"/>
    <cellStyle name="Note 21 3 5 3" xfId="19241"/>
    <cellStyle name="Note 21 3 5_Table 2A-1_EFT (Annual)" xfId="15619"/>
    <cellStyle name="Note 21 3 6" xfId="9667"/>
    <cellStyle name="Note 21 3 6 2" xfId="21808"/>
    <cellStyle name="Note 21 3 7" xfId="16695"/>
    <cellStyle name="Note 21 3_Table 2A-1_EFT (Annual)" xfId="3264"/>
    <cellStyle name="Note 21 4" xfId="1251"/>
    <cellStyle name="Note 21 4 2" xfId="2521"/>
    <cellStyle name="Note 21 4 2 2" xfId="6082"/>
    <cellStyle name="Note 21 4 2 2 2" xfId="14276"/>
    <cellStyle name="Note 21 4 2 2 2 2" xfId="26248"/>
    <cellStyle name="Note 21 4 2 2 3" xfId="21135"/>
    <cellStyle name="Note 21 4 2 2_Table 2A-1_EFT (Annual)" xfId="15620"/>
    <cellStyle name="Note 21 4 2 3" xfId="11618"/>
    <cellStyle name="Note 21 4 2 3 2" xfId="23702"/>
    <cellStyle name="Note 21 4 2 4" xfId="18589"/>
    <cellStyle name="Note 21 4 2_Table 2A-1_EFT (Annual)" xfId="7309"/>
    <cellStyle name="Note 21 4 3" xfId="4812"/>
    <cellStyle name="Note 21 4 3 2" xfId="13072"/>
    <cellStyle name="Note 21 4 3 2 2" xfId="25078"/>
    <cellStyle name="Note 21 4 3 3" xfId="19965"/>
    <cellStyle name="Note 21 4 3_Table 2A-1_EFT (Annual)" xfId="15621"/>
    <cellStyle name="Note 21 4 4" xfId="10416"/>
    <cellStyle name="Note 21 4 4 2" xfId="22532"/>
    <cellStyle name="Note 21 4 5" xfId="17419"/>
    <cellStyle name="Note 21 4_Table 2A-1_EFT (Annual)" xfId="7308"/>
    <cellStyle name="Note 21 5" xfId="802"/>
    <cellStyle name="Note 21 5 2" xfId="4363"/>
    <cellStyle name="Note 21 5 2 2" xfId="12643"/>
    <cellStyle name="Note 21 5 2 2 2" xfId="24660"/>
    <cellStyle name="Note 21 5 2 3" xfId="19547"/>
    <cellStyle name="Note 21 5 2_Table 2A-1_EFT (Annual)" xfId="15622"/>
    <cellStyle name="Note 21 5 3" xfId="9991"/>
    <cellStyle name="Note 21 5 3 2" xfId="22114"/>
    <cellStyle name="Note 21 5 4" xfId="17001"/>
    <cellStyle name="Note 21 5_Table 2A-1_EFT (Annual)" xfId="7310"/>
    <cellStyle name="Note 21 6" xfId="1990"/>
    <cellStyle name="Note 21 6 2" xfId="5551"/>
    <cellStyle name="Note 21 6 2 2" xfId="13766"/>
    <cellStyle name="Note 21 6 2 2 2" xfId="25754"/>
    <cellStyle name="Note 21 6 2 3" xfId="20641"/>
    <cellStyle name="Note 21 6 2_Table 2A-1_EFT (Annual)" xfId="15623"/>
    <cellStyle name="Note 21 6 3" xfId="11110"/>
    <cellStyle name="Note 21 6 3 2" xfId="23208"/>
    <cellStyle name="Note 21 6 4" xfId="18095"/>
    <cellStyle name="Note 21 6_Table 2A-1_EFT (Annual)" xfId="7311"/>
    <cellStyle name="Note 21 7" xfId="3792"/>
    <cellStyle name="Note 21 7 2" xfId="12160"/>
    <cellStyle name="Note 21 7 2 2" xfId="24190"/>
    <cellStyle name="Note 21 7 3" xfId="19077"/>
    <cellStyle name="Note 21 7_Table 2A-1_EFT (Annual)" xfId="15624"/>
    <cellStyle name="Note 21 8" xfId="9479"/>
    <cellStyle name="Note 21 8 2" xfId="21644"/>
    <cellStyle name="Note 21 9" xfId="16531"/>
    <cellStyle name="Note 21_Table 2A-1_EFT (Annual)" xfId="3262"/>
    <cellStyle name="Note 22" xfId="188"/>
    <cellStyle name="Note 22 2" xfId="581"/>
    <cellStyle name="Note 22 2 2" xfId="1558"/>
    <cellStyle name="Note 22 2 2 2" xfId="2828"/>
    <cellStyle name="Note 22 2 2 2 2" xfId="6389"/>
    <cellStyle name="Note 22 2 2 2 2 2" xfId="14583"/>
    <cellStyle name="Note 22 2 2 2 2 2 2" xfId="26555"/>
    <cellStyle name="Note 22 2 2 2 2 3" xfId="21442"/>
    <cellStyle name="Note 22 2 2 2 2_Table 2A-1_EFT (Annual)" xfId="15625"/>
    <cellStyle name="Note 22 2 2 2 3" xfId="11925"/>
    <cellStyle name="Note 22 2 2 2 3 2" xfId="24009"/>
    <cellStyle name="Note 22 2 2 2 4" xfId="18896"/>
    <cellStyle name="Note 22 2 2 2_Table 2A-1_EFT (Annual)" xfId="7313"/>
    <cellStyle name="Note 22 2 2 3" xfId="5119"/>
    <cellStyle name="Note 22 2 2 3 2" xfId="13379"/>
    <cellStyle name="Note 22 2 2 3 2 2" xfId="25385"/>
    <cellStyle name="Note 22 2 2 3 3" xfId="20272"/>
    <cellStyle name="Note 22 2 2 3_Table 2A-1_EFT (Annual)" xfId="15626"/>
    <cellStyle name="Note 22 2 2 4" xfId="10723"/>
    <cellStyle name="Note 22 2 2 4 2" xfId="22839"/>
    <cellStyle name="Note 22 2 2 5" xfId="17726"/>
    <cellStyle name="Note 22 2 2_Table 2A-1_EFT (Annual)" xfId="7312"/>
    <cellStyle name="Note 22 2 3" xfId="1081"/>
    <cellStyle name="Note 22 2 3 2" xfId="4642"/>
    <cellStyle name="Note 22 2 3 2 2" xfId="12902"/>
    <cellStyle name="Note 22 2 3 2 2 2" xfId="24908"/>
    <cellStyle name="Note 22 2 3 2 3" xfId="19795"/>
    <cellStyle name="Note 22 2 3 2_Table 2A-1_EFT (Annual)" xfId="15627"/>
    <cellStyle name="Note 22 2 3 3" xfId="10246"/>
    <cellStyle name="Note 22 2 3 3 2" xfId="22362"/>
    <cellStyle name="Note 22 2 3 4" xfId="17249"/>
    <cellStyle name="Note 22 2 3_Table 2A-1_EFT (Annual)" xfId="7314"/>
    <cellStyle name="Note 22 2 4" xfId="2297"/>
    <cellStyle name="Note 22 2 4 2" xfId="5858"/>
    <cellStyle name="Note 22 2 4 2 2" xfId="14073"/>
    <cellStyle name="Note 22 2 4 2 2 2" xfId="26061"/>
    <cellStyle name="Note 22 2 4 2 3" xfId="20948"/>
    <cellStyle name="Note 22 2 4 2_Table 2A-1_EFT (Annual)" xfId="15628"/>
    <cellStyle name="Note 22 2 4 3" xfId="11417"/>
    <cellStyle name="Note 22 2 4 3 2" xfId="23515"/>
    <cellStyle name="Note 22 2 4 4" xfId="18402"/>
    <cellStyle name="Note 22 2 4_Table 2A-1_EFT (Annual)" xfId="7315"/>
    <cellStyle name="Note 22 2 5" xfId="4151"/>
    <cellStyle name="Note 22 2 5 2" xfId="12475"/>
    <cellStyle name="Note 22 2 5 2 2" xfId="24497"/>
    <cellStyle name="Note 22 2 5 3" xfId="19384"/>
    <cellStyle name="Note 22 2 5_Table 2A-1_EFT (Annual)" xfId="15629"/>
    <cellStyle name="Note 22 2 6" xfId="9814"/>
    <cellStyle name="Note 22 2 6 2" xfId="21951"/>
    <cellStyle name="Note 22 2 7" xfId="16838"/>
    <cellStyle name="Note 22 2_Table 2A-1_EFT (Annual)" xfId="3266"/>
    <cellStyle name="Note 22 3" xfId="418"/>
    <cellStyle name="Note 22 3 2" xfId="1401"/>
    <cellStyle name="Note 22 3 2 2" xfId="2671"/>
    <cellStyle name="Note 22 3 2 2 2" xfId="6232"/>
    <cellStyle name="Note 22 3 2 2 2 2" xfId="14426"/>
    <cellStyle name="Note 22 3 2 2 2 2 2" xfId="26398"/>
    <cellStyle name="Note 22 3 2 2 2 3" xfId="21285"/>
    <cellStyle name="Note 22 3 2 2 2_Table 2A-1_EFT (Annual)" xfId="15630"/>
    <cellStyle name="Note 22 3 2 2 3" xfId="11768"/>
    <cellStyle name="Note 22 3 2 2 3 2" xfId="23852"/>
    <cellStyle name="Note 22 3 2 2 4" xfId="18739"/>
    <cellStyle name="Note 22 3 2 2_Table 2A-1_EFT (Annual)" xfId="7317"/>
    <cellStyle name="Note 22 3 2 3" xfId="4962"/>
    <cellStyle name="Note 22 3 2 3 2" xfId="13222"/>
    <cellStyle name="Note 22 3 2 3 2 2" xfId="25228"/>
    <cellStyle name="Note 22 3 2 3 3" xfId="20115"/>
    <cellStyle name="Note 22 3 2 3_Table 2A-1_EFT (Annual)" xfId="15631"/>
    <cellStyle name="Note 22 3 2 4" xfId="10566"/>
    <cellStyle name="Note 22 3 2 4 2" xfId="22682"/>
    <cellStyle name="Note 22 3 2 5" xfId="17569"/>
    <cellStyle name="Note 22 3 2_Table 2A-1_EFT (Annual)" xfId="7316"/>
    <cellStyle name="Note 22 3 3" xfId="948"/>
    <cellStyle name="Note 22 3 3 2" xfId="4509"/>
    <cellStyle name="Note 22 3 3 2 2" xfId="12771"/>
    <cellStyle name="Note 22 3 3 2 2 2" xfId="24781"/>
    <cellStyle name="Note 22 3 3 2 3" xfId="19668"/>
    <cellStyle name="Note 22 3 3 2_Table 2A-1_EFT (Annual)" xfId="15632"/>
    <cellStyle name="Note 22 3 3 3" xfId="10118"/>
    <cellStyle name="Note 22 3 3 3 2" xfId="22235"/>
    <cellStyle name="Note 22 3 3 4" xfId="17122"/>
    <cellStyle name="Note 22 3 3_Table 2A-1_EFT (Annual)" xfId="7318"/>
    <cellStyle name="Note 22 3 4" xfId="2140"/>
    <cellStyle name="Note 22 3 4 2" xfId="5701"/>
    <cellStyle name="Note 22 3 4 2 2" xfId="13916"/>
    <cellStyle name="Note 22 3 4 2 2 2" xfId="25904"/>
    <cellStyle name="Note 22 3 4 2 3" xfId="20791"/>
    <cellStyle name="Note 22 3 4 2_Table 2A-1_EFT (Annual)" xfId="15633"/>
    <cellStyle name="Note 22 3 4 3" xfId="11260"/>
    <cellStyle name="Note 22 3 4 3 2" xfId="23358"/>
    <cellStyle name="Note 22 3 4 4" xfId="18245"/>
    <cellStyle name="Note 22 3 4_Table 2A-1_EFT (Annual)" xfId="7319"/>
    <cellStyle name="Note 22 3 5" xfId="3988"/>
    <cellStyle name="Note 22 3 5 2" xfId="12316"/>
    <cellStyle name="Note 22 3 5 2 2" xfId="24340"/>
    <cellStyle name="Note 22 3 5 3" xfId="19227"/>
    <cellStyle name="Note 22 3 5_Table 2A-1_EFT (Annual)" xfId="15634"/>
    <cellStyle name="Note 22 3 6" xfId="9653"/>
    <cellStyle name="Note 22 3 6 2" xfId="21794"/>
    <cellStyle name="Note 22 3 7" xfId="16681"/>
    <cellStyle name="Note 22 3_Table 2A-1_EFT (Annual)" xfId="3267"/>
    <cellStyle name="Note 22 4" xfId="1236"/>
    <cellStyle name="Note 22 4 2" xfId="2506"/>
    <cellStyle name="Note 22 4 2 2" xfId="6067"/>
    <cellStyle name="Note 22 4 2 2 2" xfId="14261"/>
    <cellStyle name="Note 22 4 2 2 2 2" xfId="26233"/>
    <cellStyle name="Note 22 4 2 2 3" xfId="21120"/>
    <cellStyle name="Note 22 4 2 2_Table 2A-1_EFT (Annual)" xfId="15635"/>
    <cellStyle name="Note 22 4 2 3" xfId="11603"/>
    <cellStyle name="Note 22 4 2 3 2" xfId="23687"/>
    <cellStyle name="Note 22 4 2 4" xfId="18574"/>
    <cellStyle name="Note 22 4 2_Table 2A-1_EFT (Annual)" xfId="7321"/>
    <cellStyle name="Note 22 4 3" xfId="4797"/>
    <cellStyle name="Note 22 4 3 2" xfId="13057"/>
    <cellStyle name="Note 22 4 3 2 2" xfId="25063"/>
    <cellStyle name="Note 22 4 3 3" xfId="19950"/>
    <cellStyle name="Note 22 4 3_Table 2A-1_EFT (Annual)" xfId="15636"/>
    <cellStyle name="Note 22 4 4" xfId="10401"/>
    <cellStyle name="Note 22 4 4 2" xfId="22517"/>
    <cellStyle name="Note 22 4 5" xfId="17404"/>
    <cellStyle name="Note 22 4_Table 2A-1_EFT (Annual)" xfId="7320"/>
    <cellStyle name="Note 22 5" xfId="790"/>
    <cellStyle name="Note 22 5 2" xfId="4351"/>
    <cellStyle name="Note 22 5 2 2" xfId="12631"/>
    <cellStyle name="Note 22 5 2 2 2" xfId="24648"/>
    <cellStyle name="Note 22 5 2 3" xfId="19535"/>
    <cellStyle name="Note 22 5 2_Table 2A-1_EFT (Annual)" xfId="15637"/>
    <cellStyle name="Note 22 5 3" xfId="9979"/>
    <cellStyle name="Note 22 5 3 2" xfId="22102"/>
    <cellStyle name="Note 22 5 4" xfId="16989"/>
    <cellStyle name="Note 22 5_Table 2A-1_EFT (Annual)" xfId="7322"/>
    <cellStyle name="Note 22 6" xfId="1975"/>
    <cellStyle name="Note 22 6 2" xfId="5536"/>
    <cellStyle name="Note 22 6 2 2" xfId="13751"/>
    <cellStyle name="Note 22 6 2 2 2" xfId="25739"/>
    <cellStyle name="Note 22 6 2 3" xfId="20626"/>
    <cellStyle name="Note 22 6 2_Table 2A-1_EFT (Annual)" xfId="15638"/>
    <cellStyle name="Note 22 6 3" xfId="11095"/>
    <cellStyle name="Note 22 6 3 2" xfId="23193"/>
    <cellStyle name="Note 22 6 4" xfId="18080"/>
    <cellStyle name="Note 22 6_Table 2A-1_EFT (Annual)" xfId="7323"/>
    <cellStyle name="Note 22 7" xfId="3777"/>
    <cellStyle name="Note 22 7 2" xfId="12145"/>
    <cellStyle name="Note 22 7 2 2" xfId="24175"/>
    <cellStyle name="Note 22 7 3" xfId="19062"/>
    <cellStyle name="Note 22 7_Table 2A-1_EFT (Annual)" xfId="15639"/>
    <cellStyle name="Note 22 8" xfId="9464"/>
    <cellStyle name="Note 22 8 2" xfId="21629"/>
    <cellStyle name="Note 22 9" xfId="16516"/>
    <cellStyle name="Note 22_Table 2A-1_EFT (Annual)" xfId="3265"/>
    <cellStyle name="Note 23" xfId="214"/>
    <cellStyle name="Note 23 2" xfId="607"/>
    <cellStyle name="Note 23 2 2" xfId="1584"/>
    <cellStyle name="Note 23 2 2 2" xfId="2854"/>
    <cellStyle name="Note 23 2 2 2 2" xfId="6415"/>
    <cellStyle name="Note 23 2 2 2 2 2" xfId="14609"/>
    <cellStyle name="Note 23 2 2 2 2 2 2" xfId="26581"/>
    <cellStyle name="Note 23 2 2 2 2 3" xfId="21468"/>
    <cellStyle name="Note 23 2 2 2 2_Table 2A-1_EFT (Annual)" xfId="15640"/>
    <cellStyle name="Note 23 2 2 2 3" xfId="11951"/>
    <cellStyle name="Note 23 2 2 2 3 2" xfId="24035"/>
    <cellStyle name="Note 23 2 2 2 4" xfId="18922"/>
    <cellStyle name="Note 23 2 2 2_Table 2A-1_EFT (Annual)" xfId="7325"/>
    <cellStyle name="Note 23 2 2 3" xfId="5145"/>
    <cellStyle name="Note 23 2 2 3 2" xfId="13405"/>
    <cellStyle name="Note 23 2 2 3 2 2" xfId="25411"/>
    <cellStyle name="Note 23 2 2 3 3" xfId="20298"/>
    <cellStyle name="Note 23 2 2 3_Table 2A-1_EFT (Annual)" xfId="15641"/>
    <cellStyle name="Note 23 2 2 4" xfId="10749"/>
    <cellStyle name="Note 23 2 2 4 2" xfId="22865"/>
    <cellStyle name="Note 23 2 2 5" xfId="17752"/>
    <cellStyle name="Note 23 2 2_Table 2A-1_EFT (Annual)" xfId="7324"/>
    <cellStyle name="Note 23 2 3" xfId="1102"/>
    <cellStyle name="Note 23 2 3 2" xfId="4663"/>
    <cellStyle name="Note 23 2 3 2 2" xfId="12923"/>
    <cellStyle name="Note 23 2 3 2 2 2" xfId="24929"/>
    <cellStyle name="Note 23 2 3 2 3" xfId="19816"/>
    <cellStyle name="Note 23 2 3 2_Table 2A-1_EFT (Annual)" xfId="15642"/>
    <cellStyle name="Note 23 2 3 3" xfId="10267"/>
    <cellStyle name="Note 23 2 3 3 2" xfId="22383"/>
    <cellStyle name="Note 23 2 3 4" xfId="17270"/>
    <cellStyle name="Note 23 2 3_Table 2A-1_EFT (Annual)" xfId="7326"/>
    <cellStyle name="Note 23 2 4" xfId="2323"/>
    <cellStyle name="Note 23 2 4 2" xfId="5884"/>
    <cellStyle name="Note 23 2 4 2 2" xfId="14099"/>
    <cellStyle name="Note 23 2 4 2 2 2" xfId="26087"/>
    <cellStyle name="Note 23 2 4 2 3" xfId="20974"/>
    <cellStyle name="Note 23 2 4 2_Table 2A-1_EFT (Annual)" xfId="15643"/>
    <cellStyle name="Note 23 2 4 3" xfId="11443"/>
    <cellStyle name="Note 23 2 4 3 2" xfId="23541"/>
    <cellStyle name="Note 23 2 4 4" xfId="18428"/>
    <cellStyle name="Note 23 2 4_Table 2A-1_EFT (Annual)" xfId="7327"/>
    <cellStyle name="Note 23 2 5" xfId="4177"/>
    <cellStyle name="Note 23 2 5 2" xfId="12501"/>
    <cellStyle name="Note 23 2 5 2 2" xfId="24523"/>
    <cellStyle name="Note 23 2 5 3" xfId="19410"/>
    <cellStyle name="Note 23 2 5_Table 2A-1_EFT (Annual)" xfId="15644"/>
    <cellStyle name="Note 23 2 6" xfId="9840"/>
    <cellStyle name="Note 23 2 6 2" xfId="21977"/>
    <cellStyle name="Note 23 2 7" xfId="16864"/>
    <cellStyle name="Note 23 2_Table 2A-1_EFT (Annual)" xfId="3269"/>
    <cellStyle name="Note 23 3" xfId="442"/>
    <cellStyle name="Note 23 3 2" xfId="1425"/>
    <cellStyle name="Note 23 3 2 2" xfId="2695"/>
    <cellStyle name="Note 23 3 2 2 2" xfId="6256"/>
    <cellStyle name="Note 23 3 2 2 2 2" xfId="14450"/>
    <cellStyle name="Note 23 3 2 2 2 2 2" xfId="26422"/>
    <cellStyle name="Note 23 3 2 2 2 3" xfId="21309"/>
    <cellStyle name="Note 23 3 2 2 2_Table 2A-1_EFT (Annual)" xfId="15645"/>
    <cellStyle name="Note 23 3 2 2 3" xfId="11792"/>
    <cellStyle name="Note 23 3 2 2 3 2" xfId="23876"/>
    <cellStyle name="Note 23 3 2 2 4" xfId="18763"/>
    <cellStyle name="Note 23 3 2 2_Table 2A-1_EFT (Annual)" xfId="7329"/>
    <cellStyle name="Note 23 3 2 3" xfId="4986"/>
    <cellStyle name="Note 23 3 2 3 2" xfId="13246"/>
    <cellStyle name="Note 23 3 2 3 2 2" xfId="25252"/>
    <cellStyle name="Note 23 3 2 3 3" xfId="20139"/>
    <cellStyle name="Note 23 3 2 3_Table 2A-1_EFT (Annual)" xfId="15646"/>
    <cellStyle name="Note 23 3 2 4" xfId="10590"/>
    <cellStyle name="Note 23 3 2 4 2" xfId="22706"/>
    <cellStyle name="Note 23 3 2 5" xfId="17593"/>
    <cellStyle name="Note 23 3 2_Table 2A-1_EFT (Annual)" xfId="7328"/>
    <cellStyle name="Note 23 3 3" xfId="967"/>
    <cellStyle name="Note 23 3 3 2" xfId="4528"/>
    <cellStyle name="Note 23 3 3 2 2" xfId="12790"/>
    <cellStyle name="Note 23 3 3 2 2 2" xfId="24800"/>
    <cellStyle name="Note 23 3 3 2 3" xfId="19687"/>
    <cellStyle name="Note 23 3 3 2_Table 2A-1_EFT (Annual)" xfId="15647"/>
    <cellStyle name="Note 23 3 3 3" xfId="10137"/>
    <cellStyle name="Note 23 3 3 3 2" xfId="22254"/>
    <cellStyle name="Note 23 3 3 4" xfId="17141"/>
    <cellStyle name="Note 23 3 3_Table 2A-1_EFT (Annual)" xfId="7330"/>
    <cellStyle name="Note 23 3 4" xfId="2164"/>
    <cellStyle name="Note 23 3 4 2" xfId="5725"/>
    <cellStyle name="Note 23 3 4 2 2" xfId="13940"/>
    <cellStyle name="Note 23 3 4 2 2 2" xfId="25928"/>
    <cellStyle name="Note 23 3 4 2 3" xfId="20815"/>
    <cellStyle name="Note 23 3 4 2_Table 2A-1_EFT (Annual)" xfId="15648"/>
    <cellStyle name="Note 23 3 4 3" xfId="11284"/>
    <cellStyle name="Note 23 3 4 3 2" xfId="23382"/>
    <cellStyle name="Note 23 3 4 4" xfId="18269"/>
    <cellStyle name="Note 23 3 4_Table 2A-1_EFT (Annual)" xfId="7331"/>
    <cellStyle name="Note 23 3 5" xfId="4012"/>
    <cellStyle name="Note 23 3 5 2" xfId="12340"/>
    <cellStyle name="Note 23 3 5 2 2" xfId="24364"/>
    <cellStyle name="Note 23 3 5 3" xfId="19251"/>
    <cellStyle name="Note 23 3 5_Table 2A-1_EFT (Annual)" xfId="15649"/>
    <cellStyle name="Note 23 3 6" xfId="9677"/>
    <cellStyle name="Note 23 3 6 2" xfId="21818"/>
    <cellStyle name="Note 23 3 7" xfId="16705"/>
    <cellStyle name="Note 23 3_Table 2A-1_EFT (Annual)" xfId="3270"/>
    <cellStyle name="Note 23 4" xfId="1262"/>
    <cellStyle name="Note 23 4 2" xfId="2532"/>
    <cellStyle name="Note 23 4 2 2" xfId="6093"/>
    <cellStyle name="Note 23 4 2 2 2" xfId="14287"/>
    <cellStyle name="Note 23 4 2 2 2 2" xfId="26259"/>
    <cellStyle name="Note 23 4 2 2 3" xfId="21146"/>
    <cellStyle name="Note 23 4 2 2_Table 2A-1_EFT (Annual)" xfId="15650"/>
    <cellStyle name="Note 23 4 2 3" xfId="11629"/>
    <cellStyle name="Note 23 4 2 3 2" xfId="23713"/>
    <cellStyle name="Note 23 4 2 4" xfId="18600"/>
    <cellStyle name="Note 23 4 2_Table 2A-1_EFT (Annual)" xfId="7333"/>
    <cellStyle name="Note 23 4 3" xfId="4823"/>
    <cellStyle name="Note 23 4 3 2" xfId="13083"/>
    <cellStyle name="Note 23 4 3 2 2" xfId="25089"/>
    <cellStyle name="Note 23 4 3 3" xfId="19976"/>
    <cellStyle name="Note 23 4 3_Table 2A-1_EFT (Annual)" xfId="15651"/>
    <cellStyle name="Note 23 4 4" xfId="10427"/>
    <cellStyle name="Note 23 4 4 2" xfId="22543"/>
    <cellStyle name="Note 23 4 5" xfId="17430"/>
    <cellStyle name="Note 23 4_Table 2A-1_EFT (Annual)" xfId="7332"/>
    <cellStyle name="Note 23 5" xfId="811"/>
    <cellStyle name="Note 23 5 2" xfId="4372"/>
    <cellStyle name="Note 23 5 2 2" xfId="12652"/>
    <cellStyle name="Note 23 5 2 2 2" xfId="24669"/>
    <cellStyle name="Note 23 5 2 3" xfId="19556"/>
    <cellStyle name="Note 23 5 2_Table 2A-1_EFT (Annual)" xfId="15652"/>
    <cellStyle name="Note 23 5 3" xfId="10000"/>
    <cellStyle name="Note 23 5 3 2" xfId="22123"/>
    <cellStyle name="Note 23 5 4" xfId="17010"/>
    <cellStyle name="Note 23 5_Table 2A-1_EFT (Annual)" xfId="7334"/>
    <cellStyle name="Note 23 6" xfId="2001"/>
    <cellStyle name="Note 23 6 2" xfId="5562"/>
    <cellStyle name="Note 23 6 2 2" xfId="13777"/>
    <cellStyle name="Note 23 6 2 2 2" xfId="25765"/>
    <cellStyle name="Note 23 6 2 3" xfId="20652"/>
    <cellStyle name="Note 23 6 2_Table 2A-1_EFT (Annual)" xfId="15653"/>
    <cellStyle name="Note 23 6 3" xfId="11121"/>
    <cellStyle name="Note 23 6 3 2" xfId="23219"/>
    <cellStyle name="Note 23 6 4" xfId="18106"/>
    <cellStyle name="Note 23 6_Table 2A-1_EFT (Annual)" xfId="7335"/>
    <cellStyle name="Note 23 7" xfId="3803"/>
    <cellStyle name="Note 23 7 2" xfId="12171"/>
    <cellStyle name="Note 23 7 2 2" xfId="24201"/>
    <cellStyle name="Note 23 7 3" xfId="19088"/>
    <cellStyle name="Note 23 7_Table 2A-1_EFT (Annual)" xfId="15654"/>
    <cellStyle name="Note 23 8" xfId="9490"/>
    <cellStyle name="Note 23 8 2" xfId="21655"/>
    <cellStyle name="Note 23 9" xfId="16542"/>
    <cellStyle name="Note 23_Table 2A-1_EFT (Annual)" xfId="3268"/>
    <cellStyle name="Note 24" xfId="186"/>
    <cellStyle name="Note 24 2" xfId="579"/>
    <cellStyle name="Note 24 2 2" xfId="1556"/>
    <cellStyle name="Note 24 2 2 2" xfId="2826"/>
    <cellStyle name="Note 24 2 2 2 2" xfId="6387"/>
    <cellStyle name="Note 24 2 2 2 2 2" xfId="14581"/>
    <cellStyle name="Note 24 2 2 2 2 2 2" xfId="26553"/>
    <cellStyle name="Note 24 2 2 2 2 3" xfId="21440"/>
    <cellStyle name="Note 24 2 2 2 2_Table 2A-1_EFT (Annual)" xfId="15655"/>
    <cellStyle name="Note 24 2 2 2 3" xfId="11923"/>
    <cellStyle name="Note 24 2 2 2 3 2" xfId="24007"/>
    <cellStyle name="Note 24 2 2 2 4" xfId="18894"/>
    <cellStyle name="Note 24 2 2 2_Table 2A-1_EFT (Annual)" xfId="7337"/>
    <cellStyle name="Note 24 2 2 3" xfId="5117"/>
    <cellStyle name="Note 24 2 2 3 2" xfId="13377"/>
    <cellStyle name="Note 24 2 2 3 2 2" xfId="25383"/>
    <cellStyle name="Note 24 2 2 3 3" xfId="20270"/>
    <cellStyle name="Note 24 2 2 3_Table 2A-1_EFT (Annual)" xfId="15656"/>
    <cellStyle name="Note 24 2 2 4" xfId="10721"/>
    <cellStyle name="Note 24 2 2 4 2" xfId="22837"/>
    <cellStyle name="Note 24 2 2 5" xfId="17724"/>
    <cellStyle name="Note 24 2 2_Table 2A-1_EFT (Annual)" xfId="7336"/>
    <cellStyle name="Note 24 2 3" xfId="1079"/>
    <cellStyle name="Note 24 2 3 2" xfId="4640"/>
    <cellStyle name="Note 24 2 3 2 2" xfId="12900"/>
    <cellStyle name="Note 24 2 3 2 2 2" xfId="24906"/>
    <cellStyle name="Note 24 2 3 2 3" xfId="19793"/>
    <cellStyle name="Note 24 2 3 2_Table 2A-1_EFT (Annual)" xfId="15657"/>
    <cellStyle name="Note 24 2 3 3" xfId="10244"/>
    <cellStyle name="Note 24 2 3 3 2" xfId="22360"/>
    <cellStyle name="Note 24 2 3 4" xfId="17247"/>
    <cellStyle name="Note 24 2 3_Table 2A-1_EFT (Annual)" xfId="7338"/>
    <cellStyle name="Note 24 2 4" xfId="2295"/>
    <cellStyle name="Note 24 2 4 2" xfId="5856"/>
    <cellStyle name="Note 24 2 4 2 2" xfId="14071"/>
    <cellStyle name="Note 24 2 4 2 2 2" xfId="26059"/>
    <cellStyle name="Note 24 2 4 2 3" xfId="20946"/>
    <cellStyle name="Note 24 2 4 2_Table 2A-1_EFT (Annual)" xfId="15658"/>
    <cellStyle name="Note 24 2 4 3" xfId="11415"/>
    <cellStyle name="Note 24 2 4 3 2" xfId="23513"/>
    <cellStyle name="Note 24 2 4 4" xfId="18400"/>
    <cellStyle name="Note 24 2 4_Table 2A-1_EFT (Annual)" xfId="7339"/>
    <cellStyle name="Note 24 2 5" xfId="4149"/>
    <cellStyle name="Note 24 2 5 2" xfId="12473"/>
    <cellStyle name="Note 24 2 5 2 2" xfId="24495"/>
    <cellStyle name="Note 24 2 5 3" xfId="19382"/>
    <cellStyle name="Note 24 2 5_Table 2A-1_EFT (Annual)" xfId="15659"/>
    <cellStyle name="Note 24 2 6" xfId="9812"/>
    <cellStyle name="Note 24 2 6 2" xfId="21949"/>
    <cellStyle name="Note 24 2 7" xfId="16836"/>
    <cellStyle name="Note 24 2_Table 2A-1_EFT (Annual)" xfId="3272"/>
    <cellStyle name="Note 24 3" xfId="417"/>
    <cellStyle name="Note 24 3 2" xfId="1400"/>
    <cellStyle name="Note 24 3 2 2" xfId="2670"/>
    <cellStyle name="Note 24 3 2 2 2" xfId="6231"/>
    <cellStyle name="Note 24 3 2 2 2 2" xfId="14425"/>
    <cellStyle name="Note 24 3 2 2 2 2 2" xfId="26397"/>
    <cellStyle name="Note 24 3 2 2 2 3" xfId="21284"/>
    <cellStyle name="Note 24 3 2 2 2_Table 2A-1_EFT (Annual)" xfId="15660"/>
    <cellStyle name="Note 24 3 2 2 3" xfId="11767"/>
    <cellStyle name="Note 24 3 2 2 3 2" xfId="23851"/>
    <cellStyle name="Note 24 3 2 2 4" xfId="18738"/>
    <cellStyle name="Note 24 3 2 2_Table 2A-1_EFT (Annual)" xfId="7341"/>
    <cellStyle name="Note 24 3 2 3" xfId="4961"/>
    <cellStyle name="Note 24 3 2 3 2" xfId="13221"/>
    <cellStyle name="Note 24 3 2 3 2 2" xfId="25227"/>
    <cellStyle name="Note 24 3 2 3 3" xfId="20114"/>
    <cellStyle name="Note 24 3 2 3_Table 2A-1_EFT (Annual)" xfId="15661"/>
    <cellStyle name="Note 24 3 2 4" xfId="10565"/>
    <cellStyle name="Note 24 3 2 4 2" xfId="22681"/>
    <cellStyle name="Note 24 3 2 5" xfId="17568"/>
    <cellStyle name="Note 24 3 2_Table 2A-1_EFT (Annual)" xfId="7340"/>
    <cellStyle name="Note 24 3 3" xfId="947"/>
    <cellStyle name="Note 24 3 3 2" xfId="4508"/>
    <cellStyle name="Note 24 3 3 2 2" xfId="12770"/>
    <cellStyle name="Note 24 3 3 2 2 2" xfId="24780"/>
    <cellStyle name="Note 24 3 3 2 3" xfId="19667"/>
    <cellStyle name="Note 24 3 3 2_Table 2A-1_EFT (Annual)" xfId="15662"/>
    <cellStyle name="Note 24 3 3 3" xfId="10117"/>
    <cellStyle name="Note 24 3 3 3 2" xfId="22234"/>
    <cellStyle name="Note 24 3 3 4" xfId="17121"/>
    <cellStyle name="Note 24 3 3_Table 2A-1_EFT (Annual)" xfId="7342"/>
    <cellStyle name="Note 24 3 4" xfId="2139"/>
    <cellStyle name="Note 24 3 4 2" xfId="5700"/>
    <cellStyle name="Note 24 3 4 2 2" xfId="13915"/>
    <cellStyle name="Note 24 3 4 2 2 2" xfId="25903"/>
    <cellStyle name="Note 24 3 4 2 3" xfId="20790"/>
    <cellStyle name="Note 24 3 4 2_Table 2A-1_EFT (Annual)" xfId="15663"/>
    <cellStyle name="Note 24 3 4 3" xfId="11259"/>
    <cellStyle name="Note 24 3 4 3 2" xfId="23357"/>
    <cellStyle name="Note 24 3 4 4" xfId="18244"/>
    <cellStyle name="Note 24 3 4_Table 2A-1_EFT (Annual)" xfId="7343"/>
    <cellStyle name="Note 24 3 5" xfId="3987"/>
    <cellStyle name="Note 24 3 5 2" xfId="12315"/>
    <cellStyle name="Note 24 3 5 2 2" xfId="24339"/>
    <cellStyle name="Note 24 3 5 3" xfId="19226"/>
    <cellStyle name="Note 24 3 5_Table 2A-1_EFT (Annual)" xfId="15664"/>
    <cellStyle name="Note 24 3 6" xfId="9652"/>
    <cellStyle name="Note 24 3 6 2" xfId="21793"/>
    <cellStyle name="Note 24 3 7" xfId="16680"/>
    <cellStyle name="Note 24 3_Table 2A-1_EFT (Annual)" xfId="3273"/>
    <cellStyle name="Note 24 4" xfId="1234"/>
    <cellStyle name="Note 24 4 2" xfId="2504"/>
    <cellStyle name="Note 24 4 2 2" xfId="6065"/>
    <cellStyle name="Note 24 4 2 2 2" xfId="14259"/>
    <cellStyle name="Note 24 4 2 2 2 2" xfId="26231"/>
    <cellStyle name="Note 24 4 2 2 3" xfId="21118"/>
    <cellStyle name="Note 24 4 2 2_Table 2A-1_EFT (Annual)" xfId="15665"/>
    <cellStyle name="Note 24 4 2 3" xfId="11601"/>
    <cellStyle name="Note 24 4 2 3 2" xfId="23685"/>
    <cellStyle name="Note 24 4 2 4" xfId="18572"/>
    <cellStyle name="Note 24 4 2_Table 2A-1_EFT (Annual)" xfId="7345"/>
    <cellStyle name="Note 24 4 3" xfId="4795"/>
    <cellStyle name="Note 24 4 3 2" xfId="13055"/>
    <cellStyle name="Note 24 4 3 2 2" xfId="25061"/>
    <cellStyle name="Note 24 4 3 3" xfId="19948"/>
    <cellStyle name="Note 24 4 3_Table 2A-1_EFT (Annual)" xfId="15666"/>
    <cellStyle name="Note 24 4 4" xfId="10399"/>
    <cellStyle name="Note 24 4 4 2" xfId="22515"/>
    <cellStyle name="Note 24 4 5" xfId="17402"/>
    <cellStyle name="Note 24 4_Table 2A-1_EFT (Annual)" xfId="7344"/>
    <cellStyle name="Note 24 5" xfId="788"/>
    <cellStyle name="Note 24 5 2" xfId="4349"/>
    <cellStyle name="Note 24 5 2 2" xfId="12629"/>
    <cellStyle name="Note 24 5 2 2 2" xfId="24646"/>
    <cellStyle name="Note 24 5 2 3" xfId="19533"/>
    <cellStyle name="Note 24 5 2_Table 2A-1_EFT (Annual)" xfId="15667"/>
    <cellStyle name="Note 24 5 3" xfId="9977"/>
    <cellStyle name="Note 24 5 3 2" xfId="22100"/>
    <cellStyle name="Note 24 5 4" xfId="16987"/>
    <cellStyle name="Note 24 5_Table 2A-1_EFT (Annual)" xfId="7346"/>
    <cellStyle name="Note 24 6" xfId="1973"/>
    <cellStyle name="Note 24 6 2" xfId="5534"/>
    <cellStyle name="Note 24 6 2 2" xfId="13749"/>
    <cellStyle name="Note 24 6 2 2 2" xfId="25737"/>
    <cellStyle name="Note 24 6 2 3" xfId="20624"/>
    <cellStyle name="Note 24 6 2_Table 2A-1_EFT (Annual)" xfId="15668"/>
    <cellStyle name="Note 24 6 3" xfId="11093"/>
    <cellStyle name="Note 24 6 3 2" xfId="23191"/>
    <cellStyle name="Note 24 6 4" xfId="18078"/>
    <cellStyle name="Note 24 6_Table 2A-1_EFT (Annual)" xfId="7347"/>
    <cellStyle name="Note 24 7" xfId="3775"/>
    <cellStyle name="Note 24 7 2" xfId="12143"/>
    <cellStyle name="Note 24 7 2 2" xfId="24173"/>
    <cellStyle name="Note 24 7 3" xfId="19060"/>
    <cellStyle name="Note 24 7_Table 2A-1_EFT (Annual)" xfId="15669"/>
    <cellStyle name="Note 24 8" xfId="9462"/>
    <cellStyle name="Note 24 8 2" xfId="21627"/>
    <cellStyle name="Note 24 9" xfId="16514"/>
    <cellStyle name="Note 24_Table 2A-1_EFT (Annual)" xfId="3271"/>
    <cellStyle name="Note 25" xfId="240"/>
    <cellStyle name="Note 25 2" xfId="627"/>
    <cellStyle name="Note 25 2 2" xfId="1604"/>
    <cellStyle name="Note 25 2 2 2" xfId="2874"/>
    <cellStyle name="Note 25 2 2 2 2" xfId="6435"/>
    <cellStyle name="Note 25 2 2 2 2 2" xfId="14629"/>
    <cellStyle name="Note 25 2 2 2 2 2 2" xfId="26601"/>
    <cellStyle name="Note 25 2 2 2 2 3" xfId="21488"/>
    <cellStyle name="Note 25 2 2 2 2_Table 2A-1_EFT (Annual)" xfId="15670"/>
    <cellStyle name="Note 25 2 2 2 3" xfId="11971"/>
    <cellStyle name="Note 25 2 2 2 3 2" xfId="24055"/>
    <cellStyle name="Note 25 2 2 2 4" xfId="18942"/>
    <cellStyle name="Note 25 2 2 2_Table 2A-1_EFT (Annual)" xfId="7349"/>
    <cellStyle name="Note 25 2 2 3" xfId="5165"/>
    <cellStyle name="Note 25 2 2 3 2" xfId="13425"/>
    <cellStyle name="Note 25 2 2 3 2 2" xfId="25431"/>
    <cellStyle name="Note 25 2 2 3 3" xfId="20318"/>
    <cellStyle name="Note 25 2 2 3_Table 2A-1_EFT (Annual)" xfId="15671"/>
    <cellStyle name="Note 25 2 2 4" xfId="10769"/>
    <cellStyle name="Note 25 2 2 4 2" xfId="22885"/>
    <cellStyle name="Note 25 2 2 5" xfId="17772"/>
    <cellStyle name="Note 25 2 2_Table 2A-1_EFT (Annual)" xfId="7348"/>
    <cellStyle name="Note 25 2 3" xfId="1118"/>
    <cellStyle name="Note 25 2 3 2" xfId="4679"/>
    <cellStyle name="Note 25 2 3 2 2" xfId="12939"/>
    <cellStyle name="Note 25 2 3 2 2 2" xfId="24945"/>
    <cellStyle name="Note 25 2 3 2 3" xfId="19832"/>
    <cellStyle name="Note 25 2 3 2_Table 2A-1_EFT (Annual)" xfId="15672"/>
    <cellStyle name="Note 25 2 3 3" xfId="10283"/>
    <cellStyle name="Note 25 2 3 3 2" xfId="22399"/>
    <cellStyle name="Note 25 2 3 4" xfId="17286"/>
    <cellStyle name="Note 25 2 3_Table 2A-1_EFT (Annual)" xfId="7350"/>
    <cellStyle name="Note 25 2 4" xfId="2343"/>
    <cellStyle name="Note 25 2 4 2" xfId="5904"/>
    <cellStyle name="Note 25 2 4 2 2" xfId="14119"/>
    <cellStyle name="Note 25 2 4 2 2 2" xfId="26107"/>
    <cellStyle name="Note 25 2 4 2 3" xfId="20994"/>
    <cellStyle name="Note 25 2 4 2_Table 2A-1_EFT (Annual)" xfId="15673"/>
    <cellStyle name="Note 25 2 4 3" xfId="11463"/>
    <cellStyle name="Note 25 2 4 3 2" xfId="23561"/>
    <cellStyle name="Note 25 2 4 4" xfId="18448"/>
    <cellStyle name="Note 25 2 4_Table 2A-1_EFT (Annual)" xfId="7351"/>
    <cellStyle name="Note 25 2 5" xfId="4197"/>
    <cellStyle name="Note 25 2 5 2" xfId="12521"/>
    <cellStyle name="Note 25 2 5 2 2" xfId="24543"/>
    <cellStyle name="Note 25 2 5 3" xfId="19430"/>
    <cellStyle name="Note 25 2 5_Table 2A-1_EFT (Annual)" xfId="15674"/>
    <cellStyle name="Note 25 2 6" xfId="9860"/>
    <cellStyle name="Note 25 2 6 2" xfId="21997"/>
    <cellStyle name="Note 25 2 7" xfId="16884"/>
    <cellStyle name="Note 25 2_Table 2A-1_EFT (Annual)" xfId="3275"/>
    <cellStyle name="Note 25 3" xfId="466"/>
    <cellStyle name="Note 25 3 2" xfId="1443"/>
    <cellStyle name="Note 25 3 2 2" xfId="2713"/>
    <cellStyle name="Note 25 3 2 2 2" xfId="6274"/>
    <cellStyle name="Note 25 3 2 2 2 2" xfId="14468"/>
    <cellStyle name="Note 25 3 2 2 2 2 2" xfId="26440"/>
    <cellStyle name="Note 25 3 2 2 2 3" xfId="21327"/>
    <cellStyle name="Note 25 3 2 2 2_Table 2A-1_EFT (Annual)" xfId="15675"/>
    <cellStyle name="Note 25 3 2 2 3" xfId="11810"/>
    <cellStyle name="Note 25 3 2 2 3 2" xfId="23894"/>
    <cellStyle name="Note 25 3 2 2 4" xfId="18781"/>
    <cellStyle name="Note 25 3 2 2_Table 2A-1_EFT (Annual)" xfId="7353"/>
    <cellStyle name="Note 25 3 2 3" xfId="5004"/>
    <cellStyle name="Note 25 3 2 3 2" xfId="13264"/>
    <cellStyle name="Note 25 3 2 3 2 2" xfId="25270"/>
    <cellStyle name="Note 25 3 2 3 3" xfId="20157"/>
    <cellStyle name="Note 25 3 2 3_Table 2A-1_EFT (Annual)" xfId="15676"/>
    <cellStyle name="Note 25 3 2 4" xfId="10608"/>
    <cellStyle name="Note 25 3 2 4 2" xfId="22724"/>
    <cellStyle name="Note 25 3 2 5" xfId="17611"/>
    <cellStyle name="Note 25 3 2_Table 2A-1_EFT (Annual)" xfId="7352"/>
    <cellStyle name="Note 25 3 3" xfId="988"/>
    <cellStyle name="Note 25 3 3 2" xfId="4549"/>
    <cellStyle name="Note 25 3 3 2 2" xfId="12809"/>
    <cellStyle name="Note 25 3 3 2 2 2" xfId="24815"/>
    <cellStyle name="Note 25 3 3 2 3" xfId="19702"/>
    <cellStyle name="Note 25 3 3 2_Table 2A-1_EFT (Annual)" xfId="15677"/>
    <cellStyle name="Note 25 3 3 3" xfId="10153"/>
    <cellStyle name="Note 25 3 3 3 2" xfId="22269"/>
    <cellStyle name="Note 25 3 3 4" xfId="17156"/>
    <cellStyle name="Note 25 3 3_Table 2A-1_EFT (Annual)" xfId="7354"/>
    <cellStyle name="Note 25 3 4" xfId="2182"/>
    <cellStyle name="Note 25 3 4 2" xfId="5743"/>
    <cellStyle name="Note 25 3 4 2 2" xfId="13958"/>
    <cellStyle name="Note 25 3 4 2 2 2" xfId="25946"/>
    <cellStyle name="Note 25 3 4 2 3" xfId="20833"/>
    <cellStyle name="Note 25 3 4 2_Table 2A-1_EFT (Annual)" xfId="15678"/>
    <cellStyle name="Note 25 3 4 3" xfId="11302"/>
    <cellStyle name="Note 25 3 4 3 2" xfId="23400"/>
    <cellStyle name="Note 25 3 4 4" xfId="18287"/>
    <cellStyle name="Note 25 3 4_Table 2A-1_EFT (Annual)" xfId="7355"/>
    <cellStyle name="Note 25 3 5" xfId="4036"/>
    <cellStyle name="Note 25 3 5 2" xfId="12360"/>
    <cellStyle name="Note 25 3 5 2 2" xfId="24382"/>
    <cellStyle name="Note 25 3 5 3" xfId="19269"/>
    <cellStyle name="Note 25 3 5_Table 2A-1_EFT (Annual)" xfId="15679"/>
    <cellStyle name="Note 25 3 6" xfId="9699"/>
    <cellStyle name="Note 25 3 6 2" xfId="21836"/>
    <cellStyle name="Note 25 3 7" xfId="16723"/>
    <cellStyle name="Note 25 3_Table 2A-1_EFT (Annual)" xfId="3276"/>
    <cellStyle name="Note 25 4" xfId="1282"/>
    <cellStyle name="Note 25 4 2" xfId="2552"/>
    <cellStyle name="Note 25 4 2 2" xfId="6113"/>
    <cellStyle name="Note 25 4 2 2 2" xfId="14307"/>
    <cellStyle name="Note 25 4 2 2 2 2" xfId="26279"/>
    <cellStyle name="Note 25 4 2 2 3" xfId="21166"/>
    <cellStyle name="Note 25 4 2 2_Table 2A-1_EFT (Annual)" xfId="15680"/>
    <cellStyle name="Note 25 4 2 3" xfId="11649"/>
    <cellStyle name="Note 25 4 2 3 2" xfId="23733"/>
    <cellStyle name="Note 25 4 2 4" xfId="18620"/>
    <cellStyle name="Note 25 4 2_Table 2A-1_EFT (Annual)" xfId="7357"/>
    <cellStyle name="Note 25 4 3" xfId="4843"/>
    <cellStyle name="Note 25 4 3 2" xfId="13103"/>
    <cellStyle name="Note 25 4 3 2 2" xfId="25109"/>
    <cellStyle name="Note 25 4 3 3" xfId="19996"/>
    <cellStyle name="Note 25 4 3_Table 2A-1_EFT (Annual)" xfId="15681"/>
    <cellStyle name="Note 25 4 4" xfId="10447"/>
    <cellStyle name="Note 25 4 4 2" xfId="22563"/>
    <cellStyle name="Note 25 4 5" xfId="17450"/>
    <cellStyle name="Note 25 4_Table 2A-1_EFT (Annual)" xfId="7356"/>
    <cellStyle name="Note 25 5" xfId="833"/>
    <cellStyle name="Note 25 5 2" xfId="4394"/>
    <cellStyle name="Note 25 5 2 2" xfId="12668"/>
    <cellStyle name="Note 25 5 2 2 2" xfId="24685"/>
    <cellStyle name="Note 25 5 2 3" xfId="19572"/>
    <cellStyle name="Note 25 5 2_Table 2A-1_EFT (Annual)" xfId="15682"/>
    <cellStyle name="Note 25 5 3" xfId="10017"/>
    <cellStyle name="Note 25 5 3 2" xfId="22139"/>
    <cellStyle name="Note 25 5 4" xfId="17026"/>
    <cellStyle name="Note 25 5_Table 2A-1_EFT (Annual)" xfId="7358"/>
    <cellStyle name="Note 25 6" xfId="2021"/>
    <cellStyle name="Note 25 6 2" xfId="5582"/>
    <cellStyle name="Note 25 6 2 2" xfId="13797"/>
    <cellStyle name="Note 25 6 2 2 2" xfId="25785"/>
    <cellStyle name="Note 25 6 2 3" xfId="20672"/>
    <cellStyle name="Note 25 6 2_Table 2A-1_EFT (Annual)" xfId="15683"/>
    <cellStyle name="Note 25 6 3" xfId="11141"/>
    <cellStyle name="Note 25 6 3 2" xfId="23239"/>
    <cellStyle name="Note 25 6 4" xfId="18126"/>
    <cellStyle name="Note 25 6_Table 2A-1_EFT (Annual)" xfId="7359"/>
    <cellStyle name="Note 25 7" xfId="3829"/>
    <cellStyle name="Note 25 7 2" xfId="12192"/>
    <cellStyle name="Note 25 7 2 2" xfId="24221"/>
    <cellStyle name="Note 25 7 3" xfId="19108"/>
    <cellStyle name="Note 25 7_Table 2A-1_EFT (Annual)" xfId="15684"/>
    <cellStyle name="Note 25 8" xfId="9511"/>
    <cellStyle name="Note 25 8 2" xfId="21675"/>
    <cellStyle name="Note 25 9" xfId="16562"/>
    <cellStyle name="Note 25_Table 2A-1_EFT (Annual)" xfId="3274"/>
    <cellStyle name="Note 26" xfId="208"/>
    <cellStyle name="Note 26 2" xfId="601"/>
    <cellStyle name="Note 26 2 2" xfId="1578"/>
    <cellStyle name="Note 26 2 2 2" xfId="2848"/>
    <cellStyle name="Note 26 2 2 2 2" xfId="6409"/>
    <cellStyle name="Note 26 2 2 2 2 2" xfId="14603"/>
    <cellStyle name="Note 26 2 2 2 2 2 2" xfId="26575"/>
    <cellStyle name="Note 26 2 2 2 2 3" xfId="21462"/>
    <cellStyle name="Note 26 2 2 2 2_Table 2A-1_EFT (Annual)" xfId="15685"/>
    <cellStyle name="Note 26 2 2 2 3" xfId="11945"/>
    <cellStyle name="Note 26 2 2 2 3 2" xfId="24029"/>
    <cellStyle name="Note 26 2 2 2 4" xfId="18916"/>
    <cellStyle name="Note 26 2 2 2_Table 2A-1_EFT (Annual)" xfId="7361"/>
    <cellStyle name="Note 26 2 2 3" xfId="5139"/>
    <cellStyle name="Note 26 2 2 3 2" xfId="13399"/>
    <cellStyle name="Note 26 2 2 3 2 2" xfId="25405"/>
    <cellStyle name="Note 26 2 2 3 3" xfId="20292"/>
    <cellStyle name="Note 26 2 2 3_Table 2A-1_EFT (Annual)" xfId="15686"/>
    <cellStyle name="Note 26 2 2 4" xfId="10743"/>
    <cellStyle name="Note 26 2 2 4 2" xfId="22859"/>
    <cellStyle name="Note 26 2 2 5" xfId="17746"/>
    <cellStyle name="Note 26 2 2_Table 2A-1_EFT (Annual)" xfId="7360"/>
    <cellStyle name="Note 26 2 3" xfId="1098"/>
    <cellStyle name="Note 26 2 3 2" xfId="4659"/>
    <cellStyle name="Note 26 2 3 2 2" xfId="12919"/>
    <cellStyle name="Note 26 2 3 2 2 2" xfId="24925"/>
    <cellStyle name="Note 26 2 3 2 3" xfId="19812"/>
    <cellStyle name="Note 26 2 3 2_Table 2A-1_EFT (Annual)" xfId="15687"/>
    <cellStyle name="Note 26 2 3 3" xfId="10263"/>
    <cellStyle name="Note 26 2 3 3 2" xfId="22379"/>
    <cellStyle name="Note 26 2 3 4" xfId="17266"/>
    <cellStyle name="Note 26 2 3_Table 2A-1_EFT (Annual)" xfId="7362"/>
    <cellStyle name="Note 26 2 4" xfId="2317"/>
    <cellStyle name="Note 26 2 4 2" xfId="5878"/>
    <cellStyle name="Note 26 2 4 2 2" xfId="14093"/>
    <cellStyle name="Note 26 2 4 2 2 2" xfId="26081"/>
    <cellStyle name="Note 26 2 4 2 3" xfId="20968"/>
    <cellStyle name="Note 26 2 4 2_Table 2A-1_EFT (Annual)" xfId="15688"/>
    <cellStyle name="Note 26 2 4 3" xfId="11437"/>
    <cellStyle name="Note 26 2 4 3 2" xfId="23535"/>
    <cellStyle name="Note 26 2 4 4" xfId="18422"/>
    <cellStyle name="Note 26 2 4_Table 2A-1_EFT (Annual)" xfId="7363"/>
    <cellStyle name="Note 26 2 5" xfId="4171"/>
    <cellStyle name="Note 26 2 5 2" xfId="12495"/>
    <cellStyle name="Note 26 2 5 2 2" xfId="24517"/>
    <cellStyle name="Note 26 2 5 3" xfId="19404"/>
    <cellStyle name="Note 26 2 5_Table 2A-1_EFT (Annual)" xfId="15689"/>
    <cellStyle name="Note 26 2 6" xfId="9834"/>
    <cellStyle name="Note 26 2 6 2" xfId="21971"/>
    <cellStyle name="Note 26 2 7" xfId="16858"/>
    <cellStyle name="Note 26 2_Table 2A-1_EFT (Annual)" xfId="3278"/>
    <cellStyle name="Note 26 3" xfId="436"/>
    <cellStyle name="Note 26 3 2" xfId="1419"/>
    <cellStyle name="Note 26 3 2 2" xfId="2689"/>
    <cellStyle name="Note 26 3 2 2 2" xfId="6250"/>
    <cellStyle name="Note 26 3 2 2 2 2" xfId="14444"/>
    <cellStyle name="Note 26 3 2 2 2 2 2" xfId="26416"/>
    <cellStyle name="Note 26 3 2 2 2 3" xfId="21303"/>
    <cellStyle name="Note 26 3 2 2 2_Table 2A-1_EFT (Annual)" xfId="15690"/>
    <cellStyle name="Note 26 3 2 2 3" xfId="11786"/>
    <cellStyle name="Note 26 3 2 2 3 2" xfId="23870"/>
    <cellStyle name="Note 26 3 2 2 4" xfId="18757"/>
    <cellStyle name="Note 26 3 2 2_Table 2A-1_EFT (Annual)" xfId="7365"/>
    <cellStyle name="Note 26 3 2 3" xfId="4980"/>
    <cellStyle name="Note 26 3 2 3 2" xfId="13240"/>
    <cellStyle name="Note 26 3 2 3 2 2" xfId="25246"/>
    <cellStyle name="Note 26 3 2 3 3" xfId="20133"/>
    <cellStyle name="Note 26 3 2 3_Table 2A-1_EFT (Annual)" xfId="15691"/>
    <cellStyle name="Note 26 3 2 4" xfId="10584"/>
    <cellStyle name="Note 26 3 2 4 2" xfId="22700"/>
    <cellStyle name="Note 26 3 2 5" xfId="17587"/>
    <cellStyle name="Note 26 3 2_Table 2A-1_EFT (Annual)" xfId="7364"/>
    <cellStyle name="Note 26 3 3" xfId="963"/>
    <cellStyle name="Note 26 3 3 2" xfId="4524"/>
    <cellStyle name="Note 26 3 3 2 2" xfId="12786"/>
    <cellStyle name="Note 26 3 3 2 2 2" xfId="24796"/>
    <cellStyle name="Note 26 3 3 2 3" xfId="19683"/>
    <cellStyle name="Note 26 3 3 2_Table 2A-1_EFT (Annual)" xfId="15692"/>
    <cellStyle name="Note 26 3 3 3" xfId="10133"/>
    <cellStyle name="Note 26 3 3 3 2" xfId="22250"/>
    <cellStyle name="Note 26 3 3 4" xfId="17137"/>
    <cellStyle name="Note 26 3 3_Table 2A-1_EFT (Annual)" xfId="7366"/>
    <cellStyle name="Note 26 3 4" xfId="2158"/>
    <cellStyle name="Note 26 3 4 2" xfId="5719"/>
    <cellStyle name="Note 26 3 4 2 2" xfId="13934"/>
    <cellStyle name="Note 26 3 4 2 2 2" xfId="25922"/>
    <cellStyle name="Note 26 3 4 2 3" xfId="20809"/>
    <cellStyle name="Note 26 3 4 2_Table 2A-1_EFT (Annual)" xfId="15693"/>
    <cellStyle name="Note 26 3 4 3" xfId="11278"/>
    <cellStyle name="Note 26 3 4 3 2" xfId="23376"/>
    <cellStyle name="Note 26 3 4 4" xfId="18263"/>
    <cellStyle name="Note 26 3 4_Table 2A-1_EFT (Annual)" xfId="7367"/>
    <cellStyle name="Note 26 3 5" xfId="4006"/>
    <cellStyle name="Note 26 3 5 2" xfId="12334"/>
    <cellStyle name="Note 26 3 5 2 2" xfId="24358"/>
    <cellStyle name="Note 26 3 5 3" xfId="19245"/>
    <cellStyle name="Note 26 3 5_Table 2A-1_EFT (Annual)" xfId="15694"/>
    <cellStyle name="Note 26 3 6" xfId="9671"/>
    <cellStyle name="Note 26 3 6 2" xfId="21812"/>
    <cellStyle name="Note 26 3 7" xfId="16699"/>
    <cellStyle name="Note 26 3_Table 2A-1_EFT (Annual)" xfId="3279"/>
    <cellStyle name="Note 26 4" xfId="1256"/>
    <cellStyle name="Note 26 4 2" xfId="2526"/>
    <cellStyle name="Note 26 4 2 2" xfId="6087"/>
    <cellStyle name="Note 26 4 2 2 2" xfId="14281"/>
    <cellStyle name="Note 26 4 2 2 2 2" xfId="26253"/>
    <cellStyle name="Note 26 4 2 2 3" xfId="21140"/>
    <cellStyle name="Note 26 4 2 2_Table 2A-1_EFT (Annual)" xfId="15695"/>
    <cellStyle name="Note 26 4 2 3" xfId="11623"/>
    <cellStyle name="Note 26 4 2 3 2" xfId="23707"/>
    <cellStyle name="Note 26 4 2 4" xfId="18594"/>
    <cellStyle name="Note 26 4 2_Table 2A-1_EFT (Annual)" xfId="7369"/>
    <cellStyle name="Note 26 4 3" xfId="4817"/>
    <cellStyle name="Note 26 4 3 2" xfId="13077"/>
    <cellStyle name="Note 26 4 3 2 2" xfId="25083"/>
    <cellStyle name="Note 26 4 3 3" xfId="19970"/>
    <cellStyle name="Note 26 4 3_Table 2A-1_EFT (Annual)" xfId="15696"/>
    <cellStyle name="Note 26 4 4" xfId="10421"/>
    <cellStyle name="Note 26 4 4 2" xfId="22537"/>
    <cellStyle name="Note 26 4 5" xfId="17424"/>
    <cellStyle name="Note 26 4_Table 2A-1_EFT (Annual)" xfId="7368"/>
    <cellStyle name="Note 26 5" xfId="807"/>
    <cellStyle name="Note 26 5 2" xfId="4368"/>
    <cellStyle name="Note 26 5 2 2" xfId="12648"/>
    <cellStyle name="Note 26 5 2 2 2" xfId="24665"/>
    <cellStyle name="Note 26 5 2 3" xfId="19552"/>
    <cellStyle name="Note 26 5 2_Table 2A-1_EFT (Annual)" xfId="15697"/>
    <cellStyle name="Note 26 5 3" xfId="9996"/>
    <cellStyle name="Note 26 5 3 2" xfId="22119"/>
    <cellStyle name="Note 26 5 4" xfId="17006"/>
    <cellStyle name="Note 26 5_Table 2A-1_EFT (Annual)" xfId="7370"/>
    <cellStyle name="Note 26 6" xfId="1995"/>
    <cellStyle name="Note 26 6 2" xfId="5556"/>
    <cellStyle name="Note 26 6 2 2" xfId="13771"/>
    <cellStyle name="Note 26 6 2 2 2" xfId="25759"/>
    <cellStyle name="Note 26 6 2 3" xfId="20646"/>
    <cellStyle name="Note 26 6 2_Table 2A-1_EFT (Annual)" xfId="15698"/>
    <cellStyle name="Note 26 6 3" xfId="11115"/>
    <cellStyle name="Note 26 6 3 2" xfId="23213"/>
    <cellStyle name="Note 26 6 4" xfId="18100"/>
    <cellStyle name="Note 26 6_Table 2A-1_EFT (Annual)" xfId="7371"/>
    <cellStyle name="Note 26 7" xfId="3797"/>
    <cellStyle name="Note 26 7 2" xfId="12165"/>
    <cellStyle name="Note 26 7 2 2" xfId="24195"/>
    <cellStyle name="Note 26 7 3" xfId="19082"/>
    <cellStyle name="Note 26 7_Table 2A-1_EFT (Annual)" xfId="15699"/>
    <cellStyle name="Note 26 8" xfId="9484"/>
    <cellStyle name="Note 26 8 2" xfId="21649"/>
    <cellStyle name="Note 26 9" xfId="16536"/>
    <cellStyle name="Note 26_Table 2A-1_EFT (Annual)" xfId="3277"/>
    <cellStyle name="Note 27" xfId="198"/>
    <cellStyle name="Note 27 2" xfId="591"/>
    <cellStyle name="Note 27 2 2" xfId="1568"/>
    <cellStyle name="Note 27 2 2 2" xfId="2838"/>
    <cellStyle name="Note 27 2 2 2 2" xfId="6399"/>
    <cellStyle name="Note 27 2 2 2 2 2" xfId="14593"/>
    <cellStyle name="Note 27 2 2 2 2 2 2" xfId="26565"/>
    <cellStyle name="Note 27 2 2 2 2 3" xfId="21452"/>
    <cellStyle name="Note 27 2 2 2 2_Table 2A-1_EFT (Annual)" xfId="15700"/>
    <cellStyle name="Note 27 2 2 2 3" xfId="11935"/>
    <cellStyle name="Note 27 2 2 2 3 2" xfId="24019"/>
    <cellStyle name="Note 27 2 2 2 4" xfId="18906"/>
    <cellStyle name="Note 27 2 2 2_Table 2A-1_EFT (Annual)" xfId="7373"/>
    <cellStyle name="Note 27 2 2 3" xfId="5129"/>
    <cellStyle name="Note 27 2 2 3 2" xfId="13389"/>
    <cellStyle name="Note 27 2 2 3 2 2" xfId="25395"/>
    <cellStyle name="Note 27 2 2 3 3" xfId="20282"/>
    <cellStyle name="Note 27 2 2 3_Table 2A-1_EFT (Annual)" xfId="15701"/>
    <cellStyle name="Note 27 2 2 4" xfId="10733"/>
    <cellStyle name="Note 27 2 2 4 2" xfId="22849"/>
    <cellStyle name="Note 27 2 2 5" xfId="17736"/>
    <cellStyle name="Note 27 2 2_Table 2A-1_EFT (Annual)" xfId="7372"/>
    <cellStyle name="Note 27 2 3" xfId="1089"/>
    <cellStyle name="Note 27 2 3 2" xfId="4650"/>
    <cellStyle name="Note 27 2 3 2 2" xfId="12910"/>
    <cellStyle name="Note 27 2 3 2 2 2" xfId="24916"/>
    <cellStyle name="Note 27 2 3 2 3" xfId="19803"/>
    <cellStyle name="Note 27 2 3 2_Table 2A-1_EFT (Annual)" xfId="15702"/>
    <cellStyle name="Note 27 2 3 3" xfId="10254"/>
    <cellStyle name="Note 27 2 3 3 2" xfId="22370"/>
    <cellStyle name="Note 27 2 3 4" xfId="17257"/>
    <cellStyle name="Note 27 2 3_Table 2A-1_EFT (Annual)" xfId="7374"/>
    <cellStyle name="Note 27 2 4" xfId="2307"/>
    <cellStyle name="Note 27 2 4 2" xfId="5868"/>
    <cellStyle name="Note 27 2 4 2 2" xfId="14083"/>
    <cellStyle name="Note 27 2 4 2 2 2" xfId="26071"/>
    <cellStyle name="Note 27 2 4 2 3" xfId="20958"/>
    <cellStyle name="Note 27 2 4 2_Table 2A-1_EFT (Annual)" xfId="15703"/>
    <cellStyle name="Note 27 2 4 3" xfId="11427"/>
    <cellStyle name="Note 27 2 4 3 2" xfId="23525"/>
    <cellStyle name="Note 27 2 4 4" xfId="18412"/>
    <cellStyle name="Note 27 2 4_Table 2A-1_EFT (Annual)" xfId="7375"/>
    <cellStyle name="Note 27 2 5" xfId="4161"/>
    <cellStyle name="Note 27 2 5 2" xfId="12485"/>
    <cellStyle name="Note 27 2 5 2 2" xfId="24507"/>
    <cellStyle name="Note 27 2 5 3" xfId="19394"/>
    <cellStyle name="Note 27 2 5_Table 2A-1_EFT (Annual)" xfId="15704"/>
    <cellStyle name="Note 27 2 6" xfId="9824"/>
    <cellStyle name="Note 27 2 6 2" xfId="21961"/>
    <cellStyle name="Note 27 2 7" xfId="16848"/>
    <cellStyle name="Note 27 2_Table 2A-1_EFT (Annual)" xfId="3281"/>
    <cellStyle name="Note 27 3" xfId="427"/>
    <cellStyle name="Note 27 3 2" xfId="1410"/>
    <cellStyle name="Note 27 3 2 2" xfId="2680"/>
    <cellStyle name="Note 27 3 2 2 2" xfId="6241"/>
    <cellStyle name="Note 27 3 2 2 2 2" xfId="14435"/>
    <cellStyle name="Note 27 3 2 2 2 2 2" xfId="26407"/>
    <cellStyle name="Note 27 3 2 2 2 3" xfId="21294"/>
    <cellStyle name="Note 27 3 2 2 2_Table 2A-1_EFT (Annual)" xfId="15705"/>
    <cellStyle name="Note 27 3 2 2 3" xfId="11777"/>
    <cellStyle name="Note 27 3 2 2 3 2" xfId="23861"/>
    <cellStyle name="Note 27 3 2 2 4" xfId="18748"/>
    <cellStyle name="Note 27 3 2 2_Table 2A-1_EFT (Annual)" xfId="7377"/>
    <cellStyle name="Note 27 3 2 3" xfId="4971"/>
    <cellStyle name="Note 27 3 2 3 2" xfId="13231"/>
    <cellStyle name="Note 27 3 2 3 2 2" xfId="25237"/>
    <cellStyle name="Note 27 3 2 3 3" xfId="20124"/>
    <cellStyle name="Note 27 3 2 3_Table 2A-1_EFT (Annual)" xfId="15706"/>
    <cellStyle name="Note 27 3 2 4" xfId="10575"/>
    <cellStyle name="Note 27 3 2 4 2" xfId="22691"/>
    <cellStyle name="Note 27 3 2 5" xfId="17578"/>
    <cellStyle name="Note 27 3 2_Table 2A-1_EFT (Annual)" xfId="7376"/>
    <cellStyle name="Note 27 3 3" xfId="955"/>
    <cellStyle name="Note 27 3 3 2" xfId="4516"/>
    <cellStyle name="Note 27 3 3 2 2" xfId="12778"/>
    <cellStyle name="Note 27 3 3 2 2 2" xfId="24788"/>
    <cellStyle name="Note 27 3 3 2 3" xfId="19675"/>
    <cellStyle name="Note 27 3 3 2_Table 2A-1_EFT (Annual)" xfId="15707"/>
    <cellStyle name="Note 27 3 3 3" xfId="10125"/>
    <cellStyle name="Note 27 3 3 3 2" xfId="22242"/>
    <cellStyle name="Note 27 3 3 4" xfId="17129"/>
    <cellStyle name="Note 27 3 3_Table 2A-1_EFT (Annual)" xfId="7378"/>
    <cellStyle name="Note 27 3 4" xfId="2149"/>
    <cellStyle name="Note 27 3 4 2" xfId="5710"/>
    <cellStyle name="Note 27 3 4 2 2" xfId="13925"/>
    <cellStyle name="Note 27 3 4 2 2 2" xfId="25913"/>
    <cellStyle name="Note 27 3 4 2 3" xfId="20800"/>
    <cellStyle name="Note 27 3 4 2_Table 2A-1_EFT (Annual)" xfId="15708"/>
    <cellStyle name="Note 27 3 4 3" xfId="11269"/>
    <cellStyle name="Note 27 3 4 3 2" xfId="23367"/>
    <cellStyle name="Note 27 3 4 4" xfId="18254"/>
    <cellStyle name="Note 27 3 4_Table 2A-1_EFT (Annual)" xfId="7379"/>
    <cellStyle name="Note 27 3 5" xfId="3997"/>
    <cellStyle name="Note 27 3 5 2" xfId="12325"/>
    <cellStyle name="Note 27 3 5 2 2" xfId="24349"/>
    <cellStyle name="Note 27 3 5 3" xfId="19236"/>
    <cellStyle name="Note 27 3 5_Table 2A-1_EFT (Annual)" xfId="15709"/>
    <cellStyle name="Note 27 3 6" xfId="9662"/>
    <cellStyle name="Note 27 3 6 2" xfId="21803"/>
    <cellStyle name="Note 27 3 7" xfId="16690"/>
    <cellStyle name="Note 27 3_Table 2A-1_EFT (Annual)" xfId="3282"/>
    <cellStyle name="Note 27 4" xfId="1246"/>
    <cellStyle name="Note 27 4 2" xfId="2516"/>
    <cellStyle name="Note 27 4 2 2" xfId="6077"/>
    <cellStyle name="Note 27 4 2 2 2" xfId="14271"/>
    <cellStyle name="Note 27 4 2 2 2 2" xfId="26243"/>
    <cellStyle name="Note 27 4 2 2 3" xfId="21130"/>
    <cellStyle name="Note 27 4 2 2_Table 2A-1_EFT (Annual)" xfId="15710"/>
    <cellStyle name="Note 27 4 2 3" xfId="11613"/>
    <cellStyle name="Note 27 4 2 3 2" xfId="23697"/>
    <cellStyle name="Note 27 4 2 4" xfId="18584"/>
    <cellStyle name="Note 27 4 2_Table 2A-1_EFT (Annual)" xfId="7381"/>
    <cellStyle name="Note 27 4 3" xfId="4807"/>
    <cellStyle name="Note 27 4 3 2" xfId="13067"/>
    <cellStyle name="Note 27 4 3 2 2" xfId="25073"/>
    <cellStyle name="Note 27 4 3 3" xfId="19960"/>
    <cellStyle name="Note 27 4 3_Table 2A-1_EFT (Annual)" xfId="15711"/>
    <cellStyle name="Note 27 4 4" xfId="10411"/>
    <cellStyle name="Note 27 4 4 2" xfId="22527"/>
    <cellStyle name="Note 27 4 5" xfId="17414"/>
    <cellStyle name="Note 27 4_Table 2A-1_EFT (Annual)" xfId="7380"/>
    <cellStyle name="Note 27 5" xfId="798"/>
    <cellStyle name="Note 27 5 2" xfId="4359"/>
    <cellStyle name="Note 27 5 2 2" xfId="12639"/>
    <cellStyle name="Note 27 5 2 2 2" xfId="24656"/>
    <cellStyle name="Note 27 5 2 3" xfId="19543"/>
    <cellStyle name="Note 27 5 2_Table 2A-1_EFT (Annual)" xfId="15712"/>
    <cellStyle name="Note 27 5 3" xfId="9987"/>
    <cellStyle name="Note 27 5 3 2" xfId="22110"/>
    <cellStyle name="Note 27 5 4" xfId="16997"/>
    <cellStyle name="Note 27 5_Table 2A-1_EFT (Annual)" xfId="7382"/>
    <cellStyle name="Note 27 6" xfId="1985"/>
    <cellStyle name="Note 27 6 2" xfId="5546"/>
    <cellStyle name="Note 27 6 2 2" xfId="13761"/>
    <cellStyle name="Note 27 6 2 2 2" xfId="25749"/>
    <cellStyle name="Note 27 6 2 3" xfId="20636"/>
    <cellStyle name="Note 27 6 2_Table 2A-1_EFT (Annual)" xfId="15713"/>
    <cellStyle name="Note 27 6 3" xfId="11105"/>
    <cellStyle name="Note 27 6 3 2" xfId="23203"/>
    <cellStyle name="Note 27 6 4" xfId="18090"/>
    <cellStyle name="Note 27 6_Table 2A-1_EFT (Annual)" xfId="7383"/>
    <cellStyle name="Note 27 7" xfId="3787"/>
    <cellStyle name="Note 27 7 2" xfId="12155"/>
    <cellStyle name="Note 27 7 2 2" xfId="24185"/>
    <cellStyle name="Note 27 7 3" xfId="19072"/>
    <cellStyle name="Note 27 7_Table 2A-1_EFT (Annual)" xfId="15714"/>
    <cellStyle name="Note 27 8" xfId="9474"/>
    <cellStyle name="Note 27 8 2" xfId="21639"/>
    <cellStyle name="Note 27 9" xfId="16526"/>
    <cellStyle name="Note 27_Table 2A-1_EFT (Annual)" xfId="3280"/>
    <cellStyle name="Note 28" xfId="213"/>
    <cellStyle name="Note 28 2" xfId="606"/>
    <cellStyle name="Note 28 2 2" xfId="1583"/>
    <cellStyle name="Note 28 2 2 2" xfId="2853"/>
    <cellStyle name="Note 28 2 2 2 2" xfId="6414"/>
    <cellStyle name="Note 28 2 2 2 2 2" xfId="14608"/>
    <cellStyle name="Note 28 2 2 2 2 2 2" xfId="26580"/>
    <cellStyle name="Note 28 2 2 2 2 3" xfId="21467"/>
    <cellStyle name="Note 28 2 2 2 2_Table 2A-1_EFT (Annual)" xfId="15715"/>
    <cellStyle name="Note 28 2 2 2 3" xfId="11950"/>
    <cellStyle name="Note 28 2 2 2 3 2" xfId="24034"/>
    <cellStyle name="Note 28 2 2 2 4" xfId="18921"/>
    <cellStyle name="Note 28 2 2 2_Table 2A-1_EFT (Annual)" xfId="7385"/>
    <cellStyle name="Note 28 2 2 3" xfId="5144"/>
    <cellStyle name="Note 28 2 2 3 2" xfId="13404"/>
    <cellStyle name="Note 28 2 2 3 2 2" xfId="25410"/>
    <cellStyle name="Note 28 2 2 3 3" xfId="20297"/>
    <cellStyle name="Note 28 2 2 3_Table 2A-1_EFT (Annual)" xfId="15716"/>
    <cellStyle name="Note 28 2 2 4" xfId="10748"/>
    <cellStyle name="Note 28 2 2 4 2" xfId="22864"/>
    <cellStyle name="Note 28 2 2 5" xfId="17751"/>
    <cellStyle name="Note 28 2 2_Table 2A-1_EFT (Annual)" xfId="7384"/>
    <cellStyle name="Note 28 2 3" xfId="1101"/>
    <cellStyle name="Note 28 2 3 2" xfId="4662"/>
    <cellStyle name="Note 28 2 3 2 2" xfId="12922"/>
    <cellStyle name="Note 28 2 3 2 2 2" xfId="24928"/>
    <cellStyle name="Note 28 2 3 2 3" xfId="19815"/>
    <cellStyle name="Note 28 2 3 2_Table 2A-1_EFT (Annual)" xfId="15717"/>
    <cellStyle name="Note 28 2 3 3" xfId="10266"/>
    <cellStyle name="Note 28 2 3 3 2" xfId="22382"/>
    <cellStyle name="Note 28 2 3 4" xfId="17269"/>
    <cellStyle name="Note 28 2 3_Table 2A-1_EFT (Annual)" xfId="7386"/>
    <cellStyle name="Note 28 2 4" xfId="2322"/>
    <cellStyle name="Note 28 2 4 2" xfId="5883"/>
    <cellStyle name="Note 28 2 4 2 2" xfId="14098"/>
    <cellStyle name="Note 28 2 4 2 2 2" xfId="26086"/>
    <cellStyle name="Note 28 2 4 2 3" xfId="20973"/>
    <cellStyle name="Note 28 2 4 2_Table 2A-1_EFT (Annual)" xfId="15718"/>
    <cellStyle name="Note 28 2 4 3" xfId="11442"/>
    <cellStyle name="Note 28 2 4 3 2" xfId="23540"/>
    <cellStyle name="Note 28 2 4 4" xfId="18427"/>
    <cellStyle name="Note 28 2 4_Table 2A-1_EFT (Annual)" xfId="7387"/>
    <cellStyle name="Note 28 2 5" xfId="4176"/>
    <cellStyle name="Note 28 2 5 2" xfId="12500"/>
    <cellStyle name="Note 28 2 5 2 2" xfId="24522"/>
    <cellStyle name="Note 28 2 5 3" xfId="19409"/>
    <cellStyle name="Note 28 2 5_Table 2A-1_EFT (Annual)" xfId="15719"/>
    <cellStyle name="Note 28 2 6" xfId="9839"/>
    <cellStyle name="Note 28 2 6 2" xfId="21976"/>
    <cellStyle name="Note 28 2 7" xfId="16863"/>
    <cellStyle name="Note 28 2_Table 2A-1_EFT (Annual)" xfId="3284"/>
    <cellStyle name="Note 28 3" xfId="441"/>
    <cellStyle name="Note 28 3 2" xfId="1424"/>
    <cellStyle name="Note 28 3 2 2" xfId="2694"/>
    <cellStyle name="Note 28 3 2 2 2" xfId="6255"/>
    <cellStyle name="Note 28 3 2 2 2 2" xfId="14449"/>
    <cellStyle name="Note 28 3 2 2 2 2 2" xfId="26421"/>
    <cellStyle name="Note 28 3 2 2 2 3" xfId="21308"/>
    <cellStyle name="Note 28 3 2 2 2_Table 2A-1_EFT (Annual)" xfId="15720"/>
    <cellStyle name="Note 28 3 2 2 3" xfId="11791"/>
    <cellStyle name="Note 28 3 2 2 3 2" xfId="23875"/>
    <cellStyle name="Note 28 3 2 2 4" xfId="18762"/>
    <cellStyle name="Note 28 3 2 2_Table 2A-1_EFT (Annual)" xfId="7389"/>
    <cellStyle name="Note 28 3 2 3" xfId="4985"/>
    <cellStyle name="Note 28 3 2 3 2" xfId="13245"/>
    <cellStyle name="Note 28 3 2 3 2 2" xfId="25251"/>
    <cellStyle name="Note 28 3 2 3 3" xfId="20138"/>
    <cellStyle name="Note 28 3 2 3_Table 2A-1_EFT (Annual)" xfId="15721"/>
    <cellStyle name="Note 28 3 2 4" xfId="10589"/>
    <cellStyle name="Note 28 3 2 4 2" xfId="22705"/>
    <cellStyle name="Note 28 3 2 5" xfId="17592"/>
    <cellStyle name="Note 28 3 2_Table 2A-1_EFT (Annual)" xfId="7388"/>
    <cellStyle name="Note 28 3 3" xfId="966"/>
    <cellStyle name="Note 28 3 3 2" xfId="4527"/>
    <cellStyle name="Note 28 3 3 2 2" xfId="12789"/>
    <cellStyle name="Note 28 3 3 2 2 2" xfId="24799"/>
    <cellStyle name="Note 28 3 3 2 3" xfId="19686"/>
    <cellStyle name="Note 28 3 3 2_Table 2A-1_EFT (Annual)" xfId="15722"/>
    <cellStyle name="Note 28 3 3 3" xfId="10136"/>
    <cellStyle name="Note 28 3 3 3 2" xfId="22253"/>
    <cellStyle name="Note 28 3 3 4" xfId="17140"/>
    <cellStyle name="Note 28 3 3_Table 2A-1_EFT (Annual)" xfId="7390"/>
    <cellStyle name="Note 28 3 4" xfId="2163"/>
    <cellStyle name="Note 28 3 4 2" xfId="5724"/>
    <cellStyle name="Note 28 3 4 2 2" xfId="13939"/>
    <cellStyle name="Note 28 3 4 2 2 2" xfId="25927"/>
    <cellStyle name="Note 28 3 4 2 3" xfId="20814"/>
    <cellStyle name="Note 28 3 4 2_Table 2A-1_EFT (Annual)" xfId="15723"/>
    <cellStyle name="Note 28 3 4 3" xfId="11283"/>
    <cellStyle name="Note 28 3 4 3 2" xfId="23381"/>
    <cellStyle name="Note 28 3 4 4" xfId="18268"/>
    <cellStyle name="Note 28 3 4_Table 2A-1_EFT (Annual)" xfId="7391"/>
    <cellStyle name="Note 28 3 5" xfId="4011"/>
    <cellStyle name="Note 28 3 5 2" xfId="12339"/>
    <cellStyle name="Note 28 3 5 2 2" xfId="24363"/>
    <cellStyle name="Note 28 3 5 3" xfId="19250"/>
    <cellStyle name="Note 28 3 5_Table 2A-1_EFT (Annual)" xfId="15724"/>
    <cellStyle name="Note 28 3 6" xfId="9676"/>
    <cellStyle name="Note 28 3 6 2" xfId="21817"/>
    <cellStyle name="Note 28 3 7" xfId="16704"/>
    <cellStyle name="Note 28 3_Table 2A-1_EFT (Annual)" xfId="3285"/>
    <cellStyle name="Note 28 4" xfId="1261"/>
    <cellStyle name="Note 28 4 2" xfId="2531"/>
    <cellStyle name="Note 28 4 2 2" xfId="6092"/>
    <cellStyle name="Note 28 4 2 2 2" xfId="14286"/>
    <cellStyle name="Note 28 4 2 2 2 2" xfId="26258"/>
    <cellStyle name="Note 28 4 2 2 3" xfId="21145"/>
    <cellStyle name="Note 28 4 2 2_Table 2A-1_EFT (Annual)" xfId="15725"/>
    <cellStyle name="Note 28 4 2 3" xfId="11628"/>
    <cellStyle name="Note 28 4 2 3 2" xfId="23712"/>
    <cellStyle name="Note 28 4 2 4" xfId="18599"/>
    <cellStyle name="Note 28 4 2_Table 2A-1_EFT (Annual)" xfId="7393"/>
    <cellStyle name="Note 28 4 3" xfId="4822"/>
    <cellStyle name="Note 28 4 3 2" xfId="13082"/>
    <cellStyle name="Note 28 4 3 2 2" xfId="25088"/>
    <cellStyle name="Note 28 4 3 3" xfId="19975"/>
    <cellStyle name="Note 28 4 3_Table 2A-1_EFT (Annual)" xfId="15726"/>
    <cellStyle name="Note 28 4 4" xfId="10426"/>
    <cellStyle name="Note 28 4 4 2" xfId="22542"/>
    <cellStyle name="Note 28 4 5" xfId="17429"/>
    <cellStyle name="Note 28 4_Table 2A-1_EFT (Annual)" xfId="7392"/>
    <cellStyle name="Note 28 5" xfId="810"/>
    <cellStyle name="Note 28 5 2" xfId="4371"/>
    <cellStyle name="Note 28 5 2 2" xfId="12651"/>
    <cellStyle name="Note 28 5 2 2 2" xfId="24668"/>
    <cellStyle name="Note 28 5 2 3" xfId="19555"/>
    <cellStyle name="Note 28 5 2_Table 2A-1_EFT (Annual)" xfId="15727"/>
    <cellStyle name="Note 28 5 3" xfId="9999"/>
    <cellStyle name="Note 28 5 3 2" xfId="22122"/>
    <cellStyle name="Note 28 5 4" xfId="17009"/>
    <cellStyle name="Note 28 5_Table 2A-1_EFT (Annual)" xfId="7394"/>
    <cellStyle name="Note 28 6" xfId="2000"/>
    <cellStyle name="Note 28 6 2" xfId="5561"/>
    <cellStyle name="Note 28 6 2 2" xfId="13776"/>
    <cellStyle name="Note 28 6 2 2 2" xfId="25764"/>
    <cellStyle name="Note 28 6 2 3" xfId="20651"/>
    <cellStyle name="Note 28 6 2_Table 2A-1_EFT (Annual)" xfId="15728"/>
    <cellStyle name="Note 28 6 3" xfId="11120"/>
    <cellStyle name="Note 28 6 3 2" xfId="23218"/>
    <cellStyle name="Note 28 6 4" xfId="18105"/>
    <cellStyle name="Note 28 6_Table 2A-1_EFT (Annual)" xfId="7395"/>
    <cellStyle name="Note 28 7" xfId="3802"/>
    <cellStyle name="Note 28 7 2" xfId="12170"/>
    <cellStyle name="Note 28 7 2 2" xfId="24200"/>
    <cellStyle name="Note 28 7 3" xfId="19087"/>
    <cellStyle name="Note 28 7_Table 2A-1_EFT (Annual)" xfId="15729"/>
    <cellStyle name="Note 28 8" xfId="9489"/>
    <cellStyle name="Note 28 8 2" xfId="21654"/>
    <cellStyle name="Note 28 9" xfId="16541"/>
    <cellStyle name="Note 28_Table 2A-1_EFT (Annual)" xfId="3283"/>
    <cellStyle name="Note 29" xfId="201"/>
    <cellStyle name="Note 29 2" xfId="594"/>
    <cellStyle name="Note 29 2 2" xfId="1571"/>
    <cellStyle name="Note 29 2 2 2" xfId="2841"/>
    <cellStyle name="Note 29 2 2 2 2" xfId="6402"/>
    <cellStyle name="Note 29 2 2 2 2 2" xfId="14596"/>
    <cellStyle name="Note 29 2 2 2 2 2 2" xfId="26568"/>
    <cellStyle name="Note 29 2 2 2 2 3" xfId="21455"/>
    <cellStyle name="Note 29 2 2 2 2_Table 2A-1_EFT (Annual)" xfId="15730"/>
    <cellStyle name="Note 29 2 2 2 3" xfId="11938"/>
    <cellStyle name="Note 29 2 2 2 3 2" xfId="24022"/>
    <cellStyle name="Note 29 2 2 2 4" xfId="18909"/>
    <cellStyle name="Note 29 2 2 2_Table 2A-1_EFT (Annual)" xfId="7397"/>
    <cellStyle name="Note 29 2 2 3" xfId="5132"/>
    <cellStyle name="Note 29 2 2 3 2" xfId="13392"/>
    <cellStyle name="Note 29 2 2 3 2 2" xfId="25398"/>
    <cellStyle name="Note 29 2 2 3 3" xfId="20285"/>
    <cellStyle name="Note 29 2 2 3_Table 2A-1_EFT (Annual)" xfId="15731"/>
    <cellStyle name="Note 29 2 2 4" xfId="10736"/>
    <cellStyle name="Note 29 2 2 4 2" xfId="22852"/>
    <cellStyle name="Note 29 2 2 5" xfId="17739"/>
    <cellStyle name="Note 29 2 2_Table 2A-1_EFT (Annual)" xfId="7396"/>
    <cellStyle name="Note 29 2 3" xfId="1092"/>
    <cellStyle name="Note 29 2 3 2" xfId="4653"/>
    <cellStyle name="Note 29 2 3 2 2" xfId="12913"/>
    <cellStyle name="Note 29 2 3 2 2 2" xfId="24919"/>
    <cellStyle name="Note 29 2 3 2 3" xfId="19806"/>
    <cellStyle name="Note 29 2 3 2_Table 2A-1_EFT (Annual)" xfId="15732"/>
    <cellStyle name="Note 29 2 3 3" xfId="10257"/>
    <cellStyle name="Note 29 2 3 3 2" xfId="22373"/>
    <cellStyle name="Note 29 2 3 4" xfId="17260"/>
    <cellStyle name="Note 29 2 3_Table 2A-1_EFT (Annual)" xfId="7398"/>
    <cellStyle name="Note 29 2 4" xfId="2310"/>
    <cellStyle name="Note 29 2 4 2" xfId="5871"/>
    <cellStyle name="Note 29 2 4 2 2" xfId="14086"/>
    <cellStyle name="Note 29 2 4 2 2 2" xfId="26074"/>
    <cellStyle name="Note 29 2 4 2 3" xfId="20961"/>
    <cellStyle name="Note 29 2 4 2_Table 2A-1_EFT (Annual)" xfId="15733"/>
    <cellStyle name="Note 29 2 4 3" xfId="11430"/>
    <cellStyle name="Note 29 2 4 3 2" xfId="23528"/>
    <cellStyle name="Note 29 2 4 4" xfId="18415"/>
    <cellStyle name="Note 29 2 4_Table 2A-1_EFT (Annual)" xfId="7399"/>
    <cellStyle name="Note 29 2 5" xfId="4164"/>
    <cellStyle name="Note 29 2 5 2" xfId="12488"/>
    <cellStyle name="Note 29 2 5 2 2" xfId="24510"/>
    <cellStyle name="Note 29 2 5 3" xfId="19397"/>
    <cellStyle name="Note 29 2 5_Table 2A-1_EFT (Annual)" xfId="15734"/>
    <cellStyle name="Note 29 2 6" xfId="9827"/>
    <cellStyle name="Note 29 2 6 2" xfId="21964"/>
    <cellStyle name="Note 29 2 7" xfId="16851"/>
    <cellStyle name="Note 29 2_Table 2A-1_EFT (Annual)" xfId="3287"/>
    <cellStyle name="Note 29 3" xfId="430"/>
    <cellStyle name="Note 29 3 2" xfId="1413"/>
    <cellStyle name="Note 29 3 2 2" xfId="2683"/>
    <cellStyle name="Note 29 3 2 2 2" xfId="6244"/>
    <cellStyle name="Note 29 3 2 2 2 2" xfId="14438"/>
    <cellStyle name="Note 29 3 2 2 2 2 2" xfId="26410"/>
    <cellStyle name="Note 29 3 2 2 2 3" xfId="21297"/>
    <cellStyle name="Note 29 3 2 2 2_Table 2A-1_EFT (Annual)" xfId="15735"/>
    <cellStyle name="Note 29 3 2 2 3" xfId="11780"/>
    <cellStyle name="Note 29 3 2 2 3 2" xfId="23864"/>
    <cellStyle name="Note 29 3 2 2 4" xfId="18751"/>
    <cellStyle name="Note 29 3 2 2_Table 2A-1_EFT (Annual)" xfId="7401"/>
    <cellStyle name="Note 29 3 2 3" xfId="4974"/>
    <cellStyle name="Note 29 3 2 3 2" xfId="13234"/>
    <cellStyle name="Note 29 3 2 3 2 2" xfId="25240"/>
    <cellStyle name="Note 29 3 2 3 3" xfId="20127"/>
    <cellStyle name="Note 29 3 2 3_Table 2A-1_EFT (Annual)" xfId="15736"/>
    <cellStyle name="Note 29 3 2 4" xfId="10578"/>
    <cellStyle name="Note 29 3 2 4 2" xfId="22694"/>
    <cellStyle name="Note 29 3 2 5" xfId="17581"/>
    <cellStyle name="Note 29 3 2_Table 2A-1_EFT (Annual)" xfId="7400"/>
    <cellStyle name="Note 29 3 3" xfId="958"/>
    <cellStyle name="Note 29 3 3 2" xfId="4519"/>
    <cellStyle name="Note 29 3 3 2 2" xfId="12781"/>
    <cellStyle name="Note 29 3 3 2 2 2" xfId="24791"/>
    <cellStyle name="Note 29 3 3 2 3" xfId="19678"/>
    <cellStyle name="Note 29 3 3 2_Table 2A-1_EFT (Annual)" xfId="15737"/>
    <cellStyle name="Note 29 3 3 3" xfId="10128"/>
    <cellStyle name="Note 29 3 3 3 2" xfId="22245"/>
    <cellStyle name="Note 29 3 3 4" xfId="17132"/>
    <cellStyle name="Note 29 3 3_Table 2A-1_EFT (Annual)" xfId="7402"/>
    <cellStyle name="Note 29 3 4" xfId="2152"/>
    <cellStyle name="Note 29 3 4 2" xfId="5713"/>
    <cellStyle name="Note 29 3 4 2 2" xfId="13928"/>
    <cellStyle name="Note 29 3 4 2 2 2" xfId="25916"/>
    <cellStyle name="Note 29 3 4 2 3" xfId="20803"/>
    <cellStyle name="Note 29 3 4 2_Table 2A-1_EFT (Annual)" xfId="15738"/>
    <cellStyle name="Note 29 3 4 3" xfId="11272"/>
    <cellStyle name="Note 29 3 4 3 2" xfId="23370"/>
    <cellStyle name="Note 29 3 4 4" xfId="18257"/>
    <cellStyle name="Note 29 3 4_Table 2A-1_EFT (Annual)" xfId="7403"/>
    <cellStyle name="Note 29 3 5" xfId="4000"/>
    <cellStyle name="Note 29 3 5 2" xfId="12328"/>
    <cellStyle name="Note 29 3 5 2 2" xfId="24352"/>
    <cellStyle name="Note 29 3 5 3" xfId="19239"/>
    <cellStyle name="Note 29 3 5_Table 2A-1_EFT (Annual)" xfId="15739"/>
    <cellStyle name="Note 29 3 6" xfId="9665"/>
    <cellStyle name="Note 29 3 6 2" xfId="21806"/>
    <cellStyle name="Note 29 3 7" xfId="16693"/>
    <cellStyle name="Note 29 3_Table 2A-1_EFT (Annual)" xfId="3288"/>
    <cellStyle name="Note 29 4" xfId="1249"/>
    <cellStyle name="Note 29 4 2" xfId="2519"/>
    <cellStyle name="Note 29 4 2 2" xfId="6080"/>
    <cellStyle name="Note 29 4 2 2 2" xfId="14274"/>
    <cellStyle name="Note 29 4 2 2 2 2" xfId="26246"/>
    <cellStyle name="Note 29 4 2 2 3" xfId="21133"/>
    <cellStyle name="Note 29 4 2 2_Table 2A-1_EFT (Annual)" xfId="15740"/>
    <cellStyle name="Note 29 4 2 3" xfId="11616"/>
    <cellStyle name="Note 29 4 2 3 2" xfId="23700"/>
    <cellStyle name="Note 29 4 2 4" xfId="18587"/>
    <cellStyle name="Note 29 4 2_Table 2A-1_EFT (Annual)" xfId="7405"/>
    <cellStyle name="Note 29 4 3" xfId="4810"/>
    <cellStyle name="Note 29 4 3 2" xfId="13070"/>
    <cellStyle name="Note 29 4 3 2 2" xfId="25076"/>
    <cellStyle name="Note 29 4 3 3" xfId="19963"/>
    <cellStyle name="Note 29 4 3_Table 2A-1_EFT (Annual)" xfId="15741"/>
    <cellStyle name="Note 29 4 4" xfId="10414"/>
    <cellStyle name="Note 29 4 4 2" xfId="22530"/>
    <cellStyle name="Note 29 4 5" xfId="17417"/>
    <cellStyle name="Note 29 4_Table 2A-1_EFT (Annual)" xfId="7404"/>
    <cellStyle name="Note 29 5" xfId="801"/>
    <cellStyle name="Note 29 5 2" xfId="4362"/>
    <cellStyle name="Note 29 5 2 2" xfId="12642"/>
    <cellStyle name="Note 29 5 2 2 2" xfId="24659"/>
    <cellStyle name="Note 29 5 2 3" xfId="19546"/>
    <cellStyle name="Note 29 5 2_Table 2A-1_EFT (Annual)" xfId="15742"/>
    <cellStyle name="Note 29 5 3" xfId="9990"/>
    <cellStyle name="Note 29 5 3 2" xfId="22113"/>
    <cellStyle name="Note 29 5 4" xfId="17000"/>
    <cellStyle name="Note 29 5_Table 2A-1_EFT (Annual)" xfId="7406"/>
    <cellStyle name="Note 29 6" xfId="1988"/>
    <cellStyle name="Note 29 6 2" xfId="5549"/>
    <cellStyle name="Note 29 6 2 2" xfId="13764"/>
    <cellStyle name="Note 29 6 2 2 2" xfId="25752"/>
    <cellStyle name="Note 29 6 2 3" xfId="20639"/>
    <cellStyle name="Note 29 6 2_Table 2A-1_EFT (Annual)" xfId="15743"/>
    <cellStyle name="Note 29 6 3" xfId="11108"/>
    <cellStyle name="Note 29 6 3 2" xfId="23206"/>
    <cellStyle name="Note 29 6 4" xfId="18093"/>
    <cellStyle name="Note 29 6_Table 2A-1_EFT (Annual)" xfId="7407"/>
    <cellStyle name="Note 29 7" xfId="3790"/>
    <cellStyle name="Note 29 7 2" xfId="12158"/>
    <cellStyle name="Note 29 7 2 2" xfId="24188"/>
    <cellStyle name="Note 29 7 3" xfId="19075"/>
    <cellStyle name="Note 29 7_Table 2A-1_EFT (Annual)" xfId="15744"/>
    <cellStyle name="Note 29 8" xfId="9477"/>
    <cellStyle name="Note 29 8 2" xfId="21642"/>
    <cellStyle name="Note 29 9" xfId="16529"/>
    <cellStyle name="Note 29_Table 2A-1_EFT (Annual)" xfId="3286"/>
    <cellStyle name="Note 3" xfId="114"/>
    <cellStyle name="Note 3 10" xfId="21509"/>
    <cellStyle name="Note 3 2" xfId="507"/>
    <cellStyle name="Note 3 2 2" xfId="1484"/>
    <cellStyle name="Note 3 2 2 2" xfId="2754"/>
    <cellStyle name="Note 3 2 2 2 2" xfId="6315"/>
    <cellStyle name="Note 3 2 2 2 2 2" xfId="14509"/>
    <cellStyle name="Note 3 2 2 2 2 2 2" xfId="26481"/>
    <cellStyle name="Note 3 2 2 2 2 3" xfId="21368"/>
    <cellStyle name="Note 3 2 2 2 2_Table 2A-1_EFT (Annual)" xfId="15745"/>
    <cellStyle name="Note 3 2 2 2 3" xfId="11851"/>
    <cellStyle name="Note 3 2 2 2 3 2" xfId="23935"/>
    <cellStyle name="Note 3 2 2 2 4" xfId="18822"/>
    <cellStyle name="Note 3 2 2 2_Table 2A-1_EFT (Annual)" xfId="7409"/>
    <cellStyle name="Note 3 2 2 3" xfId="5045"/>
    <cellStyle name="Note 3 2 2 3 2" xfId="13305"/>
    <cellStyle name="Note 3 2 2 3 2 2" xfId="25311"/>
    <cellStyle name="Note 3 2 2 3 3" xfId="20198"/>
    <cellStyle name="Note 3 2 2 3_Table 2A-1_EFT (Annual)" xfId="15746"/>
    <cellStyle name="Note 3 2 2 4" xfId="10649"/>
    <cellStyle name="Note 3 2 2 4 2" xfId="22765"/>
    <cellStyle name="Note 3 2 2 5" xfId="17652"/>
    <cellStyle name="Note 3 2 2_Table 2A-1_EFT (Annual)" xfId="7408"/>
    <cellStyle name="Note 3 2 3" xfId="1020"/>
    <cellStyle name="Note 3 2 3 2" xfId="4581"/>
    <cellStyle name="Note 3 2 3 2 2" xfId="12841"/>
    <cellStyle name="Note 3 2 3 2 2 2" xfId="24847"/>
    <cellStyle name="Note 3 2 3 2 3" xfId="19734"/>
    <cellStyle name="Note 3 2 3 2_Table 2A-1_EFT (Annual)" xfId="15747"/>
    <cellStyle name="Note 3 2 3 3" xfId="10185"/>
    <cellStyle name="Note 3 2 3 3 2" xfId="22301"/>
    <cellStyle name="Note 3 2 3 4" xfId="17188"/>
    <cellStyle name="Note 3 2 3_Table 2A-1_EFT (Annual)" xfId="7410"/>
    <cellStyle name="Note 3 2 4" xfId="2223"/>
    <cellStyle name="Note 3 2 4 2" xfId="5784"/>
    <cellStyle name="Note 3 2 4 2 2" xfId="13999"/>
    <cellStyle name="Note 3 2 4 2 2 2" xfId="25987"/>
    <cellStyle name="Note 3 2 4 2 3" xfId="20874"/>
    <cellStyle name="Note 3 2 4 2_Table 2A-1_EFT (Annual)" xfId="15748"/>
    <cellStyle name="Note 3 2 4 3" xfId="11343"/>
    <cellStyle name="Note 3 2 4 3 2" xfId="23441"/>
    <cellStyle name="Note 3 2 4 4" xfId="18328"/>
    <cellStyle name="Note 3 2 4_Table 2A-1_EFT (Annual)" xfId="7411"/>
    <cellStyle name="Note 3 2 5" xfId="4077"/>
    <cellStyle name="Note 3 2 5 2" xfId="12401"/>
    <cellStyle name="Note 3 2 5 2 2" xfId="24423"/>
    <cellStyle name="Note 3 2 5 3" xfId="19310"/>
    <cellStyle name="Note 3 2 5_Table 2A-1_EFT (Annual)" xfId="15749"/>
    <cellStyle name="Note 3 2 6" xfId="9740"/>
    <cellStyle name="Note 3 2 6 2" xfId="21877"/>
    <cellStyle name="Note 3 2 7" xfId="16764"/>
    <cellStyle name="Note 3 2_Table 2A-1_EFT (Annual)" xfId="3290"/>
    <cellStyle name="Note 3 3" xfId="345"/>
    <cellStyle name="Note 3 3 2" xfId="1328"/>
    <cellStyle name="Note 3 3 2 2" xfId="2598"/>
    <cellStyle name="Note 3 3 2 2 2" xfId="6159"/>
    <cellStyle name="Note 3 3 2 2 2 2" xfId="14353"/>
    <cellStyle name="Note 3 3 2 2 2 2 2" xfId="26325"/>
    <cellStyle name="Note 3 3 2 2 2 3" xfId="21212"/>
    <cellStyle name="Note 3 3 2 2 2_Table 2A-1_EFT (Annual)" xfId="15750"/>
    <cellStyle name="Note 3 3 2 2 3" xfId="11695"/>
    <cellStyle name="Note 3 3 2 2 3 2" xfId="23779"/>
    <cellStyle name="Note 3 3 2 2 4" xfId="18666"/>
    <cellStyle name="Note 3 3 2 2_Table 2A-1_EFT (Annual)" xfId="7413"/>
    <cellStyle name="Note 3 3 2 3" xfId="4889"/>
    <cellStyle name="Note 3 3 2 3 2" xfId="13149"/>
    <cellStyle name="Note 3 3 2 3 2 2" xfId="25155"/>
    <cellStyle name="Note 3 3 2 3 3" xfId="20042"/>
    <cellStyle name="Note 3 3 2 3_Table 2A-1_EFT (Annual)" xfId="15751"/>
    <cellStyle name="Note 3 3 2 4" xfId="10493"/>
    <cellStyle name="Note 3 3 2 4 2" xfId="22609"/>
    <cellStyle name="Note 3 3 2 5" xfId="17496"/>
    <cellStyle name="Note 3 3 2_Table 2A-1_EFT (Annual)" xfId="7412"/>
    <cellStyle name="Note 3 3 3" xfId="888"/>
    <cellStyle name="Note 3 3 3 2" xfId="4449"/>
    <cellStyle name="Note 3 3 3 2 2" xfId="12711"/>
    <cellStyle name="Note 3 3 3 2 2 2" xfId="24721"/>
    <cellStyle name="Note 3 3 3 2 3" xfId="19608"/>
    <cellStyle name="Note 3 3 3 2_Table 2A-1_EFT (Annual)" xfId="15752"/>
    <cellStyle name="Note 3 3 3 3" xfId="10058"/>
    <cellStyle name="Note 3 3 3 3 2" xfId="22175"/>
    <cellStyle name="Note 3 3 3 4" xfId="17062"/>
    <cellStyle name="Note 3 3 3_Table 2A-1_EFT (Annual)" xfId="7414"/>
    <cellStyle name="Note 3 3 4" xfId="2067"/>
    <cellStyle name="Note 3 3 4 2" xfId="5628"/>
    <cellStyle name="Note 3 3 4 2 2" xfId="13843"/>
    <cellStyle name="Note 3 3 4 2 2 2" xfId="25831"/>
    <cellStyle name="Note 3 3 4 2 3" xfId="20718"/>
    <cellStyle name="Note 3 3 4 2_Table 2A-1_EFT (Annual)" xfId="15753"/>
    <cellStyle name="Note 3 3 4 3" xfId="11187"/>
    <cellStyle name="Note 3 3 4 3 2" xfId="23285"/>
    <cellStyle name="Note 3 3 4 4" xfId="18172"/>
    <cellStyle name="Note 3 3 4_Table 2A-1_EFT (Annual)" xfId="7415"/>
    <cellStyle name="Note 3 3 5" xfId="3915"/>
    <cellStyle name="Note 3 3 5 2" xfId="12243"/>
    <cellStyle name="Note 3 3 5 2 2" xfId="24267"/>
    <cellStyle name="Note 3 3 5 3" xfId="19154"/>
    <cellStyle name="Note 3 3 5_Table 2A-1_EFT (Annual)" xfId="15754"/>
    <cellStyle name="Note 3 3 6" xfId="9580"/>
    <cellStyle name="Note 3 3 6 2" xfId="21721"/>
    <cellStyle name="Note 3 3 7" xfId="16608"/>
    <cellStyle name="Note 3 3_Table 2A-1_EFT (Annual)" xfId="3291"/>
    <cellStyle name="Note 3 4" xfId="1162"/>
    <cellStyle name="Note 3 4 2" xfId="2432"/>
    <cellStyle name="Note 3 4 2 2" xfId="5993"/>
    <cellStyle name="Note 3 4 2 2 2" xfId="14187"/>
    <cellStyle name="Note 3 4 2 2 2 2" xfId="26159"/>
    <cellStyle name="Note 3 4 2 2 3" xfId="21046"/>
    <cellStyle name="Note 3 4 2 2_Table 2A-1_EFT (Annual)" xfId="15755"/>
    <cellStyle name="Note 3 4 2 3" xfId="11529"/>
    <cellStyle name="Note 3 4 2 3 2" xfId="23613"/>
    <cellStyle name="Note 3 4 2 4" xfId="18500"/>
    <cellStyle name="Note 3 4 2_Table 2A-1_EFT (Annual)" xfId="7417"/>
    <cellStyle name="Note 3 4 3" xfId="4723"/>
    <cellStyle name="Note 3 4 3 2" xfId="12983"/>
    <cellStyle name="Note 3 4 3 2 2" xfId="24989"/>
    <cellStyle name="Note 3 4 3 3" xfId="19876"/>
    <cellStyle name="Note 3 4 3_Table 2A-1_EFT (Annual)" xfId="15756"/>
    <cellStyle name="Note 3 4 4" xfId="10327"/>
    <cellStyle name="Note 3 4 4 2" xfId="22443"/>
    <cellStyle name="Note 3 4 5" xfId="17330"/>
    <cellStyle name="Note 3 4_Table 2A-1_EFT (Annual)" xfId="7416"/>
    <cellStyle name="Note 3 5" xfId="729"/>
    <cellStyle name="Note 3 5 2" xfId="4290"/>
    <cellStyle name="Note 3 5 2 2" xfId="12570"/>
    <cellStyle name="Note 3 5 2 2 2" xfId="24587"/>
    <cellStyle name="Note 3 5 2 3" xfId="19474"/>
    <cellStyle name="Note 3 5 2_Table 2A-1_EFT (Annual)" xfId="15757"/>
    <cellStyle name="Note 3 5 3" xfId="9918"/>
    <cellStyle name="Note 3 5 3 2" xfId="22041"/>
    <cellStyle name="Note 3 5 4" xfId="16928"/>
    <cellStyle name="Note 3 5_Table 2A-1_EFT (Annual)" xfId="7418"/>
    <cellStyle name="Note 3 6" xfId="1801"/>
    <cellStyle name="Note 3 6 2" xfId="5362"/>
    <cellStyle name="Note 3 6 2 2" xfId="13577"/>
    <cellStyle name="Note 3 6 2 2 2" xfId="25565"/>
    <cellStyle name="Note 3 6 2 3" xfId="20452"/>
    <cellStyle name="Note 3 6 2_Table 2A-1_EFT (Annual)" xfId="15758"/>
    <cellStyle name="Note 3 6 3" xfId="10921"/>
    <cellStyle name="Note 3 6 3 2" xfId="23019"/>
    <cellStyle name="Note 3 6 4" xfId="17906"/>
    <cellStyle name="Note 3 6_Table 2A-1_EFT (Annual)" xfId="7419"/>
    <cellStyle name="Note 3 7" xfId="3703"/>
    <cellStyle name="Note 3 7 2" xfId="12071"/>
    <cellStyle name="Note 3 7 2 2" xfId="24101"/>
    <cellStyle name="Note 3 7 3" xfId="18988"/>
    <cellStyle name="Note 3 7_Table 2A-1_EFT (Annual)" xfId="15759"/>
    <cellStyle name="Note 3 8" xfId="9390"/>
    <cellStyle name="Note 3 8 2" xfId="21555"/>
    <cellStyle name="Note 3 9" xfId="16442"/>
    <cellStyle name="Note 3_Table 2A-1_EFT (Annual)" xfId="3289"/>
    <cellStyle name="Note 30" xfId="243"/>
    <cellStyle name="Note 30 2" xfId="630"/>
    <cellStyle name="Note 30 2 2" xfId="1607"/>
    <cellStyle name="Note 30 2 2 2" xfId="2877"/>
    <cellStyle name="Note 30 2 2 2 2" xfId="6438"/>
    <cellStyle name="Note 30 2 2 2 2 2" xfId="14632"/>
    <cellStyle name="Note 30 2 2 2 2 2 2" xfId="26604"/>
    <cellStyle name="Note 30 2 2 2 2 3" xfId="21491"/>
    <cellStyle name="Note 30 2 2 2 2_Table 2A-1_EFT (Annual)" xfId="15760"/>
    <cellStyle name="Note 30 2 2 2 3" xfId="11974"/>
    <cellStyle name="Note 30 2 2 2 3 2" xfId="24058"/>
    <cellStyle name="Note 30 2 2 2 4" xfId="18945"/>
    <cellStyle name="Note 30 2 2 2_Table 2A-1_EFT (Annual)" xfId="7421"/>
    <cellStyle name="Note 30 2 2 3" xfId="5168"/>
    <cellStyle name="Note 30 2 2 3 2" xfId="13428"/>
    <cellStyle name="Note 30 2 2 3 2 2" xfId="25434"/>
    <cellStyle name="Note 30 2 2 3 3" xfId="20321"/>
    <cellStyle name="Note 30 2 2 3_Table 2A-1_EFT (Annual)" xfId="15761"/>
    <cellStyle name="Note 30 2 2 4" xfId="10772"/>
    <cellStyle name="Note 30 2 2 4 2" xfId="22888"/>
    <cellStyle name="Note 30 2 2 5" xfId="17775"/>
    <cellStyle name="Note 30 2 2_Table 2A-1_EFT (Annual)" xfId="7420"/>
    <cellStyle name="Note 30 2 3" xfId="1120"/>
    <cellStyle name="Note 30 2 3 2" xfId="4681"/>
    <cellStyle name="Note 30 2 3 2 2" xfId="12941"/>
    <cellStyle name="Note 30 2 3 2 2 2" xfId="24947"/>
    <cellStyle name="Note 30 2 3 2 3" xfId="19834"/>
    <cellStyle name="Note 30 2 3 2_Table 2A-1_EFT (Annual)" xfId="15762"/>
    <cellStyle name="Note 30 2 3 3" xfId="10285"/>
    <cellStyle name="Note 30 2 3 3 2" xfId="22401"/>
    <cellStyle name="Note 30 2 3 4" xfId="17288"/>
    <cellStyle name="Note 30 2 3_Table 2A-1_EFT (Annual)" xfId="7422"/>
    <cellStyle name="Note 30 2 4" xfId="2346"/>
    <cellStyle name="Note 30 2 4 2" xfId="5907"/>
    <cellStyle name="Note 30 2 4 2 2" xfId="14122"/>
    <cellStyle name="Note 30 2 4 2 2 2" xfId="26110"/>
    <cellStyle name="Note 30 2 4 2 3" xfId="20997"/>
    <cellStyle name="Note 30 2 4 2_Table 2A-1_EFT (Annual)" xfId="15763"/>
    <cellStyle name="Note 30 2 4 3" xfId="11466"/>
    <cellStyle name="Note 30 2 4 3 2" xfId="23564"/>
    <cellStyle name="Note 30 2 4 4" xfId="18451"/>
    <cellStyle name="Note 30 2 4_Table 2A-1_EFT (Annual)" xfId="7423"/>
    <cellStyle name="Note 30 2 5" xfId="4200"/>
    <cellStyle name="Note 30 2 5 2" xfId="12524"/>
    <cellStyle name="Note 30 2 5 2 2" xfId="24546"/>
    <cellStyle name="Note 30 2 5 3" xfId="19433"/>
    <cellStyle name="Note 30 2 5_Table 2A-1_EFT (Annual)" xfId="15764"/>
    <cellStyle name="Note 30 2 6" xfId="9863"/>
    <cellStyle name="Note 30 2 6 2" xfId="22000"/>
    <cellStyle name="Note 30 2 7" xfId="16887"/>
    <cellStyle name="Note 30 2_Table 2A-1_EFT (Annual)" xfId="3293"/>
    <cellStyle name="Note 30 3" xfId="469"/>
    <cellStyle name="Note 30 3 2" xfId="1446"/>
    <cellStyle name="Note 30 3 2 2" xfId="2716"/>
    <cellStyle name="Note 30 3 2 2 2" xfId="6277"/>
    <cellStyle name="Note 30 3 2 2 2 2" xfId="14471"/>
    <cellStyle name="Note 30 3 2 2 2 2 2" xfId="26443"/>
    <cellStyle name="Note 30 3 2 2 2 3" xfId="21330"/>
    <cellStyle name="Note 30 3 2 2 2_Table 2A-1_EFT (Annual)" xfId="15765"/>
    <cellStyle name="Note 30 3 2 2 3" xfId="11813"/>
    <cellStyle name="Note 30 3 2 2 3 2" xfId="23897"/>
    <cellStyle name="Note 30 3 2 2 4" xfId="18784"/>
    <cellStyle name="Note 30 3 2 2_Table 2A-1_EFT (Annual)" xfId="7425"/>
    <cellStyle name="Note 30 3 2 3" xfId="5007"/>
    <cellStyle name="Note 30 3 2 3 2" xfId="13267"/>
    <cellStyle name="Note 30 3 2 3 2 2" xfId="25273"/>
    <cellStyle name="Note 30 3 2 3 3" xfId="20160"/>
    <cellStyle name="Note 30 3 2 3_Table 2A-1_EFT (Annual)" xfId="15766"/>
    <cellStyle name="Note 30 3 2 4" xfId="10611"/>
    <cellStyle name="Note 30 3 2 4 2" xfId="22727"/>
    <cellStyle name="Note 30 3 2 5" xfId="17614"/>
    <cellStyle name="Note 30 3 2_Table 2A-1_EFT (Annual)" xfId="7424"/>
    <cellStyle name="Note 30 3 3" xfId="990"/>
    <cellStyle name="Note 30 3 3 2" xfId="4551"/>
    <cellStyle name="Note 30 3 3 2 2" xfId="12811"/>
    <cellStyle name="Note 30 3 3 2 2 2" xfId="24817"/>
    <cellStyle name="Note 30 3 3 2 3" xfId="19704"/>
    <cellStyle name="Note 30 3 3 2_Table 2A-1_EFT (Annual)" xfId="15767"/>
    <cellStyle name="Note 30 3 3 3" xfId="10155"/>
    <cellStyle name="Note 30 3 3 3 2" xfId="22271"/>
    <cellStyle name="Note 30 3 3 4" xfId="17158"/>
    <cellStyle name="Note 30 3 3_Table 2A-1_EFT (Annual)" xfId="7426"/>
    <cellStyle name="Note 30 3 4" xfId="2185"/>
    <cellStyle name="Note 30 3 4 2" xfId="5746"/>
    <cellStyle name="Note 30 3 4 2 2" xfId="13961"/>
    <cellStyle name="Note 30 3 4 2 2 2" xfId="25949"/>
    <cellStyle name="Note 30 3 4 2 3" xfId="20836"/>
    <cellStyle name="Note 30 3 4 2_Table 2A-1_EFT (Annual)" xfId="15768"/>
    <cellStyle name="Note 30 3 4 3" xfId="11305"/>
    <cellStyle name="Note 30 3 4 3 2" xfId="23403"/>
    <cellStyle name="Note 30 3 4 4" xfId="18290"/>
    <cellStyle name="Note 30 3 4_Table 2A-1_EFT (Annual)" xfId="7427"/>
    <cellStyle name="Note 30 3 5" xfId="4039"/>
    <cellStyle name="Note 30 3 5 2" xfId="12363"/>
    <cellStyle name="Note 30 3 5 2 2" xfId="24385"/>
    <cellStyle name="Note 30 3 5 3" xfId="19272"/>
    <cellStyle name="Note 30 3 5_Table 2A-1_EFT (Annual)" xfId="15769"/>
    <cellStyle name="Note 30 3 6" xfId="9702"/>
    <cellStyle name="Note 30 3 6 2" xfId="21839"/>
    <cellStyle name="Note 30 3 7" xfId="16726"/>
    <cellStyle name="Note 30 3_Table 2A-1_EFT (Annual)" xfId="3294"/>
    <cellStyle name="Note 30 4" xfId="1285"/>
    <cellStyle name="Note 30 4 2" xfId="2555"/>
    <cellStyle name="Note 30 4 2 2" xfId="6116"/>
    <cellStyle name="Note 30 4 2 2 2" xfId="14310"/>
    <cellStyle name="Note 30 4 2 2 2 2" xfId="26282"/>
    <cellStyle name="Note 30 4 2 2 3" xfId="21169"/>
    <cellStyle name="Note 30 4 2 2_Table 2A-1_EFT (Annual)" xfId="15770"/>
    <cellStyle name="Note 30 4 2 3" xfId="11652"/>
    <cellStyle name="Note 30 4 2 3 2" xfId="23736"/>
    <cellStyle name="Note 30 4 2 4" xfId="18623"/>
    <cellStyle name="Note 30 4 2_Table 2A-1_EFT (Annual)" xfId="7429"/>
    <cellStyle name="Note 30 4 3" xfId="4846"/>
    <cellStyle name="Note 30 4 3 2" xfId="13106"/>
    <cellStyle name="Note 30 4 3 2 2" xfId="25112"/>
    <cellStyle name="Note 30 4 3 3" xfId="19999"/>
    <cellStyle name="Note 30 4 3_Table 2A-1_EFT (Annual)" xfId="15771"/>
    <cellStyle name="Note 30 4 4" xfId="10450"/>
    <cellStyle name="Note 30 4 4 2" xfId="22566"/>
    <cellStyle name="Note 30 4 5" xfId="17453"/>
    <cellStyle name="Note 30 4_Table 2A-1_EFT (Annual)" xfId="7428"/>
    <cellStyle name="Note 30 5" xfId="835"/>
    <cellStyle name="Note 30 5 2" xfId="4396"/>
    <cellStyle name="Note 30 5 2 2" xfId="12670"/>
    <cellStyle name="Note 30 5 2 2 2" xfId="24687"/>
    <cellStyle name="Note 30 5 2 3" xfId="19574"/>
    <cellStyle name="Note 30 5 2_Table 2A-1_EFT (Annual)" xfId="15772"/>
    <cellStyle name="Note 30 5 3" xfId="10019"/>
    <cellStyle name="Note 30 5 3 2" xfId="22141"/>
    <cellStyle name="Note 30 5 4" xfId="17028"/>
    <cellStyle name="Note 30 5_Table 2A-1_EFT (Annual)" xfId="7430"/>
    <cellStyle name="Note 30 6" xfId="2024"/>
    <cellStyle name="Note 30 6 2" xfId="5585"/>
    <cellStyle name="Note 30 6 2 2" xfId="13800"/>
    <cellStyle name="Note 30 6 2 2 2" xfId="25788"/>
    <cellStyle name="Note 30 6 2 3" xfId="20675"/>
    <cellStyle name="Note 30 6 2_Table 2A-1_EFT (Annual)" xfId="15773"/>
    <cellStyle name="Note 30 6 3" xfId="11144"/>
    <cellStyle name="Note 30 6 3 2" xfId="23242"/>
    <cellStyle name="Note 30 6 4" xfId="18129"/>
    <cellStyle name="Note 30 6_Table 2A-1_EFT (Annual)" xfId="7431"/>
    <cellStyle name="Note 30 7" xfId="3832"/>
    <cellStyle name="Note 30 7 2" xfId="12195"/>
    <cellStyle name="Note 30 7 2 2" xfId="24224"/>
    <cellStyle name="Note 30 7 3" xfId="19111"/>
    <cellStyle name="Note 30 7_Table 2A-1_EFT (Annual)" xfId="15774"/>
    <cellStyle name="Note 30 8" xfId="9514"/>
    <cellStyle name="Note 30 8 2" xfId="21678"/>
    <cellStyle name="Note 30 9" xfId="16565"/>
    <cellStyle name="Note 30_Table 2A-1_EFT (Annual)" xfId="3292"/>
    <cellStyle name="Note 31" xfId="251"/>
    <cellStyle name="Note 31 2" xfId="638"/>
    <cellStyle name="Note 31 2 2" xfId="1615"/>
    <cellStyle name="Note 31 2 2 2" xfId="2885"/>
    <cellStyle name="Note 31 2 2 2 2" xfId="6446"/>
    <cellStyle name="Note 31 2 2 2 2 2" xfId="14640"/>
    <cellStyle name="Note 31 2 2 2 2 2 2" xfId="26612"/>
    <cellStyle name="Note 31 2 2 2 2 3" xfId="21499"/>
    <cellStyle name="Note 31 2 2 2 2_Table 2A-1_EFT (Annual)" xfId="15775"/>
    <cellStyle name="Note 31 2 2 2 3" xfId="11982"/>
    <cellStyle name="Note 31 2 2 2 3 2" xfId="24066"/>
    <cellStyle name="Note 31 2 2 2 4" xfId="18953"/>
    <cellStyle name="Note 31 2 2 2_Table 2A-1_EFT (Annual)" xfId="7433"/>
    <cellStyle name="Note 31 2 2 3" xfId="5176"/>
    <cellStyle name="Note 31 2 2 3 2" xfId="13436"/>
    <cellStyle name="Note 31 2 2 3 2 2" xfId="25442"/>
    <cellStyle name="Note 31 2 2 3 3" xfId="20329"/>
    <cellStyle name="Note 31 2 2 3_Table 2A-1_EFT (Annual)" xfId="15776"/>
    <cellStyle name="Note 31 2 2 4" xfId="10780"/>
    <cellStyle name="Note 31 2 2 4 2" xfId="22896"/>
    <cellStyle name="Note 31 2 2 5" xfId="17783"/>
    <cellStyle name="Note 31 2 2_Table 2A-1_EFT (Annual)" xfId="7432"/>
    <cellStyle name="Note 31 2 3" xfId="1127"/>
    <cellStyle name="Note 31 2 3 2" xfId="4688"/>
    <cellStyle name="Note 31 2 3 2 2" xfId="12948"/>
    <cellStyle name="Note 31 2 3 2 2 2" xfId="24954"/>
    <cellStyle name="Note 31 2 3 2 3" xfId="19841"/>
    <cellStyle name="Note 31 2 3 2_Table 2A-1_EFT (Annual)" xfId="15777"/>
    <cellStyle name="Note 31 2 3 3" xfId="10292"/>
    <cellStyle name="Note 31 2 3 3 2" xfId="22408"/>
    <cellStyle name="Note 31 2 3 4" xfId="17295"/>
    <cellStyle name="Note 31 2 3_Table 2A-1_EFT (Annual)" xfId="7434"/>
    <cellStyle name="Note 31 2 4" xfId="2354"/>
    <cellStyle name="Note 31 2 4 2" xfId="5915"/>
    <cellStyle name="Note 31 2 4 2 2" xfId="14130"/>
    <cellStyle name="Note 31 2 4 2 2 2" xfId="26118"/>
    <cellStyle name="Note 31 2 4 2 3" xfId="21005"/>
    <cellStyle name="Note 31 2 4 2_Table 2A-1_EFT (Annual)" xfId="15778"/>
    <cellStyle name="Note 31 2 4 3" xfId="11474"/>
    <cellStyle name="Note 31 2 4 3 2" xfId="23572"/>
    <cellStyle name="Note 31 2 4 4" xfId="18459"/>
    <cellStyle name="Note 31 2 4_Table 2A-1_EFT (Annual)" xfId="7435"/>
    <cellStyle name="Note 31 2 5" xfId="4208"/>
    <cellStyle name="Note 31 2 5 2" xfId="12532"/>
    <cellStyle name="Note 31 2 5 2 2" xfId="24554"/>
    <cellStyle name="Note 31 2 5 3" xfId="19441"/>
    <cellStyle name="Note 31 2 5_Table 2A-1_EFT (Annual)" xfId="15779"/>
    <cellStyle name="Note 31 2 6" xfId="9871"/>
    <cellStyle name="Note 31 2 6 2" xfId="22008"/>
    <cellStyle name="Note 31 2 7" xfId="16895"/>
    <cellStyle name="Note 31 2_Table 2A-1_EFT (Annual)" xfId="3296"/>
    <cellStyle name="Note 31 3" xfId="477"/>
    <cellStyle name="Note 31 3 2" xfId="1454"/>
    <cellStyle name="Note 31 3 2 2" xfId="2724"/>
    <cellStyle name="Note 31 3 2 2 2" xfId="6285"/>
    <cellStyle name="Note 31 3 2 2 2 2" xfId="14479"/>
    <cellStyle name="Note 31 3 2 2 2 2 2" xfId="26451"/>
    <cellStyle name="Note 31 3 2 2 2 3" xfId="21338"/>
    <cellStyle name="Note 31 3 2 2 2_Table 2A-1_EFT (Annual)" xfId="15780"/>
    <cellStyle name="Note 31 3 2 2 3" xfId="11821"/>
    <cellStyle name="Note 31 3 2 2 3 2" xfId="23905"/>
    <cellStyle name="Note 31 3 2 2 4" xfId="18792"/>
    <cellStyle name="Note 31 3 2 2_Table 2A-1_EFT (Annual)" xfId="7437"/>
    <cellStyle name="Note 31 3 2 3" xfId="5015"/>
    <cellStyle name="Note 31 3 2 3 2" xfId="13275"/>
    <cellStyle name="Note 31 3 2 3 2 2" xfId="25281"/>
    <cellStyle name="Note 31 3 2 3 3" xfId="20168"/>
    <cellStyle name="Note 31 3 2 3_Table 2A-1_EFT (Annual)" xfId="15781"/>
    <cellStyle name="Note 31 3 2 4" xfId="10619"/>
    <cellStyle name="Note 31 3 2 4 2" xfId="22735"/>
    <cellStyle name="Note 31 3 2 5" xfId="17622"/>
    <cellStyle name="Note 31 3 2_Table 2A-1_EFT (Annual)" xfId="7436"/>
    <cellStyle name="Note 31 3 3" xfId="997"/>
    <cellStyle name="Note 31 3 3 2" xfId="4558"/>
    <cellStyle name="Note 31 3 3 2 2" xfId="12818"/>
    <cellStyle name="Note 31 3 3 2 2 2" xfId="24824"/>
    <cellStyle name="Note 31 3 3 2 3" xfId="19711"/>
    <cellStyle name="Note 31 3 3 2_Table 2A-1_EFT (Annual)" xfId="15782"/>
    <cellStyle name="Note 31 3 3 3" xfId="10162"/>
    <cellStyle name="Note 31 3 3 3 2" xfId="22278"/>
    <cellStyle name="Note 31 3 3 4" xfId="17165"/>
    <cellStyle name="Note 31 3 3_Table 2A-1_EFT (Annual)" xfId="7438"/>
    <cellStyle name="Note 31 3 4" xfId="2193"/>
    <cellStyle name="Note 31 3 4 2" xfId="5754"/>
    <cellStyle name="Note 31 3 4 2 2" xfId="13969"/>
    <cellStyle name="Note 31 3 4 2 2 2" xfId="25957"/>
    <cellStyle name="Note 31 3 4 2 3" xfId="20844"/>
    <cellStyle name="Note 31 3 4 2_Table 2A-1_EFT (Annual)" xfId="15783"/>
    <cellStyle name="Note 31 3 4 3" xfId="11313"/>
    <cellStyle name="Note 31 3 4 3 2" xfId="23411"/>
    <cellStyle name="Note 31 3 4 4" xfId="18298"/>
    <cellStyle name="Note 31 3 4_Table 2A-1_EFT (Annual)" xfId="7439"/>
    <cellStyle name="Note 31 3 5" xfId="4047"/>
    <cellStyle name="Note 31 3 5 2" xfId="12371"/>
    <cellStyle name="Note 31 3 5 2 2" xfId="24393"/>
    <cellStyle name="Note 31 3 5 3" xfId="19280"/>
    <cellStyle name="Note 31 3 5_Table 2A-1_EFT (Annual)" xfId="15784"/>
    <cellStyle name="Note 31 3 6" xfId="9710"/>
    <cellStyle name="Note 31 3 6 2" xfId="21847"/>
    <cellStyle name="Note 31 3 7" xfId="16734"/>
    <cellStyle name="Note 31 3_Table 2A-1_EFT (Annual)" xfId="3297"/>
    <cellStyle name="Note 31 4" xfId="1293"/>
    <cellStyle name="Note 31 4 2" xfId="2563"/>
    <cellStyle name="Note 31 4 2 2" xfId="6124"/>
    <cellStyle name="Note 31 4 2 2 2" xfId="14318"/>
    <cellStyle name="Note 31 4 2 2 2 2" xfId="26290"/>
    <cellStyle name="Note 31 4 2 2 3" xfId="21177"/>
    <cellStyle name="Note 31 4 2 2_Table 2A-1_EFT (Annual)" xfId="15785"/>
    <cellStyle name="Note 31 4 2 3" xfId="11660"/>
    <cellStyle name="Note 31 4 2 3 2" xfId="23744"/>
    <cellStyle name="Note 31 4 2 4" xfId="18631"/>
    <cellStyle name="Note 31 4 2_Table 2A-1_EFT (Annual)" xfId="7441"/>
    <cellStyle name="Note 31 4 3" xfId="4854"/>
    <cellStyle name="Note 31 4 3 2" xfId="13114"/>
    <cellStyle name="Note 31 4 3 2 2" xfId="25120"/>
    <cellStyle name="Note 31 4 3 3" xfId="20007"/>
    <cellStyle name="Note 31 4 3_Table 2A-1_EFT (Annual)" xfId="15786"/>
    <cellStyle name="Note 31 4 4" xfId="10458"/>
    <cellStyle name="Note 31 4 4 2" xfId="22574"/>
    <cellStyle name="Note 31 4 5" xfId="17461"/>
    <cellStyle name="Note 31 4_Table 2A-1_EFT (Annual)" xfId="7440"/>
    <cellStyle name="Note 31 5" xfId="842"/>
    <cellStyle name="Note 31 5 2" xfId="4403"/>
    <cellStyle name="Note 31 5 2 2" xfId="12677"/>
    <cellStyle name="Note 31 5 2 2 2" xfId="24694"/>
    <cellStyle name="Note 31 5 2 3" xfId="19581"/>
    <cellStyle name="Note 31 5 2_Table 2A-1_EFT (Annual)" xfId="15787"/>
    <cellStyle name="Note 31 5 3" xfId="10026"/>
    <cellStyle name="Note 31 5 3 2" xfId="22148"/>
    <cellStyle name="Note 31 5 4" xfId="17035"/>
    <cellStyle name="Note 31 5_Table 2A-1_EFT (Annual)" xfId="7442"/>
    <cellStyle name="Note 31 6" xfId="2032"/>
    <cellStyle name="Note 31 6 2" xfId="5593"/>
    <cellStyle name="Note 31 6 2 2" xfId="13808"/>
    <cellStyle name="Note 31 6 2 2 2" xfId="25796"/>
    <cellStyle name="Note 31 6 2 3" xfId="20683"/>
    <cellStyle name="Note 31 6 2_Table 2A-1_EFT (Annual)" xfId="15788"/>
    <cellStyle name="Note 31 6 3" xfId="11152"/>
    <cellStyle name="Note 31 6 3 2" xfId="23250"/>
    <cellStyle name="Note 31 6 4" xfId="18137"/>
    <cellStyle name="Note 31 6_Table 2A-1_EFT (Annual)" xfId="7443"/>
    <cellStyle name="Note 31 7" xfId="3840"/>
    <cellStyle name="Note 31 7 2" xfId="12203"/>
    <cellStyle name="Note 31 7 2 2" xfId="24232"/>
    <cellStyle name="Note 31 7 3" xfId="19119"/>
    <cellStyle name="Note 31 7_Table 2A-1_EFT (Annual)" xfId="15789"/>
    <cellStyle name="Note 31 8" xfId="9522"/>
    <cellStyle name="Note 31 8 2" xfId="21686"/>
    <cellStyle name="Note 31 9" xfId="16573"/>
    <cellStyle name="Note 31_Table 2A-1_EFT (Annual)" xfId="3295"/>
    <cellStyle name="Note 32" xfId="235"/>
    <cellStyle name="Note 32 2" xfId="622"/>
    <cellStyle name="Note 32 2 2" xfId="1599"/>
    <cellStyle name="Note 32 2 2 2" xfId="2869"/>
    <cellStyle name="Note 32 2 2 2 2" xfId="6430"/>
    <cellStyle name="Note 32 2 2 2 2 2" xfId="14624"/>
    <cellStyle name="Note 32 2 2 2 2 2 2" xfId="26596"/>
    <cellStyle name="Note 32 2 2 2 2 3" xfId="21483"/>
    <cellStyle name="Note 32 2 2 2 2_Table 2A-1_EFT (Annual)" xfId="15790"/>
    <cellStyle name="Note 32 2 2 2 3" xfId="11966"/>
    <cellStyle name="Note 32 2 2 2 3 2" xfId="24050"/>
    <cellStyle name="Note 32 2 2 2 4" xfId="18937"/>
    <cellStyle name="Note 32 2 2 2_Table 2A-1_EFT (Annual)" xfId="7445"/>
    <cellStyle name="Note 32 2 2 3" xfId="5160"/>
    <cellStyle name="Note 32 2 2 3 2" xfId="13420"/>
    <cellStyle name="Note 32 2 2 3 2 2" xfId="25426"/>
    <cellStyle name="Note 32 2 2 3 3" xfId="20313"/>
    <cellStyle name="Note 32 2 2 3_Table 2A-1_EFT (Annual)" xfId="15791"/>
    <cellStyle name="Note 32 2 2 4" xfId="10764"/>
    <cellStyle name="Note 32 2 2 4 2" xfId="22880"/>
    <cellStyle name="Note 32 2 2 5" xfId="17767"/>
    <cellStyle name="Note 32 2 2_Table 2A-1_EFT (Annual)" xfId="7444"/>
    <cellStyle name="Note 32 2 3" xfId="1114"/>
    <cellStyle name="Note 32 2 3 2" xfId="4675"/>
    <cellStyle name="Note 32 2 3 2 2" xfId="12935"/>
    <cellStyle name="Note 32 2 3 2 2 2" xfId="24941"/>
    <cellStyle name="Note 32 2 3 2 3" xfId="19828"/>
    <cellStyle name="Note 32 2 3 2_Table 2A-1_EFT (Annual)" xfId="15792"/>
    <cellStyle name="Note 32 2 3 3" xfId="10279"/>
    <cellStyle name="Note 32 2 3 3 2" xfId="22395"/>
    <cellStyle name="Note 32 2 3 4" xfId="17282"/>
    <cellStyle name="Note 32 2 3_Table 2A-1_EFT (Annual)" xfId="7446"/>
    <cellStyle name="Note 32 2 4" xfId="2338"/>
    <cellStyle name="Note 32 2 4 2" xfId="5899"/>
    <cellStyle name="Note 32 2 4 2 2" xfId="14114"/>
    <cellStyle name="Note 32 2 4 2 2 2" xfId="26102"/>
    <cellStyle name="Note 32 2 4 2 3" xfId="20989"/>
    <cellStyle name="Note 32 2 4 2_Table 2A-1_EFT (Annual)" xfId="15793"/>
    <cellStyle name="Note 32 2 4 3" xfId="11458"/>
    <cellStyle name="Note 32 2 4 3 2" xfId="23556"/>
    <cellStyle name="Note 32 2 4 4" xfId="18443"/>
    <cellStyle name="Note 32 2 4_Table 2A-1_EFT (Annual)" xfId="7447"/>
    <cellStyle name="Note 32 2 5" xfId="4192"/>
    <cellStyle name="Note 32 2 5 2" xfId="12516"/>
    <cellStyle name="Note 32 2 5 2 2" xfId="24538"/>
    <cellStyle name="Note 32 2 5 3" xfId="19425"/>
    <cellStyle name="Note 32 2 5_Table 2A-1_EFT (Annual)" xfId="15794"/>
    <cellStyle name="Note 32 2 6" xfId="9855"/>
    <cellStyle name="Note 32 2 6 2" xfId="21992"/>
    <cellStyle name="Note 32 2 7" xfId="16879"/>
    <cellStyle name="Note 32 2_Table 2A-1_EFT (Annual)" xfId="3299"/>
    <cellStyle name="Note 32 3" xfId="461"/>
    <cellStyle name="Note 32 3 2" xfId="1438"/>
    <cellStyle name="Note 32 3 2 2" xfId="2708"/>
    <cellStyle name="Note 32 3 2 2 2" xfId="6269"/>
    <cellStyle name="Note 32 3 2 2 2 2" xfId="14463"/>
    <cellStyle name="Note 32 3 2 2 2 2 2" xfId="26435"/>
    <cellStyle name="Note 32 3 2 2 2 3" xfId="21322"/>
    <cellStyle name="Note 32 3 2 2 2_Table 2A-1_EFT (Annual)" xfId="15795"/>
    <cellStyle name="Note 32 3 2 2 3" xfId="11805"/>
    <cellStyle name="Note 32 3 2 2 3 2" xfId="23889"/>
    <cellStyle name="Note 32 3 2 2 4" xfId="18776"/>
    <cellStyle name="Note 32 3 2 2_Table 2A-1_EFT (Annual)" xfId="7449"/>
    <cellStyle name="Note 32 3 2 3" xfId="4999"/>
    <cellStyle name="Note 32 3 2 3 2" xfId="13259"/>
    <cellStyle name="Note 32 3 2 3 2 2" xfId="25265"/>
    <cellStyle name="Note 32 3 2 3 3" xfId="20152"/>
    <cellStyle name="Note 32 3 2 3_Table 2A-1_EFT (Annual)" xfId="15796"/>
    <cellStyle name="Note 32 3 2 4" xfId="10603"/>
    <cellStyle name="Note 32 3 2 4 2" xfId="22719"/>
    <cellStyle name="Note 32 3 2 5" xfId="17606"/>
    <cellStyle name="Note 32 3 2_Table 2A-1_EFT (Annual)" xfId="7448"/>
    <cellStyle name="Note 32 3 3" xfId="984"/>
    <cellStyle name="Note 32 3 3 2" xfId="4545"/>
    <cellStyle name="Note 32 3 3 2 2" xfId="12805"/>
    <cellStyle name="Note 32 3 3 2 2 2" xfId="24811"/>
    <cellStyle name="Note 32 3 3 2 3" xfId="19698"/>
    <cellStyle name="Note 32 3 3 2_Table 2A-1_EFT (Annual)" xfId="15797"/>
    <cellStyle name="Note 32 3 3 3" xfId="10149"/>
    <cellStyle name="Note 32 3 3 3 2" xfId="22265"/>
    <cellStyle name="Note 32 3 3 4" xfId="17152"/>
    <cellStyle name="Note 32 3 3_Table 2A-1_EFT (Annual)" xfId="7450"/>
    <cellStyle name="Note 32 3 4" xfId="2177"/>
    <cellStyle name="Note 32 3 4 2" xfId="5738"/>
    <cellStyle name="Note 32 3 4 2 2" xfId="13953"/>
    <cellStyle name="Note 32 3 4 2 2 2" xfId="25941"/>
    <cellStyle name="Note 32 3 4 2 3" xfId="20828"/>
    <cellStyle name="Note 32 3 4 2_Table 2A-1_EFT (Annual)" xfId="15798"/>
    <cellStyle name="Note 32 3 4 3" xfId="11297"/>
    <cellStyle name="Note 32 3 4 3 2" xfId="23395"/>
    <cellStyle name="Note 32 3 4 4" xfId="18282"/>
    <cellStyle name="Note 32 3 4_Table 2A-1_EFT (Annual)" xfId="7451"/>
    <cellStyle name="Note 32 3 5" xfId="4031"/>
    <cellStyle name="Note 32 3 5 2" xfId="12355"/>
    <cellStyle name="Note 32 3 5 2 2" xfId="24377"/>
    <cellStyle name="Note 32 3 5 3" xfId="19264"/>
    <cellStyle name="Note 32 3 5_Table 2A-1_EFT (Annual)" xfId="15799"/>
    <cellStyle name="Note 32 3 6" xfId="9694"/>
    <cellStyle name="Note 32 3 6 2" xfId="21831"/>
    <cellStyle name="Note 32 3 7" xfId="16718"/>
    <cellStyle name="Note 32 3_Table 2A-1_EFT (Annual)" xfId="3300"/>
    <cellStyle name="Note 32 4" xfId="1277"/>
    <cellStyle name="Note 32 4 2" xfId="2547"/>
    <cellStyle name="Note 32 4 2 2" xfId="6108"/>
    <cellStyle name="Note 32 4 2 2 2" xfId="14302"/>
    <cellStyle name="Note 32 4 2 2 2 2" xfId="26274"/>
    <cellStyle name="Note 32 4 2 2 3" xfId="21161"/>
    <cellStyle name="Note 32 4 2 2_Table 2A-1_EFT (Annual)" xfId="15800"/>
    <cellStyle name="Note 32 4 2 3" xfId="11644"/>
    <cellStyle name="Note 32 4 2 3 2" xfId="23728"/>
    <cellStyle name="Note 32 4 2 4" xfId="18615"/>
    <cellStyle name="Note 32 4 2_Table 2A-1_EFT (Annual)" xfId="7453"/>
    <cellStyle name="Note 32 4 3" xfId="4838"/>
    <cellStyle name="Note 32 4 3 2" xfId="13098"/>
    <cellStyle name="Note 32 4 3 2 2" xfId="25104"/>
    <cellStyle name="Note 32 4 3 3" xfId="19991"/>
    <cellStyle name="Note 32 4 3_Table 2A-1_EFT (Annual)" xfId="15801"/>
    <cellStyle name="Note 32 4 4" xfId="10442"/>
    <cellStyle name="Note 32 4 4 2" xfId="22558"/>
    <cellStyle name="Note 32 4 5" xfId="17445"/>
    <cellStyle name="Note 32 4_Table 2A-1_EFT (Annual)" xfId="7452"/>
    <cellStyle name="Note 32 5" xfId="829"/>
    <cellStyle name="Note 32 5 2" xfId="4390"/>
    <cellStyle name="Note 32 5 2 2" xfId="12664"/>
    <cellStyle name="Note 32 5 2 2 2" xfId="24681"/>
    <cellStyle name="Note 32 5 2 3" xfId="19568"/>
    <cellStyle name="Note 32 5 2_Table 2A-1_EFT (Annual)" xfId="15802"/>
    <cellStyle name="Note 32 5 3" xfId="10013"/>
    <cellStyle name="Note 32 5 3 2" xfId="22135"/>
    <cellStyle name="Note 32 5 4" xfId="17022"/>
    <cellStyle name="Note 32 5_Table 2A-1_EFT (Annual)" xfId="7454"/>
    <cellStyle name="Note 32 6" xfId="2016"/>
    <cellStyle name="Note 32 6 2" xfId="5577"/>
    <cellStyle name="Note 32 6 2 2" xfId="13792"/>
    <cellStyle name="Note 32 6 2 2 2" xfId="25780"/>
    <cellStyle name="Note 32 6 2 3" xfId="20667"/>
    <cellStyle name="Note 32 6 2_Table 2A-1_EFT (Annual)" xfId="15803"/>
    <cellStyle name="Note 32 6 3" xfId="11136"/>
    <cellStyle name="Note 32 6 3 2" xfId="23234"/>
    <cellStyle name="Note 32 6 4" xfId="18121"/>
    <cellStyle name="Note 32 6_Table 2A-1_EFT (Annual)" xfId="7455"/>
    <cellStyle name="Note 32 7" xfId="3824"/>
    <cellStyle name="Note 32 7 2" xfId="12187"/>
    <cellStyle name="Note 32 7 2 2" xfId="24216"/>
    <cellStyle name="Note 32 7 3" xfId="19103"/>
    <cellStyle name="Note 32 7_Table 2A-1_EFT (Annual)" xfId="15804"/>
    <cellStyle name="Note 32 8" xfId="9506"/>
    <cellStyle name="Note 32 8 2" xfId="21670"/>
    <cellStyle name="Note 32 9" xfId="16557"/>
    <cellStyle name="Note 32_Table 2A-1_EFT (Annual)" xfId="3298"/>
    <cellStyle name="Note 33" xfId="206"/>
    <cellStyle name="Note 33 2" xfId="599"/>
    <cellStyle name="Note 33 2 2" xfId="1576"/>
    <cellStyle name="Note 33 2 2 2" xfId="2846"/>
    <cellStyle name="Note 33 2 2 2 2" xfId="6407"/>
    <cellStyle name="Note 33 2 2 2 2 2" xfId="14601"/>
    <cellStyle name="Note 33 2 2 2 2 2 2" xfId="26573"/>
    <cellStyle name="Note 33 2 2 2 2 3" xfId="21460"/>
    <cellStyle name="Note 33 2 2 2 2_Table 2A-1_EFT (Annual)" xfId="15805"/>
    <cellStyle name="Note 33 2 2 2 3" xfId="11943"/>
    <cellStyle name="Note 33 2 2 2 3 2" xfId="24027"/>
    <cellStyle name="Note 33 2 2 2 4" xfId="18914"/>
    <cellStyle name="Note 33 2 2 2_Table 2A-1_EFT (Annual)" xfId="7457"/>
    <cellStyle name="Note 33 2 2 3" xfId="5137"/>
    <cellStyle name="Note 33 2 2 3 2" xfId="13397"/>
    <cellStyle name="Note 33 2 2 3 2 2" xfId="25403"/>
    <cellStyle name="Note 33 2 2 3 3" xfId="20290"/>
    <cellStyle name="Note 33 2 2 3_Table 2A-1_EFT (Annual)" xfId="15806"/>
    <cellStyle name="Note 33 2 2 4" xfId="10741"/>
    <cellStyle name="Note 33 2 2 4 2" xfId="22857"/>
    <cellStyle name="Note 33 2 2 5" xfId="17744"/>
    <cellStyle name="Note 33 2 2_Table 2A-1_EFT (Annual)" xfId="7456"/>
    <cellStyle name="Note 33 2 3" xfId="1096"/>
    <cellStyle name="Note 33 2 3 2" xfId="4657"/>
    <cellStyle name="Note 33 2 3 2 2" xfId="12917"/>
    <cellStyle name="Note 33 2 3 2 2 2" xfId="24923"/>
    <cellStyle name="Note 33 2 3 2 3" xfId="19810"/>
    <cellStyle name="Note 33 2 3 2_Table 2A-1_EFT (Annual)" xfId="15807"/>
    <cellStyle name="Note 33 2 3 3" xfId="10261"/>
    <cellStyle name="Note 33 2 3 3 2" xfId="22377"/>
    <cellStyle name="Note 33 2 3 4" xfId="17264"/>
    <cellStyle name="Note 33 2 3_Table 2A-1_EFT (Annual)" xfId="7458"/>
    <cellStyle name="Note 33 2 4" xfId="2315"/>
    <cellStyle name="Note 33 2 4 2" xfId="5876"/>
    <cellStyle name="Note 33 2 4 2 2" xfId="14091"/>
    <cellStyle name="Note 33 2 4 2 2 2" xfId="26079"/>
    <cellStyle name="Note 33 2 4 2 3" xfId="20966"/>
    <cellStyle name="Note 33 2 4 2_Table 2A-1_EFT (Annual)" xfId="15808"/>
    <cellStyle name="Note 33 2 4 3" xfId="11435"/>
    <cellStyle name="Note 33 2 4 3 2" xfId="23533"/>
    <cellStyle name="Note 33 2 4 4" xfId="18420"/>
    <cellStyle name="Note 33 2 4_Table 2A-1_EFT (Annual)" xfId="7459"/>
    <cellStyle name="Note 33 2 5" xfId="4169"/>
    <cellStyle name="Note 33 2 5 2" xfId="12493"/>
    <cellStyle name="Note 33 2 5 2 2" xfId="24515"/>
    <cellStyle name="Note 33 2 5 3" xfId="19402"/>
    <cellStyle name="Note 33 2 5_Table 2A-1_EFT (Annual)" xfId="15809"/>
    <cellStyle name="Note 33 2 6" xfId="9832"/>
    <cellStyle name="Note 33 2 6 2" xfId="21969"/>
    <cellStyle name="Note 33 2 7" xfId="16856"/>
    <cellStyle name="Note 33 2_Table 2A-1_EFT (Annual)" xfId="3302"/>
    <cellStyle name="Note 33 3" xfId="1254"/>
    <cellStyle name="Note 33 3 2" xfId="2524"/>
    <cellStyle name="Note 33 3 2 2" xfId="6085"/>
    <cellStyle name="Note 33 3 2 2 2" xfId="14279"/>
    <cellStyle name="Note 33 3 2 2 2 2" xfId="26251"/>
    <cellStyle name="Note 33 3 2 2 3" xfId="21138"/>
    <cellStyle name="Note 33 3 2 2_Table 2A-1_EFT (Annual)" xfId="15810"/>
    <cellStyle name="Note 33 3 2 3" xfId="11621"/>
    <cellStyle name="Note 33 3 2 3 2" xfId="23705"/>
    <cellStyle name="Note 33 3 2 4" xfId="18592"/>
    <cellStyle name="Note 33 3 2_Table 2A-1_EFT (Annual)" xfId="7461"/>
    <cellStyle name="Note 33 3 3" xfId="4815"/>
    <cellStyle name="Note 33 3 3 2" xfId="13075"/>
    <cellStyle name="Note 33 3 3 2 2" xfId="25081"/>
    <cellStyle name="Note 33 3 3 3" xfId="19968"/>
    <cellStyle name="Note 33 3 3_Table 2A-1_EFT (Annual)" xfId="15811"/>
    <cellStyle name="Note 33 3 4" xfId="10419"/>
    <cellStyle name="Note 33 3 4 2" xfId="22535"/>
    <cellStyle name="Note 33 3 5" xfId="17422"/>
    <cellStyle name="Note 33 3_Table 2A-1_EFT (Annual)" xfId="7460"/>
    <cellStyle name="Note 33 4" xfId="805"/>
    <cellStyle name="Note 33 4 2" xfId="4366"/>
    <cellStyle name="Note 33 4 2 2" xfId="12646"/>
    <cellStyle name="Note 33 4 2 2 2" xfId="24663"/>
    <cellStyle name="Note 33 4 2 3" xfId="19550"/>
    <cellStyle name="Note 33 4 2_Table 2A-1_EFT (Annual)" xfId="15812"/>
    <cellStyle name="Note 33 4 3" xfId="9994"/>
    <cellStyle name="Note 33 4 3 2" xfId="22117"/>
    <cellStyle name="Note 33 4 4" xfId="17004"/>
    <cellStyle name="Note 33 4_Table 2A-1_EFT (Annual)" xfId="7462"/>
    <cellStyle name="Note 33 5" xfId="1993"/>
    <cellStyle name="Note 33 5 2" xfId="5554"/>
    <cellStyle name="Note 33 5 2 2" xfId="13769"/>
    <cellStyle name="Note 33 5 2 2 2" xfId="25757"/>
    <cellStyle name="Note 33 5 2 3" xfId="20644"/>
    <cellStyle name="Note 33 5 2_Table 2A-1_EFT (Annual)" xfId="15813"/>
    <cellStyle name="Note 33 5 3" xfId="11113"/>
    <cellStyle name="Note 33 5 3 2" xfId="23211"/>
    <cellStyle name="Note 33 5 4" xfId="18098"/>
    <cellStyle name="Note 33 5_Table 2A-1_EFT (Annual)" xfId="7463"/>
    <cellStyle name="Note 33 6" xfId="3795"/>
    <cellStyle name="Note 33 6 2" xfId="12163"/>
    <cellStyle name="Note 33 6 2 2" xfId="24193"/>
    <cellStyle name="Note 33 6 3" xfId="19080"/>
    <cellStyle name="Note 33 6_Table 2A-1_EFT (Annual)" xfId="15814"/>
    <cellStyle name="Note 33 7" xfId="9482"/>
    <cellStyle name="Note 33 7 2" xfId="21647"/>
    <cellStyle name="Note 33 8" xfId="16534"/>
    <cellStyle name="Note 33_Table 2A-1_EFT (Annual)" xfId="3301"/>
    <cellStyle name="Note 34" xfId="293"/>
    <cellStyle name="Note 34 2" xfId="1297"/>
    <cellStyle name="Note 34 2 2" xfId="2567"/>
    <cellStyle name="Note 34 2 2 2" xfId="6128"/>
    <cellStyle name="Note 34 2 2 2 2" xfId="14322"/>
    <cellStyle name="Note 34 2 2 2 2 2" xfId="26294"/>
    <cellStyle name="Note 34 2 2 2 3" xfId="21181"/>
    <cellStyle name="Note 34 2 2 2_Table 2A-1_EFT (Annual)" xfId="15815"/>
    <cellStyle name="Note 34 2 2 3" xfId="11664"/>
    <cellStyle name="Note 34 2 2 3 2" xfId="23748"/>
    <cellStyle name="Note 34 2 2 4" xfId="18635"/>
    <cellStyle name="Note 34 2 2_Table 2A-1_EFT (Annual)" xfId="7465"/>
    <cellStyle name="Note 34 2 3" xfId="4858"/>
    <cellStyle name="Note 34 2 3 2" xfId="13118"/>
    <cellStyle name="Note 34 2 3 2 2" xfId="25124"/>
    <cellStyle name="Note 34 2 3 3" xfId="20011"/>
    <cellStyle name="Note 34 2 3_Table 2A-1_EFT (Annual)" xfId="15816"/>
    <cellStyle name="Note 34 2 4" xfId="10462"/>
    <cellStyle name="Note 34 2 4 2" xfId="22578"/>
    <cellStyle name="Note 34 2 5" xfId="17465"/>
    <cellStyle name="Note 34 2_Table 2A-1_EFT (Annual)" xfId="7464"/>
    <cellStyle name="Note 34 3" xfId="847"/>
    <cellStyle name="Note 34 3 2" xfId="4408"/>
    <cellStyle name="Note 34 3 2 2" xfId="12681"/>
    <cellStyle name="Note 34 3 2 2 2" xfId="24698"/>
    <cellStyle name="Note 34 3 2 3" xfId="19585"/>
    <cellStyle name="Note 34 3 2_Table 2A-1_EFT (Annual)" xfId="15817"/>
    <cellStyle name="Note 34 3 3" xfId="10030"/>
    <cellStyle name="Note 34 3 3 2" xfId="22152"/>
    <cellStyle name="Note 34 3 4" xfId="17039"/>
    <cellStyle name="Note 34 3_Table 2A-1_EFT (Annual)" xfId="7466"/>
    <cellStyle name="Note 34 4" xfId="2036"/>
    <cellStyle name="Note 34 4 2" xfId="5597"/>
    <cellStyle name="Note 34 4 2 2" xfId="13812"/>
    <cellStyle name="Note 34 4 2 2 2" xfId="25800"/>
    <cellStyle name="Note 34 4 2 3" xfId="20687"/>
    <cellStyle name="Note 34 4 2_Table 2A-1_EFT (Annual)" xfId="15818"/>
    <cellStyle name="Note 34 4 3" xfId="11156"/>
    <cellStyle name="Note 34 4 3 2" xfId="23254"/>
    <cellStyle name="Note 34 4 4" xfId="18141"/>
    <cellStyle name="Note 34 4_Table 2A-1_EFT (Annual)" xfId="7467"/>
    <cellStyle name="Note 34 5" xfId="3865"/>
    <cellStyle name="Note 34 5 2" xfId="12207"/>
    <cellStyle name="Note 34 5 2 2" xfId="24236"/>
    <cellStyle name="Note 34 5 3" xfId="19123"/>
    <cellStyle name="Note 34 5_Table 2A-1_EFT (Annual)" xfId="15819"/>
    <cellStyle name="Note 34 6" xfId="9542"/>
    <cellStyle name="Note 34 6 2" xfId="21690"/>
    <cellStyle name="Note 34 7" xfId="16577"/>
    <cellStyle name="Note 34_Table 2A-1_EFT (Annual)" xfId="3303"/>
    <cellStyle name="Note 35" xfId="642"/>
    <cellStyle name="Note 35 2" xfId="1619"/>
    <cellStyle name="Note 35 2 2" xfId="2889"/>
    <cellStyle name="Note 35 2 2 2" xfId="6450"/>
    <cellStyle name="Note 35 2 2 2 2" xfId="14644"/>
    <cellStyle name="Note 35 2 2 2 2 2" xfId="26616"/>
    <cellStyle name="Note 35 2 2 2 3" xfId="21503"/>
    <cellStyle name="Note 35 2 2 2_Table 2A-1_EFT (Annual)" xfId="15820"/>
    <cellStyle name="Note 35 2 2 3" xfId="11986"/>
    <cellStyle name="Note 35 2 2 3 2" xfId="24070"/>
    <cellStyle name="Note 35 2 2 4" xfId="18957"/>
    <cellStyle name="Note 35 2 2_Table 2A-1_EFT (Annual)" xfId="7469"/>
    <cellStyle name="Note 35 2 3" xfId="5180"/>
    <cellStyle name="Note 35 2 3 2" xfId="13440"/>
    <cellStyle name="Note 35 2 3 2 2" xfId="25446"/>
    <cellStyle name="Note 35 2 3 3" xfId="20333"/>
    <cellStyle name="Note 35 2 3_Table 2A-1_EFT (Annual)" xfId="15821"/>
    <cellStyle name="Note 35 2 4" xfId="10784"/>
    <cellStyle name="Note 35 2 4 2" xfId="22900"/>
    <cellStyle name="Note 35 2 5" xfId="17787"/>
    <cellStyle name="Note 35 2_Table 2A-1_EFT (Annual)" xfId="7468"/>
    <cellStyle name="Note 35 3" xfId="1131"/>
    <cellStyle name="Note 35 3 2" xfId="4692"/>
    <cellStyle name="Note 35 3 2 2" xfId="12952"/>
    <cellStyle name="Note 35 3 2 2 2" xfId="24958"/>
    <cellStyle name="Note 35 3 2 3" xfId="19845"/>
    <cellStyle name="Note 35 3 2_Table 2A-1_EFT (Annual)" xfId="15822"/>
    <cellStyle name="Note 35 3 3" xfId="10296"/>
    <cellStyle name="Note 35 3 3 2" xfId="22412"/>
    <cellStyle name="Note 35 3 4" xfId="17299"/>
    <cellStyle name="Note 35 3_Table 2A-1_EFT (Annual)" xfId="7470"/>
    <cellStyle name="Note 35 4" xfId="2358"/>
    <cellStyle name="Note 35 4 2" xfId="5919"/>
    <cellStyle name="Note 35 4 2 2" xfId="14134"/>
    <cellStyle name="Note 35 4 2 2 2" xfId="26122"/>
    <cellStyle name="Note 35 4 2 3" xfId="21009"/>
    <cellStyle name="Note 35 4 2_Table 2A-1_EFT (Annual)" xfId="15823"/>
    <cellStyle name="Note 35 4 3" xfId="11478"/>
    <cellStyle name="Note 35 4 3 2" xfId="23576"/>
    <cellStyle name="Note 35 4 4" xfId="18463"/>
    <cellStyle name="Note 35 4_Table 2A-1_EFT (Annual)" xfId="7471"/>
    <cellStyle name="Note 35 5" xfId="4212"/>
    <cellStyle name="Note 35 5 2" xfId="12536"/>
    <cellStyle name="Note 35 5 2 2" xfId="24558"/>
    <cellStyle name="Note 35 5 3" xfId="19445"/>
    <cellStyle name="Note 35 5_Table 2A-1_EFT (Annual)" xfId="15824"/>
    <cellStyle name="Note 35 6" xfId="9875"/>
    <cellStyle name="Note 35 6 2" xfId="22012"/>
    <cellStyle name="Note 35 7" xfId="16899"/>
    <cellStyle name="Note 35_Table 2A-1_EFT (Annual)" xfId="3304"/>
    <cellStyle name="Note 36" xfId="697"/>
    <cellStyle name="Note 36 2" xfId="2364"/>
    <cellStyle name="Note 36 2 2" xfId="5925"/>
    <cellStyle name="Note 36 2 2 2" xfId="14139"/>
    <cellStyle name="Note 36 2 2 2 2" xfId="26127"/>
    <cellStyle name="Note 36 2 2 3" xfId="21014"/>
    <cellStyle name="Note 36 2 2_Table 2A-1_EFT (Annual)" xfId="15825"/>
    <cellStyle name="Note 36 2 3" xfId="11484"/>
    <cellStyle name="Note 36 2 3 2" xfId="23581"/>
    <cellStyle name="Note 36 2 4" xfId="18468"/>
    <cellStyle name="Note 36 2_Table 2A-1_EFT (Annual)" xfId="7473"/>
    <cellStyle name="Note 36 3" xfId="4260"/>
    <cellStyle name="Note 36 3 2" xfId="12545"/>
    <cellStyle name="Note 36 3 2 2" xfId="24563"/>
    <cellStyle name="Note 36 3 3" xfId="19450"/>
    <cellStyle name="Note 36 3_Table 2A-1_EFT (Annual)" xfId="15826"/>
    <cellStyle name="Note 36 4" xfId="9891"/>
    <cellStyle name="Note 36 4 2" xfId="22017"/>
    <cellStyle name="Note 36 5" xfId="16904"/>
    <cellStyle name="Note 36_Table 2A-1_EFT (Annual)" xfId="7472"/>
    <cellStyle name="Note 37" xfId="16011"/>
    <cellStyle name="Note 4" xfId="92"/>
    <cellStyle name="Note 4 10" xfId="21520"/>
    <cellStyle name="Note 4 2" xfId="491"/>
    <cellStyle name="Note 4 2 2" xfId="1468"/>
    <cellStyle name="Note 4 2 2 2" xfId="2738"/>
    <cellStyle name="Note 4 2 2 2 2" xfId="6299"/>
    <cellStyle name="Note 4 2 2 2 2 2" xfId="14493"/>
    <cellStyle name="Note 4 2 2 2 2 2 2" xfId="26465"/>
    <cellStyle name="Note 4 2 2 2 2 3" xfId="21352"/>
    <cellStyle name="Note 4 2 2 2 2_Table 2A-1_EFT (Annual)" xfId="15827"/>
    <cellStyle name="Note 4 2 2 2 3" xfId="11835"/>
    <cellStyle name="Note 4 2 2 2 3 2" xfId="23919"/>
    <cellStyle name="Note 4 2 2 2 4" xfId="18806"/>
    <cellStyle name="Note 4 2 2 2_Table 2A-1_EFT (Annual)" xfId="7475"/>
    <cellStyle name="Note 4 2 2 3" xfId="5029"/>
    <cellStyle name="Note 4 2 2 3 2" xfId="13289"/>
    <cellStyle name="Note 4 2 2 3 2 2" xfId="25295"/>
    <cellStyle name="Note 4 2 2 3 3" xfId="20182"/>
    <cellStyle name="Note 4 2 2 3_Table 2A-1_EFT (Annual)" xfId="15828"/>
    <cellStyle name="Note 4 2 2 4" xfId="10633"/>
    <cellStyle name="Note 4 2 2 4 2" xfId="22749"/>
    <cellStyle name="Note 4 2 2 5" xfId="17636"/>
    <cellStyle name="Note 4 2 2_Table 2A-1_EFT (Annual)" xfId="7474"/>
    <cellStyle name="Note 4 2 3" xfId="1008"/>
    <cellStyle name="Note 4 2 3 2" xfId="4569"/>
    <cellStyle name="Note 4 2 3 2 2" xfId="12829"/>
    <cellStyle name="Note 4 2 3 2 2 2" xfId="24835"/>
    <cellStyle name="Note 4 2 3 2 3" xfId="19722"/>
    <cellStyle name="Note 4 2 3 2_Table 2A-1_EFT (Annual)" xfId="15829"/>
    <cellStyle name="Note 4 2 3 3" xfId="10173"/>
    <cellStyle name="Note 4 2 3 3 2" xfId="22289"/>
    <cellStyle name="Note 4 2 3 4" xfId="17176"/>
    <cellStyle name="Note 4 2 3_Table 2A-1_EFT (Annual)" xfId="7476"/>
    <cellStyle name="Note 4 2 4" xfId="2207"/>
    <cellStyle name="Note 4 2 4 2" xfId="5768"/>
    <cellStyle name="Note 4 2 4 2 2" xfId="13983"/>
    <cellStyle name="Note 4 2 4 2 2 2" xfId="25971"/>
    <cellStyle name="Note 4 2 4 2 3" xfId="20858"/>
    <cellStyle name="Note 4 2 4 2_Table 2A-1_EFT (Annual)" xfId="15830"/>
    <cellStyle name="Note 4 2 4 3" xfId="11327"/>
    <cellStyle name="Note 4 2 4 3 2" xfId="23425"/>
    <cellStyle name="Note 4 2 4 4" xfId="18312"/>
    <cellStyle name="Note 4 2 4_Table 2A-1_EFT (Annual)" xfId="7477"/>
    <cellStyle name="Note 4 2 5" xfId="4061"/>
    <cellStyle name="Note 4 2 5 2" xfId="12385"/>
    <cellStyle name="Note 4 2 5 2 2" xfId="24407"/>
    <cellStyle name="Note 4 2 5 3" xfId="19294"/>
    <cellStyle name="Note 4 2 5_Table 2A-1_EFT (Annual)" xfId="15831"/>
    <cellStyle name="Note 4 2 6" xfId="9724"/>
    <cellStyle name="Note 4 2 6 2" xfId="21861"/>
    <cellStyle name="Note 4 2 7" xfId="16748"/>
    <cellStyle name="Note 4 2_Table 2A-1_EFT (Annual)" xfId="3306"/>
    <cellStyle name="Note 4 3" xfId="324"/>
    <cellStyle name="Note 4 3 2" xfId="1312"/>
    <cellStyle name="Note 4 3 2 2" xfId="2582"/>
    <cellStyle name="Note 4 3 2 2 2" xfId="6143"/>
    <cellStyle name="Note 4 3 2 2 2 2" xfId="14337"/>
    <cellStyle name="Note 4 3 2 2 2 2 2" xfId="26309"/>
    <cellStyle name="Note 4 3 2 2 2 3" xfId="21196"/>
    <cellStyle name="Note 4 3 2 2 2_Table 2A-1_EFT (Annual)" xfId="15832"/>
    <cellStyle name="Note 4 3 2 2 3" xfId="11679"/>
    <cellStyle name="Note 4 3 2 2 3 2" xfId="23763"/>
    <cellStyle name="Note 4 3 2 2 4" xfId="18650"/>
    <cellStyle name="Note 4 3 2 2_Table 2A-1_EFT (Annual)" xfId="7479"/>
    <cellStyle name="Note 4 3 2 3" xfId="4873"/>
    <cellStyle name="Note 4 3 2 3 2" xfId="13133"/>
    <cellStyle name="Note 4 3 2 3 2 2" xfId="25139"/>
    <cellStyle name="Note 4 3 2 3 3" xfId="20026"/>
    <cellStyle name="Note 4 3 2 3_Table 2A-1_EFT (Annual)" xfId="15833"/>
    <cellStyle name="Note 4 3 2 4" xfId="10477"/>
    <cellStyle name="Note 4 3 2 4 2" xfId="22593"/>
    <cellStyle name="Note 4 3 2 5" xfId="17480"/>
    <cellStyle name="Note 4 3 2_Table 2A-1_EFT (Annual)" xfId="7478"/>
    <cellStyle name="Note 4 3 3" xfId="871"/>
    <cellStyle name="Note 4 3 3 2" xfId="4432"/>
    <cellStyle name="Note 4 3 3 2 2" xfId="12697"/>
    <cellStyle name="Note 4 3 3 2 2 2" xfId="24709"/>
    <cellStyle name="Note 4 3 3 2 3" xfId="19596"/>
    <cellStyle name="Note 4 3 3 2_Table 2A-1_EFT (Annual)" xfId="15834"/>
    <cellStyle name="Note 4 3 3 3" xfId="10044"/>
    <cellStyle name="Note 4 3 3 3 2" xfId="22163"/>
    <cellStyle name="Note 4 3 3 4" xfId="17050"/>
    <cellStyle name="Note 4 3 3_Table 2A-1_EFT (Annual)" xfId="7480"/>
    <cellStyle name="Note 4 3 4" xfId="2051"/>
    <cellStyle name="Note 4 3 4 2" xfId="5612"/>
    <cellStyle name="Note 4 3 4 2 2" xfId="13827"/>
    <cellStyle name="Note 4 3 4 2 2 2" xfId="25815"/>
    <cellStyle name="Note 4 3 4 2 3" xfId="20702"/>
    <cellStyle name="Note 4 3 4 2_Table 2A-1_EFT (Annual)" xfId="15835"/>
    <cellStyle name="Note 4 3 4 3" xfId="11171"/>
    <cellStyle name="Note 4 3 4 3 2" xfId="23269"/>
    <cellStyle name="Note 4 3 4 4" xfId="18156"/>
    <cellStyle name="Note 4 3 4_Table 2A-1_EFT (Annual)" xfId="7481"/>
    <cellStyle name="Note 4 3 5" xfId="3894"/>
    <cellStyle name="Note 4 3 5 2" xfId="12226"/>
    <cellStyle name="Note 4 3 5 2 2" xfId="24251"/>
    <cellStyle name="Note 4 3 5 3" xfId="19138"/>
    <cellStyle name="Note 4 3 5_Table 2A-1_EFT (Annual)" xfId="15836"/>
    <cellStyle name="Note 4 3 6" xfId="9563"/>
    <cellStyle name="Note 4 3 6 2" xfId="21705"/>
    <cellStyle name="Note 4 3 7" xfId="16592"/>
    <cellStyle name="Note 4 3_Table 2A-1_EFT (Annual)" xfId="3307"/>
    <cellStyle name="Note 4 4" xfId="1146"/>
    <cellStyle name="Note 4 4 2" xfId="2416"/>
    <cellStyle name="Note 4 4 2 2" xfId="5977"/>
    <cellStyle name="Note 4 4 2 2 2" xfId="14171"/>
    <cellStyle name="Note 4 4 2 2 2 2" xfId="26143"/>
    <cellStyle name="Note 4 4 2 2 3" xfId="21030"/>
    <cellStyle name="Note 4 4 2 2_Table 2A-1_EFT (Annual)" xfId="15837"/>
    <cellStyle name="Note 4 4 2 3" xfId="11513"/>
    <cellStyle name="Note 4 4 2 3 2" xfId="23597"/>
    <cellStyle name="Note 4 4 2 4" xfId="18484"/>
    <cellStyle name="Note 4 4 2_Table 2A-1_EFT (Annual)" xfId="7483"/>
    <cellStyle name="Note 4 4 3" xfId="4707"/>
    <cellStyle name="Note 4 4 3 2" xfId="12967"/>
    <cellStyle name="Note 4 4 3 2 2" xfId="24973"/>
    <cellStyle name="Note 4 4 3 3" xfId="19860"/>
    <cellStyle name="Note 4 4 3_Table 2A-1_EFT (Annual)" xfId="15838"/>
    <cellStyle name="Note 4 4 4" xfId="10311"/>
    <cellStyle name="Note 4 4 4 2" xfId="22427"/>
    <cellStyle name="Note 4 4 5" xfId="17314"/>
    <cellStyle name="Note 4 4_Table 2A-1_EFT (Annual)" xfId="7482"/>
    <cellStyle name="Note 4 5" xfId="712"/>
    <cellStyle name="Note 4 5 2" xfId="4273"/>
    <cellStyle name="Note 4 5 2 2" xfId="12557"/>
    <cellStyle name="Note 4 5 2 2 2" xfId="24575"/>
    <cellStyle name="Note 4 5 2 3" xfId="19462"/>
    <cellStyle name="Note 4 5 2_Table 2A-1_EFT (Annual)" xfId="15839"/>
    <cellStyle name="Note 4 5 3" xfId="9904"/>
    <cellStyle name="Note 4 5 3 2" xfId="22029"/>
    <cellStyle name="Note 4 5 4" xfId="16916"/>
    <cellStyle name="Note 4 5_Table 2A-1_EFT (Annual)" xfId="7484"/>
    <cellStyle name="Note 4 6" xfId="1942"/>
    <cellStyle name="Note 4 6 2" xfId="5503"/>
    <cellStyle name="Note 4 6 2 2" xfId="13718"/>
    <cellStyle name="Note 4 6 2 2 2" xfId="25706"/>
    <cellStyle name="Note 4 6 2 3" xfId="20593"/>
    <cellStyle name="Note 4 6 2_Table 2A-1_EFT (Annual)" xfId="15840"/>
    <cellStyle name="Note 4 6 3" xfId="11062"/>
    <cellStyle name="Note 4 6 3 2" xfId="23160"/>
    <cellStyle name="Note 4 6 4" xfId="18047"/>
    <cellStyle name="Note 4 6_Table 2A-1_EFT (Annual)" xfId="7485"/>
    <cellStyle name="Note 4 7" xfId="3681"/>
    <cellStyle name="Note 4 7 2" xfId="12054"/>
    <cellStyle name="Note 4 7 2 2" xfId="24085"/>
    <cellStyle name="Note 4 7 3" xfId="18972"/>
    <cellStyle name="Note 4 7_Table 2A-1_EFT (Annual)" xfId="15841"/>
    <cellStyle name="Note 4 8" xfId="9371"/>
    <cellStyle name="Note 4 8 2" xfId="21539"/>
    <cellStyle name="Note 4 9" xfId="16426"/>
    <cellStyle name="Note 4_Table 2A-1_EFT (Annual)" xfId="3305"/>
    <cellStyle name="Note 5" xfId="82"/>
    <cellStyle name="Note 5 10" xfId="21525"/>
    <cellStyle name="Note 5 2" xfId="481"/>
    <cellStyle name="Note 5 2 2" xfId="1458"/>
    <cellStyle name="Note 5 2 2 2" xfId="2728"/>
    <cellStyle name="Note 5 2 2 2 2" xfId="6289"/>
    <cellStyle name="Note 5 2 2 2 2 2" xfId="14483"/>
    <cellStyle name="Note 5 2 2 2 2 2 2" xfId="26455"/>
    <cellStyle name="Note 5 2 2 2 2 3" xfId="21342"/>
    <cellStyle name="Note 5 2 2 2 2_Table 2A-1_EFT (Annual)" xfId="15842"/>
    <cellStyle name="Note 5 2 2 2 3" xfId="11825"/>
    <cellStyle name="Note 5 2 2 2 3 2" xfId="23909"/>
    <cellStyle name="Note 5 2 2 2 4" xfId="18796"/>
    <cellStyle name="Note 5 2 2 2_Table 2A-1_EFT (Annual)" xfId="7487"/>
    <cellStyle name="Note 5 2 2 3" xfId="5019"/>
    <cellStyle name="Note 5 2 2 3 2" xfId="13279"/>
    <cellStyle name="Note 5 2 2 3 2 2" xfId="25285"/>
    <cellStyle name="Note 5 2 2 3 3" xfId="20172"/>
    <cellStyle name="Note 5 2 2 3_Table 2A-1_EFT (Annual)" xfId="15843"/>
    <cellStyle name="Note 5 2 2 4" xfId="10623"/>
    <cellStyle name="Note 5 2 2 4 2" xfId="22739"/>
    <cellStyle name="Note 5 2 2 5" xfId="17626"/>
    <cellStyle name="Note 5 2 2_Table 2A-1_EFT (Annual)" xfId="7486"/>
    <cellStyle name="Note 5 2 3" xfId="1001"/>
    <cellStyle name="Note 5 2 3 2" xfId="4562"/>
    <cellStyle name="Note 5 2 3 2 2" xfId="12822"/>
    <cellStyle name="Note 5 2 3 2 2 2" xfId="24828"/>
    <cellStyle name="Note 5 2 3 2 3" xfId="19715"/>
    <cellStyle name="Note 5 2 3 2_Table 2A-1_EFT (Annual)" xfId="15844"/>
    <cellStyle name="Note 5 2 3 3" xfId="10166"/>
    <cellStyle name="Note 5 2 3 3 2" xfId="22282"/>
    <cellStyle name="Note 5 2 3 4" xfId="17169"/>
    <cellStyle name="Note 5 2 3_Table 2A-1_EFT (Annual)" xfId="7488"/>
    <cellStyle name="Note 5 2 4" xfId="2197"/>
    <cellStyle name="Note 5 2 4 2" xfId="5758"/>
    <cellStyle name="Note 5 2 4 2 2" xfId="13973"/>
    <cellStyle name="Note 5 2 4 2 2 2" xfId="25961"/>
    <cellStyle name="Note 5 2 4 2 3" xfId="20848"/>
    <cellStyle name="Note 5 2 4 2_Table 2A-1_EFT (Annual)" xfId="15845"/>
    <cellStyle name="Note 5 2 4 3" xfId="11317"/>
    <cellStyle name="Note 5 2 4 3 2" xfId="23415"/>
    <cellStyle name="Note 5 2 4 4" xfId="18302"/>
    <cellStyle name="Note 5 2 4_Table 2A-1_EFT (Annual)" xfId="7489"/>
    <cellStyle name="Note 5 2 5" xfId="4051"/>
    <cellStyle name="Note 5 2 5 2" xfId="12375"/>
    <cellStyle name="Note 5 2 5 2 2" xfId="24397"/>
    <cellStyle name="Note 5 2 5 3" xfId="19284"/>
    <cellStyle name="Note 5 2 5_Table 2A-1_EFT (Annual)" xfId="15846"/>
    <cellStyle name="Note 5 2 6" xfId="9714"/>
    <cellStyle name="Note 5 2 6 2" xfId="21851"/>
    <cellStyle name="Note 5 2 7" xfId="16738"/>
    <cellStyle name="Note 5 2_Table 2A-1_EFT (Annual)" xfId="3309"/>
    <cellStyle name="Note 5 3" xfId="314"/>
    <cellStyle name="Note 5 3 2" xfId="1302"/>
    <cellStyle name="Note 5 3 2 2" xfId="2572"/>
    <cellStyle name="Note 5 3 2 2 2" xfId="6133"/>
    <cellStyle name="Note 5 3 2 2 2 2" xfId="14327"/>
    <cellStyle name="Note 5 3 2 2 2 2 2" xfId="26299"/>
    <cellStyle name="Note 5 3 2 2 2 3" xfId="21186"/>
    <cellStyle name="Note 5 3 2 2 2_Table 2A-1_EFT (Annual)" xfId="15847"/>
    <cellStyle name="Note 5 3 2 2 3" xfId="11669"/>
    <cellStyle name="Note 5 3 2 2 3 2" xfId="23753"/>
    <cellStyle name="Note 5 3 2 2 4" xfId="18640"/>
    <cellStyle name="Note 5 3 2 2_Table 2A-1_EFT (Annual)" xfId="7491"/>
    <cellStyle name="Note 5 3 2 3" xfId="4863"/>
    <cellStyle name="Note 5 3 2 3 2" xfId="13123"/>
    <cellStyle name="Note 5 3 2 3 2 2" xfId="25129"/>
    <cellStyle name="Note 5 3 2 3 3" xfId="20016"/>
    <cellStyle name="Note 5 3 2 3_Table 2A-1_EFT (Annual)" xfId="15848"/>
    <cellStyle name="Note 5 3 2 4" xfId="10467"/>
    <cellStyle name="Note 5 3 2 4 2" xfId="22583"/>
    <cellStyle name="Note 5 3 2 5" xfId="17470"/>
    <cellStyle name="Note 5 3 2_Table 2A-1_EFT (Annual)" xfId="7490"/>
    <cellStyle name="Note 5 3 3" xfId="864"/>
    <cellStyle name="Note 5 3 3 2" xfId="4425"/>
    <cellStyle name="Note 5 3 3 2 2" xfId="12690"/>
    <cellStyle name="Note 5 3 3 2 2 2" xfId="24702"/>
    <cellStyle name="Note 5 3 3 2 3" xfId="19589"/>
    <cellStyle name="Note 5 3 3 2_Table 2A-1_EFT (Annual)" xfId="15849"/>
    <cellStyle name="Note 5 3 3 3" xfId="10037"/>
    <cellStyle name="Note 5 3 3 3 2" xfId="22156"/>
    <cellStyle name="Note 5 3 3 4" xfId="17043"/>
    <cellStyle name="Note 5 3 3_Table 2A-1_EFT (Annual)" xfId="7492"/>
    <cellStyle name="Note 5 3 4" xfId="2041"/>
    <cellStyle name="Note 5 3 4 2" xfId="5602"/>
    <cellStyle name="Note 5 3 4 2 2" xfId="13817"/>
    <cellStyle name="Note 5 3 4 2 2 2" xfId="25805"/>
    <cellStyle name="Note 5 3 4 2 3" xfId="20692"/>
    <cellStyle name="Note 5 3 4 2_Table 2A-1_EFT (Annual)" xfId="15850"/>
    <cellStyle name="Note 5 3 4 3" xfId="11161"/>
    <cellStyle name="Note 5 3 4 3 2" xfId="23259"/>
    <cellStyle name="Note 5 3 4 4" xfId="18146"/>
    <cellStyle name="Note 5 3 4_Table 2A-1_EFT (Annual)" xfId="7493"/>
    <cellStyle name="Note 5 3 5" xfId="3884"/>
    <cellStyle name="Note 5 3 5 2" xfId="12216"/>
    <cellStyle name="Note 5 3 5 2 2" xfId="24241"/>
    <cellStyle name="Note 5 3 5 3" xfId="19128"/>
    <cellStyle name="Note 5 3 5_Table 2A-1_EFT (Annual)" xfId="15851"/>
    <cellStyle name="Note 5 3 6" xfId="9553"/>
    <cellStyle name="Note 5 3 6 2" xfId="21695"/>
    <cellStyle name="Note 5 3 7" xfId="16582"/>
    <cellStyle name="Note 5 3_Table 2A-1_EFT (Annual)" xfId="3310"/>
    <cellStyle name="Note 5 4" xfId="1136"/>
    <cellStyle name="Note 5 4 2" xfId="2406"/>
    <cellStyle name="Note 5 4 2 2" xfId="5967"/>
    <cellStyle name="Note 5 4 2 2 2" xfId="14161"/>
    <cellStyle name="Note 5 4 2 2 2 2" xfId="26133"/>
    <cellStyle name="Note 5 4 2 2 3" xfId="21020"/>
    <cellStyle name="Note 5 4 2 2_Table 2A-1_EFT (Annual)" xfId="15852"/>
    <cellStyle name="Note 5 4 2 3" xfId="11503"/>
    <cellStyle name="Note 5 4 2 3 2" xfId="23587"/>
    <cellStyle name="Note 5 4 2 4" xfId="18474"/>
    <cellStyle name="Note 5 4 2_Table 2A-1_EFT (Annual)" xfId="7495"/>
    <cellStyle name="Note 5 4 3" xfId="4697"/>
    <cellStyle name="Note 5 4 3 2" xfId="12957"/>
    <cellStyle name="Note 5 4 3 2 2" xfId="24963"/>
    <cellStyle name="Note 5 4 3 3" xfId="19850"/>
    <cellStyle name="Note 5 4 3_Table 2A-1_EFT (Annual)" xfId="15853"/>
    <cellStyle name="Note 5 4 4" xfId="10301"/>
    <cellStyle name="Note 5 4 4 2" xfId="22417"/>
    <cellStyle name="Note 5 4 5" xfId="17304"/>
    <cellStyle name="Note 5 4_Table 2A-1_EFT (Annual)" xfId="7494"/>
    <cellStyle name="Note 5 5" xfId="705"/>
    <cellStyle name="Note 5 5 2" xfId="4266"/>
    <cellStyle name="Note 5 5 2 2" xfId="12550"/>
    <cellStyle name="Note 5 5 2 2 2" xfId="24568"/>
    <cellStyle name="Note 5 5 2 3" xfId="19455"/>
    <cellStyle name="Note 5 5 2_Table 2A-1_EFT (Annual)" xfId="15854"/>
    <cellStyle name="Note 5 5 3" xfId="9897"/>
    <cellStyle name="Note 5 5 3 2" xfId="22022"/>
    <cellStyle name="Note 5 5 4" xfId="16909"/>
    <cellStyle name="Note 5 5_Table 2A-1_EFT (Annual)" xfId="7496"/>
    <cellStyle name="Note 5 6" xfId="1944"/>
    <cellStyle name="Note 5 6 2" xfId="5505"/>
    <cellStyle name="Note 5 6 2 2" xfId="13720"/>
    <cellStyle name="Note 5 6 2 2 2" xfId="25708"/>
    <cellStyle name="Note 5 6 2 3" xfId="20595"/>
    <cellStyle name="Note 5 6 2_Table 2A-1_EFT (Annual)" xfId="15855"/>
    <cellStyle name="Note 5 6 3" xfId="11064"/>
    <cellStyle name="Note 5 6 3 2" xfId="23162"/>
    <cellStyle name="Note 5 6 4" xfId="18049"/>
    <cellStyle name="Note 5 6_Table 2A-1_EFT (Annual)" xfId="7497"/>
    <cellStyle name="Note 5 7" xfId="3671"/>
    <cellStyle name="Note 5 7 2" xfId="12044"/>
    <cellStyle name="Note 5 7 2 2" xfId="24075"/>
    <cellStyle name="Note 5 7 3" xfId="18962"/>
    <cellStyle name="Note 5 7_Table 2A-1_EFT (Annual)" xfId="15856"/>
    <cellStyle name="Note 5 8" xfId="9361"/>
    <cellStyle name="Note 5 8 2" xfId="21529"/>
    <cellStyle name="Note 5 9" xfId="16416"/>
    <cellStyle name="Note 5_Table 2A-1_EFT (Annual)" xfId="3308"/>
    <cellStyle name="Note 6" xfId="90"/>
    <cellStyle name="Note 6 2" xfId="489"/>
    <cellStyle name="Note 6 2 2" xfId="1466"/>
    <cellStyle name="Note 6 2 2 2" xfId="2736"/>
    <cellStyle name="Note 6 2 2 2 2" xfId="6297"/>
    <cellStyle name="Note 6 2 2 2 2 2" xfId="14491"/>
    <cellStyle name="Note 6 2 2 2 2 2 2" xfId="26463"/>
    <cellStyle name="Note 6 2 2 2 2 3" xfId="21350"/>
    <cellStyle name="Note 6 2 2 2 2_Table 2A-1_EFT (Annual)" xfId="15857"/>
    <cellStyle name="Note 6 2 2 2 3" xfId="11833"/>
    <cellStyle name="Note 6 2 2 2 3 2" xfId="23917"/>
    <cellStyle name="Note 6 2 2 2 4" xfId="18804"/>
    <cellStyle name="Note 6 2 2 2_Table 2A-1_EFT (Annual)" xfId="7499"/>
    <cellStyle name="Note 6 2 2 3" xfId="5027"/>
    <cellStyle name="Note 6 2 2 3 2" xfId="13287"/>
    <cellStyle name="Note 6 2 2 3 2 2" xfId="25293"/>
    <cellStyle name="Note 6 2 2 3 3" xfId="20180"/>
    <cellStyle name="Note 6 2 2 3_Table 2A-1_EFT (Annual)" xfId="15858"/>
    <cellStyle name="Note 6 2 2 4" xfId="10631"/>
    <cellStyle name="Note 6 2 2 4 2" xfId="22747"/>
    <cellStyle name="Note 6 2 2 5" xfId="17634"/>
    <cellStyle name="Note 6 2 2_Table 2A-1_EFT (Annual)" xfId="7498"/>
    <cellStyle name="Note 6 2 3" xfId="1007"/>
    <cellStyle name="Note 6 2 3 2" xfId="4568"/>
    <cellStyle name="Note 6 2 3 2 2" xfId="12828"/>
    <cellStyle name="Note 6 2 3 2 2 2" xfId="24834"/>
    <cellStyle name="Note 6 2 3 2 3" xfId="19721"/>
    <cellStyle name="Note 6 2 3 2_Table 2A-1_EFT (Annual)" xfId="15859"/>
    <cellStyle name="Note 6 2 3 3" xfId="10172"/>
    <cellStyle name="Note 6 2 3 3 2" xfId="22288"/>
    <cellStyle name="Note 6 2 3 4" xfId="17175"/>
    <cellStyle name="Note 6 2 3_Table 2A-1_EFT (Annual)" xfId="7500"/>
    <cellStyle name="Note 6 2 4" xfId="2205"/>
    <cellStyle name="Note 6 2 4 2" xfId="5766"/>
    <cellStyle name="Note 6 2 4 2 2" xfId="13981"/>
    <cellStyle name="Note 6 2 4 2 2 2" xfId="25969"/>
    <cellStyle name="Note 6 2 4 2 3" xfId="20856"/>
    <cellStyle name="Note 6 2 4 2_Table 2A-1_EFT (Annual)" xfId="15860"/>
    <cellStyle name="Note 6 2 4 3" xfId="11325"/>
    <cellStyle name="Note 6 2 4 3 2" xfId="23423"/>
    <cellStyle name="Note 6 2 4 4" xfId="18310"/>
    <cellStyle name="Note 6 2 4_Table 2A-1_EFT (Annual)" xfId="7501"/>
    <cellStyle name="Note 6 2 5" xfId="4059"/>
    <cellStyle name="Note 6 2 5 2" xfId="12383"/>
    <cellStyle name="Note 6 2 5 2 2" xfId="24405"/>
    <cellStyle name="Note 6 2 5 3" xfId="19292"/>
    <cellStyle name="Note 6 2 5_Table 2A-1_EFT (Annual)" xfId="15861"/>
    <cellStyle name="Note 6 2 6" xfId="9722"/>
    <cellStyle name="Note 6 2 6 2" xfId="21859"/>
    <cellStyle name="Note 6 2 7" xfId="16746"/>
    <cellStyle name="Note 6 2_Table 2A-1_EFT (Annual)" xfId="3312"/>
    <cellStyle name="Note 6 3" xfId="322"/>
    <cellStyle name="Note 6 3 2" xfId="1310"/>
    <cellStyle name="Note 6 3 2 2" xfId="2580"/>
    <cellStyle name="Note 6 3 2 2 2" xfId="6141"/>
    <cellStyle name="Note 6 3 2 2 2 2" xfId="14335"/>
    <cellStyle name="Note 6 3 2 2 2 2 2" xfId="26307"/>
    <cellStyle name="Note 6 3 2 2 2 3" xfId="21194"/>
    <cellStyle name="Note 6 3 2 2 2_Table 2A-1_EFT (Annual)" xfId="15862"/>
    <cellStyle name="Note 6 3 2 2 3" xfId="11677"/>
    <cellStyle name="Note 6 3 2 2 3 2" xfId="23761"/>
    <cellStyle name="Note 6 3 2 2 4" xfId="18648"/>
    <cellStyle name="Note 6 3 2 2_Table 2A-1_EFT (Annual)" xfId="7503"/>
    <cellStyle name="Note 6 3 2 3" xfId="4871"/>
    <cellStyle name="Note 6 3 2 3 2" xfId="13131"/>
    <cellStyle name="Note 6 3 2 3 2 2" xfId="25137"/>
    <cellStyle name="Note 6 3 2 3 3" xfId="20024"/>
    <cellStyle name="Note 6 3 2 3_Table 2A-1_EFT (Annual)" xfId="15863"/>
    <cellStyle name="Note 6 3 2 4" xfId="10475"/>
    <cellStyle name="Note 6 3 2 4 2" xfId="22591"/>
    <cellStyle name="Note 6 3 2 5" xfId="17478"/>
    <cellStyle name="Note 6 3 2_Table 2A-1_EFT (Annual)" xfId="7502"/>
    <cellStyle name="Note 6 3 3" xfId="870"/>
    <cellStyle name="Note 6 3 3 2" xfId="4431"/>
    <cellStyle name="Note 6 3 3 2 2" xfId="12696"/>
    <cellStyle name="Note 6 3 3 2 2 2" xfId="24708"/>
    <cellStyle name="Note 6 3 3 2 3" xfId="19595"/>
    <cellStyle name="Note 6 3 3 2_Table 2A-1_EFT (Annual)" xfId="15864"/>
    <cellStyle name="Note 6 3 3 3" xfId="10043"/>
    <cellStyle name="Note 6 3 3 3 2" xfId="22162"/>
    <cellStyle name="Note 6 3 3 4" xfId="17049"/>
    <cellStyle name="Note 6 3 3_Table 2A-1_EFT (Annual)" xfId="7504"/>
    <cellStyle name="Note 6 3 4" xfId="2049"/>
    <cellStyle name="Note 6 3 4 2" xfId="5610"/>
    <cellStyle name="Note 6 3 4 2 2" xfId="13825"/>
    <cellStyle name="Note 6 3 4 2 2 2" xfId="25813"/>
    <cellStyle name="Note 6 3 4 2 3" xfId="20700"/>
    <cellStyle name="Note 6 3 4 2_Table 2A-1_EFT (Annual)" xfId="15865"/>
    <cellStyle name="Note 6 3 4 3" xfId="11169"/>
    <cellStyle name="Note 6 3 4 3 2" xfId="23267"/>
    <cellStyle name="Note 6 3 4 4" xfId="18154"/>
    <cellStyle name="Note 6 3 4_Table 2A-1_EFT (Annual)" xfId="7505"/>
    <cellStyle name="Note 6 3 5" xfId="3892"/>
    <cellStyle name="Note 6 3 5 2" xfId="12224"/>
    <cellStyle name="Note 6 3 5 2 2" xfId="24249"/>
    <cellStyle name="Note 6 3 5 3" xfId="19136"/>
    <cellStyle name="Note 6 3 5_Table 2A-1_EFT (Annual)" xfId="15866"/>
    <cellStyle name="Note 6 3 6" xfId="9561"/>
    <cellStyle name="Note 6 3 6 2" xfId="21703"/>
    <cellStyle name="Note 6 3 7" xfId="16590"/>
    <cellStyle name="Note 6 3_Table 2A-1_EFT (Annual)" xfId="3313"/>
    <cellStyle name="Note 6 4" xfId="1144"/>
    <cellStyle name="Note 6 4 2" xfId="2414"/>
    <cellStyle name="Note 6 4 2 2" xfId="5975"/>
    <cellStyle name="Note 6 4 2 2 2" xfId="14169"/>
    <cellStyle name="Note 6 4 2 2 2 2" xfId="26141"/>
    <cellStyle name="Note 6 4 2 2 3" xfId="21028"/>
    <cellStyle name="Note 6 4 2 2_Table 2A-1_EFT (Annual)" xfId="15867"/>
    <cellStyle name="Note 6 4 2 3" xfId="11511"/>
    <cellStyle name="Note 6 4 2 3 2" xfId="23595"/>
    <cellStyle name="Note 6 4 2 4" xfId="18482"/>
    <cellStyle name="Note 6 4 2_Table 2A-1_EFT (Annual)" xfId="7507"/>
    <cellStyle name="Note 6 4 3" xfId="4705"/>
    <cellStyle name="Note 6 4 3 2" xfId="12965"/>
    <cellStyle name="Note 6 4 3 2 2" xfId="24971"/>
    <cellStyle name="Note 6 4 3 3" xfId="19858"/>
    <cellStyle name="Note 6 4 3_Table 2A-1_EFT (Annual)" xfId="15868"/>
    <cellStyle name="Note 6 4 4" xfId="10309"/>
    <cellStyle name="Note 6 4 4 2" xfId="22425"/>
    <cellStyle name="Note 6 4 5" xfId="17312"/>
    <cellStyle name="Note 6 4_Table 2A-1_EFT (Annual)" xfId="7506"/>
    <cellStyle name="Note 6 5" xfId="711"/>
    <cellStyle name="Note 6 5 2" xfId="4272"/>
    <cellStyle name="Note 6 5 2 2" xfId="12556"/>
    <cellStyle name="Note 6 5 2 2 2" xfId="24574"/>
    <cellStyle name="Note 6 5 2 3" xfId="19461"/>
    <cellStyle name="Note 6 5 2_Table 2A-1_EFT (Annual)" xfId="15869"/>
    <cellStyle name="Note 6 5 3" xfId="9903"/>
    <cellStyle name="Note 6 5 3 2" xfId="22028"/>
    <cellStyle name="Note 6 5 4" xfId="16915"/>
    <cellStyle name="Note 6 5_Table 2A-1_EFT (Annual)" xfId="7508"/>
    <cellStyle name="Note 6 6" xfId="1820"/>
    <cellStyle name="Note 6 6 2" xfId="5381"/>
    <cellStyle name="Note 6 6 2 2" xfId="13596"/>
    <cellStyle name="Note 6 6 2 2 2" xfId="25584"/>
    <cellStyle name="Note 6 6 2 3" xfId="20471"/>
    <cellStyle name="Note 6 6 2_Table 2A-1_EFT (Annual)" xfId="15870"/>
    <cellStyle name="Note 6 6 3" xfId="10940"/>
    <cellStyle name="Note 6 6 3 2" xfId="23038"/>
    <cellStyle name="Note 6 6 4" xfId="17925"/>
    <cellStyle name="Note 6 6_Table 2A-1_EFT (Annual)" xfId="7509"/>
    <cellStyle name="Note 6 7" xfId="3679"/>
    <cellStyle name="Note 6 7 2" xfId="12052"/>
    <cellStyle name="Note 6 7 2 2" xfId="24083"/>
    <cellStyle name="Note 6 7 3" xfId="18970"/>
    <cellStyle name="Note 6 7_Table 2A-1_EFT (Annual)" xfId="15871"/>
    <cellStyle name="Note 6 8" xfId="9369"/>
    <cellStyle name="Note 6 8 2" xfId="21537"/>
    <cellStyle name="Note 6 9" xfId="16424"/>
    <cellStyle name="Note 6_Table 2A-1_EFT (Annual)" xfId="3311"/>
    <cellStyle name="Note 7" xfId="109"/>
    <cellStyle name="Note 7 2" xfId="502"/>
    <cellStyle name="Note 7 2 2" xfId="1479"/>
    <cellStyle name="Note 7 2 2 2" xfId="2749"/>
    <cellStyle name="Note 7 2 2 2 2" xfId="6310"/>
    <cellStyle name="Note 7 2 2 2 2 2" xfId="14504"/>
    <cellStyle name="Note 7 2 2 2 2 2 2" xfId="26476"/>
    <cellStyle name="Note 7 2 2 2 2 3" xfId="21363"/>
    <cellStyle name="Note 7 2 2 2 2_Table 2A-1_EFT (Annual)" xfId="15872"/>
    <cellStyle name="Note 7 2 2 2 3" xfId="11846"/>
    <cellStyle name="Note 7 2 2 2 3 2" xfId="23930"/>
    <cellStyle name="Note 7 2 2 2 4" xfId="18817"/>
    <cellStyle name="Note 7 2 2 2_Table 2A-1_EFT (Annual)" xfId="7511"/>
    <cellStyle name="Note 7 2 2 3" xfId="5040"/>
    <cellStyle name="Note 7 2 2 3 2" xfId="13300"/>
    <cellStyle name="Note 7 2 2 3 2 2" xfId="25306"/>
    <cellStyle name="Note 7 2 2 3 3" xfId="20193"/>
    <cellStyle name="Note 7 2 2 3_Table 2A-1_EFT (Annual)" xfId="15873"/>
    <cellStyle name="Note 7 2 2 4" xfId="10644"/>
    <cellStyle name="Note 7 2 2 4 2" xfId="22760"/>
    <cellStyle name="Note 7 2 2 5" xfId="17647"/>
    <cellStyle name="Note 7 2 2_Table 2A-1_EFT (Annual)" xfId="7510"/>
    <cellStyle name="Note 7 2 3" xfId="1016"/>
    <cellStyle name="Note 7 2 3 2" xfId="4577"/>
    <cellStyle name="Note 7 2 3 2 2" xfId="12837"/>
    <cellStyle name="Note 7 2 3 2 2 2" xfId="24843"/>
    <cellStyle name="Note 7 2 3 2 3" xfId="19730"/>
    <cellStyle name="Note 7 2 3 2_Table 2A-1_EFT (Annual)" xfId="15874"/>
    <cellStyle name="Note 7 2 3 3" xfId="10181"/>
    <cellStyle name="Note 7 2 3 3 2" xfId="22297"/>
    <cellStyle name="Note 7 2 3 4" xfId="17184"/>
    <cellStyle name="Note 7 2 3_Table 2A-1_EFT (Annual)" xfId="7512"/>
    <cellStyle name="Note 7 2 4" xfId="2218"/>
    <cellStyle name="Note 7 2 4 2" xfId="5779"/>
    <cellStyle name="Note 7 2 4 2 2" xfId="13994"/>
    <cellStyle name="Note 7 2 4 2 2 2" xfId="25982"/>
    <cellStyle name="Note 7 2 4 2 3" xfId="20869"/>
    <cellStyle name="Note 7 2 4 2_Table 2A-1_EFT (Annual)" xfId="15875"/>
    <cellStyle name="Note 7 2 4 3" xfId="11338"/>
    <cellStyle name="Note 7 2 4 3 2" xfId="23436"/>
    <cellStyle name="Note 7 2 4 4" xfId="18323"/>
    <cellStyle name="Note 7 2 4_Table 2A-1_EFT (Annual)" xfId="7513"/>
    <cellStyle name="Note 7 2 5" xfId="4072"/>
    <cellStyle name="Note 7 2 5 2" xfId="12396"/>
    <cellStyle name="Note 7 2 5 2 2" xfId="24418"/>
    <cellStyle name="Note 7 2 5 3" xfId="19305"/>
    <cellStyle name="Note 7 2 5_Table 2A-1_EFT (Annual)" xfId="15876"/>
    <cellStyle name="Note 7 2 6" xfId="9735"/>
    <cellStyle name="Note 7 2 6 2" xfId="21872"/>
    <cellStyle name="Note 7 2 7" xfId="16759"/>
    <cellStyle name="Note 7 2_Table 2A-1_EFT (Annual)" xfId="3315"/>
    <cellStyle name="Note 7 3" xfId="340"/>
    <cellStyle name="Note 7 3 2" xfId="1323"/>
    <cellStyle name="Note 7 3 2 2" xfId="2593"/>
    <cellStyle name="Note 7 3 2 2 2" xfId="6154"/>
    <cellStyle name="Note 7 3 2 2 2 2" xfId="14348"/>
    <cellStyle name="Note 7 3 2 2 2 2 2" xfId="26320"/>
    <cellStyle name="Note 7 3 2 2 2 3" xfId="21207"/>
    <cellStyle name="Note 7 3 2 2 2_Table 2A-1_EFT (Annual)" xfId="15877"/>
    <cellStyle name="Note 7 3 2 2 3" xfId="11690"/>
    <cellStyle name="Note 7 3 2 2 3 2" xfId="23774"/>
    <cellStyle name="Note 7 3 2 2 4" xfId="18661"/>
    <cellStyle name="Note 7 3 2 2_Table 2A-1_EFT (Annual)" xfId="7515"/>
    <cellStyle name="Note 7 3 2 3" xfId="4884"/>
    <cellStyle name="Note 7 3 2 3 2" xfId="13144"/>
    <cellStyle name="Note 7 3 2 3 2 2" xfId="25150"/>
    <cellStyle name="Note 7 3 2 3 3" xfId="20037"/>
    <cellStyle name="Note 7 3 2 3_Table 2A-1_EFT (Annual)" xfId="15878"/>
    <cellStyle name="Note 7 3 2 4" xfId="10488"/>
    <cellStyle name="Note 7 3 2 4 2" xfId="22604"/>
    <cellStyle name="Note 7 3 2 5" xfId="17491"/>
    <cellStyle name="Note 7 3 2_Table 2A-1_EFT (Annual)" xfId="7514"/>
    <cellStyle name="Note 7 3 3" xfId="884"/>
    <cellStyle name="Note 7 3 3 2" xfId="4445"/>
    <cellStyle name="Note 7 3 3 2 2" xfId="12707"/>
    <cellStyle name="Note 7 3 3 2 2 2" xfId="24717"/>
    <cellStyle name="Note 7 3 3 2 3" xfId="19604"/>
    <cellStyle name="Note 7 3 3 2_Table 2A-1_EFT (Annual)" xfId="15879"/>
    <cellStyle name="Note 7 3 3 3" xfId="10054"/>
    <cellStyle name="Note 7 3 3 3 2" xfId="22171"/>
    <cellStyle name="Note 7 3 3 4" xfId="17058"/>
    <cellStyle name="Note 7 3 3_Table 2A-1_EFT (Annual)" xfId="7516"/>
    <cellStyle name="Note 7 3 4" xfId="2062"/>
    <cellStyle name="Note 7 3 4 2" xfId="5623"/>
    <cellStyle name="Note 7 3 4 2 2" xfId="13838"/>
    <cellStyle name="Note 7 3 4 2 2 2" xfId="25826"/>
    <cellStyle name="Note 7 3 4 2 3" xfId="20713"/>
    <cellStyle name="Note 7 3 4 2_Table 2A-1_EFT (Annual)" xfId="15880"/>
    <cellStyle name="Note 7 3 4 3" xfId="11182"/>
    <cellStyle name="Note 7 3 4 3 2" xfId="23280"/>
    <cellStyle name="Note 7 3 4 4" xfId="18167"/>
    <cellStyle name="Note 7 3 4_Table 2A-1_EFT (Annual)" xfId="7517"/>
    <cellStyle name="Note 7 3 5" xfId="3910"/>
    <cellStyle name="Note 7 3 5 2" xfId="12238"/>
    <cellStyle name="Note 7 3 5 2 2" xfId="24262"/>
    <cellStyle name="Note 7 3 5 3" xfId="19149"/>
    <cellStyle name="Note 7 3 5_Table 2A-1_EFT (Annual)" xfId="15881"/>
    <cellStyle name="Note 7 3 6" xfId="9575"/>
    <cellStyle name="Note 7 3 6 2" xfId="21716"/>
    <cellStyle name="Note 7 3 7" xfId="16603"/>
    <cellStyle name="Note 7 3_Table 2A-1_EFT (Annual)" xfId="3316"/>
    <cellStyle name="Note 7 4" xfId="1157"/>
    <cellStyle name="Note 7 4 2" xfId="2427"/>
    <cellStyle name="Note 7 4 2 2" xfId="5988"/>
    <cellStyle name="Note 7 4 2 2 2" xfId="14182"/>
    <cellStyle name="Note 7 4 2 2 2 2" xfId="26154"/>
    <cellStyle name="Note 7 4 2 2 3" xfId="21041"/>
    <cellStyle name="Note 7 4 2 2_Table 2A-1_EFT (Annual)" xfId="15882"/>
    <cellStyle name="Note 7 4 2 3" xfId="11524"/>
    <cellStyle name="Note 7 4 2 3 2" xfId="23608"/>
    <cellStyle name="Note 7 4 2 4" xfId="18495"/>
    <cellStyle name="Note 7 4 2_Table 2A-1_EFT (Annual)" xfId="7519"/>
    <cellStyle name="Note 7 4 3" xfId="4718"/>
    <cellStyle name="Note 7 4 3 2" xfId="12978"/>
    <cellStyle name="Note 7 4 3 2 2" xfId="24984"/>
    <cellStyle name="Note 7 4 3 3" xfId="19871"/>
    <cellStyle name="Note 7 4 3_Table 2A-1_EFT (Annual)" xfId="15883"/>
    <cellStyle name="Note 7 4 4" xfId="10322"/>
    <cellStyle name="Note 7 4 4 2" xfId="22438"/>
    <cellStyle name="Note 7 4 5" xfId="17325"/>
    <cellStyle name="Note 7 4_Table 2A-1_EFT (Annual)" xfId="7518"/>
    <cellStyle name="Note 7 5" xfId="725"/>
    <cellStyle name="Note 7 5 2" xfId="4286"/>
    <cellStyle name="Note 7 5 2 2" xfId="12566"/>
    <cellStyle name="Note 7 5 2 2 2" xfId="24583"/>
    <cellStyle name="Note 7 5 2 3" xfId="19470"/>
    <cellStyle name="Note 7 5 2_Table 2A-1_EFT (Annual)" xfId="15884"/>
    <cellStyle name="Note 7 5 3" xfId="9914"/>
    <cellStyle name="Note 7 5 3 2" xfId="22037"/>
    <cellStyle name="Note 7 5 4" xfId="16924"/>
    <cellStyle name="Note 7 5_Table 2A-1_EFT (Annual)" xfId="7520"/>
    <cellStyle name="Note 7 6" xfId="1871"/>
    <cellStyle name="Note 7 6 2" xfId="5432"/>
    <cellStyle name="Note 7 6 2 2" xfId="13647"/>
    <cellStyle name="Note 7 6 2 2 2" xfId="25635"/>
    <cellStyle name="Note 7 6 2 3" xfId="20522"/>
    <cellStyle name="Note 7 6 2_Table 2A-1_EFT (Annual)" xfId="15885"/>
    <cellStyle name="Note 7 6 3" xfId="10991"/>
    <cellStyle name="Note 7 6 3 2" xfId="23089"/>
    <cellStyle name="Note 7 6 4" xfId="17976"/>
    <cellStyle name="Note 7 6_Table 2A-1_EFT (Annual)" xfId="7521"/>
    <cellStyle name="Note 7 7" xfId="3698"/>
    <cellStyle name="Note 7 7 2" xfId="12066"/>
    <cellStyle name="Note 7 7 2 2" xfId="24096"/>
    <cellStyle name="Note 7 7 3" xfId="18983"/>
    <cellStyle name="Note 7 7_Table 2A-1_EFT (Annual)" xfId="15886"/>
    <cellStyle name="Note 7 8" xfId="9385"/>
    <cellStyle name="Note 7 8 2" xfId="21550"/>
    <cellStyle name="Note 7 9" xfId="16437"/>
    <cellStyle name="Note 7_Table 2A-1_EFT (Annual)" xfId="3314"/>
    <cellStyle name="Note 8" xfId="131"/>
    <cellStyle name="Note 8 2" xfId="524"/>
    <cellStyle name="Note 8 2 2" xfId="1501"/>
    <cellStyle name="Note 8 2 2 2" xfId="2771"/>
    <cellStyle name="Note 8 2 2 2 2" xfId="6332"/>
    <cellStyle name="Note 8 2 2 2 2 2" xfId="14526"/>
    <cellStyle name="Note 8 2 2 2 2 2 2" xfId="26498"/>
    <cellStyle name="Note 8 2 2 2 2 3" xfId="21385"/>
    <cellStyle name="Note 8 2 2 2 2_Table 2A-1_EFT (Annual)" xfId="15887"/>
    <cellStyle name="Note 8 2 2 2 3" xfId="11868"/>
    <cellStyle name="Note 8 2 2 2 3 2" xfId="23952"/>
    <cellStyle name="Note 8 2 2 2 4" xfId="18839"/>
    <cellStyle name="Note 8 2 2 2_Table 2A-1_EFT (Annual)" xfId="7523"/>
    <cellStyle name="Note 8 2 2 3" xfId="5062"/>
    <cellStyle name="Note 8 2 2 3 2" xfId="13322"/>
    <cellStyle name="Note 8 2 2 3 2 2" xfId="25328"/>
    <cellStyle name="Note 8 2 2 3 3" xfId="20215"/>
    <cellStyle name="Note 8 2 2 3_Table 2A-1_EFT (Annual)" xfId="15888"/>
    <cellStyle name="Note 8 2 2 4" xfId="10666"/>
    <cellStyle name="Note 8 2 2 4 2" xfId="22782"/>
    <cellStyle name="Note 8 2 2 5" xfId="17669"/>
    <cellStyle name="Note 8 2 2_Table 2A-1_EFT (Annual)" xfId="7522"/>
    <cellStyle name="Note 8 2 3" xfId="1034"/>
    <cellStyle name="Note 8 2 3 2" xfId="4595"/>
    <cellStyle name="Note 8 2 3 2 2" xfId="12855"/>
    <cellStyle name="Note 8 2 3 2 2 2" xfId="24861"/>
    <cellStyle name="Note 8 2 3 2 3" xfId="19748"/>
    <cellStyle name="Note 8 2 3 2_Table 2A-1_EFT (Annual)" xfId="15889"/>
    <cellStyle name="Note 8 2 3 3" xfId="10199"/>
    <cellStyle name="Note 8 2 3 3 2" xfId="22315"/>
    <cellStyle name="Note 8 2 3 4" xfId="17202"/>
    <cellStyle name="Note 8 2 3_Table 2A-1_EFT (Annual)" xfId="7524"/>
    <cellStyle name="Note 8 2 4" xfId="2240"/>
    <cellStyle name="Note 8 2 4 2" xfId="5801"/>
    <cellStyle name="Note 8 2 4 2 2" xfId="14016"/>
    <cellStyle name="Note 8 2 4 2 2 2" xfId="26004"/>
    <cellStyle name="Note 8 2 4 2 3" xfId="20891"/>
    <cellStyle name="Note 8 2 4 2_Table 2A-1_EFT (Annual)" xfId="15890"/>
    <cellStyle name="Note 8 2 4 3" xfId="11360"/>
    <cellStyle name="Note 8 2 4 3 2" xfId="23458"/>
    <cellStyle name="Note 8 2 4 4" xfId="18345"/>
    <cellStyle name="Note 8 2 4_Table 2A-1_EFT (Annual)" xfId="7525"/>
    <cellStyle name="Note 8 2 5" xfId="4094"/>
    <cellStyle name="Note 8 2 5 2" xfId="12418"/>
    <cellStyle name="Note 8 2 5 2 2" xfId="24440"/>
    <cellStyle name="Note 8 2 5 3" xfId="19327"/>
    <cellStyle name="Note 8 2 5_Table 2A-1_EFT (Annual)" xfId="15891"/>
    <cellStyle name="Note 8 2 6" xfId="9757"/>
    <cellStyle name="Note 8 2 6 2" xfId="21894"/>
    <cellStyle name="Note 8 2 7" xfId="16781"/>
    <cellStyle name="Note 8 2_Table 2A-1_EFT (Annual)" xfId="3318"/>
    <cellStyle name="Note 8 3" xfId="362"/>
    <cellStyle name="Note 8 3 2" xfId="1345"/>
    <cellStyle name="Note 8 3 2 2" xfId="2615"/>
    <cellStyle name="Note 8 3 2 2 2" xfId="6176"/>
    <cellStyle name="Note 8 3 2 2 2 2" xfId="14370"/>
    <cellStyle name="Note 8 3 2 2 2 2 2" xfId="26342"/>
    <cellStyle name="Note 8 3 2 2 2 3" xfId="21229"/>
    <cellStyle name="Note 8 3 2 2 2_Table 2A-1_EFT (Annual)" xfId="15892"/>
    <cellStyle name="Note 8 3 2 2 3" xfId="11712"/>
    <cellStyle name="Note 8 3 2 2 3 2" xfId="23796"/>
    <cellStyle name="Note 8 3 2 2 4" xfId="18683"/>
    <cellStyle name="Note 8 3 2 2_Table 2A-1_EFT (Annual)" xfId="7527"/>
    <cellStyle name="Note 8 3 2 3" xfId="4906"/>
    <cellStyle name="Note 8 3 2 3 2" xfId="13166"/>
    <cellStyle name="Note 8 3 2 3 2 2" xfId="25172"/>
    <cellStyle name="Note 8 3 2 3 3" xfId="20059"/>
    <cellStyle name="Note 8 3 2 3_Table 2A-1_EFT (Annual)" xfId="15893"/>
    <cellStyle name="Note 8 3 2 4" xfId="10510"/>
    <cellStyle name="Note 8 3 2 4 2" xfId="22626"/>
    <cellStyle name="Note 8 3 2 5" xfId="17513"/>
    <cellStyle name="Note 8 3 2_Table 2A-1_EFT (Annual)" xfId="7526"/>
    <cellStyle name="Note 8 3 3" xfId="902"/>
    <cellStyle name="Note 8 3 3 2" xfId="4463"/>
    <cellStyle name="Note 8 3 3 2 2" xfId="12725"/>
    <cellStyle name="Note 8 3 3 2 2 2" xfId="24735"/>
    <cellStyle name="Note 8 3 3 2 3" xfId="19622"/>
    <cellStyle name="Note 8 3 3 2_Table 2A-1_EFT (Annual)" xfId="15894"/>
    <cellStyle name="Note 8 3 3 3" xfId="10072"/>
    <cellStyle name="Note 8 3 3 3 2" xfId="22189"/>
    <cellStyle name="Note 8 3 3 4" xfId="17076"/>
    <cellStyle name="Note 8 3 3_Table 2A-1_EFT (Annual)" xfId="7528"/>
    <cellStyle name="Note 8 3 4" xfId="2084"/>
    <cellStyle name="Note 8 3 4 2" xfId="5645"/>
    <cellStyle name="Note 8 3 4 2 2" xfId="13860"/>
    <cellStyle name="Note 8 3 4 2 2 2" xfId="25848"/>
    <cellStyle name="Note 8 3 4 2 3" xfId="20735"/>
    <cellStyle name="Note 8 3 4 2_Table 2A-1_EFT (Annual)" xfId="15895"/>
    <cellStyle name="Note 8 3 4 3" xfId="11204"/>
    <cellStyle name="Note 8 3 4 3 2" xfId="23302"/>
    <cellStyle name="Note 8 3 4 4" xfId="18189"/>
    <cellStyle name="Note 8 3 4_Table 2A-1_EFT (Annual)" xfId="7529"/>
    <cellStyle name="Note 8 3 5" xfId="3932"/>
    <cellStyle name="Note 8 3 5 2" xfId="12260"/>
    <cellStyle name="Note 8 3 5 2 2" xfId="24284"/>
    <cellStyle name="Note 8 3 5 3" xfId="19171"/>
    <cellStyle name="Note 8 3 5_Table 2A-1_EFT (Annual)" xfId="15896"/>
    <cellStyle name="Note 8 3 6" xfId="9597"/>
    <cellStyle name="Note 8 3 6 2" xfId="21738"/>
    <cellStyle name="Note 8 3 7" xfId="16625"/>
    <cellStyle name="Note 8 3_Table 2A-1_EFT (Annual)" xfId="3319"/>
    <cellStyle name="Note 8 4" xfId="1179"/>
    <cellStyle name="Note 8 4 2" xfId="2449"/>
    <cellStyle name="Note 8 4 2 2" xfId="6010"/>
    <cellStyle name="Note 8 4 2 2 2" xfId="14204"/>
    <cellStyle name="Note 8 4 2 2 2 2" xfId="26176"/>
    <cellStyle name="Note 8 4 2 2 3" xfId="21063"/>
    <cellStyle name="Note 8 4 2 2_Table 2A-1_EFT (Annual)" xfId="15897"/>
    <cellStyle name="Note 8 4 2 3" xfId="11546"/>
    <cellStyle name="Note 8 4 2 3 2" xfId="23630"/>
    <cellStyle name="Note 8 4 2 4" xfId="18517"/>
    <cellStyle name="Note 8 4 2_Table 2A-1_EFT (Annual)" xfId="7531"/>
    <cellStyle name="Note 8 4 3" xfId="4740"/>
    <cellStyle name="Note 8 4 3 2" xfId="13000"/>
    <cellStyle name="Note 8 4 3 2 2" xfId="25006"/>
    <cellStyle name="Note 8 4 3 3" xfId="19893"/>
    <cellStyle name="Note 8 4 3_Table 2A-1_EFT (Annual)" xfId="15898"/>
    <cellStyle name="Note 8 4 4" xfId="10344"/>
    <cellStyle name="Note 8 4 4 2" xfId="22460"/>
    <cellStyle name="Note 8 4 5" xfId="17347"/>
    <cellStyle name="Note 8 4_Table 2A-1_EFT (Annual)" xfId="7530"/>
    <cellStyle name="Note 8 5" xfId="743"/>
    <cellStyle name="Note 8 5 2" xfId="4304"/>
    <cellStyle name="Note 8 5 2 2" xfId="12584"/>
    <cellStyle name="Note 8 5 2 2 2" xfId="24601"/>
    <cellStyle name="Note 8 5 2 3" xfId="19488"/>
    <cellStyle name="Note 8 5 2_Table 2A-1_EFT (Annual)" xfId="15899"/>
    <cellStyle name="Note 8 5 3" xfId="9932"/>
    <cellStyle name="Note 8 5 3 2" xfId="22055"/>
    <cellStyle name="Note 8 5 4" xfId="16942"/>
    <cellStyle name="Note 8 5_Table 2A-1_EFT (Annual)" xfId="7532"/>
    <cellStyle name="Note 8 6" xfId="1860"/>
    <cellStyle name="Note 8 6 2" xfId="5421"/>
    <cellStyle name="Note 8 6 2 2" xfId="13636"/>
    <cellStyle name="Note 8 6 2 2 2" xfId="25624"/>
    <cellStyle name="Note 8 6 2 3" xfId="20511"/>
    <cellStyle name="Note 8 6 2_Table 2A-1_EFT (Annual)" xfId="15900"/>
    <cellStyle name="Note 8 6 3" xfId="10980"/>
    <cellStyle name="Note 8 6 3 2" xfId="23078"/>
    <cellStyle name="Note 8 6 4" xfId="17965"/>
    <cellStyle name="Note 8 6_Table 2A-1_EFT (Annual)" xfId="7533"/>
    <cellStyle name="Note 8 7" xfId="3720"/>
    <cellStyle name="Note 8 7 2" xfId="12088"/>
    <cellStyle name="Note 8 7 2 2" xfId="24118"/>
    <cellStyle name="Note 8 7 3" xfId="19005"/>
    <cellStyle name="Note 8 7_Table 2A-1_EFT (Annual)" xfId="15901"/>
    <cellStyle name="Note 8 8" xfId="9407"/>
    <cellStyle name="Note 8 8 2" xfId="21572"/>
    <cellStyle name="Note 8 9" xfId="16459"/>
    <cellStyle name="Note 8_Table 2A-1_EFT (Annual)" xfId="3317"/>
    <cellStyle name="Note 9" xfId="81"/>
    <cellStyle name="Note 9 2" xfId="480"/>
    <cellStyle name="Note 9 2 2" xfId="1457"/>
    <cellStyle name="Note 9 2 2 2" xfId="2727"/>
    <cellStyle name="Note 9 2 2 2 2" xfId="6288"/>
    <cellStyle name="Note 9 2 2 2 2 2" xfId="14482"/>
    <cellStyle name="Note 9 2 2 2 2 2 2" xfId="26454"/>
    <cellStyle name="Note 9 2 2 2 2 3" xfId="21341"/>
    <cellStyle name="Note 9 2 2 2 2_Table 2A-1_EFT (Annual)" xfId="15902"/>
    <cellStyle name="Note 9 2 2 2 3" xfId="11824"/>
    <cellStyle name="Note 9 2 2 2 3 2" xfId="23908"/>
    <cellStyle name="Note 9 2 2 2 4" xfId="18795"/>
    <cellStyle name="Note 9 2 2 2_Table 2A-1_EFT (Annual)" xfId="7535"/>
    <cellStyle name="Note 9 2 2 3" xfId="5018"/>
    <cellStyle name="Note 9 2 2 3 2" xfId="13278"/>
    <cellStyle name="Note 9 2 2 3 2 2" xfId="25284"/>
    <cellStyle name="Note 9 2 2 3 3" xfId="20171"/>
    <cellStyle name="Note 9 2 2 3_Table 2A-1_EFT (Annual)" xfId="15903"/>
    <cellStyle name="Note 9 2 2 4" xfId="10622"/>
    <cellStyle name="Note 9 2 2 4 2" xfId="22738"/>
    <cellStyle name="Note 9 2 2 5" xfId="17625"/>
    <cellStyle name="Note 9 2 2_Table 2A-1_EFT (Annual)" xfId="7534"/>
    <cellStyle name="Note 9 2 3" xfId="1000"/>
    <cellStyle name="Note 9 2 3 2" xfId="4561"/>
    <cellStyle name="Note 9 2 3 2 2" xfId="12821"/>
    <cellStyle name="Note 9 2 3 2 2 2" xfId="24827"/>
    <cellStyle name="Note 9 2 3 2 3" xfId="19714"/>
    <cellStyle name="Note 9 2 3 2_Table 2A-1_EFT (Annual)" xfId="15904"/>
    <cellStyle name="Note 9 2 3 3" xfId="10165"/>
    <cellStyle name="Note 9 2 3 3 2" xfId="22281"/>
    <cellStyle name="Note 9 2 3 4" xfId="17168"/>
    <cellStyle name="Note 9 2 3_Table 2A-1_EFT (Annual)" xfId="7536"/>
    <cellStyle name="Note 9 2 4" xfId="2196"/>
    <cellStyle name="Note 9 2 4 2" xfId="5757"/>
    <cellStyle name="Note 9 2 4 2 2" xfId="13972"/>
    <cellStyle name="Note 9 2 4 2 2 2" xfId="25960"/>
    <cellStyle name="Note 9 2 4 2 3" xfId="20847"/>
    <cellStyle name="Note 9 2 4 2_Table 2A-1_EFT (Annual)" xfId="15905"/>
    <cellStyle name="Note 9 2 4 3" xfId="11316"/>
    <cellStyle name="Note 9 2 4 3 2" xfId="23414"/>
    <cellStyle name="Note 9 2 4 4" xfId="18301"/>
    <cellStyle name="Note 9 2 4_Table 2A-1_EFT (Annual)" xfId="7537"/>
    <cellStyle name="Note 9 2 5" xfId="4050"/>
    <cellStyle name="Note 9 2 5 2" xfId="12374"/>
    <cellStyle name="Note 9 2 5 2 2" xfId="24396"/>
    <cellStyle name="Note 9 2 5 3" xfId="19283"/>
    <cellStyle name="Note 9 2 5_Table 2A-1_EFT (Annual)" xfId="15906"/>
    <cellStyle name="Note 9 2 6" xfId="9713"/>
    <cellStyle name="Note 9 2 6 2" xfId="21850"/>
    <cellStyle name="Note 9 2 7" xfId="16737"/>
    <cellStyle name="Note 9 2_Table 2A-1_EFT (Annual)" xfId="3321"/>
    <cellStyle name="Note 9 3" xfId="313"/>
    <cellStyle name="Note 9 3 2" xfId="1301"/>
    <cellStyle name="Note 9 3 2 2" xfId="2571"/>
    <cellStyle name="Note 9 3 2 2 2" xfId="6132"/>
    <cellStyle name="Note 9 3 2 2 2 2" xfId="14326"/>
    <cellStyle name="Note 9 3 2 2 2 2 2" xfId="26298"/>
    <cellStyle name="Note 9 3 2 2 2 3" xfId="21185"/>
    <cellStyle name="Note 9 3 2 2 2_Table 2A-1_EFT (Annual)" xfId="15907"/>
    <cellStyle name="Note 9 3 2 2 3" xfId="11668"/>
    <cellStyle name="Note 9 3 2 2 3 2" xfId="23752"/>
    <cellStyle name="Note 9 3 2 2 4" xfId="18639"/>
    <cellStyle name="Note 9 3 2 2_Table 2A-1_EFT (Annual)" xfId="7539"/>
    <cellStyle name="Note 9 3 2 3" xfId="4862"/>
    <cellStyle name="Note 9 3 2 3 2" xfId="13122"/>
    <cellStyle name="Note 9 3 2 3 2 2" xfId="25128"/>
    <cellStyle name="Note 9 3 2 3 3" xfId="20015"/>
    <cellStyle name="Note 9 3 2 3_Table 2A-1_EFT (Annual)" xfId="15908"/>
    <cellStyle name="Note 9 3 2 4" xfId="10466"/>
    <cellStyle name="Note 9 3 2 4 2" xfId="22582"/>
    <cellStyle name="Note 9 3 2 5" xfId="17469"/>
    <cellStyle name="Note 9 3 2_Table 2A-1_EFT (Annual)" xfId="7538"/>
    <cellStyle name="Note 9 3 3" xfId="863"/>
    <cellStyle name="Note 9 3 3 2" xfId="4424"/>
    <cellStyle name="Note 9 3 3 2 2" xfId="12689"/>
    <cellStyle name="Note 9 3 3 2 2 2" xfId="24701"/>
    <cellStyle name="Note 9 3 3 2 3" xfId="19588"/>
    <cellStyle name="Note 9 3 3 2_Table 2A-1_EFT (Annual)" xfId="15909"/>
    <cellStyle name="Note 9 3 3 3" xfId="10036"/>
    <cellStyle name="Note 9 3 3 3 2" xfId="22155"/>
    <cellStyle name="Note 9 3 3 4" xfId="17042"/>
    <cellStyle name="Note 9 3 3_Table 2A-1_EFT (Annual)" xfId="7540"/>
    <cellStyle name="Note 9 3 4" xfId="2040"/>
    <cellStyle name="Note 9 3 4 2" xfId="5601"/>
    <cellStyle name="Note 9 3 4 2 2" xfId="13816"/>
    <cellStyle name="Note 9 3 4 2 2 2" xfId="25804"/>
    <cellStyle name="Note 9 3 4 2 3" xfId="20691"/>
    <cellStyle name="Note 9 3 4 2_Table 2A-1_EFT (Annual)" xfId="15910"/>
    <cellStyle name="Note 9 3 4 3" xfId="11160"/>
    <cellStyle name="Note 9 3 4 3 2" xfId="23258"/>
    <cellStyle name="Note 9 3 4 4" xfId="18145"/>
    <cellStyle name="Note 9 3 4_Table 2A-1_EFT (Annual)" xfId="7541"/>
    <cellStyle name="Note 9 3 5" xfId="3883"/>
    <cellStyle name="Note 9 3 5 2" xfId="12215"/>
    <cellStyle name="Note 9 3 5 2 2" xfId="24240"/>
    <cellStyle name="Note 9 3 5 3" xfId="19127"/>
    <cellStyle name="Note 9 3 5_Table 2A-1_EFT (Annual)" xfId="15911"/>
    <cellStyle name="Note 9 3 6" xfId="9552"/>
    <cellStyle name="Note 9 3 6 2" xfId="21694"/>
    <cellStyle name="Note 9 3 7" xfId="16581"/>
    <cellStyle name="Note 9 3_Table 2A-1_EFT (Annual)" xfId="3322"/>
    <cellStyle name="Note 9 4" xfId="1135"/>
    <cellStyle name="Note 9 4 2" xfId="2405"/>
    <cellStyle name="Note 9 4 2 2" xfId="5966"/>
    <cellStyle name="Note 9 4 2 2 2" xfId="14160"/>
    <cellStyle name="Note 9 4 2 2 2 2" xfId="26132"/>
    <cellStyle name="Note 9 4 2 2 3" xfId="21019"/>
    <cellStyle name="Note 9 4 2 2_Table 2A-1_EFT (Annual)" xfId="15912"/>
    <cellStyle name="Note 9 4 2 3" xfId="11502"/>
    <cellStyle name="Note 9 4 2 3 2" xfId="23586"/>
    <cellStyle name="Note 9 4 2 4" xfId="18473"/>
    <cellStyle name="Note 9 4 2_Table 2A-1_EFT (Annual)" xfId="7543"/>
    <cellStyle name="Note 9 4 3" xfId="4696"/>
    <cellStyle name="Note 9 4 3 2" xfId="12956"/>
    <cellStyle name="Note 9 4 3 2 2" xfId="24962"/>
    <cellStyle name="Note 9 4 3 3" xfId="19849"/>
    <cellStyle name="Note 9 4 3_Table 2A-1_EFT (Annual)" xfId="15913"/>
    <cellStyle name="Note 9 4 4" xfId="10300"/>
    <cellStyle name="Note 9 4 4 2" xfId="22416"/>
    <cellStyle name="Note 9 4 5" xfId="17303"/>
    <cellStyle name="Note 9 4_Table 2A-1_EFT (Annual)" xfId="7542"/>
    <cellStyle name="Note 9 5" xfId="704"/>
    <cellStyle name="Note 9 5 2" xfId="4265"/>
    <cellStyle name="Note 9 5 2 2" xfId="12549"/>
    <cellStyle name="Note 9 5 2 2 2" xfId="24567"/>
    <cellStyle name="Note 9 5 2 3" xfId="19454"/>
    <cellStyle name="Note 9 5 2_Table 2A-1_EFT (Annual)" xfId="15914"/>
    <cellStyle name="Note 9 5 3" xfId="9896"/>
    <cellStyle name="Note 9 5 3 2" xfId="22021"/>
    <cellStyle name="Note 9 5 4" xfId="16908"/>
    <cellStyle name="Note 9 5_Table 2A-1_EFT (Annual)" xfId="7544"/>
    <cellStyle name="Note 9 6" xfId="1872"/>
    <cellStyle name="Note 9 6 2" xfId="5433"/>
    <cellStyle name="Note 9 6 2 2" xfId="13648"/>
    <cellStyle name="Note 9 6 2 2 2" xfId="25636"/>
    <cellStyle name="Note 9 6 2 3" xfId="20523"/>
    <cellStyle name="Note 9 6 2_Table 2A-1_EFT (Annual)" xfId="15915"/>
    <cellStyle name="Note 9 6 3" xfId="10992"/>
    <cellStyle name="Note 9 6 3 2" xfId="23090"/>
    <cellStyle name="Note 9 6 4" xfId="17977"/>
    <cellStyle name="Note 9 6_Table 2A-1_EFT (Annual)" xfId="7545"/>
    <cellStyle name="Note 9 7" xfId="3670"/>
    <cellStyle name="Note 9 7 2" xfId="12043"/>
    <cellStyle name="Note 9 7 2 2" xfId="24074"/>
    <cellStyle name="Note 9 7 3" xfId="18961"/>
    <cellStyle name="Note 9 7_Table 2A-1_EFT (Annual)" xfId="15916"/>
    <cellStyle name="Note 9 8" xfId="9360"/>
    <cellStyle name="Note 9 8 2" xfId="21528"/>
    <cellStyle name="Note 9 9" xfId="16415"/>
    <cellStyle name="Note 9_Table 2A-1_EFT (Annual)" xfId="3320"/>
    <cellStyle name="Output" xfId="47" builtinId="21" customBuiltin="1"/>
    <cellStyle name="Output 10" xfId="138"/>
    <cellStyle name="Output 10 2" xfId="531"/>
    <cellStyle name="Output 10 2 2" xfId="1508"/>
    <cellStyle name="Output 10 2 2 2" xfId="2778"/>
    <cellStyle name="Output 10 2 2 2 2" xfId="6339"/>
    <cellStyle name="Output 10 2 2 2 2 2" xfId="14533"/>
    <cellStyle name="Output 10 2 2 2 2 2 2" xfId="26505"/>
    <cellStyle name="Output 10 2 2 2 2 3" xfId="21392"/>
    <cellStyle name="Output 10 2 2 2 2_Table 2A-1_EFT (Annual)" xfId="15917"/>
    <cellStyle name="Output 10 2 2 2 3" xfId="11875"/>
    <cellStyle name="Output 10 2 2 2 3 2" xfId="23959"/>
    <cellStyle name="Output 10 2 2 2 4" xfId="18846"/>
    <cellStyle name="Output 10 2 2 2_Table 2A-1_EFT (Annual)" xfId="7546"/>
    <cellStyle name="Output 10 2 2 3" xfId="1920"/>
    <cellStyle name="Output 10 2 2 3 2" xfId="5481"/>
    <cellStyle name="Output 10 2 2 3 2 2" xfId="13696"/>
    <cellStyle name="Output 10 2 2 3 2 2 2" xfId="25684"/>
    <cellStyle name="Output 10 2 2 3 2 3" xfId="20571"/>
    <cellStyle name="Output 10 2 2 3 2_Table 2A-1_EFT (Annual)" xfId="15918"/>
    <cellStyle name="Output 10 2 2 3 3" xfId="11040"/>
    <cellStyle name="Output 10 2 2 3 3 2" xfId="23138"/>
    <cellStyle name="Output 10 2 2 3 4" xfId="18025"/>
    <cellStyle name="Output 10 2 2 3_Table 2A-1_EFT (Annual)" xfId="7547"/>
    <cellStyle name="Output 10 2 2 4" xfId="5069"/>
    <cellStyle name="Output 10 2 2 4 2" xfId="13329"/>
    <cellStyle name="Output 10 2 2 4 2 2" xfId="25335"/>
    <cellStyle name="Output 10 2 2 4 3" xfId="20222"/>
    <cellStyle name="Output 10 2 2 4_Table 2A-1_EFT (Annual)" xfId="15919"/>
    <cellStyle name="Output 10 2 2 5" xfId="10673"/>
    <cellStyle name="Output 10 2 2 5 2" xfId="22789"/>
    <cellStyle name="Output 10 2 2 6" xfId="17676"/>
    <cellStyle name="Output 10 2 2_Table 2A-1_EFT (Annual)" xfId="3325"/>
    <cellStyle name="Output 10 2 3" xfId="2247"/>
    <cellStyle name="Output 10 2 3 2" xfId="5808"/>
    <cellStyle name="Output 10 2 3 2 2" xfId="14023"/>
    <cellStyle name="Output 10 2 3 2 2 2" xfId="26011"/>
    <cellStyle name="Output 10 2 3 2 3" xfId="20898"/>
    <cellStyle name="Output 10 2 3 2_Table 2A-1_EFT (Annual)" xfId="15920"/>
    <cellStyle name="Output 10 2 3 3" xfId="11367"/>
    <cellStyle name="Output 10 2 3 3 2" xfId="23465"/>
    <cellStyle name="Output 10 2 3 4" xfId="18352"/>
    <cellStyle name="Output 10 2 3_Table 2A-1_EFT (Annual)" xfId="7548"/>
    <cellStyle name="Output 10 2 4" xfId="1745"/>
    <cellStyle name="Output 10 2 4 2" xfId="5306"/>
    <cellStyle name="Output 10 2 4 2 2" xfId="13531"/>
    <cellStyle name="Output 10 2 4 2 2 2" xfId="25522"/>
    <cellStyle name="Output 10 2 4 2 3" xfId="20409"/>
    <cellStyle name="Output 10 2 4 2_Table 2A-1_EFT (Annual)" xfId="15921"/>
    <cellStyle name="Output 10 2 4 3" xfId="10874"/>
    <cellStyle name="Output 10 2 4 3 2" xfId="22976"/>
    <cellStyle name="Output 10 2 4 4" xfId="17863"/>
    <cellStyle name="Output 10 2 4_Table 2A-1_EFT (Annual)" xfId="7549"/>
    <cellStyle name="Output 10 2 5" xfId="4101"/>
    <cellStyle name="Output 10 2 5 2" xfId="12425"/>
    <cellStyle name="Output 10 2 5 2 2" xfId="24447"/>
    <cellStyle name="Output 10 2 5 3" xfId="19334"/>
    <cellStyle name="Output 10 2 5_Table 2A-1_EFT (Annual)" xfId="15922"/>
    <cellStyle name="Output 10 2 6" xfId="9764"/>
    <cellStyle name="Output 10 2 6 2" xfId="21901"/>
    <cellStyle name="Output 10 2 7" xfId="16788"/>
    <cellStyle name="Output 10 2_Table 2A-1_EFT (Annual)" xfId="3324"/>
    <cellStyle name="Output 10 3" xfId="369"/>
    <cellStyle name="Output 10 3 2" xfId="1352"/>
    <cellStyle name="Output 10 3 2 2" xfId="2622"/>
    <cellStyle name="Output 10 3 2 2 2" xfId="6183"/>
    <cellStyle name="Output 10 3 2 2 2 2" xfId="14377"/>
    <cellStyle name="Output 10 3 2 2 2 2 2" xfId="26349"/>
    <cellStyle name="Output 10 3 2 2 2 3" xfId="21236"/>
    <cellStyle name="Output 10 3 2 2 2_Table 2A-1_EFT (Annual)" xfId="15923"/>
    <cellStyle name="Output 10 3 2 2 3" xfId="11719"/>
    <cellStyle name="Output 10 3 2 2 3 2" xfId="23803"/>
    <cellStyle name="Output 10 3 2 2 4" xfId="18690"/>
    <cellStyle name="Output 10 3 2 2_Table 2A-1_EFT (Annual)" xfId="7550"/>
    <cellStyle name="Output 10 3 2 3" xfId="1889"/>
    <cellStyle name="Output 10 3 2 3 2" xfId="5450"/>
    <cellStyle name="Output 10 3 2 3 2 2" xfId="13665"/>
    <cellStyle name="Output 10 3 2 3 2 2 2" xfId="25653"/>
    <cellStyle name="Output 10 3 2 3 2 3" xfId="20540"/>
    <cellStyle name="Output 10 3 2 3 2_Table 2A-1_EFT (Annual)" xfId="15924"/>
    <cellStyle name="Output 10 3 2 3 3" xfId="11009"/>
    <cellStyle name="Output 10 3 2 3 3 2" xfId="23107"/>
    <cellStyle name="Output 10 3 2 3 4" xfId="17994"/>
    <cellStyle name="Output 10 3 2 3_Table 2A-1_EFT (Annual)" xfId="7551"/>
    <cellStyle name="Output 10 3 2 4" xfId="4913"/>
    <cellStyle name="Output 10 3 2 4 2" xfId="13173"/>
    <cellStyle name="Output 10 3 2 4 2 2" xfId="25179"/>
    <cellStyle name="Output 10 3 2 4 3" xfId="20066"/>
    <cellStyle name="Output 10 3 2 4_Table 2A-1_EFT (Annual)" xfId="15925"/>
    <cellStyle name="Output 10 3 2 5" xfId="10517"/>
    <cellStyle name="Output 10 3 2 5 2" xfId="22633"/>
    <cellStyle name="Output 10 3 2 6" xfId="17520"/>
    <cellStyle name="Output 10 3 2_Table 2A-1_EFT (Annual)" xfId="3327"/>
    <cellStyle name="Output 10 3 3" xfId="2091"/>
    <cellStyle name="Output 10 3 3 2" xfId="5652"/>
    <cellStyle name="Output 10 3 3 2 2" xfId="13867"/>
    <cellStyle name="Output 10 3 3 2 2 2" xfId="25855"/>
    <cellStyle name="Output 10 3 3 2 3" xfId="20742"/>
    <cellStyle name="Output 10 3 3 2_Table 2A-1_EFT (Annual)" xfId="15926"/>
    <cellStyle name="Output 10 3 3 3" xfId="11211"/>
    <cellStyle name="Output 10 3 3 3 2" xfId="23309"/>
    <cellStyle name="Output 10 3 3 4" xfId="18196"/>
    <cellStyle name="Output 10 3 3_Table 2A-1_EFT (Annual)" xfId="7552"/>
    <cellStyle name="Output 10 3 4" xfId="1709"/>
    <cellStyle name="Output 10 3 4 2" xfId="5270"/>
    <cellStyle name="Output 10 3 4 2 2" xfId="13499"/>
    <cellStyle name="Output 10 3 4 2 2 2" xfId="25492"/>
    <cellStyle name="Output 10 3 4 2 3" xfId="20379"/>
    <cellStyle name="Output 10 3 4 2_Table 2A-1_EFT (Annual)" xfId="15927"/>
    <cellStyle name="Output 10 3 4 3" xfId="10843"/>
    <cellStyle name="Output 10 3 4 3 2" xfId="22946"/>
    <cellStyle name="Output 10 3 4 4" xfId="17833"/>
    <cellStyle name="Output 10 3 4_Table 2A-1_EFT (Annual)" xfId="7553"/>
    <cellStyle name="Output 10 3 5" xfId="3939"/>
    <cellStyle name="Output 10 3 5 2" xfId="12267"/>
    <cellStyle name="Output 10 3 5 2 2" xfId="24291"/>
    <cellStyle name="Output 10 3 5 3" xfId="19178"/>
    <cellStyle name="Output 10 3 5_Table 2A-1_EFT (Annual)" xfId="15928"/>
    <cellStyle name="Output 10 3 6" xfId="9604"/>
    <cellStyle name="Output 10 3 6 2" xfId="21745"/>
    <cellStyle name="Output 10 3 7" xfId="16632"/>
    <cellStyle name="Output 10 3_Table 2A-1_EFT (Annual)" xfId="3326"/>
    <cellStyle name="Output 10 4" xfId="1186"/>
    <cellStyle name="Output 10 4 2" xfId="2456"/>
    <cellStyle name="Output 10 4 2 2" xfId="6017"/>
    <cellStyle name="Output 10 4 2 2 2" xfId="14211"/>
    <cellStyle name="Output 10 4 2 2 2 2" xfId="26183"/>
    <cellStyle name="Output 10 4 2 2 3" xfId="21070"/>
    <cellStyle name="Output 10 4 2 2_Table 2A-1_EFT (Annual)" xfId="15929"/>
    <cellStyle name="Output 10 4 2 3" xfId="11553"/>
    <cellStyle name="Output 10 4 2 3 2" xfId="23637"/>
    <cellStyle name="Output 10 4 2 4" xfId="18524"/>
    <cellStyle name="Output 10 4 2_Table 2A-1_EFT (Annual)" xfId="7554"/>
    <cellStyle name="Output 10 4 3" xfId="1825"/>
    <cellStyle name="Output 10 4 3 2" xfId="5386"/>
    <cellStyle name="Output 10 4 3 2 2" xfId="13601"/>
    <cellStyle name="Output 10 4 3 2 2 2" xfId="25589"/>
    <cellStyle name="Output 10 4 3 2 3" xfId="20476"/>
    <cellStyle name="Output 10 4 3 2_Table 2A-1_EFT (Annual)" xfId="15930"/>
    <cellStyle name="Output 10 4 3 3" xfId="10945"/>
    <cellStyle name="Output 10 4 3 3 2" xfId="23043"/>
    <cellStyle name="Output 10 4 3 4" xfId="17930"/>
    <cellStyle name="Output 10 4 3_Table 2A-1_EFT (Annual)" xfId="7555"/>
    <cellStyle name="Output 10 4 4" xfId="4747"/>
    <cellStyle name="Output 10 4 4 2" xfId="13007"/>
    <cellStyle name="Output 10 4 4 2 2" xfId="25013"/>
    <cellStyle name="Output 10 4 4 3" xfId="19900"/>
    <cellStyle name="Output 10 4 4_Table 2A-1_EFT (Annual)" xfId="15931"/>
    <cellStyle name="Output 10 4 5" xfId="10351"/>
    <cellStyle name="Output 10 4 5 2" xfId="22467"/>
    <cellStyle name="Output 10 4 6" xfId="17354"/>
    <cellStyle name="Output 10 4_Table 2A-1_EFT (Annual)" xfId="3328"/>
    <cellStyle name="Output 10 5" xfId="1789"/>
    <cellStyle name="Output 10 5 2" xfId="5350"/>
    <cellStyle name="Output 10 5 2 2" xfId="13565"/>
    <cellStyle name="Output 10 5 2 2 2" xfId="25553"/>
    <cellStyle name="Output 10 5 2 3" xfId="20440"/>
    <cellStyle name="Output 10 5 2_Table 2A-1_EFT (Annual)" xfId="15932"/>
    <cellStyle name="Output 10 5 3" xfId="10909"/>
    <cellStyle name="Output 10 5 3 2" xfId="23007"/>
    <cellStyle name="Output 10 5 4" xfId="17894"/>
    <cellStyle name="Output 10 5_Table 2A-1_EFT (Annual)" xfId="7556"/>
    <cellStyle name="Output 10 6" xfId="1652"/>
    <cellStyle name="Output 10 6 2" xfId="5213"/>
    <cellStyle name="Output 10 6 2 2" xfId="13460"/>
    <cellStyle name="Output 10 6 2 2 2" xfId="25460"/>
    <cellStyle name="Output 10 6 2 3" xfId="20347"/>
    <cellStyle name="Output 10 6 2_Table 2A-1_EFT (Annual)" xfId="15933"/>
    <cellStyle name="Output 10 6 3" xfId="10805"/>
    <cellStyle name="Output 10 6 3 2" xfId="22914"/>
    <cellStyle name="Output 10 6 4" xfId="17801"/>
    <cellStyle name="Output 10 6_Table 2A-1_EFT (Annual)" xfId="7557"/>
    <cellStyle name="Output 10 7" xfId="3727"/>
    <cellStyle name="Output 10 7 2" xfId="12095"/>
    <cellStyle name="Output 10 7 2 2" xfId="24125"/>
    <cellStyle name="Output 10 7 3" xfId="19012"/>
    <cellStyle name="Output 10 7_Table 2A-1_EFT (Annual)" xfId="15934"/>
    <cellStyle name="Output 10 8" xfId="9414"/>
    <cellStyle name="Output 10 8 2" xfId="21579"/>
    <cellStyle name="Output 10 9" xfId="16466"/>
    <cellStyle name="Output 10_Table 2A-1_EFT (Annual)" xfId="3323"/>
    <cellStyle name="Output 11" xfId="87"/>
    <cellStyle name="Output 11 2" xfId="486"/>
    <cellStyle name="Output 11 2 2" xfId="1463"/>
    <cellStyle name="Output 11 2 2 2" xfId="2733"/>
    <cellStyle name="Output 11 2 2 2 2" xfId="6294"/>
    <cellStyle name="Output 11 2 2 2 2 2" xfId="14488"/>
    <cellStyle name="Output 11 2 2 2 2 2 2" xfId="26460"/>
    <cellStyle name="Output 11 2 2 2 2 3" xfId="21347"/>
    <cellStyle name="Output 11 2 2 2 2_Table 2A-1_EFT (Annual)" xfId="15935"/>
    <cellStyle name="Output 11 2 2 2 3" xfId="11830"/>
    <cellStyle name="Output 11 2 2 2 3 2" xfId="23914"/>
    <cellStyle name="Output 11 2 2 2 4" xfId="18801"/>
    <cellStyle name="Output 11 2 2 2_Table 2A-1_EFT (Annual)" xfId="7558"/>
    <cellStyle name="Output 11 2 2 3" xfId="1911"/>
    <cellStyle name="Output 11 2 2 3 2" xfId="5472"/>
    <cellStyle name="Output 11 2 2 3 2 2" xfId="13687"/>
    <cellStyle name="Output 11 2 2 3 2 2 2" xfId="25675"/>
    <cellStyle name="Output 11 2 2 3 2 3" xfId="20562"/>
    <cellStyle name="Output 11 2 2 3 2_Table 2A-1_EFT (Annual)" xfId="15936"/>
    <cellStyle name="Output 11 2 2 3 3" xfId="11031"/>
    <cellStyle name="Output 11 2 2 3 3 2" xfId="23129"/>
    <cellStyle name="Output 11 2 2 3 4" xfId="18016"/>
    <cellStyle name="Output 11 2 2 3_Table 2A-1_EFT (Annual)" xfId="7559"/>
    <cellStyle name="Output 11 2 2 4" xfId="5024"/>
    <cellStyle name="Output 11 2 2 4 2" xfId="13284"/>
    <cellStyle name="Output 11 2 2 4 2 2" xfId="25290"/>
    <cellStyle name="Output 11 2 2 4 3" xfId="20177"/>
    <cellStyle name="Output 11 2 2 4_Table 2A-1_EFT (Annual)" xfId="15937"/>
    <cellStyle name="Output 11 2 2 5" xfId="10628"/>
    <cellStyle name="Output 11 2 2 5 2" xfId="22744"/>
    <cellStyle name="Output 11 2 2 6" xfId="17631"/>
    <cellStyle name="Output 11 2 2_Table 2A-1_EFT (Annual)" xfId="3331"/>
    <cellStyle name="Output 11 2 3" xfId="2202"/>
    <cellStyle name="Output 11 2 3 2" xfId="5763"/>
    <cellStyle name="Output 11 2 3 2 2" xfId="13978"/>
    <cellStyle name="Output 11 2 3 2 2 2" xfId="25966"/>
    <cellStyle name="Output 11 2 3 2 3" xfId="20853"/>
    <cellStyle name="Output 11 2 3 2_Table 2A-1_EFT (Annual)" xfId="15938"/>
    <cellStyle name="Output 11 2 3 3" xfId="11322"/>
    <cellStyle name="Output 11 2 3 3 2" xfId="23420"/>
    <cellStyle name="Output 11 2 3 4" xfId="18307"/>
    <cellStyle name="Output 11 2 3_Table 2A-1_EFT (Annual)" xfId="7560"/>
    <cellStyle name="Output 11 2 4" xfId="1736"/>
    <cellStyle name="Output 11 2 4 2" xfId="5297"/>
    <cellStyle name="Output 11 2 4 2 2" xfId="13522"/>
    <cellStyle name="Output 11 2 4 2 2 2" xfId="25513"/>
    <cellStyle name="Output 11 2 4 2 3" xfId="20400"/>
    <cellStyle name="Output 11 2 4 2_Table 2A-1_EFT (Annual)" xfId="15939"/>
    <cellStyle name="Output 11 2 4 3" xfId="10865"/>
    <cellStyle name="Output 11 2 4 3 2" xfId="22967"/>
    <cellStyle name="Output 11 2 4 4" xfId="17854"/>
    <cellStyle name="Output 11 2 4_Table 2A-1_EFT (Annual)" xfId="7561"/>
    <cellStyle name="Output 11 2 5" xfId="4056"/>
    <cellStyle name="Output 11 2 5 2" xfId="12380"/>
    <cellStyle name="Output 11 2 5 2 2" xfId="24402"/>
    <cellStyle name="Output 11 2 5 3" xfId="19289"/>
    <cellStyle name="Output 11 2 5_Table 2A-1_EFT (Annual)" xfId="15940"/>
    <cellStyle name="Output 11 2 6" xfId="9719"/>
    <cellStyle name="Output 11 2 6 2" xfId="21856"/>
    <cellStyle name="Output 11 2 7" xfId="16743"/>
    <cellStyle name="Output 11 2_Table 2A-1_EFT (Annual)" xfId="3330"/>
    <cellStyle name="Output 11 3" xfId="319"/>
    <cellStyle name="Output 11 3 2" xfId="1307"/>
    <cellStyle name="Output 11 3 2 2" xfId="2577"/>
    <cellStyle name="Output 11 3 2 2 2" xfId="6138"/>
    <cellStyle name="Output 11 3 2 2 2 2" xfId="14332"/>
    <cellStyle name="Output 11 3 2 2 2 2 2" xfId="26304"/>
    <cellStyle name="Output 11 3 2 2 2 3" xfId="21191"/>
    <cellStyle name="Output 11 3 2 2 2_Table 2A-1_EFT (Annual)" xfId="15941"/>
    <cellStyle name="Output 11 3 2 2 3" xfId="11674"/>
    <cellStyle name="Output 11 3 2 2 3 2" xfId="23758"/>
    <cellStyle name="Output 11 3 2 2 4" xfId="18645"/>
    <cellStyle name="Output 11 3 2 2_Table 2A-1_EFT (Annual)" xfId="7562"/>
    <cellStyle name="Output 11 3 2 3" xfId="1879"/>
    <cellStyle name="Output 11 3 2 3 2" xfId="5440"/>
    <cellStyle name="Output 11 3 2 3 2 2" xfId="13655"/>
    <cellStyle name="Output 11 3 2 3 2 2 2" xfId="25643"/>
    <cellStyle name="Output 11 3 2 3 2 3" xfId="20530"/>
    <cellStyle name="Output 11 3 2 3 2_Table 2A-1_EFT (Annual)" xfId="15942"/>
    <cellStyle name="Output 11 3 2 3 3" xfId="10999"/>
    <cellStyle name="Output 11 3 2 3 3 2" xfId="23097"/>
    <cellStyle name="Output 11 3 2 3 4" xfId="17984"/>
    <cellStyle name="Output 11 3 2 3_Table 2A-1_EFT (Annual)" xfId="7563"/>
    <cellStyle name="Output 11 3 2 4" xfId="4868"/>
    <cellStyle name="Output 11 3 2 4 2" xfId="13128"/>
    <cellStyle name="Output 11 3 2 4 2 2" xfId="25134"/>
    <cellStyle name="Output 11 3 2 4 3" xfId="20021"/>
    <cellStyle name="Output 11 3 2 4_Table 2A-1_EFT (Annual)" xfId="15943"/>
    <cellStyle name="Output 11 3 2 5" xfId="10472"/>
    <cellStyle name="Output 11 3 2 5 2" xfId="22588"/>
    <cellStyle name="Output 11 3 2 6" xfId="17475"/>
    <cellStyle name="Output 11 3 2_Table 2A-1_EFT (Annual)" xfId="3333"/>
    <cellStyle name="Output 11 3 3" xfId="2046"/>
    <cellStyle name="Output 11 3 3 2" xfId="5607"/>
    <cellStyle name="Output 11 3 3 2 2" xfId="13822"/>
    <cellStyle name="Output 11 3 3 2 2 2" xfId="25810"/>
    <cellStyle name="Output 11 3 3 2 3" xfId="20697"/>
    <cellStyle name="Output 11 3 3 2_Table 2A-1_EFT (Annual)" xfId="15944"/>
    <cellStyle name="Output 11 3 3 3" xfId="11166"/>
    <cellStyle name="Output 11 3 3 3 2" xfId="23264"/>
    <cellStyle name="Output 11 3 3 4" xfId="18151"/>
    <cellStyle name="Output 11 3 3_Table 2A-1_EFT (Annual)" xfId="7564"/>
    <cellStyle name="Output 11 3 4" xfId="1695"/>
    <cellStyle name="Output 11 3 4 2" xfId="5256"/>
    <cellStyle name="Output 11 3 4 2 2" xfId="13489"/>
    <cellStyle name="Output 11 3 4 2 2 2" xfId="25483"/>
    <cellStyle name="Output 11 3 4 2 3" xfId="20370"/>
    <cellStyle name="Output 11 3 4 2_Table 2A-1_EFT (Annual)" xfId="15945"/>
    <cellStyle name="Output 11 3 4 3" xfId="10833"/>
    <cellStyle name="Output 11 3 4 3 2" xfId="22937"/>
    <cellStyle name="Output 11 3 4 4" xfId="17824"/>
    <cellStyle name="Output 11 3 4_Table 2A-1_EFT (Annual)" xfId="7565"/>
    <cellStyle name="Output 11 3 5" xfId="3889"/>
    <cellStyle name="Output 11 3 5 2" xfId="12221"/>
    <cellStyle name="Output 11 3 5 2 2" xfId="24246"/>
    <cellStyle name="Output 11 3 5 3" xfId="19133"/>
    <cellStyle name="Output 11 3 5_Table 2A-1_EFT (Annual)" xfId="15946"/>
    <cellStyle name="Output 11 3 6" xfId="9558"/>
    <cellStyle name="Output 11 3 6 2" xfId="21700"/>
    <cellStyle name="Output 11 3 7" xfId="16587"/>
    <cellStyle name="Output 11 3_Table 2A-1_EFT (Annual)" xfId="3332"/>
    <cellStyle name="Output 11 4" xfId="1141"/>
    <cellStyle name="Output 11 4 2" xfId="2411"/>
    <cellStyle name="Output 11 4 2 2" xfId="5972"/>
    <cellStyle name="Output 11 4 2 2 2" xfId="14166"/>
    <cellStyle name="Output 11 4 2 2 2 2" xfId="26138"/>
    <cellStyle name="Output 11 4 2 2 3" xfId="21025"/>
    <cellStyle name="Output 11 4 2 2_Table 2A-1_EFT (Annual)" xfId="15947"/>
    <cellStyle name="Output 11 4 2 3" xfId="11508"/>
    <cellStyle name="Output 11 4 2 3 2" xfId="23592"/>
    <cellStyle name="Output 11 4 2 4" xfId="18479"/>
    <cellStyle name="Output 11 4 2_Table 2A-1_EFT (Annual)" xfId="7566"/>
    <cellStyle name="Output 11 4 3" xfId="1814"/>
    <cellStyle name="Output 11 4 3 2" xfId="5375"/>
    <cellStyle name="Output 11 4 3 2 2" xfId="13590"/>
    <cellStyle name="Output 11 4 3 2 2 2" xfId="25578"/>
    <cellStyle name="Output 11 4 3 2 3" xfId="20465"/>
    <cellStyle name="Output 11 4 3 2_Table 2A-1_EFT (Annual)" xfId="15948"/>
    <cellStyle name="Output 11 4 3 3" xfId="10934"/>
    <cellStyle name="Output 11 4 3 3 2" xfId="23032"/>
    <cellStyle name="Output 11 4 3 4" xfId="17919"/>
    <cellStyle name="Output 11 4 3_Table 2A-1_EFT (Annual)" xfId="7567"/>
    <cellStyle name="Output 11 4 4" xfId="4702"/>
    <cellStyle name="Output 11 4 4 2" xfId="12962"/>
    <cellStyle name="Output 11 4 4 2 2" xfId="24968"/>
    <cellStyle name="Output 11 4 4 3" xfId="19855"/>
    <cellStyle name="Output 11 4 4_Table 2A-1_EFT (Annual)" xfId="15949"/>
    <cellStyle name="Output 11 4 5" xfId="10306"/>
    <cellStyle name="Output 11 4 5 2" xfId="22422"/>
    <cellStyle name="Output 11 4 6" xfId="17309"/>
    <cellStyle name="Output 11 4_Table 2A-1_EFT (Annual)" xfId="3334"/>
    <cellStyle name="Output 11 5" xfId="1943"/>
    <cellStyle name="Output 11 5 2" xfId="5504"/>
    <cellStyle name="Output 11 5 2 2" xfId="13719"/>
    <cellStyle name="Output 11 5 2 2 2" xfId="25707"/>
    <cellStyle name="Output 11 5 2 3" xfId="20594"/>
    <cellStyle name="Output 11 5 2_Table 2A-1_EFT (Annual)" xfId="15950"/>
    <cellStyle name="Output 11 5 3" xfId="11063"/>
    <cellStyle name="Output 11 5 3 2" xfId="23161"/>
    <cellStyle name="Output 11 5 4" xfId="18048"/>
    <cellStyle name="Output 11 5_Table 2A-1_EFT (Annual)" xfId="7568"/>
    <cellStyle name="Output 11 6" xfId="1638"/>
    <cellStyle name="Output 11 6 2" xfId="5199"/>
    <cellStyle name="Output 11 6 2 2" xfId="13451"/>
    <cellStyle name="Output 11 6 2 2 2" xfId="25451"/>
    <cellStyle name="Output 11 6 2 3" xfId="20338"/>
    <cellStyle name="Output 11 6 2_Table 2A-1_EFT (Annual)" xfId="15951"/>
    <cellStyle name="Output 11 6 3" xfId="10795"/>
    <cellStyle name="Output 11 6 3 2" xfId="22905"/>
    <cellStyle name="Output 11 6 4" xfId="17792"/>
    <cellStyle name="Output 11 6_Table 2A-1_EFT (Annual)" xfId="7569"/>
    <cellStyle name="Output 11 7" xfId="3676"/>
    <cellStyle name="Output 11 7 2" xfId="12049"/>
    <cellStyle name="Output 11 7 2 2" xfId="24080"/>
    <cellStyle name="Output 11 7 3" xfId="18967"/>
    <cellStyle name="Output 11 7_Table 2A-1_EFT (Annual)" xfId="15952"/>
    <cellStyle name="Output 11 8" xfId="9366"/>
    <cellStyle name="Output 11 8 2" xfId="21534"/>
    <cellStyle name="Output 11 9" xfId="16421"/>
    <cellStyle name="Output 11_Table 2A-1_EFT (Annual)" xfId="3329"/>
    <cellStyle name="Output 12" xfId="86"/>
    <cellStyle name="Output 12 2" xfId="485"/>
    <cellStyle name="Output 12 2 2" xfId="1462"/>
    <cellStyle name="Output 12 2 2 2" xfId="2732"/>
    <cellStyle name="Output 12 2 2 2 2" xfId="6293"/>
    <cellStyle name="Output 12 2 2 2 2 2" xfId="14487"/>
    <cellStyle name="Output 12 2 2 2 2 2 2" xfId="26459"/>
    <cellStyle name="Output 12 2 2 2 2 3" xfId="21346"/>
    <cellStyle name="Output 12 2 2 2 2_Table 2A-1_EFT (Annual)" xfId="15953"/>
    <cellStyle name="Output 12 2 2 2 3" xfId="11829"/>
    <cellStyle name="Output 12 2 2 2 3 2" xfId="23913"/>
    <cellStyle name="Output 12 2 2 2 4" xfId="18800"/>
    <cellStyle name="Output 12 2 2 2_Table 2A-1_EFT (Annual)" xfId="7570"/>
    <cellStyle name="Output 12 2 2 3" xfId="1910"/>
    <cellStyle name="Output 12 2 2 3 2" xfId="5471"/>
    <cellStyle name="Output 12 2 2 3 2 2" xfId="13686"/>
    <cellStyle name="Output 12 2 2 3 2 2 2" xfId="25674"/>
    <cellStyle name="Output 12 2 2 3 2 3" xfId="20561"/>
    <cellStyle name="Output 12 2 2 3 2_Table 2A-1_EFT (Annual)" xfId="15954"/>
    <cellStyle name="Output 12 2 2 3 3" xfId="11030"/>
    <cellStyle name="Output 12 2 2 3 3 2" xfId="23128"/>
    <cellStyle name="Output 12 2 2 3 4" xfId="18015"/>
    <cellStyle name="Output 12 2 2 3_Table 2A-1_EFT (Annual)" xfId="7571"/>
    <cellStyle name="Output 12 2 2 4" xfId="5023"/>
    <cellStyle name="Output 12 2 2 4 2" xfId="13283"/>
    <cellStyle name="Output 12 2 2 4 2 2" xfId="25289"/>
    <cellStyle name="Output 12 2 2 4 3" xfId="20176"/>
    <cellStyle name="Output 12 2 2 4_Table 2A-1_EFT (Annual)" xfId="15955"/>
    <cellStyle name="Output 12 2 2 5" xfId="10627"/>
    <cellStyle name="Output 12 2 2 5 2" xfId="22743"/>
    <cellStyle name="Output 12 2 2 6" xfId="17630"/>
    <cellStyle name="Output 12 2 2_Table 2A-1_EFT (Annual)" xfId="3337"/>
    <cellStyle name="Output 12 2 3" xfId="2201"/>
    <cellStyle name="Output 12 2 3 2" xfId="5762"/>
    <cellStyle name="Output 12 2 3 2 2" xfId="13977"/>
    <cellStyle name="Output 12 2 3 2 2 2" xfId="25965"/>
    <cellStyle name="Output 12 2 3 2 3" xfId="20852"/>
    <cellStyle name="Output 12 2 3 2_Table 2A-1_EFT (Annual)" xfId="15956"/>
    <cellStyle name="Output 12 2 3 3" xfId="11321"/>
    <cellStyle name="Output 12 2 3 3 2" xfId="23419"/>
    <cellStyle name="Output 12 2 3 4" xfId="18306"/>
    <cellStyle name="Output 12 2 3_Table 2A-1_EFT (Annual)" xfId="7572"/>
    <cellStyle name="Output 12 2 4" xfId="1735"/>
    <cellStyle name="Output 12 2 4 2" xfId="5296"/>
    <cellStyle name="Output 12 2 4 2 2" xfId="13521"/>
    <cellStyle name="Output 12 2 4 2 2 2" xfId="25512"/>
    <cellStyle name="Output 12 2 4 2 3" xfId="20399"/>
    <cellStyle name="Output 12 2 4 2_Table 2A-1_EFT (Annual)" xfId="15957"/>
    <cellStyle name="Output 12 2 4 3" xfId="10864"/>
    <cellStyle name="Output 12 2 4 3 2" xfId="22966"/>
    <cellStyle name="Output 12 2 4 4" xfId="17853"/>
    <cellStyle name="Output 12 2 4_Table 2A-1_EFT (Annual)" xfId="7573"/>
    <cellStyle name="Output 12 2 5" xfId="4055"/>
    <cellStyle name="Output 12 2 5 2" xfId="12379"/>
    <cellStyle name="Output 12 2 5 2 2" xfId="24401"/>
    <cellStyle name="Output 12 2 5 3" xfId="19288"/>
    <cellStyle name="Output 12 2 5_Table 2A-1_EFT (Annual)" xfId="15958"/>
    <cellStyle name="Output 12 2 6" xfId="9718"/>
    <cellStyle name="Output 12 2 6 2" xfId="21855"/>
    <cellStyle name="Output 12 2 7" xfId="16742"/>
    <cellStyle name="Output 12 2_Table 2A-1_EFT (Annual)" xfId="3336"/>
    <cellStyle name="Output 12 3" xfId="318"/>
    <cellStyle name="Output 12 3 2" xfId="1306"/>
    <cellStyle name="Output 12 3 2 2" xfId="2576"/>
    <cellStyle name="Output 12 3 2 2 2" xfId="6137"/>
    <cellStyle name="Output 12 3 2 2 2 2" xfId="14331"/>
    <cellStyle name="Output 12 3 2 2 2 2 2" xfId="26303"/>
    <cellStyle name="Output 12 3 2 2 2 3" xfId="21190"/>
    <cellStyle name="Output 12 3 2 2 2_Table 2A-1_EFT (Annual)" xfId="15959"/>
    <cellStyle name="Output 12 3 2 2 3" xfId="11673"/>
    <cellStyle name="Output 12 3 2 2 3 2" xfId="23757"/>
    <cellStyle name="Output 12 3 2 2 4" xfId="18644"/>
    <cellStyle name="Output 12 3 2 2_Table 2A-1_EFT (Annual)" xfId="7574"/>
    <cellStyle name="Output 12 3 2 3" xfId="1878"/>
    <cellStyle name="Output 12 3 2 3 2" xfId="5439"/>
    <cellStyle name="Output 12 3 2 3 2 2" xfId="13654"/>
    <cellStyle name="Output 12 3 2 3 2 2 2" xfId="25642"/>
    <cellStyle name="Output 12 3 2 3 2 3" xfId="20529"/>
    <cellStyle name="Output 12 3 2 3 2_Table 2A-1_EFT (Annual)" xfId="15960"/>
    <cellStyle name="Output 12 3 2 3 3" xfId="10998"/>
    <cellStyle name="Output 12 3 2 3 3 2" xfId="23096"/>
    <cellStyle name="Output 12 3 2 3 4" xfId="17983"/>
    <cellStyle name="Output 12 3 2 3_Table 2A-1_EFT (Annual)" xfId="7575"/>
    <cellStyle name="Output 12 3 2 4" xfId="4867"/>
    <cellStyle name="Output 12 3 2 4 2" xfId="13127"/>
    <cellStyle name="Output 12 3 2 4 2 2" xfId="25133"/>
    <cellStyle name="Output 12 3 2 4 3" xfId="20020"/>
    <cellStyle name="Output 12 3 2 4_Table 2A-1_EFT (Annual)" xfId="15961"/>
    <cellStyle name="Output 12 3 2 5" xfId="10471"/>
    <cellStyle name="Output 12 3 2 5 2" xfId="22587"/>
    <cellStyle name="Output 12 3 2 6" xfId="17474"/>
    <cellStyle name="Output 12 3 2_Table 2A-1_EFT (Annual)" xfId="3339"/>
    <cellStyle name="Output 12 3 3" xfId="2045"/>
    <cellStyle name="Output 12 3 3 2" xfId="5606"/>
    <cellStyle name="Output 12 3 3 2 2" xfId="13821"/>
    <cellStyle name="Output 12 3 3 2 2 2" xfId="25809"/>
    <cellStyle name="Output 12 3 3 2 3" xfId="20696"/>
    <cellStyle name="Output 12 3 3 2_Table 2A-1_EFT (Annual)" xfId="15962"/>
    <cellStyle name="Output 12 3 3 3" xfId="11165"/>
    <cellStyle name="Output 12 3 3 3 2" xfId="23263"/>
    <cellStyle name="Output 12 3 3 4" xfId="18150"/>
    <cellStyle name="Output 12 3 3_Table 2A-1_EFT (Annual)" xfId="7576"/>
    <cellStyle name="Output 12 3 4" xfId="1694"/>
    <cellStyle name="Output 12 3 4 2" xfId="5255"/>
    <cellStyle name="Output 12 3 4 2 2" xfId="13488"/>
    <cellStyle name="Output 12 3 4 2 2 2" xfId="25482"/>
    <cellStyle name="Output 12 3 4 2 3" xfId="20369"/>
    <cellStyle name="Output 12 3 4 2_Table 2A-1_EFT (Annual)" xfId="15963"/>
    <cellStyle name="Output 12 3 4 3" xfId="10832"/>
    <cellStyle name="Output 12 3 4 3 2" xfId="22936"/>
    <cellStyle name="Output 12 3 4 4" xfId="17823"/>
    <cellStyle name="Output 12 3 4_Table 2A-1_EFT (Annual)" xfId="7577"/>
    <cellStyle name="Output 12 3 5" xfId="3888"/>
    <cellStyle name="Output 12 3 5 2" xfId="12220"/>
    <cellStyle name="Output 12 3 5 2 2" xfId="24245"/>
    <cellStyle name="Output 12 3 5 3" xfId="19132"/>
    <cellStyle name="Output 12 3 5_Table 2A-1_EFT (Annual)" xfId="15964"/>
    <cellStyle name="Output 12 3 6" xfId="9557"/>
    <cellStyle name="Output 12 3 6 2" xfId="21699"/>
    <cellStyle name="Output 12 3 7" xfId="16586"/>
    <cellStyle name="Output 12 3_Table 2A-1_EFT (Annual)" xfId="3338"/>
    <cellStyle name="Output 12 4" xfId="1140"/>
    <cellStyle name="Output 12 4 2" xfId="2410"/>
    <cellStyle name="Output 12 4 2 2" xfId="5971"/>
    <cellStyle name="Output 12 4 2 2 2" xfId="14165"/>
    <cellStyle name="Output 12 4 2 2 2 2" xfId="26137"/>
    <cellStyle name="Output 12 4 2 2 3" xfId="21024"/>
    <cellStyle name="Output 12 4 2 2_Table 2A-1_EFT (Annual)" xfId="15965"/>
    <cellStyle name="Output 12 4 2 3" xfId="11507"/>
    <cellStyle name="Output 12 4 2 3 2" xfId="23591"/>
    <cellStyle name="Output 12 4 2 4" xfId="18478"/>
    <cellStyle name="Output 12 4 2_Table 2A-1_EFT (Annual)" xfId="7578"/>
    <cellStyle name="Output 12 4 3" xfId="1813"/>
    <cellStyle name="Output 12 4 3 2" xfId="5374"/>
    <cellStyle name="Output 12 4 3 2 2" xfId="13589"/>
    <cellStyle name="Output 12 4 3 2 2 2" xfId="25577"/>
    <cellStyle name="Output 12 4 3 2 3" xfId="20464"/>
    <cellStyle name="Output 12 4 3 2_Table 2A-1_EFT (Annual)" xfId="15966"/>
    <cellStyle name="Output 12 4 3 3" xfId="10933"/>
    <cellStyle name="Output 12 4 3 3 2" xfId="23031"/>
    <cellStyle name="Output 12 4 3 4" xfId="17918"/>
    <cellStyle name="Output 12 4 3_Table 2A-1_EFT (Annual)" xfId="7579"/>
    <cellStyle name="Output 12 4 4" xfId="4701"/>
    <cellStyle name="Output 12 4 4 2" xfId="12961"/>
    <cellStyle name="Output 12 4 4 2 2" xfId="24967"/>
    <cellStyle name="Output 12 4 4 3" xfId="19854"/>
    <cellStyle name="Output 12 4 4_Table 2A-1_EFT (Annual)" xfId="15967"/>
    <cellStyle name="Output 12 4 5" xfId="10305"/>
    <cellStyle name="Output 12 4 5 2" xfId="22421"/>
    <cellStyle name="Output 12 4 6" xfId="17308"/>
    <cellStyle name="Output 12 4_Table 2A-1_EFT (Annual)" xfId="3340"/>
    <cellStyle name="Output 12 5" xfId="1811"/>
    <cellStyle name="Output 12 5 2" xfId="5372"/>
    <cellStyle name="Output 12 5 2 2" xfId="13587"/>
    <cellStyle name="Output 12 5 2 2 2" xfId="25575"/>
    <cellStyle name="Output 12 5 2 3" xfId="20462"/>
    <cellStyle name="Output 12 5 2_Table 2A-1_EFT (Annual)" xfId="15968"/>
    <cellStyle name="Output 12 5 3" xfId="10931"/>
    <cellStyle name="Output 12 5 3 2" xfId="23029"/>
    <cellStyle name="Output 12 5 4" xfId="17916"/>
    <cellStyle name="Output 12 5_Table 2A-1_EFT (Annual)" xfId="7580"/>
    <cellStyle name="Output 12 6" xfId="1637"/>
    <cellStyle name="Output 12 6 2" xfId="5198"/>
    <cellStyle name="Output 12 6 2 2" xfId="13450"/>
    <cellStyle name="Output 12 6 2 2 2" xfId="25450"/>
    <cellStyle name="Output 12 6 2 3" xfId="20337"/>
    <cellStyle name="Output 12 6 2_Table 2A-1_EFT (Annual)" xfId="15969"/>
    <cellStyle name="Output 12 6 3" xfId="10794"/>
    <cellStyle name="Output 12 6 3 2" xfId="22904"/>
    <cellStyle name="Output 12 6 4" xfId="17791"/>
    <cellStyle name="Output 12 6_Table 2A-1_EFT (Annual)" xfId="7581"/>
    <cellStyle name="Output 12 7" xfId="3675"/>
    <cellStyle name="Output 12 7 2" xfId="12048"/>
    <cellStyle name="Output 12 7 2 2" xfId="24079"/>
    <cellStyle name="Output 12 7 3" xfId="18966"/>
    <cellStyle name="Output 12 7_Table 2A-1_EFT (Annual)" xfId="15970"/>
    <cellStyle name="Output 12 8" xfId="9365"/>
    <cellStyle name="Output 12 8 2" xfId="21533"/>
    <cellStyle name="Output 12 9" xfId="16420"/>
    <cellStyle name="Output 12_Table 2A-1_EFT (Annual)" xfId="3335"/>
    <cellStyle name="Output 13" xfId="152"/>
    <cellStyle name="Output 13 2" xfId="545"/>
    <cellStyle name="Output 13 2 2" xfId="1522"/>
    <cellStyle name="Output 13 2 2 2" xfId="2792"/>
    <cellStyle name="Output 13 2 2 2 2" xfId="6353"/>
    <cellStyle name="Output 13 2 2 2 2 2" xfId="14547"/>
    <cellStyle name="Output 13 2 2 2 2 2 2" xfId="26519"/>
    <cellStyle name="Output 13 2 2 2 2 3" xfId="21406"/>
    <cellStyle name="Output 13 2 2 2 2_Table 2A-1_EFT (Annual)" xfId="7583"/>
    <cellStyle name="Output 13 2 2 2 3" xfId="11889"/>
    <cellStyle name="Output 13 2 2 2 3 2" xfId="23973"/>
    <cellStyle name="Output 13 2 2 2 4" xfId="18860"/>
    <cellStyle name="Output 13 2 2 2_Table 2A-1_EFT (Annual)" xfId="7582"/>
    <cellStyle name="Output 13 2 2 3" xfId="1922"/>
    <cellStyle name="Output 13 2 2 3 2" xfId="5483"/>
    <cellStyle name="Output 13 2 2 3 2 2" xfId="13698"/>
    <cellStyle name="Output 13 2 2 3 2 2 2" xfId="25686"/>
    <cellStyle name="Output 13 2 2 3 2 3" xfId="20573"/>
    <cellStyle name="Output 13 2 2 3 2_Table 2A-1_EFT (Annual)" xfId="7585"/>
    <cellStyle name="Output 13 2 2 3 3" xfId="11042"/>
    <cellStyle name="Output 13 2 2 3 3 2" xfId="23140"/>
    <cellStyle name="Output 13 2 2 3 4" xfId="18027"/>
    <cellStyle name="Output 13 2 2 3_Table 2A-1_EFT (Annual)" xfId="7584"/>
    <cellStyle name="Output 13 2 2 4" xfId="5083"/>
    <cellStyle name="Output 13 2 2 4 2" xfId="13343"/>
    <cellStyle name="Output 13 2 2 4 2 2" xfId="25349"/>
    <cellStyle name="Output 13 2 2 4 3" xfId="20236"/>
    <cellStyle name="Output 13 2 2 4_Table 2A-1_EFT (Annual)" xfId="7586"/>
    <cellStyle name="Output 13 2 2 5" xfId="10687"/>
    <cellStyle name="Output 13 2 2 5 2" xfId="22803"/>
    <cellStyle name="Output 13 2 2 6" xfId="17690"/>
    <cellStyle name="Output 13 2 2_Table 2A-1_EFT (Annual)" xfId="3343"/>
    <cellStyle name="Output 13 2 3" xfId="2261"/>
    <cellStyle name="Output 13 2 3 2" xfId="5822"/>
    <cellStyle name="Output 13 2 3 2 2" xfId="14037"/>
    <cellStyle name="Output 13 2 3 2 2 2" xfId="26025"/>
    <cellStyle name="Output 13 2 3 2 3" xfId="20912"/>
    <cellStyle name="Output 13 2 3 2_Table 2A-1_EFT (Annual)" xfId="7588"/>
    <cellStyle name="Output 13 2 3 3" xfId="11381"/>
    <cellStyle name="Output 13 2 3 3 2" xfId="23479"/>
    <cellStyle name="Output 13 2 3 4" xfId="18366"/>
    <cellStyle name="Output 13 2 3_Table 2A-1_EFT (Annual)" xfId="7587"/>
    <cellStyle name="Output 13 2 4" xfId="1747"/>
    <cellStyle name="Output 13 2 4 2" xfId="5308"/>
    <cellStyle name="Output 13 2 4 2 2" xfId="13533"/>
    <cellStyle name="Output 13 2 4 2 2 2" xfId="25524"/>
    <cellStyle name="Output 13 2 4 2 3" xfId="20411"/>
    <cellStyle name="Output 13 2 4 2_Table 2A-1_EFT (Annual)" xfId="7590"/>
    <cellStyle name="Output 13 2 4 3" xfId="10876"/>
    <cellStyle name="Output 13 2 4 3 2" xfId="22978"/>
    <cellStyle name="Output 13 2 4 4" xfId="17865"/>
    <cellStyle name="Output 13 2 4_Table 2A-1_EFT (Annual)" xfId="7589"/>
    <cellStyle name="Output 13 2 5" xfId="4115"/>
    <cellStyle name="Output 13 2 5 2" xfId="12439"/>
    <cellStyle name="Output 13 2 5 2 2" xfId="24461"/>
    <cellStyle name="Output 13 2 5 3" xfId="19348"/>
    <cellStyle name="Output 13 2 5_Table 2A-1_EFT (Annual)" xfId="7591"/>
    <cellStyle name="Output 13 2 6" xfId="9778"/>
    <cellStyle name="Output 13 2 6 2" xfId="21915"/>
    <cellStyle name="Output 13 2 7" xfId="16802"/>
    <cellStyle name="Output 13 2_Table 2A-1_EFT (Annual)" xfId="3342"/>
    <cellStyle name="Output 13 3" xfId="383"/>
    <cellStyle name="Output 13 3 2" xfId="1366"/>
    <cellStyle name="Output 13 3 2 2" xfId="2636"/>
    <cellStyle name="Output 13 3 2 2 2" xfId="6197"/>
    <cellStyle name="Output 13 3 2 2 2 2" xfId="14391"/>
    <cellStyle name="Output 13 3 2 2 2 2 2" xfId="26363"/>
    <cellStyle name="Output 13 3 2 2 2 3" xfId="21250"/>
    <cellStyle name="Output 13 3 2 2 2_Table 2A-1_EFT (Annual)" xfId="7593"/>
    <cellStyle name="Output 13 3 2 2 3" xfId="11733"/>
    <cellStyle name="Output 13 3 2 2 3 2" xfId="23817"/>
    <cellStyle name="Output 13 3 2 2 4" xfId="18704"/>
    <cellStyle name="Output 13 3 2 2_Table 2A-1_EFT (Annual)" xfId="7592"/>
    <cellStyle name="Output 13 3 2 3" xfId="1891"/>
    <cellStyle name="Output 13 3 2 3 2" xfId="5452"/>
    <cellStyle name="Output 13 3 2 3 2 2" xfId="13667"/>
    <cellStyle name="Output 13 3 2 3 2 2 2" xfId="25655"/>
    <cellStyle name="Output 13 3 2 3 2 3" xfId="20542"/>
    <cellStyle name="Output 13 3 2 3 2_Table 2A-1_EFT (Annual)" xfId="7595"/>
    <cellStyle name="Output 13 3 2 3 3" xfId="11011"/>
    <cellStyle name="Output 13 3 2 3 3 2" xfId="23109"/>
    <cellStyle name="Output 13 3 2 3 4" xfId="17996"/>
    <cellStyle name="Output 13 3 2 3_Table 2A-1_EFT (Annual)" xfId="7594"/>
    <cellStyle name="Output 13 3 2 4" xfId="4927"/>
    <cellStyle name="Output 13 3 2 4 2" xfId="13187"/>
    <cellStyle name="Output 13 3 2 4 2 2" xfId="25193"/>
    <cellStyle name="Output 13 3 2 4 3" xfId="20080"/>
    <cellStyle name="Output 13 3 2 4_Table 2A-1_EFT (Annual)" xfId="7596"/>
    <cellStyle name="Output 13 3 2 5" xfId="10531"/>
    <cellStyle name="Output 13 3 2 5 2" xfId="22647"/>
    <cellStyle name="Output 13 3 2 6" xfId="17534"/>
    <cellStyle name="Output 13 3 2_Table 2A-1_EFT (Annual)" xfId="3345"/>
    <cellStyle name="Output 13 3 3" xfId="2105"/>
    <cellStyle name="Output 13 3 3 2" xfId="5666"/>
    <cellStyle name="Output 13 3 3 2 2" xfId="13881"/>
    <cellStyle name="Output 13 3 3 2 2 2" xfId="25869"/>
    <cellStyle name="Output 13 3 3 2 3" xfId="20756"/>
    <cellStyle name="Output 13 3 3 2_Table 2A-1_EFT (Annual)" xfId="7598"/>
    <cellStyle name="Output 13 3 3 3" xfId="11225"/>
    <cellStyle name="Output 13 3 3 3 2" xfId="23323"/>
    <cellStyle name="Output 13 3 3 4" xfId="18210"/>
    <cellStyle name="Output 13 3 3_Table 2A-1_EFT (Annual)" xfId="7597"/>
    <cellStyle name="Output 13 3 4" xfId="1711"/>
    <cellStyle name="Output 13 3 4 2" xfId="5272"/>
    <cellStyle name="Output 13 3 4 2 2" xfId="13501"/>
    <cellStyle name="Output 13 3 4 2 2 2" xfId="25494"/>
    <cellStyle name="Output 13 3 4 2 3" xfId="20381"/>
    <cellStyle name="Output 13 3 4 2_Table 2A-1_EFT (Annual)" xfId="7600"/>
    <cellStyle name="Output 13 3 4 3" xfId="10845"/>
    <cellStyle name="Output 13 3 4 3 2" xfId="22948"/>
    <cellStyle name="Output 13 3 4 4" xfId="17835"/>
    <cellStyle name="Output 13 3 4_Table 2A-1_EFT (Annual)" xfId="7599"/>
    <cellStyle name="Output 13 3 5" xfId="3953"/>
    <cellStyle name="Output 13 3 5 2" xfId="12281"/>
    <cellStyle name="Output 13 3 5 2 2" xfId="24305"/>
    <cellStyle name="Output 13 3 5 3" xfId="19192"/>
    <cellStyle name="Output 13 3 5_Table 2A-1_EFT (Annual)" xfId="7601"/>
    <cellStyle name="Output 13 3 6" xfId="9618"/>
    <cellStyle name="Output 13 3 6 2" xfId="21759"/>
    <cellStyle name="Output 13 3 7" xfId="16646"/>
    <cellStyle name="Output 13 3_Table 2A-1_EFT (Annual)" xfId="3344"/>
    <cellStyle name="Output 13 4" xfId="1200"/>
    <cellStyle name="Output 13 4 2" xfId="2470"/>
    <cellStyle name="Output 13 4 2 2" xfId="6031"/>
    <cellStyle name="Output 13 4 2 2 2" xfId="14225"/>
    <cellStyle name="Output 13 4 2 2 2 2" xfId="26197"/>
    <cellStyle name="Output 13 4 2 2 3" xfId="21084"/>
    <cellStyle name="Output 13 4 2 2_Table 2A-1_EFT (Annual)" xfId="7603"/>
    <cellStyle name="Output 13 4 2 3" xfId="11567"/>
    <cellStyle name="Output 13 4 2 3 2" xfId="23651"/>
    <cellStyle name="Output 13 4 2 4" xfId="18538"/>
    <cellStyle name="Output 13 4 2_Table 2A-1_EFT (Annual)" xfId="7602"/>
    <cellStyle name="Output 13 4 3" xfId="1827"/>
    <cellStyle name="Output 13 4 3 2" xfId="5388"/>
    <cellStyle name="Output 13 4 3 2 2" xfId="13603"/>
    <cellStyle name="Output 13 4 3 2 2 2" xfId="25591"/>
    <cellStyle name="Output 13 4 3 2 3" xfId="20478"/>
    <cellStyle name="Output 13 4 3 2_Table 2A-1_EFT (Annual)" xfId="7605"/>
    <cellStyle name="Output 13 4 3 3" xfId="10947"/>
    <cellStyle name="Output 13 4 3 3 2" xfId="23045"/>
    <cellStyle name="Output 13 4 3 4" xfId="17932"/>
    <cellStyle name="Output 13 4 3_Table 2A-1_EFT (Annual)" xfId="7604"/>
    <cellStyle name="Output 13 4 4" xfId="4761"/>
    <cellStyle name="Output 13 4 4 2" xfId="13021"/>
    <cellStyle name="Output 13 4 4 2 2" xfId="25027"/>
    <cellStyle name="Output 13 4 4 3" xfId="19914"/>
    <cellStyle name="Output 13 4 4_Table 2A-1_EFT (Annual)" xfId="7606"/>
    <cellStyle name="Output 13 4 5" xfId="10365"/>
    <cellStyle name="Output 13 4 5 2" xfId="22481"/>
    <cellStyle name="Output 13 4 6" xfId="17368"/>
    <cellStyle name="Output 13 4_Table 2A-1_EFT (Annual)" xfId="3346"/>
    <cellStyle name="Output 13 5" xfId="1782"/>
    <cellStyle name="Output 13 5 2" xfId="5343"/>
    <cellStyle name="Output 13 5 2 2" xfId="13558"/>
    <cellStyle name="Output 13 5 2 2 2" xfId="25546"/>
    <cellStyle name="Output 13 5 2 3" xfId="20433"/>
    <cellStyle name="Output 13 5 2_Table 2A-1_EFT (Annual)" xfId="7608"/>
    <cellStyle name="Output 13 5 3" xfId="10902"/>
    <cellStyle name="Output 13 5 3 2" xfId="23000"/>
    <cellStyle name="Output 13 5 4" xfId="17887"/>
    <cellStyle name="Output 13 5_Table 2A-1_EFT (Annual)" xfId="7607"/>
    <cellStyle name="Output 13 6" xfId="1654"/>
    <cellStyle name="Output 13 6 2" xfId="5215"/>
    <cellStyle name="Output 13 6 2 2" xfId="13462"/>
    <cellStyle name="Output 13 6 2 2 2" xfId="25462"/>
    <cellStyle name="Output 13 6 2 3" xfId="20349"/>
    <cellStyle name="Output 13 6 2_Table 2A-1_EFT (Annual)" xfId="7610"/>
    <cellStyle name="Output 13 6 3" xfId="10807"/>
    <cellStyle name="Output 13 6 3 2" xfId="22916"/>
    <cellStyle name="Output 13 6 4" xfId="17803"/>
    <cellStyle name="Output 13 6_Table 2A-1_EFT (Annual)" xfId="7609"/>
    <cellStyle name="Output 13 7" xfId="3741"/>
    <cellStyle name="Output 13 7 2" xfId="12109"/>
    <cellStyle name="Output 13 7 2 2" xfId="24139"/>
    <cellStyle name="Output 13 7 3" xfId="19026"/>
    <cellStyle name="Output 13 7_Table 2A-1_EFT (Annual)" xfId="7611"/>
    <cellStyle name="Output 13 8" xfId="9428"/>
    <cellStyle name="Output 13 8 2" xfId="21593"/>
    <cellStyle name="Output 13 9" xfId="16480"/>
    <cellStyle name="Output 13_Table 2A-1_EFT (Annual)" xfId="3341"/>
    <cellStyle name="Output 14" xfId="146"/>
    <cellStyle name="Output 14 2" xfId="539"/>
    <cellStyle name="Output 14 2 2" xfId="1516"/>
    <cellStyle name="Output 14 2 2 2" xfId="2786"/>
    <cellStyle name="Output 14 2 2 2 2" xfId="6347"/>
    <cellStyle name="Output 14 2 2 2 2 2" xfId="14541"/>
    <cellStyle name="Output 14 2 2 2 2 2 2" xfId="26513"/>
    <cellStyle name="Output 14 2 2 2 2 3" xfId="21400"/>
    <cellStyle name="Output 14 2 2 2 2_Table 2A-1_EFT (Annual)" xfId="7613"/>
    <cellStyle name="Output 14 2 2 2 3" xfId="11883"/>
    <cellStyle name="Output 14 2 2 2 3 2" xfId="23967"/>
    <cellStyle name="Output 14 2 2 2 4" xfId="18854"/>
    <cellStyle name="Output 14 2 2 2_Table 2A-1_EFT (Annual)" xfId="7612"/>
    <cellStyle name="Output 14 2 2 3" xfId="1921"/>
    <cellStyle name="Output 14 2 2 3 2" xfId="5482"/>
    <cellStyle name="Output 14 2 2 3 2 2" xfId="13697"/>
    <cellStyle name="Output 14 2 2 3 2 2 2" xfId="25685"/>
    <cellStyle name="Output 14 2 2 3 2 3" xfId="20572"/>
    <cellStyle name="Output 14 2 2 3 2_Table 2A-1_EFT (Annual)" xfId="7615"/>
    <cellStyle name="Output 14 2 2 3 3" xfId="11041"/>
    <cellStyle name="Output 14 2 2 3 3 2" xfId="23139"/>
    <cellStyle name="Output 14 2 2 3 4" xfId="18026"/>
    <cellStyle name="Output 14 2 2 3_Table 2A-1_EFT (Annual)" xfId="7614"/>
    <cellStyle name="Output 14 2 2 4" xfId="5077"/>
    <cellStyle name="Output 14 2 2 4 2" xfId="13337"/>
    <cellStyle name="Output 14 2 2 4 2 2" xfId="25343"/>
    <cellStyle name="Output 14 2 2 4 3" xfId="20230"/>
    <cellStyle name="Output 14 2 2 4_Table 2A-1_EFT (Annual)" xfId="7616"/>
    <cellStyle name="Output 14 2 2 5" xfId="10681"/>
    <cellStyle name="Output 14 2 2 5 2" xfId="22797"/>
    <cellStyle name="Output 14 2 2 6" xfId="17684"/>
    <cellStyle name="Output 14 2 2_Table 2A-1_EFT (Annual)" xfId="3349"/>
    <cellStyle name="Output 14 2 3" xfId="2255"/>
    <cellStyle name="Output 14 2 3 2" xfId="5816"/>
    <cellStyle name="Output 14 2 3 2 2" xfId="14031"/>
    <cellStyle name="Output 14 2 3 2 2 2" xfId="26019"/>
    <cellStyle name="Output 14 2 3 2 3" xfId="20906"/>
    <cellStyle name="Output 14 2 3 2_Table 2A-1_EFT (Annual)" xfId="7618"/>
    <cellStyle name="Output 14 2 3 3" xfId="11375"/>
    <cellStyle name="Output 14 2 3 3 2" xfId="23473"/>
    <cellStyle name="Output 14 2 3 4" xfId="18360"/>
    <cellStyle name="Output 14 2 3_Table 2A-1_EFT (Annual)" xfId="7617"/>
    <cellStyle name="Output 14 2 4" xfId="1746"/>
    <cellStyle name="Output 14 2 4 2" xfId="5307"/>
    <cellStyle name="Output 14 2 4 2 2" xfId="13532"/>
    <cellStyle name="Output 14 2 4 2 2 2" xfId="25523"/>
    <cellStyle name="Output 14 2 4 2 3" xfId="20410"/>
    <cellStyle name="Output 14 2 4 2_Table 2A-1_EFT (Annual)" xfId="7620"/>
    <cellStyle name="Output 14 2 4 3" xfId="10875"/>
    <cellStyle name="Output 14 2 4 3 2" xfId="22977"/>
    <cellStyle name="Output 14 2 4 4" xfId="17864"/>
    <cellStyle name="Output 14 2 4_Table 2A-1_EFT (Annual)" xfId="7619"/>
    <cellStyle name="Output 14 2 5" xfId="4109"/>
    <cellStyle name="Output 14 2 5 2" xfId="12433"/>
    <cellStyle name="Output 14 2 5 2 2" xfId="24455"/>
    <cellStyle name="Output 14 2 5 3" xfId="19342"/>
    <cellStyle name="Output 14 2 5_Table 2A-1_EFT (Annual)" xfId="7621"/>
    <cellStyle name="Output 14 2 6" xfId="9772"/>
    <cellStyle name="Output 14 2 6 2" xfId="21909"/>
    <cellStyle name="Output 14 2 7" xfId="16796"/>
    <cellStyle name="Output 14 2_Table 2A-1_EFT (Annual)" xfId="3348"/>
    <cellStyle name="Output 14 3" xfId="377"/>
    <cellStyle name="Output 14 3 2" xfId="1360"/>
    <cellStyle name="Output 14 3 2 2" xfId="2630"/>
    <cellStyle name="Output 14 3 2 2 2" xfId="6191"/>
    <cellStyle name="Output 14 3 2 2 2 2" xfId="14385"/>
    <cellStyle name="Output 14 3 2 2 2 2 2" xfId="26357"/>
    <cellStyle name="Output 14 3 2 2 2 3" xfId="21244"/>
    <cellStyle name="Output 14 3 2 2 2_Table 2A-1_EFT (Annual)" xfId="7623"/>
    <cellStyle name="Output 14 3 2 2 3" xfId="11727"/>
    <cellStyle name="Output 14 3 2 2 3 2" xfId="23811"/>
    <cellStyle name="Output 14 3 2 2 4" xfId="18698"/>
    <cellStyle name="Output 14 3 2 2_Table 2A-1_EFT (Annual)" xfId="7622"/>
    <cellStyle name="Output 14 3 2 3" xfId="1890"/>
    <cellStyle name="Output 14 3 2 3 2" xfId="5451"/>
    <cellStyle name="Output 14 3 2 3 2 2" xfId="13666"/>
    <cellStyle name="Output 14 3 2 3 2 2 2" xfId="25654"/>
    <cellStyle name="Output 14 3 2 3 2 3" xfId="20541"/>
    <cellStyle name="Output 14 3 2 3 2_Table 2A-1_EFT (Annual)" xfId="7625"/>
    <cellStyle name="Output 14 3 2 3 3" xfId="11010"/>
    <cellStyle name="Output 14 3 2 3 3 2" xfId="23108"/>
    <cellStyle name="Output 14 3 2 3 4" xfId="17995"/>
    <cellStyle name="Output 14 3 2 3_Table 2A-1_EFT (Annual)" xfId="7624"/>
    <cellStyle name="Output 14 3 2 4" xfId="4921"/>
    <cellStyle name="Output 14 3 2 4 2" xfId="13181"/>
    <cellStyle name="Output 14 3 2 4 2 2" xfId="25187"/>
    <cellStyle name="Output 14 3 2 4 3" xfId="20074"/>
    <cellStyle name="Output 14 3 2 4_Table 2A-1_EFT (Annual)" xfId="7626"/>
    <cellStyle name="Output 14 3 2 5" xfId="10525"/>
    <cellStyle name="Output 14 3 2 5 2" xfId="22641"/>
    <cellStyle name="Output 14 3 2 6" xfId="17528"/>
    <cellStyle name="Output 14 3 2_Table 2A-1_EFT (Annual)" xfId="3351"/>
    <cellStyle name="Output 14 3 3" xfId="2099"/>
    <cellStyle name="Output 14 3 3 2" xfId="5660"/>
    <cellStyle name="Output 14 3 3 2 2" xfId="13875"/>
    <cellStyle name="Output 14 3 3 2 2 2" xfId="25863"/>
    <cellStyle name="Output 14 3 3 2 3" xfId="20750"/>
    <cellStyle name="Output 14 3 3 2_Table 2A-1_EFT (Annual)" xfId="7628"/>
    <cellStyle name="Output 14 3 3 3" xfId="11219"/>
    <cellStyle name="Output 14 3 3 3 2" xfId="23317"/>
    <cellStyle name="Output 14 3 3 4" xfId="18204"/>
    <cellStyle name="Output 14 3 3_Table 2A-1_EFT (Annual)" xfId="7627"/>
    <cellStyle name="Output 14 3 4" xfId="1710"/>
    <cellStyle name="Output 14 3 4 2" xfId="5271"/>
    <cellStyle name="Output 14 3 4 2 2" xfId="13500"/>
    <cellStyle name="Output 14 3 4 2 2 2" xfId="25493"/>
    <cellStyle name="Output 14 3 4 2 3" xfId="20380"/>
    <cellStyle name="Output 14 3 4 2_Table 2A-1_EFT (Annual)" xfId="7630"/>
    <cellStyle name="Output 14 3 4 3" xfId="10844"/>
    <cellStyle name="Output 14 3 4 3 2" xfId="22947"/>
    <cellStyle name="Output 14 3 4 4" xfId="17834"/>
    <cellStyle name="Output 14 3 4_Table 2A-1_EFT (Annual)" xfId="7629"/>
    <cellStyle name="Output 14 3 5" xfId="3947"/>
    <cellStyle name="Output 14 3 5 2" xfId="12275"/>
    <cellStyle name="Output 14 3 5 2 2" xfId="24299"/>
    <cellStyle name="Output 14 3 5 3" xfId="19186"/>
    <cellStyle name="Output 14 3 5_Table 2A-1_EFT (Annual)" xfId="7631"/>
    <cellStyle name="Output 14 3 6" xfId="9612"/>
    <cellStyle name="Output 14 3 6 2" xfId="21753"/>
    <cellStyle name="Output 14 3 7" xfId="16640"/>
    <cellStyle name="Output 14 3_Table 2A-1_EFT (Annual)" xfId="3350"/>
    <cellStyle name="Output 14 4" xfId="1194"/>
    <cellStyle name="Output 14 4 2" xfId="2464"/>
    <cellStyle name="Output 14 4 2 2" xfId="6025"/>
    <cellStyle name="Output 14 4 2 2 2" xfId="14219"/>
    <cellStyle name="Output 14 4 2 2 2 2" xfId="26191"/>
    <cellStyle name="Output 14 4 2 2 3" xfId="21078"/>
    <cellStyle name="Output 14 4 2 2_Table 2A-1_EFT (Annual)" xfId="7633"/>
    <cellStyle name="Output 14 4 2 3" xfId="11561"/>
    <cellStyle name="Output 14 4 2 3 2" xfId="23645"/>
    <cellStyle name="Output 14 4 2 4" xfId="18532"/>
    <cellStyle name="Output 14 4 2_Table 2A-1_EFT (Annual)" xfId="7632"/>
    <cellStyle name="Output 14 4 3" xfId="1826"/>
    <cellStyle name="Output 14 4 3 2" xfId="5387"/>
    <cellStyle name="Output 14 4 3 2 2" xfId="13602"/>
    <cellStyle name="Output 14 4 3 2 2 2" xfId="25590"/>
    <cellStyle name="Output 14 4 3 2 3" xfId="20477"/>
    <cellStyle name="Output 14 4 3 2_Table 2A-1_EFT (Annual)" xfId="7635"/>
    <cellStyle name="Output 14 4 3 3" xfId="10946"/>
    <cellStyle name="Output 14 4 3 3 2" xfId="23044"/>
    <cellStyle name="Output 14 4 3 4" xfId="17931"/>
    <cellStyle name="Output 14 4 3_Table 2A-1_EFT (Annual)" xfId="7634"/>
    <cellStyle name="Output 14 4 4" xfId="4755"/>
    <cellStyle name="Output 14 4 4 2" xfId="13015"/>
    <cellStyle name="Output 14 4 4 2 2" xfId="25021"/>
    <cellStyle name="Output 14 4 4 3" xfId="19908"/>
    <cellStyle name="Output 14 4 4_Table 2A-1_EFT (Annual)" xfId="7636"/>
    <cellStyle name="Output 14 4 5" xfId="10359"/>
    <cellStyle name="Output 14 4 5 2" xfId="22475"/>
    <cellStyle name="Output 14 4 6" xfId="17362"/>
    <cellStyle name="Output 14 4_Table 2A-1_EFT (Annual)" xfId="3352"/>
    <cellStyle name="Output 14 5" xfId="1785"/>
    <cellStyle name="Output 14 5 2" xfId="5346"/>
    <cellStyle name="Output 14 5 2 2" xfId="13561"/>
    <cellStyle name="Output 14 5 2 2 2" xfId="25549"/>
    <cellStyle name="Output 14 5 2 3" xfId="20436"/>
    <cellStyle name="Output 14 5 2_Table 2A-1_EFT (Annual)" xfId="7638"/>
    <cellStyle name="Output 14 5 3" xfId="10905"/>
    <cellStyle name="Output 14 5 3 2" xfId="23003"/>
    <cellStyle name="Output 14 5 4" xfId="17890"/>
    <cellStyle name="Output 14 5_Table 2A-1_EFT (Annual)" xfId="7637"/>
    <cellStyle name="Output 14 6" xfId="1653"/>
    <cellStyle name="Output 14 6 2" xfId="5214"/>
    <cellStyle name="Output 14 6 2 2" xfId="13461"/>
    <cellStyle name="Output 14 6 2 2 2" xfId="25461"/>
    <cellStyle name="Output 14 6 2 3" xfId="20348"/>
    <cellStyle name="Output 14 6 2_Table 2A-1_EFT (Annual)" xfId="7640"/>
    <cellStyle name="Output 14 6 3" xfId="10806"/>
    <cellStyle name="Output 14 6 3 2" xfId="22915"/>
    <cellStyle name="Output 14 6 4" xfId="17802"/>
    <cellStyle name="Output 14 6_Table 2A-1_EFT (Annual)" xfId="7639"/>
    <cellStyle name="Output 14 7" xfId="3735"/>
    <cellStyle name="Output 14 7 2" xfId="12103"/>
    <cellStyle name="Output 14 7 2 2" xfId="24133"/>
    <cellStyle name="Output 14 7 3" xfId="19020"/>
    <cellStyle name="Output 14 7_Table 2A-1_EFT (Annual)" xfId="7641"/>
    <cellStyle name="Output 14 8" xfId="9422"/>
    <cellStyle name="Output 14 8 2" xfId="21587"/>
    <cellStyle name="Output 14 9" xfId="16474"/>
    <cellStyle name="Output 14_Table 2A-1_EFT (Annual)" xfId="3347"/>
    <cellStyle name="Output 15" xfId="154"/>
    <cellStyle name="Output 15 2" xfId="547"/>
    <cellStyle name="Output 15 2 2" xfId="1524"/>
    <cellStyle name="Output 15 2 2 2" xfId="2794"/>
    <cellStyle name="Output 15 2 2 2 2" xfId="6355"/>
    <cellStyle name="Output 15 2 2 2 2 2" xfId="14549"/>
    <cellStyle name="Output 15 2 2 2 2 2 2" xfId="26521"/>
    <cellStyle name="Output 15 2 2 2 2 3" xfId="21408"/>
    <cellStyle name="Output 15 2 2 2 2_Table 2A-1_EFT (Annual)" xfId="7643"/>
    <cellStyle name="Output 15 2 2 2 3" xfId="11891"/>
    <cellStyle name="Output 15 2 2 2 3 2" xfId="23975"/>
    <cellStyle name="Output 15 2 2 2 4" xfId="18862"/>
    <cellStyle name="Output 15 2 2 2_Table 2A-1_EFT (Annual)" xfId="7642"/>
    <cellStyle name="Output 15 2 2 3" xfId="1923"/>
    <cellStyle name="Output 15 2 2 3 2" xfId="5484"/>
    <cellStyle name="Output 15 2 2 3 2 2" xfId="13699"/>
    <cellStyle name="Output 15 2 2 3 2 2 2" xfId="25687"/>
    <cellStyle name="Output 15 2 2 3 2 3" xfId="20574"/>
    <cellStyle name="Output 15 2 2 3 2_Table 2A-1_EFT (Annual)" xfId="7645"/>
    <cellStyle name="Output 15 2 2 3 3" xfId="11043"/>
    <cellStyle name="Output 15 2 2 3 3 2" xfId="23141"/>
    <cellStyle name="Output 15 2 2 3 4" xfId="18028"/>
    <cellStyle name="Output 15 2 2 3_Table 2A-1_EFT (Annual)" xfId="7644"/>
    <cellStyle name="Output 15 2 2 4" xfId="5085"/>
    <cellStyle name="Output 15 2 2 4 2" xfId="13345"/>
    <cellStyle name="Output 15 2 2 4 2 2" xfId="25351"/>
    <cellStyle name="Output 15 2 2 4 3" xfId="20238"/>
    <cellStyle name="Output 15 2 2 4_Table 2A-1_EFT (Annual)" xfId="7646"/>
    <cellStyle name="Output 15 2 2 5" xfId="10689"/>
    <cellStyle name="Output 15 2 2 5 2" xfId="22805"/>
    <cellStyle name="Output 15 2 2 6" xfId="17692"/>
    <cellStyle name="Output 15 2 2_Table 2A-1_EFT (Annual)" xfId="3355"/>
    <cellStyle name="Output 15 2 3" xfId="2263"/>
    <cellStyle name="Output 15 2 3 2" xfId="5824"/>
    <cellStyle name="Output 15 2 3 2 2" xfId="14039"/>
    <cellStyle name="Output 15 2 3 2 2 2" xfId="26027"/>
    <cellStyle name="Output 15 2 3 2 3" xfId="20914"/>
    <cellStyle name="Output 15 2 3 2_Table 2A-1_EFT (Annual)" xfId="7648"/>
    <cellStyle name="Output 15 2 3 3" xfId="11383"/>
    <cellStyle name="Output 15 2 3 3 2" xfId="23481"/>
    <cellStyle name="Output 15 2 3 4" xfId="18368"/>
    <cellStyle name="Output 15 2 3_Table 2A-1_EFT (Annual)" xfId="7647"/>
    <cellStyle name="Output 15 2 4" xfId="1748"/>
    <cellStyle name="Output 15 2 4 2" xfId="5309"/>
    <cellStyle name="Output 15 2 4 2 2" xfId="13534"/>
    <cellStyle name="Output 15 2 4 2 2 2" xfId="25525"/>
    <cellStyle name="Output 15 2 4 2 3" xfId="20412"/>
    <cellStyle name="Output 15 2 4 2_Table 2A-1_EFT (Annual)" xfId="7650"/>
    <cellStyle name="Output 15 2 4 3" xfId="10877"/>
    <cellStyle name="Output 15 2 4 3 2" xfId="22979"/>
    <cellStyle name="Output 15 2 4 4" xfId="17866"/>
    <cellStyle name="Output 15 2 4_Table 2A-1_EFT (Annual)" xfId="7649"/>
    <cellStyle name="Output 15 2 5" xfId="4117"/>
    <cellStyle name="Output 15 2 5 2" xfId="12441"/>
    <cellStyle name="Output 15 2 5 2 2" xfId="24463"/>
    <cellStyle name="Output 15 2 5 3" xfId="19350"/>
    <cellStyle name="Output 15 2 5_Table 2A-1_EFT (Annual)" xfId="7651"/>
    <cellStyle name="Output 15 2 6" xfId="9780"/>
    <cellStyle name="Output 15 2 6 2" xfId="21917"/>
    <cellStyle name="Output 15 2 7" xfId="16804"/>
    <cellStyle name="Output 15 2_Table 2A-1_EFT (Annual)" xfId="3354"/>
    <cellStyle name="Output 15 3" xfId="385"/>
    <cellStyle name="Output 15 3 2" xfId="1368"/>
    <cellStyle name="Output 15 3 2 2" xfId="2638"/>
    <cellStyle name="Output 15 3 2 2 2" xfId="6199"/>
    <cellStyle name="Output 15 3 2 2 2 2" xfId="14393"/>
    <cellStyle name="Output 15 3 2 2 2 2 2" xfId="26365"/>
    <cellStyle name="Output 15 3 2 2 2 3" xfId="21252"/>
    <cellStyle name="Output 15 3 2 2 2_Table 2A-1_EFT (Annual)" xfId="7653"/>
    <cellStyle name="Output 15 3 2 2 3" xfId="11735"/>
    <cellStyle name="Output 15 3 2 2 3 2" xfId="23819"/>
    <cellStyle name="Output 15 3 2 2 4" xfId="18706"/>
    <cellStyle name="Output 15 3 2 2_Table 2A-1_EFT (Annual)" xfId="7652"/>
    <cellStyle name="Output 15 3 2 3" xfId="1892"/>
    <cellStyle name="Output 15 3 2 3 2" xfId="5453"/>
    <cellStyle name="Output 15 3 2 3 2 2" xfId="13668"/>
    <cellStyle name="Output 15 3 2 3 2 2 2" xfId="25656"/>
    <cellStyle name="Output 15 3 2 3 2 3" xfId="20543"/>
    <cellStyle name="Output 15 3 2 3 2_Table 2A-1_EFT (Annual)" xfId="7655"/>
    <cellStyle name="Output 15 3 2 3 3" xfId="11012"/>
    <cellStyle name="Output 15 3 2 3 3 2" xfId="23110"/>
    <cellStyle name="Output 15 3 2 3 4" xfId="17997"/>
    <cellStyle name="Output 15 3 2 3_Table 2A-1_EFT (Annual)" xfId="7654"/>
    <cellStyle name="Output 15 3 2 4" xfId="4929"/>
    <cellStyle name="Output 15 3 2 4 2" xfId="13189"/>
    <cellStyle name="Output 15 3 2 4 2 2" xfId="25195"/>
    <cellStyle name="Output 15 3 2 4 3" xfId="20082"/>
    <cellStyle name="Output 15 3 2 4_Table 2A-1_EFT (Annual)" xfId="7656"/>
    <cellStyle name="Output 15 3 2 5" xfId="10533"/>
    <cellStyle name="Output 15 3 2 5 2" xfId="22649"/>
    <cellStyle name="Output 15 3 2 6" xfId="17536"/>
    <cellStyle name="Output 15 3 2_Table 2A-1_EFT (Annual)" xfId="3357"/>
    <cellStyle name="Output 15 3 3" xfId="2107"/>
    <cellStyle name="Output 15 3 3 2" xfId="5668"/>
    <cellStyle name="Output 15 3 3 2 2" xfId="13883"/>
    <cellStyle name="Output 15 3 3 2 2 2" xfId="25871"/>
    <cellStyle name="Output 15 3 3 2 3" xfId="20758"/>
    <cellStyle name="Output 15 3 3 2_Table 2A-1_EFT (Annual)" xfId="7658"/>
    <cellStyle name="Output 15 3 3 3" xfId="11227"/>
    <cellStyle name="Output 15 3 3 3 2" xfId="23325"/>
    <cellStyle name="Output 15 3 3 4" xfId="18212"/>
    <cellStyle name="Output 15 3 3_Table 2A-1_EFT (Annual)" xfId="7657"/>
    <cellStyle name="Output 15 3 4" xfId="1712"/>
    <cellStyle name="Output 15 3 4 2" xfId="5273"/>
    <cellStyle name="Output 15 3 4 2 2" xfId="13502"/>
    <cellStyle name="Output 15 3 4 2 2 2" xfId="25495"/>
    <cellStyle name="Output 15 3 4 2 3" xfId="20382"/>
    <cellStyle name="Output 15 3 4 2_Table 2A-1_EFT (Annual)" xfId="7660"/>
    <cellStyle name="Output 15 3 4 3" xfId="10846"/>
    <cellStyle name="Output 15 3 4 3 2" xfId="22949"/>
    <cellStyle name="Output 15 3 4 4" xfId="17836"/>
    <cellStyle name="Output 15 3 4_Table 2A-1_EFT (Annual)" xfId="7659"/>
    <cellStyle name="Output 15 3 5" xfId="3955"/>
    <cellStyle name="Output 15 3 5 2" xfId="12283"/>
    <cellStyle name="Output 15 3 5 2 2" xfId="24307"/>
    <cellStyle name="Output 15 3 5 3" xfId="19194"/>
    <cellStyle name="Output 15 3 5_Table 2A-1_EFT (Annual)" xfId="7661"/>
    <cellStyle name="Output 15 3 6" xfId="9620"/>
    <cellStyle name="Output 15 3 6 2" xfId="21761"/>
    <cellStyle name="Output 15 3 7" xfId="16648"/>
    <cellStyle name="Output 15 3_Table 2A-1_EFT (Annual)" xfId="3356"/>
    <cellStyle name="Output 15 4" xfId="1202"/>
    <cellStyle name="Output 15 4 2" xfId="2472"/>
    <cellStyle name="Output 15 4 2 2" xfId="6033"/>
    <cellStyle name="Output 15 4 2 2 2" xfId="14227"/>
    <cellStyle name="Output 15 4 2 2 2 2" xfId="26199"/>
    <cellStyle name="Output 15 4 2 2 3" xfId="21086"/>
    <cellStyle name="Output 15 4 2 2_Table 2A-1_EFT (Annual)" xfId="7663"/>
    <cellStyle name="Output 15 4 2 3" xfId="11569"/>
    <cellStyle name="Output 15 4 2 3 2" xfId="23653"/>
    <cellStyle name="Output 15 4 2 4" xfId="18540"/>
    <cellStyle name="Output 15 4 2_Table 2A-1_EFT (Annual)" xfId="7662"/>
    <cellStyle name="Output 15 4 3" xfId="1828"/>
    <cellStyle name="Output 15 4 3 2" xfId="5389"/>
    <cellStyle name="Output 15 4 3 2 2" xfId="13604"/>
    <cellStyle name="Output 15 4 3 2 2 2" xfId="25592"/>
    <cellStyle name="Output 15 4 3 2 3" xfId="20479"/>
    <cellStyle name="Output 15 4 3 2_Table 2A-1_EFT (Annual)" xfId="7665"/>
    <cellStyle name="Output 15 4 3 3" xfId="10948"/>
    <cellStyle name="Output 15 4 3 3 2" xfId="23046"/>
    <cellStyle name="Output 15 4 3 4" xfId="17933"/>
    <cellStyle name="Output 15 4 3_Table 2A-1_EFT (Annual)" xfId="7664"/>
    <cellStyle name="Output 15 4 4" xfId="4763"/>
    <cellStyle name="Output 15 4 4 2" xfId="13023"/>
    <cellStyle name="Output 15 4 4 2 2" xfId="25029"/>
    <cellStyle name="Output 15 4 4 3" xfId="19916"/>
    <cellStyle name="Output 15 4 4_Table 2A-1_EFT (Annual)" xfId="7666"/>
    <cellStyle name="Output 15 4 5" xfId="10367"/>
    <cellStyle name="Output 15 4 5 2" xfId="22483"/>
    <cellStyle name="Output 15 4 6" xfId="17370"/>
    <cellStyle name="Output 15 4_Table 2A-1_EFT (Annual)" xfId="3358"/>
    <cellStyle name="Output 15 5" xfId="1781"/>
    <cellStyle name="Output 15 5 2" xfId="5342"/>
    <cellStyle name="Output 15 5 2 2" xfId="13557"/>
    <cellStyle name="Output 15 5 2 2 2" xfId="25545"/>
    <cellStyle name="Output 15 5 2 3" xfId="20432"/>
    <cellStyle name="Output 15 5 2_Table 2A-1_EFT (Annual)" xfId="7668"/>
    <cellStyle name="Output 15 5 3" xfId="10901"/>
    <cellStyle name="Output 15 5 3 2" xfId="22999"/>
    <cellStyle name="Output 15 5 4" xfId="17886"/>
    <cellStyle name="Output 15 5_Table 2A-1_EFT (Annual)" xfId="7667"/>
    <cellStyle name="Output 15 6" xfId="1655"/>
    <cellStyle name="Output 15 6 2" xfId="5216"/>
    <cellStyle name="Output 15 6 2 2" xfId="13463"/>
    <cellStyle name="Output 15 6 2 2 2" xfId="25463"/>
    <cellStyle name="Output 15 6 2 3" xfId="20350"/>
    <cellStyle name="Output 15 6 2_Table 2A-1_EFT (Annual)" xfId="7670"/>
    <cellStyle name="Output 15 6 3" xfId="10808"/>
    <cellStyle name="Output 15 6 3 2" xfId="22917"/>
    <cellStyle name="Output 15 6 4" xfId="17804"/>
    <cellStyle name="Output 15 6_Table 2A-1_EFT (Annual)" xfId="7669"/>
    <cellStyle name="Output 15 7" xfId="3743"/>
    <cellStyle name="Output 15 7 2" xfId="12111"/>
    <cellStyle name="Output 15 7 2 2" xfId="24141"/>
    <cellStyle name="Output 15 7 3" xfId="19028"/>
    <cellStyle name="Output 15 7_Table 2A-1_EFT (Annual)" xfId="7671"/>
    <cellStyle name="Output 15 8" xfId="9430"/>
    <cellStyle name="Output 15 8 2" xfId="21595"/>
    <cellStyle name="Output 15 9" xfId="16482"/>
    <cellStyle name="Output 15_Table 2A-1_EFT (Annual)" xfId="3353"/>
    <cellStyle name="Output 16" xfId="164"/>
    <cellStyle name="Output 16 2" xfId="557"/>
    <cellStyle name="Output 16 2 2" xfId="1534"/>
    <cellStyle name="Output 16 2 2 2" xfId="2804"/>
    <cellStyle name="Output 16 2 2 2 2" xfId="6365"/>
    <cellStyle name="Output 16 2 2 2 2 2" xfId="14559"/>
    <cellStyle name="Output 16 2 2 2 2 2 2" xfId="26531"/>
    <cellStyle name="Output 16 2 2 2 2 3" xfId="21418"/>
    <cellStyle name="Output 16 2 2 2 2_Table 2A-1_EFT (Annual)" xfId="7673"/>
    <cellStyle name="Output 16 2 2 2 3" xfId="11901"/>
    <cellStyle name="Output 16 2 2 2 3 2" xfId="23985"/>
    <cellStyle name="Output 16 2 2 2 4" xfId="18872"/>
    <cellStyle name="Output 16 2 2 2_Table 2A-1_EFT (Annual)" xfId="7672"/>
    <cellStyle name="Output 16 2 2 3" xfId="1925"/>
    <cellStyle name="Output 16 2 2 3 2" xfId="5486"/>
    <cellStyle name="Output 16 2 2 3 2 2" xfId="13701"/>
    <cellStyle name="Output 16 2 2 3 2 2 2" xfId="25689"/>
    <cellStyle name="Output 16 2 2 3 2 3" xfId="20576"/>
    <cellStyle name="Output 16 2 2 3 2_Table 2A-1_EFT (Annual)" xfId="7675"/>
    <cellStyle name="Output 16 2 2 3 3" xfId="11045"/>
    <cellStyle name="Output 16 2 2 3 3 2" xfId="23143"/>
    <cellStyle name="Output 16 2 2 3 4" xfId="18030"/>
    <cellStyle name="Output 16 2 2 3_Table 2A-1_EFT (Annual)" xfId="7674"/>
    <cellStyle name="Output 16 2 2 4" xfId="5095"/>
    <cellStyle name="Output 16 2 2 4 2" xfId="13355"/>
    <cellStyle name="Output 16 2 2 4 2 2" xfId="25361"/>
    <cellStyle name="Output 16 2 2 4 3" xfId="20248"/>
    <cellStyle name="Output 16 2 2 4_Table 2A-1_EFT (Annual)" xfId="7676"/>
    <cellStyle name="Output 16 2 2 5" xfId="10699"/>
    <cellStyle name="Output 16 2 2 5 2" xfId="22815"/>
    <cellStyle name="Output 16 2 2 6" xfId="17702"/>
    <cellStyle name="Output 16 2 2_Table 2A-1_EFT (Annual)" xfId="3361"/>
    <cellStyle name="Output 16 2 3" xfId="2273"/>
    <cellStyle name="Output 16 2 3 2" xfId="5834"/>
    <cellStyle name="Output 16 2 3 2 2" xfId="14049"/>
    <cellStyle name="Output 16 2 3 2 2 2" xfId="26037"/>
    <cellStyle name="Output 16 2 3 2 3" xfId="20924"/>
    <cellStyle name="Output 16 2 3 2_Table 2A-1_EFT (Annual)" xfId="7678"/>
    <cellStyle name="Output 16 2 3 3" xfId="11393"/>
    <cellStyle name="Output 16 2 3 3 2" xfId="23491"/>
    <cellStyle name="Output 16 2 3 4" xfId="18378"/>
    <cellStyle name="Output 16 2 3_Table 2A-1_EFT (Annual)" xfId="7677"/>
    <cellStyle name="Output 16 2 4" xfId="1750"/>
    <cellStyle name="Output 16 2 4 2" xfId="5311"/>
    <cellStyle name="Output 16 2 4 2 2" xfId="13536"/>
    <cellStyle name="Output 16 2 4 2 2 2" xfId="25527"/>
    <cellStyle name="Output 16 2 4 2 3" xfId="20414"/>
    <cellStyle name="Output 16 2 4 2_Table 2A-1_EFT (Annual)" xfId="7680"/>
    <cellStyle name="Output 16 2 4 3" xfId="10879"/>
    <cellStyle name="Output 16 2 4 3 2" xfId="22981"/>
    <cellStyle name="Output 16 2 4 4" xfId="17868"/>
    <cellStyle name="Output 16 2 4_Table 2A-1_EFT (Annual)" xfId="7679"/>
    <cellStyle name="Output 16 2 5" xfId="4127"/>
    <cellStyle name="Output 16 2 5 2" xfId="12451"/>
    <cellStyle name="Output 16 2 5 2 2" xfId="24473"/>
    <cellStyle name="Output 16 2 5 3" xfId="19360"/>
    <cellStyle name="Output 16 2 5_Table 2A-1_EFT (Annual)" xfId="7681"/>
    <cellStyle name="Output 16 2 6" xfId="9790"/>
    <cellStyle name="Output 16 2 6 2" xfId="21927"/>
    <cellStyle name="Output 16 2 7" xfId="16814"/>
    <cellStyle name="Output 16 2_Table 2A-1_EFT (Annual)" xfId="3360"/>
    <cellStyle name="Output 16 3" xfId="395"/>
    <cellStyle name="Output 16 3 2" xfId="1378"/>
    <cellStyle name="Output 16 3 2 2" xfId="2648"/>
    <cellStyle name="Output 16 3 2 2 2" xfId="6209"/>
    <cellStyle name="Output 16 3 2 2 2 2" xfId="14403"/>
    <cellStyle name="Output 16 3 2 2 2 2 2" xfId="26375"/>
    <cellStyle name="Output 16 3 2 2 2 3" xfId="21262"/>
    <cellStyle name="Output 16 3 2 2 2_Table 2A-1_EFT (Annual)" xfId="7683"/>
    <cellStyle name="Output 16 3 2 2 3" xfId="11745"/>
    <cellStyle name="Output 16 3 2 2 3 2" xfId="23829"/>
    <cellStyle name="Output 16 3 2 2 4" xfId="18716"/>
    <cellStyle name="Output 16 3 2 2_Table 2A-1_EFT (Annual)" xfId="7682"/>
    <cellStyle name="Output 16 3 2 3" xfId="1894"/>
    <cellStyle name="Output 16 3 2 3 2" xfId="5455"/>
    <cellStyle name="Output 16 3 2 3 2 2" xfId="13670"/>
    <cellStyle name="Output 16 3 2 3 2 2 2" xfId="25658"/>
    <cellStyle name="Output 16 3 2 3 2 3" xfId="20545"/>
    <cellStyle name="Output 16 3 2 3 2_Table 2A-1_EFT (Annual)" xfId="7685"/>
    <cellStyle name="Output 16 3 2 3 3" xfId="11014"/>
    <cellStyle name="Output 16 3 2 3 3 2" xfId="23112"/>
    <cellStyle name="Output 16 3 2 3 4" xfId="17999"/>
    <cellStyle name="Output 16 3 2 3_Table 2A-1_EFT (Annual)" xfId="7684"/>
    <cellStyle name="Output 16 3 2 4" xfId="4939"/>
    <cellStyle name="Output 16 3 2 4 2" xfId="13199"/>
    <cellStyle name="Output 16 3 2 4 2 2" xfId="25205"/>
    <cellStyle name="Output 16 3 2 4 3" xfId="20092"/>
    <cellStyle name="Output 16 3 2 4_Table 2A-1_EFT (Annual)" xfId="7686"/>
    <cellStyle name="Output 16 3 2 5" xfId="10543"/>
    <cellStyle name="Output 16 3 2 5 2" xfId="22659"/>
    <cellStyle name="Output 16 3 2 6" xfId="17546"/>
    <cellStyle name="Output 16 3 2_Table 2A-1_EFT (Annual)" xfId="3363"/>
    <cellStyle name="Output 16 3 3" xfId="2117"/>
    <cellStyle name="Output 16 3 3 2" xfId="5678"/>
    <cellStyle name="Output 16 3 3 2 2" xfId="13893"/>
    <cellStyle name="Output 16 3 3 2 2 2" xfId="25881"/>
    <cellStyle name="Output 16 3 3 2 3" xfId="20768"/>
    <cellStyle name="Output 16 3 3 2_Table 2A-1_EFT (Annual)" xfId="7688"/>
    <cellStyle name="Output 16 3 3 3" xfId="11237"/>
    <cellStyle name="Output 16 3 3 3 2" xfId="23335"/>
    <cellStyle name="Output 16 3 3 4" xfId="18222"/>
    <cellStyle name="Output 16 3 3_Table 2A-1_EFT (Annual)" xfId="7687"/>
    <cellStyle name="Output 16 3 4" xfId="1714"/>
    <cellStyle name="Output 16 3 4 2" xfId="5275"/>
    <cellStyle name="Output 16 3 4 2 2" xfId="13504"/>
    <cellStyle name="Output 16 3 4 2 2 2" xfId="25497"/>
    <cellStyle name="Output 16 3 4 2 3" xfId="20384"/>
    <cellStyle name="Output 16 3 4 2_Table 2A-1_EFT (Annual)" xfId="7690"/>
    <cellStyle name="Output 16 3 4 3" xfId="10848"/>
    <cellStyle name="Output 16 3 4 3 2" xfId="22951"/>
    <cellStyle name="Output 16 3 4 4" xfId="17838"/>
    <cellStyle name="Output 16 3 4_Table 2A-1_EFT (Annual)" xfId="7689"/>
    <cellStyle name="Output 16 3 5" xfId="3965"/>
    <cellStyle name="Output 16 3 5 2" xfId="12293"/>
    <cellStyle name="Output 16 3 5 2 2" xfId="24317"/>
    <cellStyle name="Output 16 3 5 3" xfId="19204"/>
    <cellStyle name="Output 16 3 5_Table 2A-1_EFT (Annual)" xfId="7691"/>
    <cellStyle name="Output 16 3 6" xfId="9630"/>
    <cellStyle name="Output 16 3 6 2" xfId="21771"/>
    <cellStyle name="Output 16 3 7" xfId="16658"/>
    <cellStyle name="Output 16 3_Table 2A-1_EFT (Annual)" xfId="3362"/>
    <cellStyle name="Output 16 4" xfId="1212"/>
    <cellStyle name="Output 16 4 2" xfId="2482"/>
    <cellStyle name="Output 16 4 2 2" xfId="6043"/>
    <cellStyle name="Output 16 4 2 2 2" xfId="14237"/>
    <cellStyle name="Output 16 4 2 2 2 2" xfId="26209"/>
    <cellStyle name="Output 16 4 2 2 3" xfId="21096"/>
    <cellStyle name="Output 16 4 2 2_Table 2A-1_EFT (Annual)" xfId="7693"/>
    <cellStyle name="Output 16 4 2 3" xfId="11579"/>
    <cellStyle name="Output 16 4 2 3 2" xfId="23663"/>
    <cellStyle name="Output 16 4 2 4" xfId="18550"/>
    <cellStyle name="Output 16 4 2_Table 2A-1_EFT (Annual)" xfId="7692"/>
    <cellStyle name="Output 16 4 3" xfId="1830"/>
    <cellStyle name="Output 16 4 3 2" xfId="5391"/>
    <cellStyle name="Output 16 4 3 2 2" xfId="13606"/>
    <cellStyle name="Output 16 4 3 2 2 2" xfId="25594"/>
    <cellStyle name="Output 16 4 3 2 3" xfId="20481"/>
    <cellStyle name="Output 16 4 3 2_Table 2A-1_EFT (Annual)" xfId="7695"/>
    <cellStyle name="Output 16 4 3 3" xfId="10950"/>
    <cellStyle name="Output 16 4 3 3 2" xfId="23048"/>
    <cellStyle name="Output 16 4 3 4" xfId="17935"/>
    <cellStyle name="Output 16 4 3_Table 2A-1_EFT (Annual)" xfId="7694"/>
    <cellStyle name="Output 16 4 4" xfId="4773"/>
    <cellStyle name="Output 16 4 4 2" xfId="13033"/>
    <cellStyle name="Output 16 4 4 2 2" xfId="25039"/>
    <cellStyle name="Output 16 4 4 3" xfId="19926"/>
    <cellStyle name="Output 16 4 4_Table 2A-1_EFT (Annual)" xfId="7696"/>
    <cellStyle name="Output 16 4 5" xfId="10377"/>
    <cellStyle name="Output 16 4 5 2" xfId="22493"/>
    <cellStyle name="Output 16 4 6" xfId="17380"/>
    <cellStyle name="Output 16 4_Table 2A-1_EFT (Annual)" xfId="3364"/>
    <cellStyle name="Output 16 5" xfId="1951"/>
    <cellStyle name="Output 16 5 2" xfId="5512"/>
    <cellStyle name="Output 16 5 2 2" xfId="13727"/>
    <cellStyle name="Output 16 5 2 2 2" xfId="25715"/>
    <cellStyle name="Output 16 5 2 3" xfId="20602"/>
    <cellStyle name="Output 16 5 2_Table 2A-1_EFT (Annual)" xfId="7698"/>
    <cellStyle name="Output 16 5 3" xfId="11071"/>
    <cellStyle name="Output 16 5 3 2" xfId="23169"/>
    <cellStyle name="Output 16 5 4" xfId="18056"/>
    <cellStyle name="Output 16 5_Table 2A-1_EFT (Annual)" xfId="7697"/>
    <cellStyle name="Output 16 6" xfId="1657"/>
    <cellStyle name="Output 16 6 2" xfId="5218"/>
    <cellStyle name="Output 16 6 2 2" xfId="13465"/>
    <cellStyle name="Output 16 6 2 2 2" xfId="25465"/>
    <cellStyle name="Output 16 6 2 3" xfId="20352"/>
    <cellStyle name="Output 16 6 2_Table 2A-1_EFT (Annual)" xfId="7700"/>
    <cellStyle name="Output 16 6 3" xfId="10810"/>
    <cellStyle name="Output 16 6 3 2" xfId="22919"/>
    <cellStyle name="Output 16 6 4" xfId="17806"/>
    <cellStyle name="Output 16 6_Table 2A-1_EFT (Annual)" xfId="7699"/>
    <cellStyle name="Output 16 7" xfId="3753"/>
    <cellStyle name="Output 16 7 2" xfId="12121"/>
    <cellStyle name="Output 16 7 2 2" xfId="24151"/>
    <cellStyle name="Output 16 7 3" xfId="19038"/>
    <cellStyle name="Output 16 7_Table 2A-1_EFT (Annual)" xfId="7701"/>
    <cellStyle name="Output 16 8" xfId="9440"/>
    <cellStyle name="Output 16 8 2" xfId="21605"/>
    <cellStyle name="Output 16 9" xfId="16492"/>
    <cellStyle name="Output 16_Table 2A-1_EFT (Annual)" xfId="3359"/>
    <cellStyle name="Output 17" xfId="159"/>
    <cellStyle name="Output 17 2" xfId="552"/>
    <cellStyle name="Output 17 2 2" xfId="1529"/>
    <cellStyle name="Output 17 2 2 2" xfId="2799"/>
    <cellStyle name="Output 17 2 2 2 2" xfId="6360"/>
    <cellStyle name="Output 17 2 2 2 2 2" xfId="14554"/>
    <cellStyle name="Output 17 2 2 2 2 2 2" xfId="26526"/>
    <cellStyle name="Output 17 2 2 2 2 3" xfId="21413"/>
    <cellStyle name="Output 17 2 2 2 2_Table 2A-1_EFT (Annual)" xfId="7703"/>
    <cellStyle name="Output 17 2 2 2 3" xfId="11896"/>
    <cellStyle name="Output 17 2 2 2 3 2" xfId="23980"/>
    <cellStyle name="Output 17 2 2 2 4" xfId="18867"/>
    <cellStyle name="Output 17 2 2 2_Table 2A-1_EFT (Annual)" xfId="7702"/>
    <cellStyle name="Output 17 2 2 3" xfId="1924"/>
    <cellStyle name="Output 17 2 2 3 2" xfId="5485"/>
    <cellStyle name="Output 17 2 2 3 2 2" xfId="13700"/>
    <cellStyle name="Output 17 2 2 3 2 2 2" xfId="25688"/>
    <cellStyle name="Output 17 2 2 3 2 3" xfId="20575"/>
    <cellStyle name="Output 17 2 2 3 2_Table 2A-1_EFT (Annual)" xfId="7705"/>
    <cellStyle name="Output 17 2 2 3 3" xfId="11044"/>
    <cellStyle name="Output 17 2 2 3 3 2" xfId="23142"/>
    <cellStyle name="Output 17 2 2 3 4" xfId="18029"/>
    <cellStyle name="Output 17 2 2 3_Table 2A-1_EFT (Annual)" xfId="7704"/>
    <cellStyle name="Output 17 2 2 4" xfId="5090"/>
    <cellStyle name="Output 17 2 2 4 2" xfId="13350"/>
    <cellStyle name="Output 17 2 2 4 2 2" xfId="25356"/>
    <cellStyle name="Output 17 2 2 4 3" xfId="20243"/>
    <cellStyle name="Output 17 2 2 4_Table 2A-1_EFT (Annual)" xfId="7706"/>
    <cellStyle name="Output 17 2 2 5" xfId="10694"/>
    <cellStyle name="Output 17 2 2 5 2" xfId="22810"/>
    <cellStyle name="Output 17 2 2 6" xfId="17697"/>
    <cellStyle name="Output 17 2 2_Table 2A-1_EFT (Annual)" xfId="3367"/>
    <cellStyle name="Output 17 2 3" xfId="2268"/>
    <cellStyle name="Output 17 2 3 2" xfId="5829"/>
    <cellStyle name="Output 17 2 3 2 2" xfId="14044"/>
    <cellStyle name="Output 17 2 3 2 2 2" xfId="26032"/>
    <cellStyle name="Output 17 2 3 2 3" xfId="20919"/>
    <cellStyle name="Output 17 2 3 2_Table 2A-1_EFT (Annual)" xfId="7708"/>
    <cellStyle name="Output 17 2 3 3" xfId="11388"/>
    <cellStyle name="Output 17 2 3 3 2" xfId="23486"/>
    <cellStyle name="Output 17 2 3 4" xfId="18373"/>
    <cellStyle name="Output 17 2 3_Table 2A-1_EFT (Annual)" xfId="7707"/>
    <cellStyle name="Output 17 2 4" xfId="1749"/>
    <cellStyle name="Output 17 2 4 2" xfId="5310"/>
    <cellStyle name="Output 17 2 4 2 2" xfId="13535"/>
    <cellStyle name="Output 17 2 4 2 2 2" xfId="25526"/>
    <cellStyle name="Output 17 2 4 2 3" xfId="20413"/>
    <cellStyle name="Output 17 2 4 2_Table 2A-1_EFT (Annual)" xfId="7710"/>
    <cellStyle name="Output 17 2 4 3" xfId="10878"/>
    <cellStyle name="Output 17 2 4 3 2" xfId="22980"/>
    <cellStyle name="Output 17 2 4 4" xfId="17867"/>
    <cellStyle name="Output 17 2 4_Table 2A-1_EFT (Annual)" xfId="7709"/>
    <cellStyle name="Output 17 2 5" xfId="4122"/>
    <cellStyle name="Output 17 2 5 2" xfId="12446"/>
    <cellStyle name="Output 17 2 5 2 2" xfId="24468"/>
    <cellStyle name="Output 17 2 5 3" xfId="19355"/>
    <cellStyle name="Output 17 2 5_Table 2A-1_EFT (Annual)" xfId="7711"/>
    <cellStyle name="Output 17 2 6" xfId="9785"/>
    <cellStyle name="Output 17 2 6 2" xfId="21922"/>
    <cellStyle name="Output 17 2 7" xfId="16809"/>
    <cellStyle name="Output 17 2_Table 2A-1_EFT (Annual)" xfId="3366"/>
    <cellStyle name="Output 17 3" xfId="390"/>
    <cellStyle name="Output 17 3 2" xfId="1373"/>
    <cellStyle name="Output 17 3 2 2" xfId="2643"/>
    <cellStyle name="Output 17 3 2 2 2" xfId="6204"/>
    <cellStyle name="Output 17 3 2 2 2 2" xfId="14398"/>
    <cellStyle name="Output 17 3 2 2 2 2 2" xfId="26370"/>
    <cellStyle name="Output 17 3 2 2 2 3" xfId="21257"/>
    <cellStyle name="Output 17 3 2 2 2_Table 2A-1_EFT (Annual)" xfId="7713"/>
    <cellStyle name="Output 17 3 2 2 3" xfId="11740"/>
    <cellStyle name="Output 17 3 2 2 3 2" xfId="23824"/>
    <cellStyle name="Output 17 3 2 2 4" xfId="18711"/>
    <cellStyle name="Output 17 3 2 2_Table 2A-1_EFT (Annual)" xfId="7712"/>
    <cellStyle name="Output 17 3 2 3" xfId="1893"/>
    <cellStyle name="Output 17 3 2 3 2" xfId="5454"/>
    <cellStyle name="Output 17 3 2 3 2 2" xfId="13669"/>
    <cellStyle name="Output 17 3 2 3 2 2 2" xfId="25657"/>
    <cellStyle name="Output 17 3 2 3 2 3" xfId="20544"/>
    <cellStyle name="Output 17 3 2 3 2_Table 2A-1_EFT (Annual)" xfId="7715"/>
    <cellStyle name="Output 17 3 2 3 3" xfId="11013"/>
    <cellStyle name="Output 17 3 2 3 3 2" xfId="23111"/>
    <cellStyle name="Output 17 3 2 3 4" xfId="17998"/>
    <cellStyle name="Output 17 3 2 3_Table 2A-1_EFT (Annual)" xfId="7714"/>
    <cellStyle name="Output 17 3 2 4" xfId="4934"/>
    <cellStyle name="Output 17 3 2 4 2" xfId="13194"/>
    <cellStyle name="Output 17 3 2 4 2 2" xfId="25200"/>
    <cellStyle name="Output 17 3 2 4 3" xfId="20087"/>
    <cellStyle name="Output 17 3 2 4_Table 2A-1_EFT (Annual)" xfId="7716"/>
    <cellStyle name="Output 17 3 2 5" xfId="10538"/>
    <cellStyle name="Output 17 3 2 5 2" xfId="22654"/>
    <cellStyle name="Output 17 3 2 6" xfId="17541"/>
    <cellStyle name="Output 17 3 2_Table 2A-1_EFT (Annual)" xfId="3369"/>
    <cellStyle name="Output 17 3 3" xfId="2112"/>
    <cellStyle name="Output 17 3 3 2" xfId="5673"/>
    <cellStyle name="Output 17 3 3 2 2" xfId="13888"/>
    <cellStyle name="Output 17 3 3 2 2 2" xfId="25876"/>
    <cellStyle name="Output 17 3 3 2 3" xfId="20763"/>
    <cellStyle name="Output 17 3 3 2_Table 2A-1_EFT (Annual)" xfId="7718"/>
    <cellStyle name="Output 17 3 3 3" xfId="11232"/>
    <cellStyle name="Output 17 3 3 3 2" xfId="23330"/>
    <cellStyle name="Output 17 3 3 4" xfId="18217"/>
    <cellStyle name="Output 17 3 3_Table 2A-1_EFT (Annual)" xfId="7717"/>
    <cellStyle name="Output 17 3 4" xfId="1713"/>
    <cellStyle name="Output 17 3 4 2" xfId="5274"/>
    <cellStyle name="Output 17 3 4 2 2" xfId="13503"/>
    <cellStyle name="Output 17 3 4 2 2 2" xfId="25496"/>
    <cellStyle name="Output 17 3 4 2 3" xfId="20383"/>
    <cellStyle name="Output 17 3 4 2_Table 2A-1_EFT (Annual)" xfId="7720"/>
    <cellStyle name="Output 17 3 4 3" xfId="10847"/>
    <cellStyle name="Output 17 3 4 3 2" xfId="22950"/>
    <cellStyle name="Output 17 3 4 4" xfId="17837"/>
    <cellStyle name="Output 17 3 4_Table 2A-1_EFT (Annual)" xfId="7719"/>
    <cellStyle name="Output 17 3 5" xfId="3960"/>
    <cellStyle name="Output 17 3 5 2" xfId="12288"/>
    <cellStyle name="Output 17 3 5 2 2" xfId="24312"/>
    <cellStyle name="Output 17 3 5 3" xfId="19199"/>
    <cellStyle name="Output 17 3 5_Table 2A-1_EFT (Annual)" xfId="7721"/>
    <cellStyle name="Output 17 3 6" xfId="9625"/>
    <cellStyle name="Output 17 3 6 2" xfId="21766"/>
    <cellStyle name="Output 17 3 7" xfId="16653"/>
    <cellStyle name="Output 17 3_Table 2A-1_EFT (Annual)" xfId="3368"/>
    <cellStyle name="Output 17 4" xfId="1207"/>
    <cellStyle name="Output 17 4 2" xfId="2477"/>
    <cellStyle name="Output 17 4 2 2" xfId="6038"/>
    <cellStyle name="Output 17 4 2 2 2" xfId="14232"/>
    <cellStyle name="Output 17 4 2 2 2 2" xfId="26204"/>
    <cellStyle name="Output 17 4 2 2 3" xfId="21091"/>
    <cellStyle name="Output 17 4 2 2_Table 2A-1_EFT (Annual)" xfId="7723"/>
    <cellStyle name="Output 17 4 2 3" xfId="11574"/>
    <cellStyle name="Output 17 4 2 3 2" xfId="23658"/>
    <cellStyle name="Output 17 4 2 4" xfId="18545"/>
    <cellStyle name="Output 17 4 2_Table 2A-1_EFT (Annual)" xfId="7722"/>
    <cellStyle name="Output 17 4 3" xfId="1829"/>
    <cellStyle name="Output 17 4 3 2" xfId="5390"/>
    <cellStyle name="Output 17 4 3 2 2" xfId="13605"/>
    <cellStyle name="Output 17 4 3 2 2 2" xfId="25593"/>
    <cellStyle name="Output 17 4 3 2 3" xfId="20480"/>
    <cellStyle name="Output 17 4 3 2_Table 2A-1_EFT (Annual)" xfId="7725"/>
    <cellStyle name="Output 17 4 3 3" xfId="10949"/>
    <cellStyle name="Output 17 4 3 3 2" xfId="23047"/>
    <cellStyle name="Output 17 4 3 4" xfId="17934"/>
    <cellStyle name="Output 17 4 3_Table 2A-1_EFT (Annual)" xfId="7724"/>
    <cellStyle name="Output 17 4 4" xfId="4768"/>
    <cellStyle name="Output 17 4 4 2" xfId="13028"/>
    <cellStyle name="Output 17 4 4 2 2" xfId="25034"/>
    <cellStyle name="Output 17 4 4 3" xfId="19921"/>
    <cellStyle name="Output 17 4 4_Table 2A-1_EFT (Annual)" xfId="7726"/>
    <cellStyle name="Output 17 4 5" xfId="10372"/>
    <cellStyle name="Output 17 4 5 2" xfId="22488"/>
    <cellStyle name="Output 17 4 6" xfId="17375"/>
    <cellStyle name="Output 17 4_Table 2A-1_EFT (Annual)" xfId="3370"/>
    <cellStyle name="Output 17 5" xfId="1946"/>
    <cellStyle name="Output 17 5 2" xfId="5507"/>
    <cellStyle name="Output 17 5 2 2" xfId="13722"/>
    <cellStyle name="Output 17 5 2 2 2" xfId="25710"/>
    <cellStyle name="Output 17 5 2 3" xfId="20597"/>
    <cellStyle name="Output 17 5 2_Table 2A-1_EFT (Annual)" xfId="7728"/>
    <cellStyle name="Output 17 5 3" xfId="11066"/>
    <cellStyle name="Output 17 5 3 2" xfId="23164"/>
    <cellStyle name="Output 17 5 4" xfId="18051"/>
    <cellStyle name="Output 17 5_Table 2A-1_EFT (Annual)" xfId="7727"/>
    <cellStyle name="Output 17 6" xfId="1656"/>
    <cellStyle name="Output 17 6 2" xfId="5217"/>
    <cellStyle name="Output 17 6 2 2" xfId="13464"/>
    <cellStyle name="Output 17 6 2 2 2" xfId="25464"/>
    <cellStyle name="Output 17 6 2 3" xfId="20351"/>
    <cellStyle name="Output 17 6 2_Table 2A-1_EFT (Annual)" xfId="7730"/>
    <cellStyle name="Output 17 6 3" xfId="10809"/>
    <cellStyle name="Output 17 6 3 2" xfId="22918"/>
    <cellStyle name="Output 17 6 4" xfId="17805"/>
    <cellStyle name="Output 17 6_Table 2A-1_EFT (Annual)" xfId="7729"/>
    <cellStyle name="Output 17 7" xfId="3748"/>
    <cellStyle name="Output 17 7 2" xfId="12116"/>
    <cellStyle name="Output 17 7 2 2" xfId="24146"/>
    <cellStyle name="Output 17 7 3" xfId="19033"/>
    <cellStyle name="Output 17 7_Table 2A-1_EFT (Annual)" xfId="7731"/>
    <cellStyle name="Output 17 8" xfId="9435"/>
    <cellStyle name="Output 17 8 2" xfId="21600"/>
    <cellStyle name="Output 17 9" xfId="16487"/>
    <cellStyle name="Output 17_Table 2A-1_EFT (Annual)" xfId="3365"/>
    <cellStyle name="Output 18" xfId="174"/>
    <cellStyle name="Output 18 2" xfId="567"/>
    <cellStyle name="Output 18 2 2" xfId="1544"/>
    <cellStyle name="Output 18 2 2 2" xfId="2814"/>
    <cellStyle name="Output 18 2 2 2 2" xfId="6375"/>
    <cellStyle name="Output 18 2 2 2 2 2" xfId="14569"/>
    <cellStyle name="Output 18 2 2 2 2 2 2" xfId="26541"/>
    <cellStyle name="Output 18 2 2 2 2 3" xfId="21428"/>
    <cellStyle name="Output 18 2 2 2 2_Table 2A-1_EFT (Annual)" xfId="7733"/>
    <cellStyle name="Output 18 2 2 2 3" xfId="11911"/>
    <cellStyle name="Output 18 2 2 2 3 2" xfId="23995"/>
    <cellStyle name="Output 18 2 2 2 4" xfId="18882"/>
    <cellStyle name="Output 18 2 2 2_Table 2A-1_EFT (Annual)" xfId="7732"/>
    <cellStyle name="Output 18 2 2 3" xfId="1927"/>
    <cellStyle name="Output 18 2 2 3 2" xfId="5488"/>
    <cellStyle name="Output 18 2 2 3 2 2" xfId="13703"/>
    <cellStyle name="Output 18 2 2 3 2 2 2" xfId="25691"/>
    <cellStyle name="Output 18 2 2 3 2 3" xfId="20578"/>
    <cellStyle name="Output 18 2 2 3 2_Table 2A-1_EFT (Annual)" xfId="7735"/>
    <cellStyle name="Output 18 2 2 3 3" xfId="11047"/>
    <cellStyle name="Output 18 2 2 3 3 2" xfId="23145"/>
    <cellStyle name="Output 18 2 2 3 4" xfId="18032"/>
    <cellStyle name="Output 18 2 2 3_Table 2A-1_EFT (Annual)" xfId="7734"/>
    <cellStyle name="Output 18 2 2 4" xfId="5105"/>
    <cellStyle name="Output 18 2 2 4 2" xfId="13365"/>
    <cellStyle name="Output 18 2 2 4 2 2" xfId="25371"/>
    <cellStyle name="Output 18 2 2 4 3" xfId="20258"/>
    <cellStyle name="Output 18 2 2 4_Table 2A-1_EFT (Annual)" xfId="7736"/>
    <cellStyle name="Output 18 2 2 5" xfId="10709"/>
    <cellStyle name="Output 18 2 2 5 2" xfId="22825"/>
    <cellStyle name="Output 18 2 2 6" xfId="17712"/>
    <cellStyle name="Output 18 2 2_Table 2A-1_EFT (Annual)" xfId="3373"/>
    <cellStyle name="Output 18 2 3" xfId="2283"/>
    <cellStyle name="Output 18 2 3 2" xfId="5844"/>
    <cellStyle name="Output 18 2 3 2 2" xfId="14059"/>
    <cellStyle name="Output 18 2 3 2 2 2" xfId="26047"/>
    <cellStyle name="Output 18 2 3 2 3" xfId="20934"/>
    <cellStyle name="Output 18 2 3 2_Table 2A-1_EFT (Annual)" xfId="7738"/>
    <cellStyle name="Output 18 2 3 3" xfId="11403"/>
    <cellStyle name="Output 18 2 3 3 2" xfId="23501"/>
    <cellStyle name="Output 18 2 3 4" xfId="18388"/>
    <cellStyle name="Output 18 2 3_Table 2A-1_EFT (Annual)" xfId="7737"/>
    <cellStyle name="Output 18 2 4" xfId="1752"/>
    <cellStyle name="Output 18 2 4 2" xfId="5313"/>
    <cellStyle name="Output 18 2 4 2 2" xfId="13538"/>
    <cellStyle name="Output 18 2 4 2 2 2" xfId="25529"/>
    <cellStyle name="Output 18 2 4 2 3" xfId="20416"/>
    <cellStyle name="Output 18 2 4 2_Table 2A-1_EFT (Annual)" xfId="7740"/>
    <cellStyle name="Output 18 2 4 3" xfId="10881"/>
    <cellStyle name="Output 18 2 4 3 2" xfId="22983"/>
    <cellStyle name="Output 18 2 4 4" xfId="17870"/>
    <cellStyle name="Output 18 2 4_Table 2A-1_EFT (Annual)" xfId="7739"/>
    <cellStyle name="Output 18 2 5" xfId="4137"/>
    <cellStyle name="Output 18 2 5 2" xfId="12461"/>
    <cellStyle name="Output 18 2 5 2 2" xfId="24483"/>
    <cellStyle name="Output 18 2 5 3" xfId="19370"/>
    <cellStyle name="Output 18 2 5_Table 2A-1_EFT (Annual)" xfId="7741"/>
    <cellStyle name="Output 18 2 6" xfId="9800"/>
    <cellStyle name="Output 18 2 6 2" xfId="21937"/>
    <cellStyle name="Output 18 2 7" xfId="16824"/>
    <cellStyle name="Output 18 2_Table 2A-1_EFT (Annual)" xfId="3372"/>
    <cellStyle name="Output 18 3" xfId="405"/>
    <cellStyle name="Output 18 3 2" xfId="1388"/>
    <cellStyle name="Output 18 3 2 2" xfId="2658"/>
    <cellStyle name="Output 18 3 2 2 2" xfId="6219"/>
    <cellStyle name="Output 18 3 2 2 2 2" xfId="14413"/>
    <cellStyle name="Output 18 3 2 2 2 2 2" xfId="26385"/>
    <cellStyle name="Output 18 3 2 2 2 3" xfId="21272"/>
    <cellStyle name="Output 18 3 2 2 2_Table 2A-1_EFT (Annual)" xfId="7743"/>
    <cellStyle name="Output 18 3 2 2 3" xfId="11755"/>
    <cellStyle name="Output 18 3 2 2 3 2" xfId="23839"/>
    <cellStyle name="Output 18 3 2 2 4" xfId="18726"/>
    <cellStyle name="Output 18 3 2 2_Table 2A-1_EFT (Annual)" xfId="7742"/>
    <cellStyle name="Output 18 3 2 3" xfId="1896"/>
    <cellStyle name="Output 18 3 2 3 2" xfId="5457"/>
    <cellStyle name="Output 18 3 2 3 2 2" xfId="13672"/>
    <cellStyle name="Output 18 3 2 3 2 2 2" xfId="25660"/>
    <cellStyle name="Output 18 3 2 3 2 3" xfId="20547"/>
    <cellStyle name="Output 18 3 2 3 2_Table 2A-1_EFT (Annual)" xfId="7745"/>
    <cellStyle name="Output 18 3 2 3 3" xfId="11016"/>
    <cellStyle name="Output 18 3 2 3 3 2" xfId="23114"/>
    <cellStyle name="Output 18 3 2 3 4" xfId="18001"/>
    <cellStyle name="Output 18 3 2 3_Table 2A-1_EFT (Annual)" xfId="7744"/>
    <cellStyle name="Output 18 3 2 4" xfId="4949"/>
    <cellStyle name="Output 18 3 2 4 2" xfId="13209"/>
    <cellStyle name="Output 18 3 2 4 2 2" xfId="25215"/>
    <cellStyle name="Output 18 3 2 4 3" xfId="20102"/>
    <cellStyle name="Output 18 3 2 4_Table 2A-1_EFT (Annual)" xfId="7746"/>
    <cellStyle name="Output 18 3 2 5" xfId="10553"/>
    <cellStyle name="Output 18 3 2 5 2" xfId="22669"/>
    <cellStyle name="Output 18 3 2 6" xfId="17556"/>
    <cellStyle name="Output 18 3 2_Table 2A-1_EFT (Annual)" xfId="3375"/>
    <cellStyle name="Output 18 3 3" xfId="2127"/>
    <cellStyle name="Output 18 3 3 2" xfId="5688"/>
    <cellStyle name="Output 18 3 3 2 2" xfId="13903"/>
    <cellStyle name="Output 18 3 3 2 2 2" xfId="25891"/>
    <cellStyle name="Output 18 3 3 2 3" xfId="20778"/>
    <cellStyle name="Output 18 3 3 2_Table 2A-1_EFT (Annual)" xfId="7748"/>
    <cellStyle name="Output 18 3 3 3" xfId="11247"/>
    <cellStyle name="Output 18 3 3 3 2" xfId="23345"/>
    <cellStyle name="Output 18 3 3 4" xfId="18232"/>
    <cellStyle name="Output 18 3 3_Table 2A-1_EFT (Annual)" xfId="7747"/>
    <cellStyle name="Output 18 3 4" xfId="1716"/>
    <cellStyle name="Output 18 3 4 2" xfId="5277"/>
    <cellStyle name="Output 18 3 4 2 2" xfId="13506"/>
    <cellStyle name="Output 18 3 4 2 2 2" xfId="25499"/>
    <cellStyle name="Output 18 3 4 2 3" xfId="20386"/>
    <cellStyle name="Output 18 3 4 2_Table 2A-1_EFT (Annual)" xfId="7750"/>
    <cellStyle name="Output 18 3 4 3" xfId="10850"/>
    <cellStyle name="Output 18 3 4 3 2" xfId="22953"/>
    <cellStyle name="Output 18 3 4 4" xfId="17840"/>
    <cellStyle name="Output 18 3 4_Table 2A-1_EFT (Annual)" xfId="7749"/>
    <cellStyle name="Output 18 3 5" xfId="3975"/>
    <cellStyle name="Output 18 3 5 2" xfId="12303"/>
    <cellStyle name="Output 18 3 5 2 2" xfId="24327"/>
    <cellStyle name="Output 18 3 5 3" xfId="19214"/>
    <cellStyle name="Output 18 3 5_Table 2A-1_EFT (Annual)" xfId="7751"/>
    <cellStyle name="Output 18 3 6" xfId="9640"/>
    <cellStyle name="Output 18 3 6 2" xfId="21781"/>
    <cellStyle name="Output 18 3 7" xfId="16668"/>
    <cellStyle name="Output 18 3_Table 2A-1_EFT (Annual)" xfId="3374"/>
    <cellStyle name="Output 18 4" xfId="1222"/>
    <cellStyle name="Output 18 4 2" xfId="2492"/>
    <cellStyle name="Output 18 4 2 2" xfId="6053"/>
    <cellStyle name="Output 18 4 2 2 2" xfId="14247"/>
    <cellStyle name="Output 18 4 2 2 2 2" xfId="26219"/>
    <cellStyle name="Output 18 4 2 2 3" xfId="21106"/>
    <cellStyle name="Output 18 4 2 2_Table 2A-1_EFT (Annual)" xfId="7753"/>
    <cellStyle name="Output 18 4 2 3" xfId="11589"/>
    <cellStyle name="Output 18 4 2 3 2" xfId="23673"/>
    <cellStyle name="Output 18 4 2 4" xfId="18560"/>
    <cellStyle name="Output 18 4 2_Table 2A-1_EFT (Annual)" xfId="7752"/>
    <cellStyle name="Output 18 4 3" xfId="1832"/>
    <cellStyle name="Output 18 4 3 2" xfId="5393"/>
    <cellStyle name="Output 18 4 3 2 2" xfId="13608"/>
    <cellStyle name="Output 18 4 3 2 2 2" xfId="25596"/>
    <cellStyle name="Output 18 4 3 2 3" xfId="20483"/>
    <cellStyle name="Output 18 4 3 2_Table 2A-1_EFT (Annual)" xfId="7755"/>
    <cellStyle name="Output 18 4 3 3" xfId="10952"/>
    <cellStyle name="Output 18 4 3 3 2" xfId="23050"/>
    <cellStyle name="Output 18 4 3 4" xfId="17937"/>
    <cellStyle name="Output 18 4 3_Table 2A-1_EFT (Annual)" xfId="7754"/>
    <cellStyle name="Output 18 4 4" xfId="4783"/>
    <cellStyle name="Output 18 4 4 2" xfId="13043"/>
    <cellStyle name="Output 18 4 4 2 2" xfId="25049"/>
    <cellStyle name="Output 18 4 4 3" xfId="19936"/>
    <cellStyle name="Output 18 4 4_Table 2A-1_EFT (Annual)" xfId="7756"/>
    <cellStyle name="Output 18 4 5" xfId="10387"/>
    <cellStyle name="Output 18 4 5 2" xfId="22503"/>
    <cellStyle name="Output 18 4 6" xfId="17390"/>
    <cellStyle name="Output 18 4_Table 2A-1_EFT (Annual)" xfId="3376"/>
    <cellStyle name="Output 18 5" xfId="1961"/>
    <cellStyle name="Output 18 5 2" xfId="5522"/>
    <cellStyle name="Output 18 5 2 2" xfId="13737"/>
    <cellStyle name="Output 18 5 2 2 2" xfId="25725"/>
    <cellStyle name="Output 18 5 2 3" xfId="20612"/>
    <cellStyle name="Output 18 5 2_Table 2A-1_EFT (Annual)" xfId="7758"/>
    <cellStyle name="Output 18 5 3" xfId="11081"/>
    <cellStyle name="Output 18 5 3 2" xfId="23179"/>
    <cellStyle name="Output 18 5 4" xfId="18066"/>
    <cellStyle name="Output 18 5_Table 2A-1_EFT (Annual)" xfId="7757"/>
    <cellStyle name="Output 18 6" xfId="1659"/>
    <cellStyle name="Output 18 6 2" xfId="5220"/>
    <cellStyle name="Output 18 6 2 2" xfId="13467"/>
    <cellStyle name="Output 18 6 2 2 2" xfId="25467"/>
    <cellStyle name="Output 18 6 2 3" xfId="20354"/>
    <cellStyle name="Output 18 6 2_Table 2A-1_EFT (Annual)" xfId="7760"/>
    <cellStyle name="Output 18 6 3" xfId="10812"/>
    <cellStyle name="Output 18 6 3 2" xfId="22921"/>
    <cellStyle name="Output 18 6 4" xfId="17808"/>
    <cellStyle name="Output 18 6_Table 2A-1_EFT (Annual)" xfId="7759"/>
    <cellStyle name="Output 18 7" xfId="3763"/>
    <cellStyle name="Output 18 7 2" xfId="12131"/>
    <cellStyle name="Output 18 7 2 2" xfId="24161"/>
    <cellStyle name="Output 18 7 3" xfId="19048"/>
    <cellStyle name="Output 18 7_Table 2A-1_EFT (Annual)" xfId="7761"/>
    <cellStyle name="Output 18 8" xfId="9450"/>
    <cellStyle name="Output 18 8 2" xfId="21615"/>
    <cellStyle name="Output 18 9" xfId="16502"/>
    <cellStyle name="Output 18_Table 2A-1_EFT (Annual)" xfId="3371"/>
    <cellStyle name="Output 19" xfId="167"/>
    <cellStyle name="Output 19 2" xfId="560"/>
    <cellStyle name="Output 19 2 2" xfId="1537"/>
    <cellStyle name="Output 19 2 2 2" xfId="2807"/>
    <cellStyle name="Output 19 2 2 2 2" xfId="6368"/>
    <cellStyle name="Output 19 2 2 2 2 2" xfId="14562"/>
    <cellStyle name="Output 19 2 2 2 2 2 2" xfId="26534"/>
    <cellStyle name="Output 19 2 2 2 2 3" xfId="21421"/>
    <cellStyle name="Output 19 2 2 2 2_Table 2A-1_EFT (Annual)" xfId="7763"/>
    <cellStyle name="Output 19 2 2 2 3" xfId="11904"/>
    <cellStyle name="Output 19 2 2 2 3 2" xfId="23988"/>
    <cellStyle name="Output 19 2 2 2 4" xfId="18875"/>
    <cellStyle name="Output 19 2 2 2_Table 2A-1_EFT (Annual)" xfId="7762"/>
    <cellStyle name="Output 19 2 2 3" xfId="1926"/>
    <cellStyle name="Output 19 2 2 3 2" xfId="5487"/>
    <cellStyle name="Output 19 2 2 3 2 2" xfId="13702"/>
    <cellStyle name="Output 19 2 2 3 2 2 2" xfId="25690"/>
    <cellStyle name="Output 19 2 2 3 2 3" xfId="20577"/>
    <cellStyle name="Output 19 2 2 3 2_Table 2A-1_EFT (Annual)" xfId="7765"/>
    <cellStyle name="Output 19 2 2 3 3" xfId="11046"/>
    <cellStyle name="Output 19 2 2 3 3 2" xfId="23144"/>
    <cellStyle name="Output 19 2 2 3 4" xfId="18031"/>
    <cellStyle name="Output 19 2 2 3_Table 2A-1_EFT (Annual)" xfId="7764"/>
    <cellStyle name="Output 19 2 2 4" xfId="5098"/>
    <cellStyle name="Output 19 2 2 4 2" xfId="13358"/>
    <cellStyle name="Output 19 2 2 4 2 2" xfId="25364"/>
    <cellStyle name="Output 19 2 2 4 3" xfId="20251"/>
    <cellStyle name="Output 19 2 2 4_Table 2A-1_EFT (Annual)" xfId="7766"/>
    <cellStyle name="Output 19 2 2 5" xfId="10702"/>
    <cellStyle name="Output 19 2 2 5 2" xfId="22818"/>
    <cellStyle name="Output 19 2 2 6" xfId="17705"/>
    <cellStyle name="Output 19 2 2_Table 2A-1_EFT (Annual)" xfId="3379"/>
    <cellStyle name="Output 19 2 3" xfId="2276"/>
    <cellStyle name="Output 19 2 3 2" xfId="5837"/>
    <cellStyle name="Output 19 2 3 2 2" xfId="14052"/>
    <cellStyle name="Output 19 2 3 2 2 2" xfId="26040"/>
    <cellStyle name="Output 19 2 3 2 3" xfId="20927"/>
    <cellStyle name="Output 19 2 3 2_Table 2A-1_EFT (Annual)" xfId="7768"/>
    <cellStyle name="Output 19 2 3 3" xfId="11396"/>
    <cellStyle name="Output 19 2 3 3 2" xfId="23494"/>
    <cellStyle name="Output 19 2 3 4" xfId="18381"/>
    <cellStyle name="Output 19 2 3_Table 2A-1_EFT (Annual)" xfId="7767"/>
    <cellStyle name="Output 19 2 4" xfId="1751"/>
    <cellStyle name="Output 19 2 4 2" xfId="5312"/>
    <cellStyle name="Output 19 2 4 2 2" xfId="13537"/>
    <cellStyle name="Output 19 2 4 2 2 2" xfId="25528"/>
    <cellStyle name="Output 19 2 4 2 3" xfId="20415"/>
    <cellStyle name="Output 19 2 4 2_Table 2A-1_EFT (Annual)" xfId="7770"/>
    <cellStyle name="Output 19 2 4 3" xfId="10880"/>
    <cellStyle name="Output 19 2 4 3 2" xfId="22982"/>
    <cellStyle name="Output 19 2 4 4" xfId="17869"/>
    <cellStyle name="Output 19 2 4_Table 2A-1_EFT (Annual)" xfId="7769"/>
    <cellStyle name="Output 19 2 5" xfId="4130"/>
    <cellStyle name="Output 19 2 5 2" xfId="12454"/>
    <cellStyle name="Output 19 2 5 2 2" xfId="24476"/>
    <cellStyle name="Output 19 2 5 3" xfId="19363"/>
    <cellStyle name="Output 19 2 5_Table 2A-1_EFT (Annual)" xfId="7771"/>
    <cellStyle name="Output 19 2 6" xfId="9793"/>
    <cellStyle name="Output 19 2 6 2" xfId="21930"/>
    <cellStyle name="Output 19 2 7" xfId="16817"/>
    <cellStyle name="Output 19 2_Table 2A-1_EFT (Annual)" xfId="3378"/>
    <cellStyle name="Output 19 3" xfId="398"/>
    <cellStyle name="Output 19 3 2" xfId="1381"/>
    <cellStyle name="Output 19 3 2 2" xfId="2651"/>
    <cellStyle name="Output 19 3 2 2 2" xfId="6212"/>
    <cellStyle name="Output 19 3 2 2 2 2" xfId="14406"/>
    <cellStyle name="Output 19 3 2 2 2 2 2" xfId="26378"/>
    <cellStyle name="Output 19 3 2 2 2 3" xfId="21265"/>
    <cellStyle name="Output 19 3 2 2 2_Table 2A-1_EFT (Annual)" xfId="7773"/>
    <cellStyle name="Output 19 3 2 2 3" xfId="11748"/>
    <cellStyle name="Output 19 3 2 2 3 2" xfId="23832"/>
    <cellStyle name="Output 19 3 2 2 4" xfId="18719"/>
    <cellStyle name="Output 19 3 2 2_Table 2A-1_EFT (Annual)" xfId="7772"/>
    <cellStyle name="Output 19 3 2 3" xfId="1895"/>
    <cellStyle name="Output 19 3 2 3 2" xfId="5456"/>
    <cellStyle name="Output 19 3 2 3 2 2" xfId="13671"/>
    <cellStyle name="Output 19 3 2 3 2 2 2" xfId="25659"/>
    <cellStyle name="Output 19 3 2 3 2 3" xfId="20546"/>
    <cellStyle name="Output 19 3 2 3 2_Table 2A-1_EFT (Annual)" xfId="7775"/>
    <cellStyle name="Output 19 3 2 3 3" xfId="11015"/>
    <cellStyle name="Output 19 3 2 3 3 2" xfId="23113"/>
    <cellStyle name="Output 19 3 2 3 4" xfId="18000"/>
    <cellStyle name="Output 19 3 2 3_Table 2A-1_EFT (Annual)" xfId="7774"/>
    <cellStyle name="Output 19 3 2 4" xfId="4942"/>
    <cellStyle name="Output 19 3 2 4 2" xfId="13202"/>
    <cellStyle name="Output 19 3 2 4 2 2" xfId="25208"/>
    <cellStyle name="Output 19 3 2 4 3" xfId="20095"/>
    <cellStyle name="Output 19 3 2 4_Table 2A-1_EFT (Annual)" xfId="7776"/>
    <cellStyle name="Output 19 3 2 5" xfId="10546"/>
    <cellStyle name="Output 19 3 2 5 2" xfId="22662"/>
    <cellStyle name="Output 19 3 2 6" xfId="17549"/>
    <cellStyle name="Output 19 3 2_Table 2A-1_EFT (Annual)" xfId="3381"/>
    <cellStyle name="Output 19 3 3" xfId="2120"/>
    <cellStyle name="Output 19 3 3 2" xfId="5681"/>
    <cellStyle name="Output 19 3 3 2 2" xfId="13896"/>
    <cellStyle name="Output 19 3 3 2 2 2" xfId="25884"/>
    <cellStyle name="Output 19 3 3 2 3" xfId="20771"/>
    <cellStyle name="Output 19 3 3 2_Table 2A-1_EFT (Annual)" xfId="7778"/>
    <cellStyle name="Output 19 3 3 3" xfId="11240"/>
    <cellStyle name="Output 19 3 3 3 2" xfId="23338"/>
    <cellStyle name="Output 19 3 3 4" xfId="18225"/>
    <cellStyle name="Output 19 3 3_Table 2A-1_EFT (Annual)" xfId="7777"/>
    <cellStyle name="Output 19 3 4" xfId="1715"/>
    <cellStyle name="Output 19 3 4 2" xfId="5276"/>
    <cellStyle name="Output 19 3 4 2 2" xfId="13505"/>
    <cellStyle name="Output 19 3 4 2 2 2" xfId="25498"/>
    <cellStyle name="Output 19 3 4 2 3" xfId="20385"/>
    <cellStyle name="Output 19 3 4 2_Table 2A-1_EFT (Annual)" xfId="7780"/>
    <cellStyle name="Output 19 3 4 3" xfId="10849"/>
    <cellStyle name="Output 19 3 4 3 2" xfId="22952"/>
    <cellStyle name="Output 19 3 4 4" xfId="17839"/>
    <cellStyle name="Output 19 3 4_Table 2A-1_EFT (Annual)" xfId="7779"/>
    <cellStyle name="Output 19 3 5" xfId="3968"/>
    <cellStyle name="Output 19 3 5 2" xfId="12296"/>
    <cellStyle name="Output 19 3 5 2 2" xfId="24320"/>
    <cellStyle name="Output 19 3 5 3" xfId="19207"/>
    <cellStyle name="Output 19 3 5_Table 2A-1_EFT (Annual)" xfId="7781"/>
    <cellStyle name="Output 19 3 6" xfId="9633"/>
    <cellStyle name="Output 19 3 6 2" xfId="21774"/>
    <cellStyle name="Output 19 3 7" xfId="16661"/>
    <cellStyle name="Output 19 3_Table 2A-1_EFT (Annual)" xfId="3380"/>
    <cellStyle name="Output 19 4" xfId="1215"/>
    <cellStyle name="Output 19 4 2" xfId="2485"/>
    <cellStyle name="Output 19 4 2 2" xfId="6046"/>
    <cellStyle name="Output 19 4 2 2 2" xfId="14240"/>
    <cellStyle name="Output 19 4 2 2 2 2" xfId="26212"/>
    <cellStyle name="Output 19 4 2 2 3" xfId="21099"/>
    <cellStyle name="Output 19 4 2 2_Table 2A-1_EFT (Annual)" xfId="7783"/>
    <cellStyle name="Output 19 4 2 3" xfId="11582"/>
    <cellStyle name="Output 19 4 2 3 2" xfId="23666"/>
    <cellStyle name="Output 19 4 2 4" xfId="18553"/>
    <cellStyle name="Output 19 4 2_Table 2A-1_EFT (Annual)" xfId="7782"/>
    <cellStyle name="Output 19 4 3" xfId="1831"/>
    <cellStyle name="Output 19 4 3 2" xfId="5392"/>
    <cellStyle name="Output 19 4 3 2 2" xfId="13607"/>
    <cellStyle name="Output 19 4 3 2 2 2" xfId="25595"/>
    <cellStyle name="Output 19 4 3 2 3" xfId="20482"/>
    <cellStyle name="Output 19 4 3 2_Table 2A-1_EFT (Annual)" xfId="7785"/>
    <cellStyle name="Output 19 4 3 3" xfId="10951"/>
    <cellStyle name="Output 19 4 3 3 2" xfId="23049"/>
    <cellStyle name="Output 19 4 3 4" xfId="17936"/>
    <cellStyle name="Output 19 4 3_Table 2A-1_EFT (Annual)" xfId="7784"/>
    <cellStyle name="Output 19 4 4" xfId="4776"/>
    <cellStyle name="Output 19 4 4 2" xfId="13036"/>
    <cellStyle name="Output 19 4 4 2 2" xfId="25042"/>
    <cellStyle name="Output 19 4 4 3" xfId="19929"/>
    <cellStyle name="Output 19 4 4_Table 2A-1_EFT (Annual)" xfId="7786"/>
    <cellStyle name="Output 19 4 5" xfId="10380"/>
    <cellStyle name="Output 19 4 5 2" xfId="22496"/>
    <cellStyle name="Output 19 4 6" xfId="17383"/>
    <cellStyle name="Output 19 4_Table 2A-1_EFT (Annual)" xfId="3382"/>
    <cellStyle name="Output 19 5" xfId="1954"/>
    <cellStyle name="Output 19 5 2" xfId="5515"/>
    <cellStyle name="Output 19 5 2 2" xfId="13730"/>
    <cellStyle name="Output 19 5 2 2 2" xfId="25718"/>
    <cellStyle name="Output 19 5 2 3" xfId="20605"/>
    <cellStyle name="Output 19 5 2_Table 2A-1_EFT (Annual)" xfId="7788"/>
    <cellStyle name="Output 19 5 3" xfId="11074"/>
    <cellStyle name="Output 19 5 3 2" xfId="23172"/>
    <cellStyle name="Output 19 5 4" xfId="18059"/>
    <cellStyle name="Output 19 5_Table 2A-1_EFT (Annual)" xfId="7787"/>
    <cellStyle name="Output 19 6" xfId="1658"/>
    <cellStyle name="Output 19 6 2" xfId="5219"/>
    <cellStyle name="Output 19 6 2 2" xfId="13466"/>
    <cellStyle name="Output 19 6 2 2 2" xfId="25466"/>
    <cellStyle name="Output 19 6 2 3" xfId="20353"/>
    <cellStyle name="Output 19 6 2_Table 2A-1_EFT (Annual)" xfId="7790"/>
    <cellStyle name="Output 19 6 3" xfId="10811"/>
    <cellStyle name="Output 19 6 3 2" xfId="22920"/>
    <cellStyle name="Output 19 6 4" xfId="17807"/>
    <cellStyle name="Output 19 6_Table 2A-1_EFT (Annual)" xfId="7789"/>
    <cellStyle name="Output 19 7" xfId="3756"/>
    <cellStyle name="Output 19 7 2" xfId="12124"/>
    <cellStyle name="Output 19 7 2 2" xfId="24154"/>
    <cellStyle name="Output 19 7 3" xfId="19041"/>
    <cellStyle name="Output 19 7_Table 2A-1_EFT (Annual)" xfId="7791"/>
    <cellStyle name="Output 19 8" xfId="9443"/>
    <cellStyle name="Output 19 8 2" xfId="21608"/>
    <cellStyle name="Output 19 9" xfId="16495"/>
    <cellStyle name="Output 19_Table 2A-1_EFT (Annual)" xfId="3377"/>
    <cellStyle name="Output 2" xfId="102"/>
    <cellStyle name="Output 2 10" xfId="21515"/>
    <cellStyle name="Output 2 2" xfId="500"/>
    <cellStyle name="Output 2 2 2" xfId="1477"/>
    <cellStyle name="Output 2 2 2 2" xfId="2747"/>
    <cellStyle name="Output 2 2 2 2 2" xfId="6308"/>
    <cellStyle name="Output 2 2 2 2 2 2" xfId="14502"/>
    <cellStyle name="Output 2 2 2 2 2 2 2" xfId="26474"/>
    <cellStyle name="Output 2 2 2 2 2 3" xfId="21361"/>
    <cellStyle name="Output 2 2 2 2 2_Table 2A-1_EFT (Annual)" xfId="7793"/>
    <cellStyle name="Output 2 2 2 2 3" xfId="11844"/>
    <cellStyle name="Output 2 2 2 2 3 2" xfId="23928"/>
    <cellStyle name="Output 2 2 2 2 4" xfId="18815"/>
    <cellStyle name="Output 2 2 2 2_Table 2A-1_EFT (Annual)" xfId="7792"/>
    <cellStyle name="Output 2 2 2 3" xfId="1915"/>
    <cellStyle name="Output 2 2 2 3 2" xfId="5476"/>
    <cellStyle name="Output 2 2 2 3 2 2" xfId="13691"/>
    <cellStyle name="Output 2 2 2 3 2 2 2" xfId="25679"/>
    <cellStyle name="Output 2 2 2 3 2 3" xfId="20566"/>
    <cellStyle name="Output 2 2 2 3 2_Table 2A-1_EFT (Annual)" xfId="7795"/>
    <cellStyle name="Output 2 2 2 3 3" xfId="11035"/>
    <cellStyle name="Output 2 2 2 3 3 2" xfId="23133"/>
    <cellStyle name="Output 2 2 2 3 4" xfId="18020"/>
    <cellStyle name="Output 2 2 2 3_Table 2A-1_EFT (Annual)" xfId="7794"/>
    <cellStyle name="Output 2 2 2 4" xfId="5038"/>
    <cellStyle name="Output 2 2 2 4 2" xfId="13298"/>
    <cellStyle name="Output 2 2 2 4 2 2" xfId="25304"/>
    <cellStyle name="Output 2 2 2 4 3" xfId="20191"/>
    <cellStyle name="Output 2 2 2 4_Table 2A-1_EFT (Annual)" xfId="7796"/>
    <cellStyle name="Output 2 2 2 5" xfId="10642"/>
    <cellStyle name="Output 2 2 2 5 2" xfId="22758"/>
    <cellStyle name="Output 2 2 2 6" xfId="17645"/>
    <cellStyle name="Output 2 2 2_Table 2A-1_EFT (Annual)" xfId="3385"/>
    <cellStyle name="Output 2 2 3" xfId="2216"/>
    <cellStyle name="Output 2 2 3 2" xfId="5777"/>
    <cellStyle name="Output 2 2 3 2 2" xfId="13992"/>
    <cellStyle name="Output 2 2 3 2 2 2" xfId="25980"/>
    <cellStyle name="Output 2 2 3 2 3" xfId="20867"/>
    <cellStyle name="Output 2 2 3 2_Table 2A-1_EFT (Annual)" xfId="7798"/>
    <cellStyle name="Output 2 2 3 3" xfId="11336"/>
    <cellStyle name="Output 2 2 3 3 2" xfId="23434"/>
    <cellStyle name="Output 2 2 3 4" xfId="18321"/>
    <cellStyle name="Output 2 2 3_Table 2A-1_EFT (Annual)" xfId="7797"/>
    <cellStyle name="Output 2 2 4" xfId="1740"/>
    <cellStyle name="Output 2 2 4 2" xfId="5301"/>
    <cellStyle name="Output 2 2 4 2 2" xfId="13526"/>
    <cellStyle name="Output 2 2 4 2 2 2" xfId="25517"/>
    <cellStyle name="Output 2 2 4 2 3" xfId="20404"/>
    <cellStyle name="Output 2 2 4 2_Table 2A-1_EFT (Annual)" xfId="7800"/>
    <cellStyle name="Output 2 2 4 3" xfId="10869"/>
    <cellStyle name="Output 2 2 4 3 2" xfId="22971"/>
    <cellStyle name="Output 2 2 4 4" xfId="17858"/>
    <cellStyle name="Output 2 2 4_Table 2A-1_EFT (Annual)" xfId="7799"/>
    <cellStyle name="Output 2 2 5" xfId="4070"/>
    <cellStyle name="Output 2 2 5 2" xfId="12394"/>
    <cellStyle name="Output 2 2 5 2 2" xfId="24416"/>
    <cellStyle name="Output 2 2 5 3" xfId="19303"/>
    <cellStyle name="Output 2 2 5_Table 2A-1_EFT (Annual)" xfId="7801"/>
    <cellStyle name="Output 2 2 6" xfId="9733"/>
    <cellStyle name="Output 2 2 6 2" xfId="21870"/>
    <cellStyle name="Output 2 2 7" xfId="16757"/>
    <cellStyle name="Output 2 2_Table 2A-1_EFT (Annual)" xfId="3384"/>
    <cellStyle name="Output 2 3" xfId="333"/>
    <cellStyle name="Output 2 3 2" xfId="1321"/>
    <cellStyle name="Output 2 3 2 2" xfId="2591"/>
    <cellStyle name="Output 2 3 2 2 2" xfId="6152"/>
    <cellStyle name="Output 2 3 2 2 2 2" xfId="14346"/>
    <cellStyle name="Output 2 3 2 2 2 2 2" xfId="26318"/>
    <cellStyle name="Output 2 3 2 2 2 3" xfId="21205"/>
    <cellStyle name="Output 2 3 2 2 2_Table 2A-1_EFT (Annual)" xfId="7803"/>
    <cellStyle name="Output 2 3 2 2 3" xfId="11688"/>
    <cellStyle name="Output 2 3 2 2 3 2" xfId="23772"/>
    <cellStyle name="Output 2 3 2 2 4" xfId="18659"/>
    <cellStyle name="Output 2 3 2 2_Table 2A-1_EFT (Annual)" xfId="7802"/>
    <cellStyle name="Output 2 3 2 3" xfId="1883"/>
    <cellStyle name="Output 2 3 2 3 2" xfId="5444"/>
    <cellStyle name="Output 2 3 2 3 2 2" xfId="13659"/>
    <cellStyle name="Output 2 3 2 3 2 2 2" xfId="25647"/>
    <cellStyle name="Output 2 3 2 3 2 3" xfId="20534"/>
    <cellStyle name="Output 2 3 2 3 2_Table 2A-1_EFT (Annual)" xfId="7805"/>
    <cellStyle name="Output 2 3 2 3 3" xfId="11003"/>
    <cellStyle name="Output 2 3 2 3 3 2" xfId="23101"/>
    <cellStyle name="Output 2 3 2 3 4" xfId="17988"/>
    <cellStyle name="Output 2 3 2 3_Table 2A-1_EFT (Annual)" xfId="7804"/>
    <cellStyle name="Output 2 3 2 4" xfId="4882"/>
    <cellStyle name="Output 2 3 2 4 2" xfId="13142"/>
    <cellStyle name="Output 2 3 2 4 2 2" xfId="25148"/>
    <cellStyle name="Output 2 3 2 4 3" xfId="20035"/>
    <cellStyle name="Output 2 3 2 4_Table 2A-1_EFT (Annual)" xfId="7806"/>
    <cellStyle name="Output 2 3 2 5" xfId="10486"/>
    <cellStyle name="Output 2 3 2 5 2" xfId="22602"/>
    <cellStyle name="Output 2 3 2 6" xfId="17489"/>
    <cellStyle name="Output 2 3 2_Table 2A-1_EFT (Annual)" xfId="3387"/>
    <cellStyle name="Output 2 3 3" xfId="2060"/>
    <cellStyle name="Output 2 3 3 2" xfId="5621"/>
    <cellStyle name="Output 2 3 3 2 2" xfId="13836"/>
    <cellStyle name="Output 2 3 3 2 2 2" xfId="25824"/>
    <cellStyle name="Output 2 3 3 2 3" xfId="20711"/>
    <cellStyle name="Output 2 3 3 2_Table 2A-1_EFT (Annual)" xfId="7808"/>
    <cellStyle name="Output 2 3 3 3" xfId="11180"/>
    <cellStyle name="Output 2 3 3 3 2" xfId="23278"/>
    <cellStyle name="Output 2 3 3 4" xfId="18165"/>
    <cellStyle name="Output 2 3 3_Table 2A-1_EFT (Annual)" xfId="7807"/>
    <cellStyle name="Output 2 3 4" xfId="1699"/>
    <cellStyle name="Output 2 3 4 2" xfId="5260"/>
    <cellStyle name="Output 2 3 4 2 2" xfId="13493"/>
    <cellStyle name="Output 2 3 4 2 2 2" xfId="25487"/>
    <cellStyle name="Output 2 3 4 2 3" xfId="20374"/>
    <cellStyle name="Output 2 3 4 2_Table 2A-1_EFT (Annual)" xfId="7810"/>
    <cellStyle name="Output 2 3 4 3" xfId="10837"/>
    <cellStyle name="Output 2 3 4 3 2" xfId="22941"/>
    <cellStyle name="Output 2 3 4 4" xfId="17828"/>
    <cellStyle name="Output 2 3 4_Table 2A-1_EFT (Annual)" xfId="7809"/>
    <cellStyle name="Output 2 3 5" xfId="3903"/>
    <cellStyle name="Output 2 3 5 2" xfId="12235"/>
    <cellStyle name="Output 2 3 5 2 2" xfId="24260"/>
    <cellStyle name="Output 2 3 5 3" xfId="19147"/>
    <cellStyle name="Output 2 3 5_Table 2A-1_EFT (Annual)" xfId="7811"/>
    <cellStyle name="Output 2 3 6" xfId="9572"/>
    <cellStyle name="Output 2 3 6 2" xfId="21714"/>
    <cellStyle name="Output 2 3 7" xfId="16601"/>
    <cellStyle name="Output 2 3_Table 2A-1_EFT (Annual)" xfId="3386"/>
    <cellStyle name="Output 2 4" xfId="1155"/>
    <cellStyle name="Output 2 4 2" xfId="2425"/>
    <cellStyle name="Output 2 4 2 2" xfId="5986"/>
    <cellStyle name="Output 2 4 2 2 2" xfId="14180"/>
    <cellStyle name="Output 2 4 2 2 2 2" xfId="26152"/>
    <cellStyle name="Output 2 4 2 2 3" xfId="21039"/>
    <cellStyle name="Output 2 4 2 2_Table 2A-1_EFT (Annual)" xfId="7813"/>
    <cellStyle name="Output 2 4 2 3" xfId="11522"/>
    <cellStyle name="Output 2 4 2 3 2" xfId="23606"/>
    <cellStyle name="Output 2 4 2 4" xfId="18493"/>
    <cellStyle name="Output 2 4 2_Table 2A-1_EFT (Annual)" xfId="7812"/>
    <cellStyle name="Output 2 4 3" xfId="1819"/>
    <cellStyle name="Output 2 4 3 2" xfId="5380"/>
    <cellStyle name="Output 2 4 3 2 2" xfId="13595"/>
    <cellStyle name="Output 2 4 3 2 2 2" xfId="25583"/>
    <cellStyle name="Output 2 4 3 2 3" xfId="20470"/>
    <cellStyle name="Output 2 4 3 2_Table 2A-1_EFT (Annual)" xfId="7815"/>
    <cellStyle name="Output 2 4 3 3" xfId="10939"/>
    <cellStyle name="Output 2 4 3 3 2" xfId="23037"/>
    <cellStyle name="Output 2 4 3 4" xfId="17924"/>
    <cellStyle name="Output 2 4 3_Table 2A-1_EFT (Annual)" xfId="7814"/>
    <cellStyle name="Output 2 4 4" xfId="4716"/>
    <cellStyle name="Output 2 4 4 2" xfId="12976"/>
    <cellStyle name="Output 2 4 4 2 2" xfId="24982"/>
    <cellStyle name="Output 2 4 4 3" xfId="19869"/>
    <cellStyle name="Output 2 4 4_Table 2A-1_EFT (Annual)" xfId="7816"/>
    <cellStyle name="Output 2 4 5" xfId="10320"/>
    <cellStyle name="Output 2 4 5 2" xfId="22436"/>
    <cellStyle name="Output 2 4 6" xfId="17323"/>
    <cellStyle name="Output 2 4_Table 2A-1_EFT (Annual)" xfId="3388"/>
    <cellStyle name="Output 2 5" xfId="1804"/>
    <cellStyle name="Output 2 5 2" xfId="5365"/>
    <cellStyle name="Output 2 5 2 2" xfId="13580"/>
    <cellStyle name="Output 2 5 2 2 2" xfId="25568"/>
    <cellStyle name="Output 2 5 2 3" xfId="20455"/>
    <cellStyle name="Output 2 5 2_Table 2A-1_EFT (Annual)" xfId="7818"/>
    <cellStyle name="Output 2 5 3" xfId="10924"/>
    <cellStyle name="Output 2 5 3 2" xfId="23022"/>
    <cellStyle name="Output 2 5 4" xfId="17909"/>
    <cellStyle name="Output 2 5_Table 2A-1_EFT (Annual)" xfId="7817"/>
    <cellStyle name="Output 2 6" xfId="1642"/>
    <cellStyle name="Output 2 6 2" xfId="5203"/>
    <cellStyle name="Output 2 6 2 2" xfId="13455"/>
    <cellStyle name="Output 2 6 2 2 2" xfId="25455"/>
    <cellStyle name="Output 2 6 2 3" xfId="20342"/>
    <cellStyle name="Output 2 6 2_Table 2A-1_EFT (Annual)" xfId="7820"/>
    <cellStyle name="Output 2 6 3" xfId="10799"/>
    <cellStyle name="Output 2 6 3 2" xfId="22909"/>
    <cellStyle name="Output 2 6 4" xfId="17796"/>
    <cellStyle name="Output 2 6_Table 2A-1_EFT (Annual)" xfId="7819"/>
    <cellStyle name="Output 2 7" xfId="3691"/>
    <cellStyle name="Output 2 7 2" xfId="12063"/>
    <cellStyle name="Output 2 7 2 2" xfId="24094"/>
    <cellStyle name="Output 2 7 3" xfId="18981"/>
    <cellStyle name="Output 2 7_Table 2A-1_EFT (Annual)" xfId="7821"/>
    <cellStyle name="Output 2 8" xfId="9381"/>
    <cellStyle name="Output 2 8 2" xfId="21548"/>
    <cellStyle name="Output 2 9" xfId="16435"/>
    <cellStyle name="Output 2_Table 2A-1_EFT (Annual)" xfId="3383"/>
    <cellStyle name="Output 20" xfId="181"/>
    <cellStyle name="Output 20 2" xfId="574"/>
    <cellStyle name="Output 20 2 2" xfId="1551"/>
    <cellStyle name="Output 20 2 2 2" xfId="2821"/>
    <cellStyle name="Output 20 2 2 2 2" xfId="6382"/>
    <cellStyle name="Output 20 2 2 2 2 2" xfId="14576"/>
    <cellStyle name="Output 20 2 2 2 2 2 2" xfId="26548"/>
    <cellStyle name="Output 20 2 2 2 2 3" xfId="21435"/>
    <cellStyle name="Output 20 2 2 2 2_Table 2A-1_EFT (Annual)" xfId="7823"/>
    <cellStyle name="Output 20 2 2 2 3" xfId="11918"/>
    <cellStyle name="Output 20 2 2 2 3 2" xfId="24002"/>
    <cellStyle name="Output 20 2 2 2 4" xfId="18889"/>
    <cellStyle name="Output 20 2 2 2_Table 2A-1_EFT (Annual)" xfId="7822"/>
    <cellStyle name="Output 20 2 2 3" xfId="1928"/>
    <cellStyle name="Output 20 2 2 3 2" xfId="5489"/>
    <cellStyle name="Output 20 2 2 3 2 2" xfId="13704"/>
    <cellStyle name="Output 20 2 2 3 2 2 2" xfId="25692"/>
    <cellStyle name="Output 20 2 2 3 2 3" xfId="20579"/>
    <cellStyle name="Output 20 2 2 3 2_Table 2A-1_EFT (Annual)" xfId="7825"/>
    <cellStyle name="Output 20 2 2 3 3" xfId="11048"/>
    <cellStyle name="Output 20 2 2 3 3 2" xfId="23146"/>
    <cellStyle name="Output 20 2 2 3 4" xfId="18033"/>
    <cellStyle name="Output 20 2 2 3_Table 2A-1_EFT (Annual)" xfId="7824"/>
    <cellStyle name="Output 20 2 2 4" xfId="5112"/>
    <cellStyle name="Output 20 2 2 4 2" xfId="13372"/>
    <cellStyle name="Output 20 2 2 4 2 2" xfId="25378"/>
    <cellStyle name="Output 20 2 2 4 3" xfId="20265"/>
    <cellStyle name="Output 20 2 2 4_Table 2A-1_EFT (Annual)" xfId="7826"/>
    <cellStyle name="Output 20 2 2 5" xfId="10716"/>
    <cellStyle name="Output 20 2 2 5 2" xfId="22832"/>
    <cellStyle name="Output 20 2 2 6" xfId="17719"/>
    <cellStyle name="Output 20 2 2_Table 2A-1_EFT (Annual)" xfId="3391"/>
    <cellStyle name="Output 20 2 3" xfId="2290"/>
    <cellStyle name="Output 20 2 3 2" xfId="5851"/>
    <cellStyle name="Output 20 2 3 2 2" xfId="14066"/>
    <cellStyle name="Output 20 2 3 2 2 2" xfId="26054"/>
    <cellStyle name="Output 20 2 3 2 3" xfId="20941"/>
    <cellStyle name="Output 20 2 3 2_Table 2A-1_EFT (Annual)" xfId="7828"/>
    <cellStyle name="Output 20 2 3 3" xfId="11410"/>
    <cellStyle name="Output 20 2 3 3 2" xfId="23508"/>
    <cellStyle name="Output 20 2 3 4" xfId="18395"/>
    <cellStyle name="Output 20 2 3_Table 2A-1_EFT (Annual)" xfId="7827"/>
    <cellStyle name="Output 20 2 4" xfId="1753"/>
    <cellStyle name="Output 20 2 4 2" xfId="5314"/>
    <cellStyle name="Output 20 2 4 2 2" xfId="13539"/>
    <cellStyle name="Output 20 2 4 2 2 2" xfId="25530"/>
    <cellStyle name="Output 20 2 4 2 3" xfId="20417"/>
    <cellStyle name="Output 20 2 4 2_Table 2A-1_EFT (Annual)" xfId="7830"/>
    <cellStyle name="Output 20 2 4 3" xfId="10882"/>
    <cellStyle name="Output 20 2 4 3 2" xfId="22984"/>
    <cellStyle name="Output 20 2 4 4" xfId="17871"/>
    <cellStyle name="Output 20 2 4_Table 2A-1_EFT (Annual)" xfId="7829"/>
    <cellStyle name="Output 20 2 5" xfId="4144"/>
    <cellStyle name="Output 20 2 5 2" xfId="12468"/>
    <cellStyle name="Output 20 2 5 2 2" xfId="24490"/>
    <cellStyle name="Output 20 2 5 3" xfId="19377"/>
    <cellStyle name="Output 20 2 5_Table 2A-1_EFT (Annual)" xfId="7831"/>
    <cellStyle name="Output 20 2 6" xfId="9807"/>
    <cellStyle name="Output 20 2 6 2" xfId="21944"/>
    <cellStyle name="Output 20 2 7" xfId="16831"/>
    <cellStyle name="Output 20 2_Table 2A-1_EFT (Annual)" xfId="3390"/>
    <cellStyle name="Output 20 3" xfId="412"/>
    <cellStyle name="Output 20 3 2" xfId="1395"/>
    <cellStyle name="Output 20 3 2 2" xfId="2665"/>
    <cellStyle name="Output 20 3 2 2 2" xfId="6226"/>
    <cellStyle name="Output 20 3 2 2 2 2" xfId="14420"/>
    <cellStyle name="Output 20 3 2 2 2 2 2" xfId="26392"/>
    <cellStyle name="Output 20 3 2 2 2 3" xfId="21279"/>
    <cellStyle name="Output 20 3 2 2 2_Table 2A-1_EFT (Annual)" xfId="7833"/>
    <cellStyle name="Output 20 3 2 2 3" xfId="11762"/>
    <cellStyle name="Output 20 3 2 2 3 2" xfId="23846"/>
    <cellStyle name="Output 20 3 2 2 4" xfId="18733"/>
    <cellStyle name="Output 20 3 2 2_Table 2A-1_EFT (Annual)" xfId="7832"/>
    <cellStyle name="Output 20 3 2 3" xfId="1897"/>
    <cellStyle name="Output 20 3 2 3 2" xfId="5458"/>
    <cellStyle name="Output 20 3 2 3 2 2" xfId="13673"/>
    <cellStyle name="Output 20 3 2 3 2 2 2" xfId="25661"/>
    <cellStyle name="Output 20 3 2 3 2 3" xfId="20548"/>
    <cellStyle name="Output 20 3 2 3 2_Table 2A-1_EFT (Annual)" xfId="7835"/>
    <cellStyle name="Output 20 3 2 3 3" xfId="11017"/>
    <cellStyle name="Output 20 3 2 3 3 2" xfId="23115"/>
    <cellStyle name="Output 20 3 2 3 4" xfId="18002"/>
    <cellStyle name="Output 20 3 2 3_Table 2A-1_EFT (Annual)" xfId="7834"/>
    <cellStyle name="Output 20 3 2 4" xfId="4956"/>
    <cellStyle name="Output 20 3 2 4 2" xfId="13216"/>
    <cellStyle name="Output 20 3 2 4 2 2" xfId="25222"/>
    <cellStyle name="Output 20 3 2 4 3" xfId="20109"/>
    <cellStyle name="Output 20 3 2 4_Table 2A-1_EFT (Annual)" xfId="7836"/>
    <cellStyle name="Output 20 3 2 5" xfId="10560"/>
    <cellStyle name="Output 20 3 2 5 2" xfId="22676"/>
    <cellStyle name="Output 20 3 2 6" xfId="17563"/>
    <cellStyle name="Output 20 3 2_Table 2A-1_EFT (Annual)" xfId="3393"/>
    <cellStyle name="Output 20 3 3" xfId="2134"/>
    <cellStyle name="Output 20 3 3 2" xfId="5695"/>
    <cellStyle name="Output 20 3 3 2 2" xfId="13910"/>
    <cellStyle name="Output 20 3 3 2 2 2" xfId="25898"/>
    <cellStyle name="Output 20 3 3 2 3" xfId="20785"/>
    <cellStyle name="Output 20 3 3 2_Table 2A-1_EFT (Annual)" xfId="7838"/>
    <cellStyle name="Output 20 3 3 3" xfId="11254"/>
    <cellStyle name="Output 20 3 3 3 2" xfId="23352"/>
    <cellStyle name="Output 20 3 3 4" xfId="18239"/>
    <cellStyle name="Output 20 3 3_Table 2A-1_EFT (Annual)" xfId="7837"/>
    <cellStyle name="Output 20 3 4" xfId="1717"/>
    <cellStyle name="Output 20 3 4 2" xfId="5278"/>
    <cellStyle name="Output 20 3 4 2 2" xfId="13507"/>
    <cellStyle name="Output 20 3 4 2 2 2" xfId="25500"/>
    <cellStyle name="Output 20 3 4 2 3" xfId="20387"/>
    <cellStyle name="Output 20 3 4 2_Table 2A-1_EFT (Annual)" xfId="7840"/>
    <cellStyle name="Output 20 3 4 3" xfId="10851"/>
    <cellStyle name="Output 20 3 4 3 2" xfId="22954"/>
    <cellStyle name="Output 20 3 4 4" xfId="17841"/>
    <cellStyle name="Output 20 3 4_Table 2A-1_EFT (Annual)" xfId="7839"/>
    <cellStyle name="Output 20 3 5" xfId="3982"/>
    <cellStyle name="Output 20 3 5 2" xfId="12310"/>
    <cellStyle name="Output 20 3 5 2 2" xfId="24334"/>
    <cellStyle name="Output 20 3 5 3" xfId="19221"/>
    <cellStyle name="Output 20 3 5_Table 2A-1_EFT (Annual)" xfId="7841"/>
    <cellStyle name="Output 20 3 6" xfId="9647"/>
    <cellStyle name="Output 20 3 6 2" xfId="21788"/>
    <cellStyle name="Output 20 3 7" xfId="16675"/>
    <cellStyle name="Output 20 3_Table 2A-1_EFT (Annual)" xfId="3392"/>
    <cellStyle name="Output 20 4" xfId="1229"/>
    <cellStyle name="Output 20 4 2" xfId="2499"/>
    <cellStyle name="Output 20 4 2 2" xfId="6060"/>
    <cellStyle name="Output 20 4 2 2 2" xfId="14254"/>
    <cellStyle name="Output 20 4 2 2 2 2" xfId="26226"/>
    <cellStyle name="Output 20 4 2 2 3" xfId="21113"/>
    <cellStyle name="Output 20 4 2 2_Table 2A-1_EFT (Annual)" xfId="7843"/>
    <cellStyle name="Output 20 4 2 3" xfId="11596"/>
    <cellStyle name="Output 20 4 2 3 2" xfId="23680"/>
    <cellStyle name="Output 20 4 2 4" xfId="18567"/>
    <cellStyle name="Output 20 4 2_Table 2A-1_EFT (Annual)" xfId="7842"/>
    <cellStyle name="Output 20 4 3" xfId="1833"/>
    <cellStyle name="Output 20 4 3 2" xfId="5394"/>
    <cellStyle name="Output 20 4 3 2 2" xfId="13609"/>
    <cellStyle name="Output 20 4 3 2 2 2" xfId="25597"/>
    <cellStyle name="Output 20 4 3 2 3" xfId="20484"/>
    <cellStyle name="Output 20 4 3 2_Table 2A-1_EFT (Annual)" xfId="7845"/>
    <cellStyle name="Output 20 4 3 3" xfId="10953"/>
    <cellStyle name="Output 20 4 3 3 2" xfId="23051"/>
    <cellStyle name="Output 20 4 3 4" xfId="17938"/>
    <cellStyle name="Output 20 4 3_Table 2A-1_EFT (Annual)" xfId="7844"/>
    <cellStyle name="Output 20 4 4" xfId="4790"/>
    <cellStyle name="Output 20 4 4 2" xfId="13050"/>
    <cellStyle name="Output 20 4 4 2 2" xfId="25056"/>
    <cellStyle name="Output 20 4 4 3" xfId="19943"/>
    <cellStyle name="Output 20 4 4_Table 2A-1_EFT (Annual)" xfId="7846"/>
    <cellStyle name="Output 20 4 5" xfId="10394"/>
    <cellStyle name="Output 20 4 5 2" xfId="22510"/>
    <cellStyle name="Output 20 4 6" xfId="17397"/>
    <cellStyle name="Output 20 4_Table 2A-1_EFT (Annual)" xfId="3394"/>
    <cellStyle name="Output 20 5" xfId="1968"/>
    <cellStyle name="Output 20 5 2" xfId="5529"/>
    <cellStyle name="Output 20 5 2 2" xfId="13744"/>
    <cellStyle name="Output 20 5 2 2 2" xfId="25732"/>
    <cellStyle name="Output 20 5 2 3" xfId="20619"/>
    <cellStyle name="Output 20 5 2_Table 2A-1_EFT (Annual)" xfId="7848"/>
    <cellStyle name="Output 20 5 3" xfId="11088"/>
    <cellStyle name="Output 20 5 3 2" xfId="23186"/>
    <cellStyle name="Output 20 5 4" xfId="18073"/>
    <cellStyle name="Output 20 5_Table 2A-1_EFT (Annual)" xfId="7847"/>
    <cellStyle name="Output 20 6" xfId="1660"/>
    <cellStyle name="Output 20 6 2" xfId="5221"/>
    <cellStyle name="Output 20 6 2 2" xfId="13468"/>
    <cellStyle name="Output 20 6 2 2 2" xfId="25468"/>
    <cellStyle name="Output 20 6 2 3" xfId="20355"/>
    <cellStyle name="Output 20 6 2_Table 2A-1_EFT (Annual)" xfId="7850"/>
    <cellStyle name="Output 20 6 3" xfId="10813"/>
    <cellStyle name="Output 20 6 3 2" xfId="22922"/>
    <cellStyle name="Output 20 6 4" xfId="17809"/>
    <cellStyle name="Output 20 6_Table 2A-1_EFT (Annual)" xfId="7849"/>
    <cellStyle name="Output 20 7" xfId="3770"/>
    <cellStyle name="Output 20 7 2" xfId="12138"/>
    <cellStyle name="Output 20 7 2 2" xfId="24168"/>
    <cellStyle name="Output 20 7 3" xfId="19055"/>
    <cellStyle name="Output 20 7_Table 2A-1_EFT (Annual)" xfId="7851"/>
    <cellStyle name="Output 20 8" xfId="9457"/>
    <cellStyle name="Output 20 8 2" xfId="21622"/>
    <cellStyle name="Output 20 9" xfId="16509"/>
    <cellStyle name="Output 20_Table 2A-1_EFT (Annual)" xfId="3389"/>
    <cellStyle name="Output 21" xfId="202"/>
    <cellStyle name="Output 21 2" xfId="595"/>
    <cellStyle name="Output 21 2 2" xfId="1572"/>
    <cellStyle name="Output 21 2 2 2" xfId="2842"/>
    <cellStyle name="Output 21 2 2 2 2" xfId="6403"/>
    <cellStyle name="Output 21 2 2 2 2 2" xfId="14597"/>
    <cellStyle name="Output 21 2 2 2 2 2 2" xfId="26569"/>
    <cellStyle name="Output 21 2 2 2 2 3" xfId="21456"/>
    <cellStyle name="Output 21 2 2 2 2_Table 2A-1_EFT (Annual)" xfId="7853"/>
    <cellStyle name="Output 21 2 2 2 3" xfId="11939"/>
    <cellStyle name="Output 21 2 2 2 3 2" xfId="24023"/>
    <cellStyle name="Output 21 2 2 2 4" xfId="18910"/>
    <cellStyle name="Output 21 2 2 2_Table 2A-1_EFT (Annual)" xfId="7852"/>
    <cellStyle name="Output 21 2 2 3" xfId="1932"/>
    <cellStyle name="Output 21 2 2 3 2" xfId="5493"/>
    <cellStyle name="Output 21 2 2 3 2 2" xfId="13708"/>
    <cellStyle name="Output 21 2 2 3 2 2 2" xfId="25696"/>
    <cellStyle name="Output 21 2 2 3 2 3" xfId="20583"/>
    <cellStyle name="Output 21 2 2 3 2_Table 2A-1_EFT (Annual)" xfId="7855"/>
    <cellStyle name="Output 21 2 2 3 3" xfId="11052"/>
    <cellStyle name="Output 21 2 2 3 3 2" xfId="23150"/>
    <cellStyle name="Output 21 2 2 3 4" xfId="18037"/>
    <cellStyle name="Output 21 2 2 3_Table 2A-1_EFT (Annual)" xfId="7854"/>
    <cellStyle name="Output 21 2 2 4" xfId="5133"/>
    <cellStyle name="Output 21 2 2 4 2" xfId="13393"/>
    <cellStyle name="Output 21 2 2 4 2 2" xfId="25399"/>
    <cellStyle name="Output 21 2 2 4 3" xfId="20286"/>
    <cellStyle name="Output 21 2 2 4_Table 2A-1_EFT (Annual)" xfId="7856"/>
    <cellStyle name="Output 21 2 2 5" xfId="10737"/>
    <cellStyle name="Output 21 2 2 5 2" xfId="22853"/>
    <cellStyle name="Output 21 2 2 6" xfId="17740"/>
    <cellStyle name="Output 21 2 2_Table 2A-1_EFT (Annual)" xfId="3397"/>
    <cellStyle name="Output 21 2 3" xfId="2311"/>
    <cellStyle name="Output 21 2 3 2" xfId="5872"/>
    <cellStyle name="Output 21 2 3 2 2" xfId="14087"/>
    <cellStyle name="Output 21 2 3 2 2 2" xfId="26075"/>
    <cellStyle name="Output 21 2 3 2 3" xfId="20962"/>
    <cellStyle name="Output 21 2 3 2_Table 2A-1_EFT (Annual)" xfId="7858"/>
    <cellStyle name="Output 21 2 3 3" xfId="11431"/>
    <cellStyle name="Output 21 2 3 3 2" xfId="23529"/>
    <cellStyle name="Output 21 2 3 4" xfId="18416"/>
    <cellStyle name="Output 21 2 3_Table 2A-1_EFT (Annual)" xfId="7857"/>
    <cellStyle name="Output 21 2 4" xfId="1757"/>
    <cellStyle name="Output 21 2 4 2" xfId="5318"/>
    <cellStyle name="Output 21 2 4 2 2" xfId="13543"/>
    <cellStyle name="Output 21 2 4 2 2 2" xfId="25534"/>
    <cellStyle name="Output 21 2 4 2 3" xfId="20421"/>
    <cellStyle name="Output 21 2 4 2_Table 2A-1_EFT (Annual)" xfId="7860"/>
    <cellStyle name="Output 21 2 4 3" xfId="10886"/>
    <cellStyle name="Output 21 2 4 3 2" xfId="22988"/>
    <cellStyle name="Output 21 2 4 4" xfId="17875"/>
    <cellStyle name="Output 21 2 4_Table 2A-1_EFT (Annual)" xfId="7859"/>
    <cellStyle name="Output 21 2 5" xfId="4165"/>
    <cellStyle name="Output 21 2 5 2" xfId="12489"/>
    <cellStyle name="Output 21 2 5 2 2" xfId="24511"/>
    <cellStyle name="Output 21 2 5 3" xfId="19398"/>
    <cellStyle name="Output 21 2 5_Table 2A-1_EFT (Annual)" xfId="7861"/>
    <cellStyle name="Output 21 2 6" xfId="9828"/>
    <cellStyle name="Output 21 2 6 2" xfId="21965"/>
    <cellStyle name="Output 21 2 7" xfId="16852"/>
    <cellStyle name="Output 21 2_Table 2A-1_EFT (Annual)" xfId="3396"/>
    <cellStyle name="Output 21 3" xfId="431"/>
    <cellStyle name="Output 21 3 2" xfId="1414"/>
    <cellStyle name="Output 21 3 2 2" xfId="2684"/>
    <cellStyle name="Output 21 3 2 2 2" xfId="6245"/>
    <cellStyle name="Output 21 3 2 2 2 2" xfId="14439"/>
    <cellStyle name="Output 21 3 2 2 2 2 2" xfId="26411"/>
    <cellStyle name="Output 21 3 2 2 2 3" xfId="21298"/>
    <cellStyle name="Output 21 3 2 2 2_Table 2A-1_EFT (Annual)" xfId="7863"/>
    <cellStyle name="Output 21 3 2 2 3" xfId="11781"/>
    <cellStyle name="Output 21 3 2 2 3 2" xfId="23865"/>
    <cellStyle name="Output 21 3 2 2 4" xfId="18752"/>
    <cellStyle name="Output 21 3 2 2_Table 2A-1_EFT (Annual)" xfId="7862"/>
    <cellStyle name="Output 21 3 2 3" xfId="1901"/>
    <cellStyle name="Output 21 3 2 3 2" xfId="5462"/>
    <cellStyle name="Output 21 3 2 3 2 2" xfId="13677"/>
    <cellStyle name="Output 21 3 2 3 2 2 2" xfId="25665"/>
    <cellStyle name="Output 21 3 2 3 2 3" xfId="20552"/>
    <cellStyle name="Output 21 3 2 3 2_Table 2A-1_EFT (Annual)" xfId="7865"/>
    <cellStyle name="Output 21 3 2 3 3" xfId="11021"/>
    <cellStyle name="Output 21 3 2 3 3 2" xfId="23119"/>
    <cellStyle name="Output 21 3 2 3 4" xfId="18006"/>
    <cellStyle name="Output 21 3 2 3_Table 2A-1_EFT (Annual)" xfId="7864"/>
    <cellStyle name="Output 21 3 2 4" xfId="4975"/>
    <cellStyle name="Output 21 3 2 4 2" xfId="13235"/>
    <cellStyle name="Output 21 3 2 4 2 2" xfId="25241"/>
    <cellStyle name="Output 21 3 2 4 3" xfId="20128"/>
    <cellStyle name="Output 21 3 2 4_Table 2A-1_EFT (Annual)" xfId="7866"/>
    <cellStyle name="Output 21 3 2 5" xfId="10579"/>
    <cellStyle name="Output 21 3 2 5 2" xfId="22695"/>
    <cellStyle name="Output 21 3 2 6" xfId="17582"/>
    <cellStyle name="Output 21 3 2_Table 2A-1_EFT (Annual)" xfId="3399"/>
    <cellStyle name="Output 21 3 3" xfId="2153"/>
    <cellStyle name="Output 21 3 3 2" xfId="5714"/>
    <cellStyle name="Output 21 3 3 2 2" xfId="13929"/>
    <cellStyle name="Output 21 3 3 2 2 2" xfId="25917"/>
    <cellStyle name="Output 21 3 3 2 3" xfId="20804"/>
    <cellStyle name="Output 21 3 3 2_Table 2A-1_EFT (Annual)" xfId="7868"/>
    <cellStyle name="Output 21 3 3 3" xfId="11273"/>
    <cellStyle name="Output 21 3 3 3 2" xfId="23371"/>
    <cellStyle name="Output 21 3 3 4" xfId="18258"/>
    <cellStyle name="Output 21 3 3_Table 2A-1_EFT (Annual)" xfId="7867"/>
    <cellStyle name="Output 21 3 4" xfId="1721"/>
    <cellStyle name="Output 21 3 4 2" xfId="5282"/>
    <cellStyle name="Output 21 3 4 2 2" xfId="13511"/>
    <cellStyle name="Output 21 3 4 2 2 2" xfId="25504"/>
    <cellStyle name="Output 21 3 4 2 3" xfId="20391"/>
    <cellStyle name="Output 21 3 4 2_Table 2A-1_EFT (Annual)" xfId="7870"/>
    <cellStyle name="Output 21 3 4 3" xfId="10855"/>
    <cellStyle name="Output 21 3 4 3 2" xfId="22958"/>
    <cellStyle name="Output 21 3 4 4" xfId="17845"/>
    <cellStyle name="Output 21 3 4_Table 2A-1_EFT (Annual)" xfId="7869"/>
    <cellStyle name="Output 21 3 5" xfId="4001"/>
    <cellStyle name="Output 21 3 5 2" xfId="12329"/>
    <cellStyle name="Output 21 3 5 2 2" xfId="24353"/>
    <cellStyle name="Output 21 3 5 3" xfId="19240"/>
    <cellStyle name="Output 21 3 5_Table 2A-1_EFT (Annual)" xfId="7871"/>
    <cellStyle name="Output 21 3 6" xfId="9666"/>
    <cellStyle name="Output 21 3 6 2" xfId="21807"/>
    <cellStyle name="Output 21 3 7" xfId="16694"/>
    <cellStyle name="Output 21 3_Table 2A-1_EFT (Annual)" xfId="3398"/>
    <cellStyle name="Output 21 4" xfId="1250"/>
    <cellStyle name="Output 21 4 2" xfId="2520"/>
    <cellStyle name="Output 21 4 2 2" xfId="6081"/>
    <cellStyle name="Output 21 4 2 2 2" xfId="14275"/>
    <cellStyle name="Output 21 4 2 2 2 2" xfId="26247"/>
    <cellStyle name="Output 21 4 2 2 3" xfId="21134"/>
    <cellStyle name="Output 21 4 2 2_Table 2A-1_EFT (Annual)" xfId="7873"/>
    <cellStyle name="Output 21 4 2 3" xfId="11617"/>
    <cellStyle name="Output 21 4 2 3 2" xfId="23701"/>
    <cellStyle name="Output 21 4 2 4" xfId="18588"/>
    <cellStyle name="Output 21 4 2_Table 2A-1_EFT (Annual)" xfId="7872"/>
    <cellStyle name="Output 21 4 3" xfId="1837"/>
    <cellStyle name="Output 21 4 3 2" xfId="5398"/>
    <cellStyle name="Output 21 4 3 2 2" xfId="13613"/>
    <cellStyle name="Output 21 4 3 2 2 2" xfId="25601"/>
    <cellStyle name="Output 21 4 3 2 3" xfId="20488"/>
    <cellStyle name="Output 21 4 3 2_Table 2A-1_EFT (Annual)" xfId="7875"/>
    <cellStyle name="Output 21 4 3 3" xfId="10957"/>
    <cellStyle name="Output 21 4 3 3 2" xfId="23055"/>
    <cellStyle name="Output 21 4 3 4" xfId="17942"/>
    <cellStyle name="Output 21 4 3_Table 2A-1_EFT (Annual)" xfId="7874"/>
    <cellStyle name="Output 21 4 4" xfId="4811"/>
    <cellStyle name="Output 21 4 4 2" xfId="13071"/>
    <cellStyle name="Output 21 4 4 2 2" xfId="25077"/>
    <cellStyle name="Output 21 4 4 3" xfId="19964"/>
    <cellStyle name="Output 21 4 4_Table 2A-1_EFT (Annual)" xfId="7876"/>
    <cellStyle name="Output 21 4 5" xfId="10415"/>
    <cellStyle name="Output 21 4 5 2" xfId="22531"/>
    <cellStyle name="Output 21 4 6" xfId="17418"/>
    <cellStyle name="Output 21 4_Table 2A-1_EFT (Annual)" xfId="3400"/>
    <cellStyle name="Output 21 5" xfId="1989"/>
    <cellStyle name="Output 21 5 2" xfId="5550"/>
    <cellStyle name="Output 21 5 2 2" xfId="13765"/>
    <cellStyle name="Output 21 5 2 2 2" xfId="25753"/>
    <cellStyle name="Output 21 5 2 3" xfId="20640"/>
    <cellStyle name="Output 21 5 2_Table 2A-1_EFT (Annual)" xfId="7878"/>
    <cellStyle name="Output 21 5 3" xfId="11109"/>
    <cellStyle name="Output 21 5 3 2" xfId="23207"/>
    <cellStyle name="Output 21 5 4" xfId="18094"/>
    <cellStyle name="Output 21 5_Table 2A-1_EFT (Annual)" xfId="7877"/>
    <cellStyle name="Output 21 6" xfId="1664"/>
    <cellStyle name="Output 21 6 2" xfId="5225"/>
    <cellStyle name="Output 21 6 2 2" xfId="13472"/>
    <cellStyle name="Output 21 6 2 2 2" xfId="25472"/>
    <cellStyle name="Output 21 6 2 3" xfId="20359"/>
    <cellStyle name="Output 21 6 2_Table 2A-1_EFT (Annual)" xfId="7880"/>
    <cellStyle name="Output 21 6 3" xfId="10817"/>
    <cellStyle name="Output 21 6 3 2" xfId="22926"/>
    <cellStyle name="Output 21 6 4" xfId="17813"/>
    <cellStyle name="Output 21 6_Table 2A-1_EFT (Annual)" xfId="7879"/>
    <cellStyle name="Output 21 7" xfId="3791"/>
    <cellStyle name="Output 21 7 2" xfId="12159"/>
    <cellStyle name="Output 21 7 2 2" xfId="24189"/>
    <cellStyle name="Output 21 7 3" xfId="19076"/>
    <cellStyle name="Output 21 7_Table 2A-1_EFT (Annual)" xfId="7881"/>
    <cellStyle name="Output 21 8" xfId="9478"/>
    <cellStyle name="Output 21 8 2" xfId="21643"/>
    <cellStyle name="Output 21 9" xfId="16530"/>
    <cellStyle name="Output 21_Table 2A-1_EFT (Annual)" xfId="3395"/>
    <cellStyle name="Output 22" xfId="210"/>
    <cellStyle name="Output 22 2" xfId="603"/>
    <cellStyle name="Output 22 2 2" xfId="1580"/>
    <cellStyle name="Output 22 2 2 2" xfId="2850"/>
    <cellStyle name="Output 22 2 2 2 2" xfId="6411"/>
    <cellStyle name="Output 22 2 2 2 2 2" xfId="14605"/>
    <cellStyle name="Output 22 2 2 2 2 2 2" xfId="26577"/>
    <cellStyle name="Output 22 2 2 2 2 3" xfId="21464"/>
    <cellStyle name="Output 22 2 2 2 2_Table 2A-1_EFT (Annual)" xfId="7883"/>
    <cellStyle name="Output 22 2 2 2 3" xfId="11947"/>
    <cellStyle name="Output 22 2 2 2 3 2" xfId="24031"/>
    <cellStyle name="Output 22 2 2 2 4" xfId="18918"/>
    <cellStyle name="Output 22 2 2 2_Table 2A-1_EFT (Annual)" xfId="7882"/>
    <cellStyle name="Output 22 2 2 3" xfId="1934"/>
    <cellStyle name="Output 22 2 2 3 2" xfId="5495"/>
    <cellStyle name="Output 22 2 2 3 2 2" xfId="13710"/>
    <cellStyle name="Output 22 2 2 3 2 2 2" xfId="25698"/>
    <cellStyle name="Output 22 2 2 3 2 3" xfId="20585"/>
    <cellStyle name="Output 22 2 2 3 2_Table 2A-1_EFT (Annual)" xfId="7885"/>
    <cellStyle name="Output 22 2 2 3 3" xfId="11054"/>
    <cellStyle name="Output 22 2 2 3 3 2" xfId="23152"/>
    <cellStyle name="Output 22 2 2 3 4" xfId="18039"/>
    <cellStyle name="Output 22 2 2 3_Table 2A-1_EFT (Annual)" xfId="7884"/>
    <cellStyle name="Output 22 2 2 4" xfId="5141"/>
    <cellStyle name="Output 22 2 2 4 2" xfId="13401"/>
    <cellStyle name="Output 22 2 2 4 2 2" xfId="25407"/>
    <cellStyle name="Output 22 2 2 4 3" xfId="20294"/>
    <cellStyle name="Output 22 2 2 4_Table 2A-1_EFT (Annual)" xfId="7886"/>
    <cellStyle name="Output 22 2 2 5" xfId="10745"/>
    <cellStyle name="Output 22 2 2 5 2" xfId="22861"/>
    <cellStyle name="Output 22 2 2 6" xfId="17748"/>
    <cellStyle name="Output 22 2 2_Table 2A-1_EFT (Annual)" xfId="3403"/>
    <cellStyle name="Output 22 2 3" xfId="2319"/>
    <cellStyle name="Output 22 2 3 2" xfId="5880"/>
    <cellStyle name="Output 22 2 3 2 2" xfId="14095"/>
    <cellStyle name="Output 22 2 3 2 2 2" xfId="26083"/>
    <cellStyle name="Output 22 2 3 2 3" xfId="20970"/>
    <cellStyle name="Output 22 2 3 2_Table 2A-1_EFT (Annual)" xfId="7888"/>
    <cellStyle name="Output 22 2 3 3" xfId="11439"/>
    <cellStyle name="Output 22 2 3 3 2" xfId="23537"/>
    <cellStyle name="Output 22 2 3 4" xfId="18424"/>
    <cellStyle name="Output 22 2 3_Table 2A-1_EFT (Annual)" xfId="7887"/>
    <cellStyle name="Output 22 2 4" xfId="1759"/>
    <cellStyle name="Output 22 2 4 2" xfId="5320"/>
    <cellStyle name="Output 22 2 4 2 2" xfId="13545"/>
    <cellStyle name="Output 22 2 4 2 2 2" xfId="25536"/>
    <cellStyle name="Output 22 2 4 2 3" xfId="20423"/>
    <cellStyle name="Output 22 2 4 2_Table 2A-1_EFT (Annual)" xfId="7890"/>
    <cellStyle name="Output 22 2 4 3" xfId="10888"/>
    <cellStyle name="Output 22 2 4 3 2" xfId="22990"/>
    <cellStyle name="Output 22 2 4 4" xfId="17877"/>
    <cellStyle name="Output 22 2 4_Table 2A-1_EFT (Annual)" xfId="7889"/>
    <cellStyle name="Output 22 2 5" xfId="4173"/>
    <cellStyle name="Output 22 2 5 2" xfId="12497"/>
    <cellStyle name="Output 22 2 5 2 2" xfId="24519"/>
    <cellStyle name="Output 22 2 5 3" xfId="19406"/>
    <cellStyle name="Output 22 2 5_Table 2A-1_EFT (Annual)" xfId="7891"/>
    <cellStyle name="Output 22 2 6" xfId="9836"/>
    <cellStyle name="Output 22 2 6 2" xfId="21973"/>
    <cellStyle name="Output 22 2 7" xfId="16860"/>
    <cellStyle name="Output 22 2_Table 2A-1_EFT (Annual)" xfId="3402"/>
    <cellStyle name="Output 22 3" xfId="438"/>
    <cellStyle name="Output 22 3 2" xfId="1421"/>
    <cellStyle name="Output 22 3 2 2" xfId="2691"/>
    <cellStyle name="Output 22 3 2 2 2" xfId="6252"/>
    <cellStyle name="Output 22 3 2 2 2 2" xfId="14446"/>
    <cellStyle name="Output 22 3 2 2 2 2 2" xfId="26418"/>
    <cellStyle name="Output 22 3 2 2 2 3" xfId="21305"/>
    <cellStyle name="Output 22 3 2 2 2_Table 2A-1_EFT (Annual)" xfId="7893"/>
    <cellStyle name="Output 22 3 2 2 3" xfId="11788"/>
    <cellStyle name="Output 22 3 2 2 3 2" xfId="23872"/>
    <cellStyle name="Output 22 3 2 2 4" xfId="18759"/>
    <cellStyle name="Output 22 3 2 2_Table 2A-1_EFT (Annual)" xfId="7892"/>
    <cellStyle name="Output 22 3 2 3" xfId="1903"/>
    <cellStyle name="Output 22 3 2 3 2" xfId="5464"/>
    <cellStyle name="Output 22 3 2 3 2 2" xfId="13679"/>
    <cellStyle name="Output 22 3 2 3 2 2 2" xfId="25667"/>
    <cellStyle name="Output 22 3 2 3 2 3" xfId="20554"/>
    <cellStyle name="Output 22 3 2 3 2_Table 2A-1_EFT (Annual)" xfId="7895"/>
    <cellStyle name="Output 22 3 2 3 3" xfId="11023"/>
    <cellStyle name="Output 22 3 2 3 3 2" xfId="23121"/>
    <cellStyle name="Output 22 3 2 3 4" xfId="18008"/>
    <cellStyle name="Output 22 3 2 3_Table 2A-1_EFT (Annual)" xfId="7894"/>
    <cellStyle name="Output 22 3 2 4" xfId="4982"/>
    <cellStyle name="Output 22 3 2 4 2" xfId="13242"/>
    <cellStyle name="Output 22 3 2 4 2 2" xfId="25248"/>
    <cellStyle name="Output 22 3 2 4 3" xfId="20135"/>
    <cellStyle name="Output 22 3 2 4_Table 2A-1_EFT (Annual)" xfId="7896"/>
    <cellStyle name="Output 22 3 2 5" xfId="10586"/>
    <cellStyle name="Output 22 3 2 5 2" xfId="22702"/>
    <cellStyle name="Output 22 3 2 6" xfId="17589"/>
    <cellStyle name="Output 22 3 2_Table 2A-1_EFT (Annual)" xfId="3405"/>
    <cellStyle name="Output 22 3 3" xfId="2160"/>
    <cellStyle name="Output 22 3 3 2" xfId="5721"/>
    <cellStyle name="Output 22 3 3 2 2" xfId="13936"/>
    <cellStyle name="Output 22 3 3 2 2 2" xfId="25924"/>
    <cellStyle name="Output 22 3 3 2 3" xfId="20811"/>
    <cellStyle name="Output 22 3 3 2_Table 2A-1_EFT (Annual)" xfId="7898"/>
    <cellStyle name="Output 22 3 3 3" xfId="11280"/>
    <cellStyle name="Output 22 3 3 3 2" xfId="23378"/>
    <cellStyle name="Output 22 3 3 4" xfId="18265"/>
    <cellStyle name="Output 22 3 3_Table 2A-1_EFT (Annual)" xfId="7897"/>
    <cellStyle name="Output 22 3 4" xfId="1723"/>
    <cellStyle name="Output 22 3 4 2" xfId="5284"/>
    <cellStyle name="Output 22 3 4 2 2" xfId="13513"/>
    <cellStyle name="Output 22 3 4 2 2 2" xfId="25506"/>
    <cellStyle name="Output 22 3 4 2 3" xfId="20393"/>
    <cellStyle name="Output 22 3 4 2_Table 2A-1_EFT (Annual)" xfId="7900"/>
    <cellStyle name="Output 22 3 4 3" xfId="10857"/>
    <cellStyle name="Output 22 3 4 3 2" xfId="22960"/>
    <cellStyle name="Output 22 3 4 4" xfId="17847"/>
    <cellStyle name="Output 22 3 4_Table 2A-1_EFT (Annual)" xfId="7899"/>
    <cellStyle name="Output 22 3 5" xfId="4008"/>
    <cellStyle name="Output 22 3 5 2" xfId="12336"/>
    <cellStyle name="Output 22 3 5 2 2" xfId="24360"/>
    <cellStyle name="Output 22 3 5 3" xfId="19247"/>
    <cellStyle name="Output 22 3 5_Table 2A-1_EFT (Annual)" xfId="7901"/>
    <cellStyle name="Output 22 3 6" xfId="9673"/>
    <cellStyle name="Output 22 3 6 2" xfId="21814"/>
    <cellStyle name="Output 22 3 7" xfId="16701"/>
    <cellStyle name="Output 22 3_Table 2A-1_EFT (Annual)" xfId="3404"/>
    <cellStyle name="Output 22 4" xfId="1258"/>
    <cellStyle name="Output 22 4 2" xfId="2528"/>
    <cellStyle name="Output 22 4 2 2" xfId="6089"/>
    <cellStyle name="Output 22 4 2 2 2" xfId="14283"/>
    <cellStyle name="Output 22 4 2 2 2 2" xfId="26255"/>
    <cellStyle name="Output 22 4 2 2 3" xfId="21142"/>
    <cellStyle name="Output 22 4 2 2_Table 2A-1_EFT (Annual)" xfId="7903"/>
    <cellStyle name="Output 22 4 2 3" xfId="11625"/>
    <cellStyle name="Output 22 4 2 3 2" xfId="23709"/>
    <cellStyle name="Output 22 4 2 4" xfId="18596"/>
    <cellStyle name="Output 22 4 2_Table 2A-1_EFT (Annual)" xfId="7902"/>
    <cellStyle name="Output 22 4 3" xfId="1839"/>
    <cellStyle name="Output 22 4 3 2" xfId="5400"/>
    <cellStyle name="Output 22 4 3 2 2" xfId="13615"/>
    <cellStyle name="Output 22 4 3 2 2 2" xfId="25603"/>
    <cellStyle name="Output 22 4 3 2 3" xfId="20490"/>
    <cellStyle name="Output 22 4 3 2_Table 2A-1_EFT (Annual)" xfId="7905"/>
    <cellStyle name="Output 22 4 3 3" xfId="10959"/>
    <cellStyle name="Output 22 4 3 3 2" xfId="23057"/>
    <cellStyle name="Output 22 4 3 4" xfId="17944"/>
    <cellStyle name="Output 22 4 3_Table 2A-1_EFT (Annual)" xfId="7904"/>
    <cellStyle name="Output 22 4 4" xfId="4819"/>
    <cellStyle name="Output 22 4 4 2" xfId="13079"/>
    <cellStyle name="Output 22 4 4 2 2" xfId="25085"/>
    <cellStyle name="Output 22 4 4 3" xfId="19972"/>
    <cellStyle name="Output 22 4 4_Table 2A-1_EFT (Annual)" xfId="7906"/>
    <cellStyle name="Output 22 4 5" xfId="10423"/>
    <cellStyle name="Output 22 4 5 2" xfId="22539"/>
    <cellStyle name="Output 22 4 6" xfId="17426"/>
    <cellStyle name="Output 22 4_Table 2A-1_EFT (Annual)" xfId="3406"/>
    <cellStyle name="Output 22 5" xfId="1997"/>
    <cellStyle name="Output 22 5 2" xfId="5558"/>
    <cellStyle name="Output 22 5 2 2" xfId="13773"/>
    <cellStyle name="Output 22 5 2 2 2" xfId="25761"/>
    <cellStyle name="Output 22 5 2 3" xfId="20648"/>
    <cellStyle name="Output 22 5 2_Table 2A-1_EFT (Annual)" xfId="7908"/>
    <cellStyle name="Output 22 5 3" xfId="11117"/>
    <cellStyle name="Output 22 5 3 2" xfId="23215"/>
    <cellStyle name="Output 22 5 4" xfId="18102"/>
    <cellStyle name="Output 22 5_Table 2A-1_EFT (Annual)" xfId="7907"/>
    <cellStyle name="Output 22 6" xfId="1666"/>
    <cellStyle name="Output 22 6 2" xfId="5227"/>
    <cellStyle name="Output 22 6 2 2" xfId="13474"/>
    <cellStyle name="Output 22 6 2 2 2" xfId="25474"/>
    <cellStyle name="Output 22 6 2 3" xfId="20361"/>
    <cellStyle name="Output 22 6 2_Table 2A-1_EFT (Annual)" xfId="7910"/>
    <cellStyle name="Output 22 6 3" xfId="10819"/>
    <cellStyle name="Output 22 6 3 2" xfId="22928"/>
    <cellStyle name="Output 22 6 4" xfId="17815"/>
    <cellStyle name="Output 22 6_Table 2A-1_EFT (Annual)" xfId="7909"/>
    <cellStyle name="Output 22 7" xfId="3799"/>
    <cellStyle name="Output 22 7 2" xfId="12167"/>
    <cellStyle name="Output 22 7 2 2" xfId="24197"/>
    <cellStyle name="Output 22 7 3" xfId="19084"/>
    <cellStyle name="Output 22 7_Table 2A-1_EFT (Annual)" xfId="7911"/>
    <cellStyle name="Output 22 8" xfId="9486"/>
    <cellStyle name="Output 22 8 2" xfId="21651"/>
    <cellStyle name="Output 22 9" xfId="16538"/>
    <cellStyle name="Output 22_Table 2A-1_EFT (Annual)" xfId="3401"/>
    <cellStyle name="Output 23" xfId="233"/>
    <cellStyle name="Output 23 2" xfId="620"/>
    <cellStyle name="Output 23 2 2" xfId="1597"/>
    <cellStyle name="Output 23 2 2 2" xfId="2867"/>
    <cellStyle name="Output 23 2 2 2 2" xfId="6428"/>
    <cellStyle name="Output 23 2 2 2 2 2" xfId="14622"/>
    <cellStyle name="Output 23 2 2 2 2 2 2" xfId="26594"/>
    <cellStyle name="Output 23 2 2 2 2 3" xfId="21481"/>
    <cellStyle name="Output 23 2 2 2 2_Table 2A-1_EFT (Annual)" xfId="7913"/>
    <cellStyle name="Output 23 2 2 2 3" xfId="11964"/>
    <cellStyle name="Output 23 2 2 2 3 2" xfId="24048"/>
    <cellStyle name="Output 23 2 2 2 4" xfId="18935"/>
    <cellStyle name="Output 23 2 2 2_Table 2A-1_EFT (Annual)" xfId="7912"/>
    <cellStyle name="Output 23 2 2 3" xfId="1937"/>
    <cellStyle name="Output 23 2 2 3 2" xfId="5498"/>
    <cellStyle name="Output 23 2 2 3 2 2" xfId="13713"/>
    <cellStyle name="Output 23 2 2 3 2 2 2" xfId="25701"/>
    <cellStyle name="Output 23 2 2 3 2 3" xfId="20588"/>
    <cellStyle name="Output 23 2 2 3 2_Table 2A-1_EFT (Annual)" xfId="7915"/>
    <cellStyle name="Output 23 2 2 3 3" xfId="11057"/>
    <cellStyle name="Output 23 2 2 3 3 2" xfId="23155"/>
    <cellStyle name="Output 23 2 2 3 4" xfId="18042"/>
    <cellStyle name="Output 23 2 2 3_Table 2A-1_EFT (Annual)" xfId="7914"/>
    <cellStyle name="Output 23 2 2 4" xfId="5158"/>
    <cellStyle name="Output 23 2 2 4 2" xfId="13418"/>
    <cellStyle name="Output 23 2 2 4 2 2" xfId="25424"/>
    <cellStyle name="Output 23 2 2 4 3" xfId="20311"/>
    <cellStyle name="Output 23 2 2 4_Table 2A-1_EFT (Annual)" xfId="7916"/>
    <cellStyle name="Output 23 2 2 5" xfId="10762"/>
    <cellStyle name="Output 23 2 2 5 2" xfId="22878"/>
    <cellStyle name="Output 23 2 2 6" xfId="17765"/>
    <cellStyle name="Output 23 2 2_Table 2A-1_EFT (Annual)" xfId="3409"/>
    <cellStyle name="Output 23 2 3" xfId="2336"/>
    <cellStyle name="Output 23 2 3 2" xfId="5897"/>
    <cellStyle name="Output 23 2 3 2 2" xfId="14112"/>
    <cellStyle name="Output 23 2 3 2 2 2" xfId="26100"/>
    <cellStyle name="Output 23 2 3 2 3" xfId="20987"/>
    <cellStyle name="Output 23 2 3 2_Table 2A-1_EFT (Annual)" xfId="7918"/>
    <cellStyle name="Output 23 2 3 3" xfId="11456"/>
    <cellStyle name="Output 23 2 3 3 2" xfId="23554"/>
    <cellStyle name="Output 23 2 3 4" xfId="18441"/>
    <cellStyle name="Output 23 2 3_Table 2A-1_EFT (Annual)" xfId="7917"/>
    <cellStyle name="Output 23 2 4" xfId="1762"/>
    <cellStyle name="Output 23 2 4 2" xfId="5323"/>
    <cellStyle name="Output 23 2 4 2 2" xfId="13548"/>
    <cellStyle name="Output 23 2 4 2 2 2" xfId="25539"/>
    <cellStyle name="Output 23 2 4 2 3" xfId="20426"/>
    <cellStyle name="Output 23 2 4 2_Table 2A-1_EFT (Annual)" xfId="7920"/>
    <cellStyle name="Output 23 2 4 3" xfId="10891"/>
    <cellStyle name="Output 23 2 4 3 2" xfId="22993"/>
    <cellStyle name="Output 23 2 4 4" xfId="17880"/>
    <cellStyle name="Output 23 2 4_Table 2A-1_EFT (Annual)" xfId="7919"/>
    <cellStyle name="Output 23 2 5" xfId="4190"/>
    <cellStyle name="Output 23 2 5 2" xfId="12514"/>
    <cellStyle name="Output 23 2 5 2 2" xfId="24536"/>
    <cellStyle name="Output 23 2 5 3" xfId="19423"/>
    <cellStyle name="Output 23 2 5_Table 2A-1_EFT (Annual)" xfId="7921"/>
    <cellStyle name="Output 23 2 6" xfId="9853"/>
    <cellStyle name="Output 23 2 6 2" xfId="21990"/>
    <cellStyle name="Output 23 2 7" xfId="16877"/>
    <cellStyle name="Output 23 2_Table 2A-1_EFT (Annual)" xfId="3408"/>
    <cellStyle name="Output 23 3" xfId="460"/>
    <cellStyle name="Output 23 3 2" xfId="1437"/>
    <cellStyle name="Output 23 3 2 2" xfId="2707"/>
    <cellStyle name="Output 23 3 2 2 2" xfId="6268"/>
    <cellStyle name="Output 23 3 2 2 2 2" xfId="14462"/>
    <cellStyle name="Output 23 3 2 2 2 2 2" xfId="26434"/>
    <cellStyle name="Output 23 3 2 2 2 3" xfId="21321"/>
    <cellStyle name="Output 23 3 2 2 2_Table 2A-1_EFT (Annual)" xfId="7923"/>
    <cellStyle name="Output 23 3 2 2 3" xfId="11804"/>
    <cellStyle name="Output 23 3 2 2 3 2" xfId="23888"/>
    <cellStyle name="Output 23 3 2 2 4" xfId="18775"/>
    <cellStyle name="Output 23 3 2 2_Table 2A-1_EFT (Annual)" xfId="7922"/>
    <cellStyle name="Output 23 3 2 3" xfId="1906"/>
    <cellStyle name="Output 23 3 2 3 2" xfId="5467"/>
    <cellStyle name="Output 23 3 2 3 2 2" xfId="13682"/>
    <cellStyle name="Output 23 3 2 3 2 2 2" xfId="25670"/>
    <cellStyle name="Output 23 3 2 3 2 3" xfId="20557"/>
    <cellStyle name="Output 23 3 2 3 2_Table 2A-1_EFT (Annual)" xfId="7925"/>
    <cellStyle name="Output 23 3 2 3 3" xfId="11026"/>
    <cellStyle name="Output 23 3 2 3 3 2" xfId="23124"/>
    <cellStyle name="Output 23 3 2 3 4" xfId="18011"/>
    <cellStyle name="Output 23 3 2 3_Table 2A-1_EFT (Annual)" xfId="7924"/>
    <cellStyle name="Output 23 3 2 4" xfId="4998"/>
    <cellStyle name="Output 23 3 2 4 2" xfId="13258"/>
    <cellStyle name="Output 23 3 2 4 2 2" xfId="25264"/>
    <cellStyle name="Output 23 3 2 4 3" xfId="20151"/>
    <cellStyle name="Output 23 3 2 4_Table 2A-1_EFT (Annual)" xfId="7926"/>
    <cellStyle name="Output 23 3 2 5" xfId="10602"/>
    <cellStyle name="Output 23 3 2 5 2" xfId="22718"/>
    <cellStyle name="Output 23 3 2 6" xfId="17605"/>
    <cellStyle name="Output 23 3 2_Table 2A-1_EFT (Annual)" xfId="3411"/>
    <cellStyle name="Output 23 3 3" xfId="2176"/>
    <cellStyle name="Output 23 3 3 2" xfId="5737"/>
    <cellStyle name="Output 23 3 3 2 2" xfId="13952"/>
    <cellStyle name="Output 23 3 3 2 2 2" xfId="25940"/>
    <cellStyle name="Output 23 3 3 2 3" xfId="20827"/>
    <cellStyle name="Output 23 3 3 2_Table 2A-1_EFT (Annual)" xfId="7928"/>
    <cellStyle name="Output 23 3 3 3" xfId="11296"/>
    <cellStyle name="Output 23 3 3 3 2" xfId="23394"/>
    <cellStyle name="Output 23 3 3 4" xfId="18281"/>
    <cellStyle name="Output 23 3 3_Table 2A-1_EFT (Annual)" xfId="7927"/>
    <cellStyle name="Output 23 3 4" xfId="1731"/>
    <cellStyle name="Output 23 3 4 2" xfId="5292"/>
    <cellStyle name="Output 23 3 4 2 2" xfId="13517"/>
    <cellStyle name="Output 23 3 4 2 2 2" xfId="25508"/>
    <cellStyle name="Output 23 3 4 2 3" xfId="20395"/>
    <cellStyle name="Output 23 3 4 2_Table 2A-1_EFT (Annual)" xfId="7930"/>
    <cellStyle name="Output 23 3 4 3" xfId="10860"/>
    <cellStyle name="Output 23 3 4 3 2" xfId="22962"/>
    <cellStyle name="Output 23 3 4 4" xfId="17849"/>
    <cellStyle name="Output 23 3 4_Table 2A-1_EFT (Annual)" xfId="7929"/>
    <cellStyle name="Output 23 3 5" xfId="4030"/>
    <cellStyle name="Output 23 3 5 2" xfId="12354"/>
    <cellStyle name="Output 23 3 5 2 2" xfId="24376"/>
    <cellStyle name="Output 23 3 5 3" xfId="19263"/>
    <cellStyle name="Output 23 3 5_Table 2A-1_EFT (Annual)" xfId="7931"/>
    <cellStyle name="Output 23 3 6" xfId="9693"/>
    <cellStyle name="Output 23 3 6 2" xfId="21830"/>
    <cellStyle name="Output 23 3 7" xfId="16717"/>
    <cellStyle name="Output 23 3_Table 2A-1_EFT (Annual)" xfId="3410"/>
    <cellStyle name="Output 23 4" xfId="1275"/>
    <cellStyle name="Output 23 4 2" xfId="2545"/>
    <cellStyle name="Output 23 4 2 2" xfId="6106"/>
    <cellStyle name="Output 23 4 2 2 2" xfId="14300"/>
    <cellStyle name="Output 23 4 2 2 2 2" xfId="26272"/>
    <cellStyle name="Output 23 4 2 2 3" xfId="21159"/>
    <cellStyle name="Output 23 4 2 2_Table 2A-1_EFT (Annual)" xfId="7933"/>
    <cellStyle name="Output 23 4 2 3" xfId="11642"/>
    <cellStyle name="Output 23 4 2 3 2" xfId="23726"/>
    <cellStyle name="Output 23 4 2 4" xfId="18613"/>
    <cellStyle name="Output 23 4 2_Table 2A-1_EFT (Annual)" xfId="7932"/>
    <cellStyle name="Output 23 4 3" xfId="1843"/>
    <cellStyle name="Output 23 4 3 2" xfId="5404"/>
    <cellStyle name="Output 23 4 3 2 2" xfId="13619"/>
    <cellStyle name="Output 23 4 3 2 2 2" xfId="25607"/>
    <cellStyle name="Output 23 4 3 2 3" xfId="20494"/>
    <cellStyle name="Output 23 4 3 2_Table 2A-1_EFT (Annual)" xfId="7935"/>
    <cellStyle name="Output 23 4 3 3" xfId="10963"/>
    <cellStyle name="Output 23 4 3 3 2" xfId="23061"/>
    <cellStyle name="Output 23 4 3 4" xfId="17948"/>
    <cellStyle name="Output 23 4 3_Table 2A-1_EFT (Annual)" xfId="7934"/>
    <cellStyle name="Output 23 4 4" xfId="4836"/>
    <cellStyle name="Output 23 4 4 2" xfId="13096"/>
    <cellStyle name="Output 23 4 4 2 2" xfId="25102"/>
    <cellStyle name="Output 23 4 4 3" xfId="19989"/>
    <cellStyle name="Output 23 4 4_Table 2A-1_EFT (Annual)" xfId="7936"/>
    <cellStyle name="Output 23 4 5" xfId="10440"/>
    <cellStyle name="Output 23 4 5 2" xfId="22556"/>
    <cellStyle name="Output 23 4 6" xfId="17443"/>
    <cellStyle name="Output 23 4_Table 2A-1_EFT (Annual)" xfId="3412"/>
    <cellStyle name="Output 23 5" xfId="2014"/>
    <cellStyle name="Output 23 5 2" xfId="5575"/>
    <cellStyle name="Output 23 5 2 2" xfId="13790"/>
    <cellStyle name="Output 23 5 2 2 2" xfId="25778"/>
    <cellStyle name="Output 23 5 2 3" xfId="20665"/>
    <cellStyle name="Output 23 5 2_Table 2A-1_EFT (Annual)" xfId="7938"/>
    <cellStyle name="Output 23 5 3" xfId="11134"/>
    <cellStyle name="Output 23 5 3 2" xfId="23232"/>
    <cellStyle name="Output 23 5 4" xfId="18119"/>
    <cellStyle name="Output 23 5_Table 2A-1_EFT (Annual)" xfId="7937"/>
    <cellStyle name="Output 23 6" xfId="1675"/>
    <cellStyle name="Output 23 6 2" xfId="5236"/>
    <cellStyle name="Output 23 6 2 2" xfId="13479"/>
    <cellStyle name="Output 23 6 2 2 2" xfId="25477"/>
    <cellStyle name="Output 23 6 2 3" xfId="20364"/>
    <cellStyle name="Output 23 6 2_Table 2A-1_EFT (Annual)" xfId="7940"/>
    <cellStyle name="Output 23 6 3" xfId="10824"/>
    <cellStyle name="Output 23 6 3 2" xfId="22931"/>
    <cellStyle name="Output 23 6 4" xfId="17818"/>
    <cellStyle name="Output 23 6_Table 2A-1_EFT (Annual)" xfId="7939"/>
    <cellStyle name="Output 23 7" xfId="3822"/>
    <cellStyle name="Output 23 7 2" xfId="12185"/>
    <cellStyle name="Output 23 7 2 2" xfId="24214"/>
    <cellStyle name="Output 23 7 3" xfId="19101"/>
    <cellStyle name="Output 23 7_Table 2A-1_EFT (Annual)" xfId="7941"/>
    <cellStyle name="Output 23 8" xfId="9504"/>
    <cellStyle name="Output 23 8 2" xfId="21668"/>
    <cellStyle name="Output 23 9" xfId="16555"/>
    <cellStyle name="Output 23_Table 2A-1_EFT (Annual)" xfId="3407"/>
    <cellStyle name="Output 24" xfId="184"/>
    <cellStyle name="Output 24 2" xfId="577"/>
    <cellStyle name="Output 24 2 2" xfId="1554"/>
    <cellStyle name="Output 24 2 2 2" xfId="2824"/>
    <cellStyle name="Output 24 2 2 2 2" xfId="6385"/>
    <cellStyle name="Output 24 2 2 2 2 2" xfId="14579"/>
    <cellStyle name="Output 24 2 2 2 2 2 2" xfId="26551"/>
    <cellStyle name="Output 24 2 2 2 2 3" xfId="21438"/>
    <cellStyle name="Output 24 2 2 2 2_Table 2A-1_EFT (Annual)" xfId="7943"/>
    <cellStyle name="Output 24 2 2 2 3" xfId="11921"/>
    <cellStyle name="Output 24 2 2 2 3 2" xfId="24005"/>
    <cellStyle name="Output 24 2 2 2 4" xfId="18892"/>
    <cellStyle name="Output 24 2 2 2_Table 2A-1_EFT (Annual)" xfId="7942"/>
    <cellStyle name="Output 24 2 2 3" xfId="1929"/>
    <cellStyle name="Output 24 2 2 3 2" xfId="5490"/>
    <cellStyle name="Output 24 2 2 3 2 2" xfId="13705"/>
    <cellStyle name="Output 24 2 2 3 2 2 2" xfId="25693"/>
    <cellStyle name="Output 24 2 2 3 2 3" xfId="20580"/>
    <cellStyle name="Output 24 2 2 3 2_Table 2A-1_EFT (Annual)" xfId="7945"/>
    <cellStyle name="Output 24 2 2 3 3" xfId="11049"/>
    <cellStyle name="Output 24 2 2 3 3 2" xfId="23147"/>
    <cellStyle name="Output 24 2 2 3 4" xfId="18034"/>
    <cellStyle name="Output 24 2 2 3_Table 2A-1_EFT (Annual)" xfId="7944"/>
    <cellStyle name="Output 24 2 2 4" xfId="5115"/>
    <cellStyle name="Output 24 2 2 4 2" xfId="13375"/>
    <cellStyle name="Output 24 2 2 4 2 2" xfId="25381"/>
    <cellStyle name="Output 24 2 2 4 3" xfId="20268"/>
    <cellStyle name="Output 24 2 2 4_Table 2A-1_EFT (Annual)" xfId="7946"/>
    <cellStyle name="Output 24 2 2 5" xfId="10719"/>
    <cellStyle name="Output 24 2 2 5 2" xfId="22835"/>
    <cellStyle name="Output 24 2 2 6" xfId="17722"/>
    <cellStyle name="Output 24 2 2_Table 2A-1_EFT (Annual)" xfId="3415"/>
    <cellStyle name="Output 24 2 3" xfId="2293"/>
    <cellStyle name="Output 24 2 3 2" xfId="5854"/>
    <cellStyle name="Output 24 2 3 2 2" xfId="14069"/>
    <cellStyle name="Output 24 2 3 2 2 2" xfId="26057"/>
    <cellStyle name="Output 24 2 3 2 3" xfId="20944"/>
    <cellStyle name="Output 24 2 3 2_Table 2A-1_EFT (Annual)" xfId="7948"/>
    <cellStyle name="Output 24 2 3 3" xfId="11413"/>
    <cellStyle name="Output 24 2 3 3 2" xfId="23511"/>
    <cellStyle name="Output 24 2 3 4" xfId="18398"/>
    <cellStyle name="Output 24 2 3_Table 2A-1_EFT (Annual)" xfId="7947"/>
    <cellStyle name="Output 24 2 4" xfId="1754"/>
    <cellStyle name="Output 24 2 4 2" xfId="5315"/>
    <cellStyle name="Output 24 2 4 2 2" xfId="13540"/>
    <cellStyle name="Output 24 2 4 2 2 2" xfId="25531"/>
    <cellStyle name="Output 24 2 4 2 3" xfId="20418"/>
    <cellStyle name="Output 24 2 4 2_Table 2A-1_EFT (Annual)" xfId="7950"/>
    <cellStyle name="Output 24 2 4 3" xfId="10883"/>
    <cellStyle name="Output 24 2 4 3 2" xfId="22985"/>
    <cellStyle name="Output 24 2 4 4" xfId="17872"/>
    <cellStyle name="Output 24 2 4_Table 2A-1_EFT (Annual)" xfId="7949"/>
    <cellStyle name="Output 24 2 5" xfId="4147"/>
    <cellStyle name="Output 24 2 5 2" xfId="12471"/>
    <cellStyle name="Output 24 2 5 2 2" xfId="24493"/>
    <cellStyle name="Output 24 2 5 3" xfId="19380"/>
    <cellStyle name="Output 24 2 5_Table 2A-1_EFT (Annual)" xfId="7951"/>
    <cellStyle name="Output 24 2 6" xfId="9810"/>
    <cellStyle name="Output 24 2 6 2" xfId="21947"/>
    <cellStyle name="Output 24 2 7" xfId="16834"/>
    <cellStyle name="Output 24 2_Table 2A-1_EFT (Annual)" xfId="3414"/>
    <cellStyle name="Output 24 3" xfId="415"/>
    <cellStyle name="Output 24 3 2" xfId="1398"/>
    <cellStyle name="Output 24 3 2 2" xfId="2668"/>
    <cellStyle name="Output 24 3 2 2 2" xfId="6229"/>
    <cellStyle name="Output 24 3 2 2 2 2" xfId="14423"/>
    <cellStyle name="Output 24 3 2 2 2 2 2" xfId="26395"/>
    <cellStyle name="Output 24 3 2 2 2 3" xfId="21282"/>
    <cellStyle name="Output 24 3 2 2 2_Table 2A-1_EFT (Annual)" xfId="7953"/>
    <cellStyle name="Output 24 3 2 2 3" xfId="11765"/>
    <cellStyle name="Output 24 3 2 2 3 2" xfId="23849"/>
    <cellStyle name="Output 24 3 2 2 4" xfId="18736"/>
    <cellStyle name="Output 24 3 2 2_Table 2A-1_EFT (Annual)" xfId="7952"/>
    <cellStyle name="Output 24 3 2 3" xfId="1898"/>
    <cellStyle name="Output 24 3 2 3 2" xfId="5459"/>
    <cellStyle name="Output 24 3 2 3 2 2" xfId="13674"/>
    <cellStyle name="Output 24 3 2 3 2 2 2" xfId="25662"/>
    <cellStyle name="Output 24 3 2 3 2 3" xfId="20549"/>
    <cellStyle name="Output 24 3 2 3 2_Table 2A-1_EFT (Annual)" xfId="7955"/>
    <cellStyle name="Output 24 3 2 3 3" xfId="11018"/>
    <cellStyle name="Output 24 3 2 3 3 2" xfId="23116"/>
    <cellStyle name="Output 24 3 2 3 4" xfId="18003"/>
    <cellStyle name="Output 24 3 2 3_Table 2A-1_EFT (Annual)" xfId="7954"/>
    <cellStyle name="Output 24 3 2 4" xfId="4959"/>
    <cellStyle name="Output 24 3 2 4 2" xfId="13219"/>
    <cellStyle name="Output 24 3 2 4 2 2" xfId="25225"/>
    <cellStyle name="Output 24 3 2 4 3" xfId="20112"/>
    <cellStyle name="Output 24 3 2 4_Table 2A-1_EFT (Annual)" xfId="7956"/>
    <cellStyle name="Output 24 3 2 5" xfId="10563"/>
    <cellStyle name="Output 24 3 2 5 2" xfId="22679"/>
    <cellStyle name="Output 24 3 2 6" xfId="17566"/>
    <cellStyle name="Output 24 3 2_Table 2A-1_EFT (Annual)" xfId="3417"/>
    <cellStyle name="Output 24 3 3" xfId="2137"/>
    <cellStyle name="Output 24 3 3 2" xfId="5698"/>
    <cellStyle name="Output 24 3 3 2 2" xfId="13913"/>
    <cellStyle name="Output 24 3 3 2 2 2" xfId="25901"/>
    <cellStyle name="Output 24 3 3 2 3" xfId="20788"/>
    <cellStyle name="Output 24 3 3 2_Table 2A-1_EFT (Annual)" xfId="7958"/>
    <cellStyle name="Output 24 3 3 3" xfId="11257"/>
    <cellStyle name="Output 24 3 3 3 2" xfId="23355"/>
    <cellStyle name="Output 24 3 3 4" xfId="18242"/>
    <cellStyle name="Output 24 3 3_Table 2A-1_EFT (Annual)" xfId="7957"/>
    <cellStyle name="Output 24 3 4" xfId="1718"/>
    <cellStyle name="Output 24 3 4 2" xfId="5279"/>
    <cellStyle name="Output 24 3 4 2 2" xfId="13508"/>
    <cellStyle name="Output 24 3 4 2 2 2" xfId="25501"/>
    <cellStyle name="Output 24 3 4 2 3" xfId="20388"/>
    <cellStyle name="Output 24 3 4 2_Table 2A-1_EFT (Annual)" xfId="7960"/>
    <cellStyle name="Output 24 3 4 3" xfId="10852"/>
    <cellStyle name="Output 24 3 4 3 2" xfId="22955"/>
    <cellStyle name="Output 24 3 4 4" xfId="17842"/>
    <cellStyle name="Output 24 3 4_Table 2A-1_EFT (Annual)" xfId="7959"/>
    <cellStyle name="Output 24 3 5" xfId="3985"/>
    <cellStyle name="Output 24 3 5 2" xfId="12313"/>
    <cellStyle name="Output 24 3 5 2 2" xfId="24337"/>
    <cellStyle name="Output 24 3 5 3" xfId="19224"/>
    <cellStyle name="Output 24 3 5_Table 2A-1_EFT (Annual)" xfId="7961"/>
    <cellStyle name="Output 24 3 6" xfId="9650"/>
    <cellStyle name="Output 24 3 6 2" xfId="21791"/>
    <cellStyle name="Output 24 3 7" xfId="16678"/>
    <cellStyle name="Output 24 3_Table 2A-1_EFT (Annual)" xfId="3416"/>
    <cellStyle name="Output 24 4" xfId="1232"/>
    <cellStyle name="Output 24 4 2" xfId="2502"/>
    <cellStyle name="Output 24 4 2 2" xfId="6063"/>
    <cellStyle name="Output 24 4 2 2 2" xfId="14257"/>
    <cellStyle name="Output 24 4 2 2 2 2" xfId="26229"/>
    <cellStyle name="Output 24 4 2 2 3" xfId="21116"/>
    <cellStyle name="Output 24 4 2 2_Table 2A-1_EFT (Annual)" xfId="7963"/>
    <cellStyle name="Output 24 4 2 3" xfId="11599"/>
    <cellStyle name="Output 24 4 2 3 2" xfId="23683"/>
    <cellStyle name="Output 24 4 2 4" xfId="18570"/>
    <cellStyle name="Output 24 4 2_Table 2A-1_EFT (Annual)" xfId="7962"/>
    <cellStyle name="Output 24 4 3" xfId="1834"/>
    <cellStyle name="Output 24 4 3 2" xfId="5395"/>
    <cellStyle name="Output 24 4 3 2 2" xfId="13610"/>
    <cellStyle name="Output 24 4 3 2 2 2" xfId="25598"/>
    <cellStyle name="Output 24 4 3 2 3" xfId="20485"/>
    <cellStyle name="Output 24 4 3 2_Table 2A-1_EFT (Annual)" xfId="7965"/>
    <cellStyle name="Output 24 4 3 3" xfId="10954"/>
    <cellStyle name="Output 24 4 3 3 2" xfId="23052"/>
    <cellStyle name="Output 24 4 3 4" xfId="17939"/>
    <cellStyle name="Output 24 4 3_Table 2A-1_EFT (Annual)" xfId="7964"/>
    <cellStyle name="Output 24 4 4" xfId="4793"/>
    <cellStyle name="Output 24 4 4 2" xfId="13053"/>
    <cellStyle name="Output 24 4 4 2 2" xfId="25059"/>
    <cellStyle name="Output 24 4 4 3" xfId="19946"/>
    <cellStyle name="Output 24 4 4_Table 2A-1_EFT (Annual)" xfId="7966"/>
    <cellStyle name="Output 24 4 5" xfId="10397"/>
    <cellStyle name="Output 24 4 5 2" xfId="22513"/>
    <cellStyle name="Output 24 4 6" xfId="17400"/>
    <cellStyle name="Output 24 4_Table 2A-1_EFT (Annual)" xfId="3418"/>
    <cellStyle name="Output 24 5" xfId="1971"/>
    <cellStyle name="Output 24 5 2" xfId="5532"/>
    <cellStyle name="Output 24 5 2 2" xfId="13747"/>
    <cellStyle name="Output 24 5 2 2 2" xfId="25735"/>
    <cellStyle name="Output 24 5 2 3" xfId="20622"/>
    <cellStyle name="Output 24 5 2_Table 2A-1_EFT (Annual)" xfId="7968"/>
    <cellStyle name="Output 24 5 3" xfId="11091"/>
    <cellStyle name="Output 24 5 3 2" xfId="23189"/>
    <cellStyle name="Output 24 5 4" xfId="18076"/>
    <cellStyle name="Output 24 5_Table 2A-1_EFT (Annual)" xfId="7967"/>
    <cellStyle name="Output 24 6" xfId="1661"/>
    <cellStyle name="Output 24 6 2" xfId="5222"/>
    <cellStyle name="Output 24 6 2 2" xfId="13469"/>
    <cellStyle name="Output 24 6 2 2 2" xfId="25469"/>
    <cellStyle name="Output 24 6 2 3" xfId="20356"/>
    <cellStyle name="Output 24 6 2_Table 2A-1_EFT (Annual)" xfId="7970"/>
    <cellStyle name="Output 24 6 3" xfId="10814"/>
    <cellStyle name="Output 24 6 3 2" xfId="22923"/>
    <cellStyle name="Output 24 6 4" xfId="17810"/>
    <cellStyle name="Output 24 6_Table 2A-1_EFT (Annual)" xfId="7969"/>
    <cellStyle name="Output 24 7" xfId="3773"/>
    <cellStyle name="Output 24 7 2" xfId="12141"/>
    <cellStyle name="Output 24 7 2 2" xfId="24171"/>
    <cellStyle name="Output 24 7 3" xfId="19058"/>
    <cellStyle name="Output 24 7_Table 2A-1_EFT (Annual)" xfId="7971"/>
    <cellStyle name="Output 24 8" xfId="9460"/>
    <cellStyle name="Output 24 8 2" xfId="21625"/>
    <cellStyle name="Output 24 9" xfId="16512"/>
    <cellStyle name="Output 24_Table 2A-1_EFT (Annual)" xfId="3413"/>
    <cellStyle name="Output 25" xfId="241"/>
    <cellStyle name="Output 25 2" xfId="628"/>
    <cellStyle name="Output 25 2 2" xfId="1605"/>
    <cellStyle name="Output 25 2 2 2" xfId="2875"/>
    <cellStyle name="Output 25 2 2 2 2" xfId="6436"/>
    <cellStyle name="Output 25 2 2 2 2 2" xfId="14630"/>
    <cellStyle name="Output 25 2 2 2 2 2 2" xfId="26602"/>
    <cellStyle name="Output 25 2 2 2 2 3" xfId="21489"/>
    <cellStyle name="Output 25 2 2 2 2_Table 2A-1_EFT (Annual)" xfId="7973"/>
    <cellStyle name="Output 25 2 2 2 3" xfId="11972"/>
    <cellStyle name="Output 25 2 2 2 3 2" xfId="24056"/>
    <cellStyle name="Output 25 2 2 2 4" xfId="18943"/>
    <cellStyle name="Output 25 2 2 2_Table 2A-1_EFT (Annual)" xfId="7972"/>
    <cellStyle name="Output 25 2 2 3" xfId="1939"/>
    <cellStyle name="Output 25 2 2 3 2" xfId="5500"/>
    <cellStyle name="Output 25 2 2 3 2 2" xfId="13715"/>
    <cellStyle name="Output 25 2 2 3 2 2 2" xfId="25703"/>
    <cellStyle name="Output 25 2 2 3 2 3" xfId="20590"/>
    <cellStyle name="Output 25 2 2 3 2_Table 2A-1_EFT (Annual)" xfId="7975"/>
    <cellStyle name="Output 25 2 2 3 3" xfId="11059"/>
    <cellStyle name="Output 25 2 2 3 3 2" xfId="23157"/>
    <cellStyle name="Output 25 2 2 3 4" xfId="18044"/>
    <cellStyle name="Output 25 2 2 3_Table 2A-1_EFT (Annual)" xfId="7974"/>
    <cellStyle name="Output 25 2 2 4" xfId="5166"/>
    <cellStyle name="Output 25 2 2 4 2" xfId="13426"/>
    <cellStyle name="Output 25 2 2 4 2 2" xfId="25432"/>
    <cellStyle name="Output 25 2 2 4 3" xfId="20319"/>
    <cellStyle name="Output 25 2 2 4_Table 2A-1_EFT (Annual)" xfId="7976"/>
    <cellStyle name="Output 25 2 2 5" xfId="10770"/>
    <cellStyle name="Output 25 2 2 5 2" xfId="22886"/>
    <cellStyle name="Output 25 2 2 6" xfId="17773"/>
    <cellStyle name="Output 25 2 2_Table 2A-1_EFT (Annual)" xfId="3421"/>
    <cellStyle name="Output 25 2 3" xfId="2344"/>
    <cellStyle name="Output 25 2 3 2" xfId="5905"/>
    <cellStyle name="Output 25 2 3 2 2" xfId="14120"/>
    <cellStyle name="Output 25 2 3 2 2 2" xfId="26108"/>
    <cellStyle name="Output 25 2 3 2 3" xfId="20995"/>
    <cellStyle name="Output 25 2 3 2_Table 2A-1_EFT (Annual)" xfId="7978"/>
    <cellStyle name="Output 25 2 3 3" xfId="11464"/>
    <cellStyle name="Output 25 2 3 3 2" xfId="23562"/>
    <cellStyle name="Output 25 2 3 4" xfId="18449"/>
    <cellStyle name="Output 25 2 3_Table 2A-1_EFT (Annual)" xfId="7977"/>
    <cellStyle name="Output 25 2 4" xfId="1764"/>
    <cellStyle name="Output 25 2 4 2" xfId="5325"/>
    <cellStyle name="Output 25 2 4 2 2" xfId="13550"/>
    <cellStyle name="Output 25 2 4 2 2 2" xfId="25541"/>
    <cellStyle name="Output 25 2 4 2 3" xfId="20428"/>
    <cellStyle name="Output 25 2 4 2_Table 2A-1_EFT (Annual)" xfId="7980"/>
    <cellStyle name="Output 25 2 4 3" xfId="10893"/>
    <cellStyle name="Output 25 2 4 3 2" xfId="22995"/>
    <cellStyle name="Output 25 2 4 4" xfId="17882"/>
    <cellStyle name="Output 25 2 4_Table 2A-1_EFT (Annual)" xfId="7979"/>
    <cellStyle name="Output 25 2 5" xfId="4198"/>
    <cellStyle name="Output 25 2 5 2" xfId="12522"/>
    <cellStyle name="Output 25 2 5 2 2" xfId="24544"/>
    <cellStyle name="Output 25 2 5 3" xfId="19431"/>
    <cellStyle name="Output 25 2 5_Table 2A-1_EFT (Annual)" xfId="7981"/>
    <cellStyle name="Output 25 2 6" xfId="9861"/>
    <cellStyle name="Output 25 2 6 2" xfId="21998"/>
    <cellStyle name="Output 25 2 7" xfId="16885"/>
    <cellStyle name="Output 25 2_Table 2A-1_EFT (Annual)" xfId="3420"/>
    <cellStyle name="Output 25 3" xfId="467"/>
    <cellStyle name="Output 25 3 2" xfId="1444"/>
    <cellStyle name="Output 25 3 2 2" xfId="2714"/>
    <cellStyle name="Output 25 3 2 2 2" xfId="6275"/>
    <cellStyle name="Output 25 3 2 2 2 2" xfId="14469"/>
    <cellStyle name="Output 25 3 2 2 2 2 2" xfId="26441"/>
    <cellStyle name="Output 25 3 2 2 2 3" xfId="21328"/>
    <cellStyle name="Output 25 3 2 2 2_Table 2A-1_EFT (Annual)" xfId="7983"/>
    <cellStyle name="Output 25 3 2 2 3" xfId="11811"/>
    <cellStyle name="Output 25 3 2 2 3 2" xfId="23895"/>
    <cellStyle name="Output 25 3 2 2 4" xfId="18782"/>
    <cellStyle name="Output 25 3 2 2_Table 2A-1_EFT (Annual)" xfId="7982"/>
    <cellStyle name="Output 25 3 2 3" xfId="1908"/>
    <cellStyle name="Output 25 3 2 3 2" xfId="5469"/>
    <cellStyle name="Output 25 3 2 3 2 2" xfId="13684"/>
    <cellStyle name="Output 25 3 2 3 2 2 2" xfId="25672"/>
    <cellStyle name="Output 25 3 2 3 2 3" xfId="20559"/>
    <cellStyle name="Output 25 3 2 3 2_Table 2A-1_EFT (Annual)" xfId="7985"/>
    <cellStyle name="Output 25 3 2 3 3" xfId="11028"/>
    <cellStyle name="Output 25 3 2 3 3 2" xfId="23126"/>
    <cellStyle name="Output 25 3 2 3 4" xfId="18013"/>
    <cellStyle name="Output 25 3 2 3_Table 2A-1_EFT (Annual)" xfId="7984"/>
    <cellStyle name="Output 25 3 2 4" xfId="5005"/>
    <cellStyle name="Output 25 3 2 4 2" xfId="13265"/>
    <cellStyle name="Output 25 3 2 4 2 2" xfId="25271"/>
    <cellStyle name="Output 25 3 2 4 3" xfId="20158"/>
    <cellStyle name="Output 25 3 2 4_Table 2A-1_EFT (Annual)" xfId="7986"/>
    <cellStyle name="Output 25 3 2 5" xfId="10609"/>
    <cellStyle name="Output 25 3 2 5 2" xfId="22725"/>
    <cellStyle name="Output 25 3 2 6" xfId="17612"/>
    <cellStyle name="Output 25 3 2_Table 2A-1_EFT (Annual)" xfId="3423"/>
    <cellStyle name="Output 25 3 3" xfId="2183"/>
    <cellStyle name="Output 25 3 3 2" xfId="5744"/>
    <cellStyle name="Output 25 3 3 2 2" xfId="13959"/>
    <cellStyle name="Output 25 3 3 2 2 2" xfId="25947"/>
    <cellStyle name="Output 25 3 3 2 3" xfId="20834"/>
    <cellStyle name="Output 25 3 3 2_Table 2A-1_EFT (Annual)" xfId="7988"/>
    <cellStyle name="Output 25 3 3 3" xfId="11303"/>
    <cellStyle name="Output 25 3 3 3 2" xfId="23401"/>
    <cellStyle name="Output 25 3 3 4" xfId="18288"/>
    <cellStyle name="Output 25 3 3_Table 2A-1_EFT (Annual)" xfId="7987"/>
    <cellStyle name="Output 25 3 4" xfId="1733"/>
    <cellStyle name="Output 25 3 4 2" xfId="5294"/>
    <cellStyle name="Output 25 3 4 2 2" xfId="13519"/>
    <cellStyle name="Output 25 3 4 2 2 2" xfId="25510"/>
    <cellStyle name="Output 25 3 4 2 3" xfId="20397"/>
    <cellStyle name="Output 25 3 4 2_Table 2A-1_EFT (Annual)" xfId="7990"/>
    <cellStyle name="Output 25 3 4 3" xfId="10862"/>
    <cellStyle name="Output 25 3 4 3 2" xfId="22964"/>
    <cellStyle name="Output 25 3 4 4" xfId="17851"/>
    <cellStyle name="Output 25 3 4_Table 2A-1_EFT (Annual)" xfId="7989"/>
    <cellStyle name="Output 25 3 5" xfId="4037"/>
    <cellStyle name="Output 25 3 5 2" xfId="12361"/>
    <cellStyle name="Output 25 3 5 2 2" xfId="24383"/>
    <cellStyle name="Output 25 3 5 3" xfId="19270"/>
    <cellStyle name="Output 25 3 5_Table 2A-1_EFT (Annual)" xfId="7991"/>
    <cellStyle name="Output 25 3 6" xfId="9700"/>
    <cellStyle name="Output 25 3 6 2" xfId="21837"/>
    <cellStyle name="Output 25 3 7" xfId="16724"/>
    <cellStyle name="Output 25 3_Table 2A-1_EFT (Annual)" xfId="3422"/>
    <cellStyle name="Output 25 4" xfId="1283"/>
    <cellStyle name="Output 25 4 2" xfId="2553"/>
    <cellStyle name="Output 25 4 2 2" xfId="6114"/>
    <cellStyle name="Output 25 4 2 2 2" xfId="14308"/>
    <cellStyle name="Output 25 4 2 2 2 2" xfId="26280"/>
    <cellStyle name="Output 25 4 2 2 3" xfId="21167"/>
    <cellStyle name="Output 25 4 2 2_Table 2A-1_EFT (Annual)" xfId="7993"/>
    <cellStyle name="Output 25 4 2 3" xfId="11650"/>
    <cellStyle name="Output 25 4 2 3 2" xfId="23734"/>
    <cellStyle name="Output 25 4 2 4" xfId="18621"/>
    <cellStyle name="Output 25 4 2_Table 2A-1_EFT (Annual)" xfId="7992"/>
    <cellStyle name="Output 25 4 3" xfId="1845"/>
    <cellStyle name="Output 25 4 3 2" xfId="5406"/>
    <cellStyle name="Output 25 4 3 2 2" xfId="13621"/>
    <cellStyle name="Output 25 4 3 2 2 2" xfId="25609"/>
    <cellStyle name="Output 25 4 3 2 3" xfId="20496"/>
    <cellStyle name="Output 25 4 3 2_Table 2A-1_EFT (Annual)" xfId="7995"/>
    <cellStyle name="Output 25 4 3 3" xfId="10965"/>
    <cellStyle name="Output 25 4 3 3 2" xfId="23063"/>
    <cellStyle name="Output 25 4 3 4" xfId="17950"/>
    <cellStyle name="Output 25 4 3_Table 2A-1_EFT (Annual)" xfId="7994"/>
    <cellStyle name="Output 25 4 4" xfId="4844"/>
    <cellStyle name="Output 25 4 4 2" xfId="13104"/>
    <cellStyle name="Output 25 4 4 2 2" xfId="25110"/>
    <cellStyle name="Output 25 4 4 3" xfId="19997"/>
    <cellStyle name="Output 25 4 4_Table 2A-1_EFT (Annual)" xfId="7996"/>
    <cellStyle name="Output 25 4 5" xfId="10448"/>
    <cellStyle name="Output 25 4 5 2" xfId="22564"/>
    <cellStyle name="Output 25 4 6" xfId="17451"/>
    <cellStyle name="Output 25 4_Table 2A-1_EFT (Annual)" xfId="3424"/>
    <cellStyle name="Output 25 5" xfId="2022"/>
    <cellStyle name="Output 25 5 2" xfId="5583"/>
    <cellStyle name="Output 25 5 2 2" xfId="13798"/>
    <cellStyle name="Output 25 5 2 2 2" xfId="25786"/>
    <cellStyle name="Output 25 5 2 3" xfId="20673"/>
    <cellStyle name="Output 25 5 2_Table 2A-1_EFT (Annual)" xfId="7998"/>
    <cellStyle name="Output 25 5 3" xfId="11142"/>
    <cellStyle name="Output 25 5 3 2" xfId="23240"/>
    <cellStyle name="Output 25 5 4" xfId="18127"/>
    <cellStyle name="Output 25 5_Table 2A-1_EFT (Annual)" xfId="7997"/>
    <cellStyle name="Output 25 6" xfId="1677"/>
    <cellStyle name="Output 25 6 2" xfId="5238"/>
    <cellStyle name="Output 25 6 2 2" xfId="13481"/>
    <cellStyle name="Output 25 6 2 2 2" xfId="25479"/>
    <cellStyle name="Output 25 6 2 3" xfId="20366"/>
    <cellStyle name="Output 25 6 2_Table 2A-1_EFT (Annual)" xfId="8000"/>
    <cellStyle name="Output 25 6 3" xfId="10826"/>
    <cellStyle name="Output 25 6 3 2" xfId="22933"/>
    <cellStyle name="Output 25 6 4" xfId="17820"/>
    <cellStyle name="Output 25 6_Table 2A-1_EFT (Annual)" xfId="7999"/>
    <cellStyle name="Output 25 7" xfId="3830"/>
    <cellStyle name="Output 25 7 2" xfId="12193"/>
    <cellStyle name="Output 25 7 2 2" xfId="24222"/>
    <cellStyle name="Output 25 7 3" xfId="19109"/>
    <cellStyle name="Output 25 7_Table 2A-1_EFT (Annual)" xfId="8001"/>
    <cellStyle name="Output 25 8" xfId="9512"/>
    <cellStyle name="Output 25 8 2" xfId="21676"/>
    <cellStyle name="Output 25 9" xfId="16563"/>
    <cellStyle name="Output 25_Table 2A-1_EFT (Annual)" xfId="3419"/>
    <cellStyle name="Output 26" xfId="197"/>
    <cellStyle name="Output 26 2" xfId="590"/>
    <cellStyle name="Output 26 2 2" xfId="1567"/>
    <cellStyle name="Output 26 2 2 2" xfId="2837"/>
    <cellStyle name="Output 26 2 2 2 2" xfId="6398"/>
    <cellStyle name="Output 26 2 2 2 2 2" xfId="14592"/>
    <cellStyle name="Output 26 2 2 2 2 2 2" xfId="26564"/>
    <cellStyle name="Output 26 2 2 2 2 3" xfId="21451"/>
    <cellStyle name="Output 26 2 2 2 2_Table 2A-1_EFT (Annual)" xfId="8003"/>
    <cellStyle name="Output 26 2 2 2 3" xfId="11934"/>
    <cellStyle name="Output 26 2 2 2 3 2" xfId="24018"/>
    <cellStyle name="Output 26 2 2 2 4" xfId="18905"/>
    <cellStyle name="Output 26 2 2 2_Table 2A-1_EFT (Annual)" xfId="8002"/>
    <cellStyle name="Output 26 2 2 3" xfId="1931"/>
    <cellStyle name="Output 26 2 2 3 2" xfId="5492"/>
    <cellStyle name="Output 26 2 2 3 2 2" xfId="13707"/>
    <cellStyle name="Output 26 2 2 3 2 2 2" xfId="25695"/>
    <cellStyle name="Output 26 2 2 3 2 3" xfId="20582"/>
    <cellStyle name="Output 26 2 2 3 2_Table 2A-1_EFT (Annual)" xfId="8005"/>
    <cellStyle name="Output 26 2 2 3 3" xfId="11051"/>
    <cellStyle name="Output 26 2 2 3 3 2" xfId="23149"/>
    <cellStyle name="Output 26 2 2 3 4" xfId="18036"/>
    <cellStyle name="Output 26 2 2 3_Table 2A-1_EFT (Annual)" xfId="8004"/>
    <cellStyle name="Output 26 2 2 4" xfId="5128"/>
    <cellStyle name="Output 26 2 2 4 2" xfId="13388"/>
    <cellStyle name="Output 26 2 2 4 2 2" xfId="25394"/>
    <cellStyle name="Output 26 2 2 4 3" xfId="20281"/>
    <cellStyle name="Output 26 2 2 4_Table 2A-1_EFT (Annual)" xfId="8006"/>
    <cellStyle name="Output 26 2 2 5" xfId="10732"/>
    <cellStyle name="Output 26 2 2 5 2" xfId="22848"/>
    <cellStyle name="Output 26 2 2 6" xfId="17735"/>
    <cellStyle name="Output 26 2 2_Table 2A-1_EFT (Annual)" xfId="3427"/>
    <cellStyle name="Output 26 2 3" xfId="2306"/>
    <cellStyle name="Output 26 2 3 2" xfId="5867"/>
    <cellStyle name="Output 26 2 3 2 2" xfId="14082"/>
    <cellStyle name="Output 26 2 3 2 2 2" xfId="26070"/>
    <cellStyle name="Output 26 2 3 2 3" xfId="20957"/>
    <cellStyle name="Output 26 2 3 2_Table 2A-1_EFT (Annual)" xfId="8008"/>
    <cellStyle name="Output 26 2 3 3" xfId="11426"/>
    <cellStyle name="Output 26 2 3 3 2" xfId="23524"/>
    <cellStyle name="Output 26 2 3 4" xfId="18411"/>
    <cellStyle name="Output 26 2 3_Table 2A-1_EFT (Annual)" xfId="8007"/>
    <cellStyle name="Output 26 2 4" xfId="1756"/>
    <cellStyle name="Output 26 2 4 2" xfId="5317"/>
    <cellStyle name="Output 26 2 4 2 2" xfId="13542"/>
    <cellStyle name="Output 26 2 4 2 2 2" xfId="25533"/>
    <cellStyle name="Output 26 2 4 2 3" xfId="20420"/>
    <cellStyle name="Output 26 2 4 2_Table 2A-1_EFT (Annual)" xfId="8010"/>
    <cellStyle name="Output 26 2 4 3" xfId="10885"/>
    <cellStyle name="Output 26 2 4 3 2" xfId="22987"/>
    <cellStyle name="Output 26 2 4 4" xfId="17874"/>
    <cellStyle name="Output 26 2 4_Table 2A-1_EFT (Annual)" xfId="8009"/>
    <cellStyle name="Output 26 2 5" xfId="4160"/>
    <cellStyle name="Output 26 2 5 2" xfId="12484"/>
    <cellStyle name="Output 26 2 5 2 2" xfId="24506"/>
    <cellStyle name="Output 26 2 5 3" xfId="19393"/>
    <cellStyle name="Output 26 2 5_Table 2A-1_EFT (Annual)" xfId="8011"/>
    <cellStyle name="Output 26 2 6" xfId="9823"/>
    <cellStyle name="Output 26 2 6 2" xfId="21960"/>
    <cellStyle name="Output 26 2 7" xfId="16847"/>
    <cellStyle name="Output 26 2_Table 2A-1_EFT (Annual)" xfId="3426"/>
    <cellStyle name="Output 26 3" xfId="426"/>
    <cellStyle name="Output 26 3 2" xfId="1409"/>
    <cellStyle name="Output 26 3 2 2" xfId="2679"/>
    <cellStyle name="Output 26 3 2 2 2" xfId="6240"/>
    <cellStyle name="Output 26 3 2 2 2 2" xfId="14434"/>
    <cellStyle name="Output 26 3 2 2 2 2 2" xfId="26406"/>
    <cellStyle name="Output 26 3 2 2 2 3" xfId="21293"/>
    <cellStyle name="Output 26 3 2 2 2_Table 2A-1_EFT (Annual)" xfId="8013"/>
    <cellStyle name="Output 26 3 2 2 3" xfId="11776"/>
    <cellStyle name="Output 26 3 2 2 3 2" xfId="23860"/>
    <cellStyle name="Output 26 3 2 2 4" xfId="18747"/>
    <cellStyle name="Output 26 3 2 2_Table 2A-1_EFT (Annual)" xfId="8012"/>
    <cellStyle name="Output 26 3 2 3" xfId="1900"/>
    <cellStyle name="Output 26 3 2 3 2" xfId="5461"/>
    <cellStyle name="Output 26 3 2 3 2 2" xfId="13676"/>
    <cellStyle name="Output 26 3 2 3 2 2 2" xfId="25664"/>
    <cellStyle name="Output 26 3 2 3 2 3" xfId="20551"/>
    <cellStyle name="Output 26 3 2 3 2_Table 2A-1_EFT (Annual)" xfId="8015"/>
    <cellStyle name="Output 26 3 2 3 3" xfId="11020"/>
    <cellStyle name="Output 26 3 2 3 3 2" xfId="23118"/>
    <cellStyle name="Output 26 3 2 3 4" xfId="18005"/>
    <cellStyle name="Output 26 3 2 3_Table 2A-1_EFT (Annual)" xfId="8014"/>
    <cellStyle name="Output 26 3 2 4" xfId="4970"/>
    <cellStyle name="Output 26 3 2 4 2" xfId="13230"/>
    <cellStyle name="Output 26 3 2 4 2 2" xfId="25236"/>
    <cellStyle name="Output 26 3 2 4 3" xfId="20123"/>
    <cellStyle name="Output 26 3 2 4_Table 2A-1_EFT (Annual)" xfId="8016"/>
    <cellStyle name="Output 26 3 2 5" xfId="10574"/>
    <cellStyle name="Output 26 3 2 5 2" xfId="22690"/>
    <cellStyle name="Output 26 3 2 6" xfId="17577"/>
    <cellStyle name="Output 26 3 2_Table 2A-1_EFT (Annual)" xfId="3429"/>
    <cellStyle name="Output 26 3 3" xfId="2148"/>
    <cellStyle name="Output 26 3 3 2" xfId="5709"/>
    <cellStyle name="Output 26 3 3 2 2" xfId="13924"/>
    <cellStyle name="Output 26 3 3 2 2 2" xfId="25912"/>
    <cellStyle name="Output 26 3 3 2 3" xfId="20799"/>
    <cellStyle name="Output 26 3 3 2_Table 2A-1_EFT (Annual)" xfId="8018"/>
    <cellStyle name="Output 26 3 3 3" xfId="11268"/>
    <cellStyle name="Output 26 3 3 3 2" xfId="23366"/>
    <cellStyle name="Output 26 3 3 4" xfId="18253"/>
    <cellStyle name="Output 26 3 3_Table 2A-1_EFT (Annual)" xfId="8017"/>
    <cellStyle name="Output 26 3 4" xfId="1720"/>
    <cellStyle name="Output 26 3 4 2" xfId="5281"/>
    <cellStyle name="Output 26 3 4 2 2" xfId="13510"/>
    <cellStyle name="Output 26 3 4 2 2 2" xfId="25503"/>
    <cellStyle name="Output 26 3 4 2 3" xfId="20390"/>
    <cellStyle name="Output 26 3 4 2_Table 2A-1_EFT (Annual)" xfId="8020"/>
    <cellStyle name="Output 26 3 4 3" xfId="10854"/>
    <cellStyle name="Output 26 3 4 3 2" xfId="22957"/>
    <cellStyle name="Output 26 3 4 4" xfId="17844"/>
    <cellStyle name="Output 26 3 4_Table 2A-1_EFT (Annual)" xfId="8019"/>
    <cellStyle name="Output 26 3 5" xfId="3996"/>
    <cellStyle name="Output 26 3 5 2" xfId="12324"/>
    <cellStyle name="Output 26 3 5 2 2" xfId="24348"/>
    <cellStyle name="Output 26 3 5 3" xfId="19235"/>
    <cellStyle name="Output 26 3 5_Table 2A-1_EFT (Annual)" xfId="8021"/>
    <cellStyle name="Output 26 3 6" xfId="9661"/>
    <cellStyle name="Output 26 3 6 2" xfId="21802"/>
    <cellStyle name="Output 26 3 7" xfId="16689"/>
    <cellStyle name="Output 26 3_Table 2A-1_EFT (Annual)" xfId="3428"/>
    <cellStyle name="Output 26 4" xfId="1245"/>
    <cellStyle name="Output 26 4 2" xfId="2515"/>
    <cellStyle name="Output 26 4 2 2" xfId="6076"/>
    <cellStyle name="Output 26 4 2 2 2" xfId="14270"/>
    <cellStyle name="Output 26 4 2 2 2 2" xfId="26242"/>
    <cellStyle name="Output 26 4 2 2 3" xfId="21129"/>
    <cellStyle name="Output 26 4 2 2_Table 2A-1_EFT (Annual)" xfId="8023"/>
    <cellStyle name="Output 26 4 2 3" xfId="11612"/>
    <cellStyle name="Output 26 4 2 3 2" xfId="23696"/>
    <cellStyle name="Output 26 4 2 4" xfId="18583"/>
    <cellStyle name="Output 26 4 2_Table 2A-1_EFT (Annual)" xfId="8022"/>
    <cellStyle name="Output 26 4 3" xfId="1836"/>
    <cellStyle name="Output 26 4 3 2" xfId="5397"/>
    <cellStyle name="Output 26 4 3 2 2" xfId="13612"/>
    <cellStyle name="Output 26 4 3 2 2 2" xfId="25600"/>
    <cellStyle name="Output 26 4 3 2 3" xfId="20487"/>
    <cellStyle name="Output 26 4 3 2_Table 2A-1_EFT (Annual)" xfId="8025"/>
    <cellStyle name="Output 26 4 3 3" xfId="10956"/>
    <cellStyle name="Output 26 4 3 3 2" xfId="23054"/>
    <cellStyle name="Output 26 4 3 4" xfId="17941"/>
    <cellStyle name="Output 26 4 3_Table 2A-1_EFT (Annual)" xfId="8024"/>
    <cellStyle name="Output 26 4 4" xfId="4806"/>
    <cellStyle name="Output 26 4 4 2" xfId="13066"/>
    <cellStyle name="Output 26 4 4 2 2" xfId="25072"/>
    <cellStyle name="Output 26 4 4 3" xfId="19959"/>
    <cellStyle name="Output 26 4 4_Table 2A-1_EFT (Annual)" xfId="8026"/>
    <cellStyle name="Output 26 4 5" xfId="10410"/>
    <cellStyle name="Output 26 4 5 2" xfId="22526"/>
    <cellStyle name="Output 26 4 6" xfId="17413"/>
    <cellStyle name="Output 26 4_Table 2A-1_EFT (Annual)" xfId="3430"/>
    <cellStyle name="Output 26 5" xfId="1984"/>
    <cellStyle name="Output 26 5 2" xfId="5545"/>
    <cellStyle name="Output 26 5 2 2" xfId="13760"/>
    <cellStyle name="Output 26 5 2 2 2" xfId="25748"/>
    <cellStyle name="Output 26 5 2 3" xfId="20635"/>
    <cellStyle name="Output 26 5 2_Table 2A-1_EFT (Annual)" xfId="8028"/>
    <cellStyle name="Output 26 5 3" xfId="11104"/>
    <cellStyle name="Output 26 5 3 2" xfId="23202"/>
    <cellStyle name="Output 26 5 4" xfId="18089"/>
    <cellStyle name="Output 26 5_Table 2A-1_EFT (Annual)" xfId="8027"/>
    <cellStyle name="Output 26 6" xfId="1663"/>
    <cellStyle name="Output 26 6 2" xfId="5224"/>
    <cellStyle name="Output 26 6 2 2" xfId="13471"/>
    <cellStyle name="Output 26 6 2 2 2" xfId="25471"/>
    <cellStyle name="Output 26 6 2 3" xfId="20358"/>
    <cellStyle name="Output 26 6 2_Table 2A-1_EFT (Annual)" xfId="8030"/>
    <cellStyle name="Output 26 6 3" xfId="10816"/>
    <cellStyle name="Output 26 6 3 2" xfId="22925"/>
    <cellStyle name="Output 26 6 4" xfId="17812"/>
    <cellStyle name="Output 26 6_Table 2A-1_EFT (Annual)" xfId="8029"/>
    <cellStyle name="Output 26 7" xfId="3786"/>
    <cellStyle name="Output 26 7 2" xfId="12154"/>
    <cellStyle name="Output 26 7 2 2" xfId="24184"/>
    <cellStyle name="Output 26 7 3" xfId="19071"/>
    <cellStyle name="Output 26 7_Table 2A-1_EFT (Annual)" xfId="8031"/>
    <cellStyle name="Output 26 8" xfId="9473"/>
    <cellStyle name="Output 26 8 2" xfId="21638"/>
    <cellStyle name="Output 26 9" xfId="16525"/>
    <cellStyle name="Output 26_Table 2A-1_EFT (Annual)" xfId="3425"/>
    <cellStyle name="Output 27" xfId="236"/>
    <cellStyle name="Output 27 2" xfId="623"/>
    <cellStyle name="Output 27 2 2" xfId="1600"/>
    <cellStyle name="Output 27 2 2 2" xfId="2870"/>
    <cellStyle name="Output 27 2 2 2 2" xfId="6431"/>
    <cellStyle name="Output 27 2 2 2 2 2" xfId="14625"/>
    <cellStyle name="Output 27 2 2 2 2 2 2" xfId="26597"/>
    <cellStyle name="Output 27 2 2 2 2 3" xfId="21484"/>
    <cellStyle name="Output 27 2 2 2 2_Table 2A-1_EFT (Annual)" xfId="8033"/>
    <cellStyle name="Output 27 2 2 2 3" xfId="11967"/>
    <cellStyle name="Output 27 2 2 2 3 2" xfId="24051"/>
    <cellStyle name="Output 27 2 2 2 4" xfId="18938"/>
    <cellStyle name="Output 27 2 2 2_Table 2A-1_EFT (Annual)" xfId="8032"/>
    <cellStyle name="Output 27 2 2 3" xfId="1938"/>
    <cellStyle name="Output 27 2 2 3 2" xfId="5499"/>
    <cellStyle name="Output 27 2 2 3 2 2" xfId="13714"/>
    <cellStyle name="Output 27 2 2 3 2 2 2" xfId="25702"/>
    <cellStyle name="Output 27 2 2 3 2 3" xfId="20589"/>
    <cellStyle name="Output 27 2 2 3 2_Table 2A-1_EFT (Annual)" xfId="8035"/>
    <cellStyle name="Output 27 2 2 3 3" xfId="11058"/>
    <cellStyle name="Output 27 2 2 3 3 2" xfId="23156"/>
    <cellStyle name="Output 27 2 2 3 4" xfId="18043"/>
    <cellStyle name="Output 27 2 2 3_Table 2A-1_EFT (Annual)" xfId="8034"/>
    <cellStyle name="Output 27 2 2 4" xfId="5161"/>
    <cellStyle name="Output 27 2 2 4 2" xfId="13421"/>
    <cellStyle name="Output 27 2 2 4 2 2" xfId="25427"/>
    <cellStyle name="Output 27 2 2 4 3" xfId="20314"/>
    <cellStyle name="Output 27 2 2 4_Table 2A-1_EFT (Annual)" xfId="8036"/>
    <cellStyle name="Output 27 2 2 5" xfId="10765"/>
    <cellStyle name="Output 27 2 2 5 2" xfId="22881"/>
    <cellStyle name="Output 27 2 2 6" xfId="17768"/>
    <cellStyle name="Output 27 2 2_Table 2A-1_EFT (Annual)" xfId="3433"/>
    <cellStyle name="Output 27 2 3" xfId="2339"/>
    <cellStyle name="Output 27 2 3 2" xfId="5900"/>
    <cellStyle name="Output 27 2 3 2 2" xfId="14115"/>
    <cellStyle name="Output 27 2 3 2 2 2" xfId="26103"/>
    <cellStyle name="Output 27 2 3 2 3" xfId="20990"/>
    <cellStyle name="Output 27 2 3 2_Table 2A-1_EFT (Annual)" xfId="8038"/>
    <cellStyle name="Output 27 2 3 3" xfId="11459"/>
    <cellStyle name="Output 27 2 3 3 2" xfId="23557"/>
    <cellStyle name="Output 27 2 3 4" xfId="18444"/>
    <cellStyle name="Output 27 2 3_Table 2A-1_EFT (Annual)" xfId="8037"/>
    <cellStyle name="Output 27 2 4" xfId="1763"/>
    <cellStyle name="Output 27 2 4 2" xfId="5324"/>
    <cellStyle name="Output 27 2 4 2 2" xfId="13549"/>
    <cellStyle name="Output 27 2 4 2 2 2" xfId="25540"/>
    <cellStyle name="Output 27 2 4 2 3" xfId="20427"/>
    <cellStyle name="Output 27 2 4 2_Table 2A-1_EFT (Annual)" xfId="8040"/>
    <cellStyle name="Output 27 2 4 3" xfId="10892"/>
    <cellStyle name="Output 27 2 4 3 2" xfId="22994"/>
    <cellStyle name="Output 27 2 4 4" xfId="17881"/>
    <cellStyle name="Output 27 2 4_Table 2A-1_EFT (Annual)" xfId="8039"/>
    <cellStyle name="Output 27 2 5" xfId="4193"/>
    <cellStyle name="Output 27 2 5 2" xfId="12517"/>
    <cellStyle name="Output 27 2 5 2 2" xfId="24539"/>
    <cellStyle name="Output 27 2 5 3" xfId="19426"/>
    <cellStyle name="Output 27 2 5_Table 2A-1_EFT (Annual)" xfId="8041"/>
    <cellStyle name="Output 27 2 6" xfId="9856"/>
    <cellStyle name="Output 27 2 6 2" xfId="21993"/>
    <cellStyle name="Output 27 2 7" xfId="16880"/>
    <cellStyle name="Output 27 2_Table 2A-1_EFT (Annual)" xfId="3432"/>
    <cellStyle name="Output 27 3" xfId="462"/>
    <cellStyle name="Output 27 3 2" xfId="1439"/>
    <cellStyle name="Output 27 3 2 2" xfId="2709"/>
    <cellStyle name="Output 27 3 2 2 2" xfId="6270"/>
    <cellStyle name="Output 27 3 2 2 2 2" xfId="14464"/>
    <cellStyle name="Output 27 3 2 2 2 2 2" xfId="26436"/>
    <cellStyle name="Output 27 3 2 2 2 3" xfId="21323"/>
    <cellStyle name="Output 27 3 2 2 2_Table 2A-1_EFT (Annual)" xfId="8043"/>
    <cellStyle name="Output 27 3 2 2 3" xfId="11806"/>
    <cellStyle name="Output 27 3 2 2 3 2" xfId="23890"/>
    <cellStyle name="Output 27 3 2 2 4" xfId="18777"/>
    <cellStyle name="Output 27 3 2 2_Table 2A-1_EFT (Annual)" xfId="8042"/>
    <cellStyle name="Output 27 3 2 3" xfId="1907"/>
    <cellStyle name="Output 27 3 2 3 2" xfId="5468"/>
    <cellStyle name="Output 27 3 2 3 2 2" xfId="13683"/>
    <cellStyle name="Output 27 3 2 3 2 2 2" xfId="25671"/>
    <cellStyle name="Output 27 3 2 3 2 3" xfId="20558"/>
    <cellStyle name="Output 27 3 2 3 2_Table 2A-1_EFT (Annual)" xfId="8045"/>
    <cellStyle name="Output 27 3 2 3 3" xfId="11027"/>
    <cellStyle name="Output 27 3 2 3 3 2" xfId="23125"/>
    <cellStyle name="Output 27 3 2 3 4" xfId="18012"/>
    <cellStyle name="Output 27 3 2 3_Table 2A-1_EFT (Annual)" xfId="8044"/>
    <cellStyle name="Output 27 3 2 4" xfId="5000"/>
    <cellStyle name="Output 27 3 2 4 2" xfId="13260"/>
    <cellStyle name="Output 27 3 2 4 2 2" xfId="25266"/>
    <cellStyle name="Output 27 3 2 4 3" xfId="20153"/>
    <cellStyle name="Output 27 3 2 4_Table 2A-1_EFT (Annual)" xfId="8046"/>
    <cellStyle name="Output 27 3 2 5" xfId="10604"/>
    <cellStyle name="Output 27 3 2 5 2" xfId="22720"/>
    <cellStyle name="Output 27 3 2 6" xfId="17607"/>
    <cellStyle name="Output 27 3 2_Table 2A-1_EFT (Annual)" xfId="3435"/>
    <cellStyle name="Output 27 3 3" xfId="2178"/>
    <cellStyle name="Output 27 3 3 2" xfId="5739"/>
    <cellStyle name="Output 27 3 3 2 2" xfId="13954"/>
    <cellStyle name="Output 27 3 3 2 2 2" xfId="25942"/>
    <cellStyle name="Output 27 3 3 2 3" xfId="20829"/>
    <cellStyle name="Output 27 3 3 2_Table 2A-1_EFT (Annual)" xfId="8048"/>
    <cellStyle name="Output 27 3 3 3" xfId="11298"/>
    <cellStyle name="Output 27 3 3 3 2" xfId="23396"/>
    <cellStyle name="Output 27 3 3 4" xfId="18283"/>
    <cellStyle name="Output 27 3 3_Table 2A-1_EFT (Annual)" xfId="8047"/>
    <cellStyle name="Output 27 3 4" xfId="1732"/>
    <cellStyle name="Output 27 3 4 2" xfId="5293"/>
    <cellStyle name="Output 27 3 4 2 2" xfId="13518"/>
    <cellStyle name="Output 27 3 4 2 2 2" xfId="25509"/>
    <cellStyle name="Output 27 3 4 2 3" xfId="20396"/>
    <cellStyle name="Output 27 3 4 2_Table 2A-1_EFT (Annual)" xfId="8050"/>
    <cellStyle name="Output 27 3 4 3" xfId="10861"/>
    <cellStyle name="Output 27 3 4 3 2" xfId="22963"/>
    <cellStyle name="Output 27 3 4 4" xfId="17850"/>
    <cellStyle name="Output 27 3 4_Table 2A-1_EFT (Annual)" xfId="8049"/>
    <cellStyle name="Output 27 3 5" xfId="4032"/>
    <cellStyle name="Output 27 3 5 2" xfId="12356"/>
    <cellStyle name="Output 27 3 5 2 2" xfId="24378"/>
    <cellStyle name="Output 27 3 5 3" xfId="19265"/>
    <cellStyle name="Output 27 3 5_Table 2A-1_EFT (Annual)" xfId="8051"/>
    <cellStyle name="Output 27 3 6" xfId="9695"/>
    <cellStyle name="Output 27 3 6 2" xfId="21832"/>
    <cellStyle name="Output 27 3 7" xfId="16719"/>
    <cellStyle name="Output 27 3_Table 2A-1_EFT (Annual)" xfId="3434"/>
    <cellStyle name="Output 27 4" xfId="1278"/>
    <cellStyle name="Output 27 4 2" xfId="2548"/>
    <cellStyle name="Output 27 4 2 2" xfId="6109"/>
    <cellStyle name="Output 27 4 2 2 2" xfId="14303"/>
    <cellStyle name="Output 27 4 2 2 2 2" xfId="26275"/>
    <cellStyle name="Output 27 4 2 2 3" xfId="21162"/>
    <cellStyle name="Output 27 4 2 2_Table 2A-1_EFT (Annual)" xfId="8053"/>
    <cellStyle name="Output 27 4 2 3" xfId="11645"/>
    <cellStyle name="Output 27 4 2 3 2" xfId="23729"/>
    <cellStyle name="Output 27 4 2 4" xfId="18616"/>
    <cellStyle name="Output 27 4 2_Table 2A-1_EFT (Annual)" xfId="8052"/>
    <cellStyle name="Output 27 4 3" xfId="1844"/>
    <cellStyle name="Output 27 4 3 2" xfId="5405"/>
    <cellStyle name="Output 27 4 3 2 2" xfId="13620"/>
    <cellStyle name="Output 27 4 3 2 2 2" xfId="25608"/>
    <cellStyle name="Output 27 4 3 2 3" xfId="20495"/>
    <cellStyle name="Output 27 4 3 2_Table 2A-1_EFT (Annual)" xfId="8055"/>
    <cellStyle name="Output 27 4 3 3" xfId="10964"/>
    <cellStyle name="Output 27 4 3 3 2" xfId="23062"/>
    <cellStyle name="Output 27 4 3 4" xfId="17949"/>
    <cellStyle name="Output 27 4 3_Table 2A-1_EFT (Annual)" xfId="8054"/>
    <cellStyle name="Output 27 4 4" xfId="4839"/>
    <cellStyle name="Output 27 4 4 2" xfId="13099"/>
    <cellStyle name="Output 27 4 4 2 2" xfId="25105"/>
    <cellStyle name="Output 27 4 4 3" xfId="19992"/>
    <cellStyle name="Output 27 4 4_Table 2A-1_EFT (Annual)" xfId="8056"/>
    <cellStyle name="Output 27 4 5" xfId="10443"/>
    <cellStyle name="Output 27 4 5 2" xfId="22559"/>
    <cellStyle name="Output 27 4 6" xfId="17446"/>
    <cellStyle name="Output 27 4_Table 2A-1_EFT (Annual)" xfId="3436"/>
    <cellStyle name="Output 27 5" xfId="2017"/>
    <cellStyle name="Output 27 5 2" xfId="5578"/>
    <cellStyle name="Output 27 5 2 2" xfId="13793"/>
    <cellStyle name="Output 27 5 2 2 2" xfId="25781"/>
    <cellStyle name="Output 27 5 2 3" xfId="20668"/>
    <cellStyle name="Output 27 5 2_Table 2A-1_EFT (Annual)" xfId="8058"/>
    <cellStyle name="Output 27 5 3" xfId="11137"/>
    <cellStyle name="Output 27 5 3 2" xfId="23235"/>
    <cellStyle name="Output 27 5 4" xfId="18122"/>
    <cellStyle name="Output 27 5_Table 2A-1_EFT (Annual)" xfId="8057"/>
    <cellStyle name="Output 27 6" xfId="1676"/>
    <cellStyle name="Output 27 6 2" xfId="5237"/>
    <cellStyle name="Output 27 6 2 2" xfId="13480"/>
    <cellStyle name="Output 27 6 2 2 2" xfId="25478"/>
    <cellStyle name="Output 27 6 2 3" xfId="20365"/>
    <cellStyle name="Output 27 6 2_Table 2A-1_EFT (Annual)" xfId="8060"/>
    <cellStyle name="Output 27 6 3" xfId="10825"/>
    <cellStyle name="Output 27 6 3 2" xfId="22932"/>
    <cellStyle name="Output 27 6 4" xfId="17819"/>
    <cellStyle name="Output 27 6_Table 2A-1_EFT (Annual)" xfId="8059"/>
    <cellStyle name="Output 27 7" xfId="3825"/>
    <cellStyle name="Output 27 7 2" xfId="12188"/>
    <cellStyle name="Output 27 7 2 2" xfId="24217"/>
    <cellStyle name="Output 27 7 3" xfId="19104"/>
    <cellStyle name="Output 27 7_Table 2A-1_EFT (Annual)" xfId="8061"/>
    <cellStyle name="Output 27 8" xfId="9507"/>
    <cellStyle name="Output 27 8 2" xfId="21671"/>
    <cellStyle name="Output 27 9" xfId="16558"/>
    <cellStyle name="Output 27_Table 2A-1_EFT (Annual)" xfId="3431"/>
    <cellStyle name="Output 28" xfId="209"/>
    <cellStyle name="Output 28 2" xfId="602"/>
    <cellStyle name="Output 28 2 2" xfId="1579"/>
    <cellStyle name="Output 28 2 2 2" xfId="2849"/>
    <cellStyle name="Output 28 2 2 2 2" xfId="6410"/>
    <cellStyle name="Output 28 2 2 2 2 2" xfId="14604"/>
    <cellStyle name="Output 28 2 2 2 2 2 2" xfId="26576"/>
    <cellStyle name="Output 28 2 2 2 2 3" xfId="21463"/>
    <cellStyle name="Output 28 2 2 2 2_Table 2A-1_EFT (Annual)" xfId="8063"/>
    <cellStyle name="Output 28 2 2 2 3" xfId="11946"/>
    <cellStyle name="Output 28 2 2 2 3 2" xfId="24030"/>
    <cellStyle name="Output 28 2 2 2 4" xfId="18917"/>
    <cellStyle name="Output 28 2 2 2_Table 2A-1_EFT (Annual)" xfId="8062"/>
    <cellStyle name="Output 28 2 2 3" xfId="1933"/>
    <cellStyle name="Output 28 2 2 3 2" xfId="5494"/>
    <cellStyle name="Output 28 2 2 3 2 2" xfId="13709"/>
    <cellStyle name="Output 28 2 2 3 2 2 2" xfId="25697"/>
    <cellStyle name="Output 28 2 2 3 2 3" xfId="20584"/>
    <cellStyle name="Output 28 2 2 3 2_Table 2A-1_EFT (Annual)" xfId="8065"/>
    <cellStyle name="Output 28 2 2 3 3" xfId="11053"/>
    <cellStyle name="Output 28 2 2 3 3 2" xfId="23151"/>
    <cellStyle name="Output 28 2 2 3 4" xfId="18038"/>
    <cellStyle name="Output 28 2 2 3_Table 2A-1_EFT (Annual)" xfId="8064"/>
    <cellStyle name="Output 28 2 2 4" xfId="5140"/>
    <cellStyle name="Output 28 2 2 4 2" xfId="13400"/>
    <cellStyle name="Output 28 2 2 4 2 2" xfId="25406"/>
    <cellStyle name="Output 28 2 2 4 3" xfId="20293"/>
    <cellStyle name="Output 28 2 2 4_Table 2A-1_EFT (Annual)" xfId="8066"/>
    <cellStyle name="Output 28 2 2 5" xfId="10744"/>
    <cellStyle name="Output 28 2 2 5 2" xfId="22860"/>
    <cellStyle name="Output 28 2 2 6" xfId="17747"/>
    <cellStyle name="Output 28 2 2_Table 2A-1_EFT (Annual)" xfId="3439"/>
    <cellStyle name="Output 28 2 3" xfId="2318"/>
    <cellStyle name="Output 28 2 3 2" xfId="5879"/>
    <cellStyle name="Output 28 2 3 2 2" xfId="14094"/>
    <cellStyle name="Output 28 2 3 2 2 2" xfId="26082"/>
    <cellStyle name="Output 28 2 3 2 3" xfId="20969"/>
    <cellStyle name="Output 28 2 3 2_Table 2A-1_EFT (Annual)" xfId="8068"/>
    <cellStyle name="Output 28 2 3 3" xfId="11438"/>
    <cellStyle name="Output 28 2 3 3 2" xfId="23536"/>
    <cellStyle name="Output 28 2 3 4" xfId="18423"/>
    <cellStyle name="Output 28 2 3_Table 2A-1_EFT (Annual)" xfId="8067"/>
    <cellStyle name="Output 28 2 4" xfId="1758"/>
    <cellStyle name="Output 28 2 4 2" xfId="5319"/>
    <cellStyle name="Output 28 2 4 2 2" xfId="13544"/>
    <cellStyle name="Output 28 2 4 2 2 2" xfId="25535"/>
    <cellStyle name="Output 28 2 4 2 3" xfId="20422"/>
    <cellStyle name="Output 28 2 4 2_Table 2A-1_EFT (Annual)" xfId="8070"/>
    <cellStyle name="Output 28 2 4 3" xfId="10887"/>
    <cellStyle name="Output 28 2 4 3 2" xfId="22989"/>
    <cellStyle name="Output 28 2 4 4" xfId="17876"/>
    <cellStyle name="Output 28 2 4_Table 2A-1_EFT (Annual)" xfId="8069"/>
    <cellStyle name="Output 28 2 5" xfId="4172"/>
    <cellStyle name="Output 28 2 5 2" xfId="12496"/>
    <cellStyle name="Output 28 2 5 2 2" xfId="24518"/>
    <cellStyle name="Output 28 2 5 3" xfId="19405"/>
    <cellStyle name="Output 28 2 5_Table 2A-1_EFT (Annual)" xfId="8071"/>
    <cellStyle name="Output 28 2 6" xfId="9835"/>
    <cellStyle name="Output 28 2 6 2" xfId="21972"/>
    <cellStyle name="Output 28 2 7" xfId="16859"/>
    <cellStyle name="Output 28 2_Table 2A-1_EFT (Annual)" xfId="3438"/>
    <cellStyle name="Output 28 3" xfId="437"/>
    <cellStyle name="Output 28 3 2" xfId="1420"/>
    <cellStyle name="Output 28 3 2 2" xfId="2690"/>
    <cellStyle name="Output 28 3 2 2 2" xfId="6251"/>
    <cellStyle name="Output 28 3 2 2 2 2" xfId="14445"/>
    <cellStyle name="Output 28 3 2 2 2 2 2" xfId="26417"/>
    <cellStyle name="Output 28 3 2 2 2 3" xfId="21304"/>
    <cellStyle name="Output 28 3 2 2 2_Table 2A-1_EFT (Annual)" xfId="8073"/>
    <cellStyle name="Output 28 3 2 2 3" xfId="11787"/>
    <cellStyle name="Output 28 3 2 2 3 2" xfId="23871"/>
    <cellStyle name="Output 28 3 2 2 4" xfId="18758"/>
    <cellStyle name="Output 28 3 2 2_Table 2A-1_EFT (Annual)" xfId="8072"/>
    <cellStyle name="Output 28 3 2 3" xfId="1902"/>
    <cellStyle name="Output 28 3 2 3 2" xfId="5463"/>
    <cellStyle name="Output 28 3 2 3 2 2" xfId="13678"/>
    <cellStyle name="Output 28 3 2 3 2 2 2" xfId="25666"/>
    <cellStyle name="Output 28 3 2 3 2 3" xfId="20553"/>
    <cellStyle name="Output 28 3 2 3 2_Table 2A-1_EFT (Annual)" xfId="8075"/>
    <cellStyle name="Output 28 3 2 3 3" xfId="11022"/>
    <cellStyle name="Output 28 3 2 3 3 2" xfId="23120"/>
    <cellStyle name="Output 28 3 2 3 4" xfId="18007"/>
    <cellStyle name="Output 28 3 2 3_Table 2A-1_EFT (Annual)" xfId="8074"/>
    <cellStyle name="Output 28 3 2 4" xfId="4981"/>
    <cellStyle name="Output 28 3 2 4 2" xfId="13241"/>
    <cellStyle name="Output 28 3 2 4 2 2" xfId="25247"/>
    <cellStyle name="Output 28 3 2 4 3" xfId="20134"/>
    <cellStyle name="Output 28 3 2 4_Table 2A-1_EFT (Annual)" xfId="8076"/>
    <cellStyle name="Output 28 3 2 5" xfId="10585"/>
    <cellStyle name="Output 28 3 2 5 2" xfId="22701"/>
    <cellStyle name="Output 28 3 2 6" xfId="17588"/>
    <cellStyle name="Output 28 3 2_Table 2A-1_EFT (Annual)" xfId="3441"/>
    <cellStyle name="Output 28 3 3" xfId="2159"/>
    <cellStyle name="Output 28 3 3 2" xfId="5720"/>
    <cellStyle name="Output 28 3 3 2 2" xfId="13935"/>
    <cellStyle name="Output 28 3 3 2 2 2" xfId="25923"/>
    <cellStyle name="Output 28 3 3 2 3" xfId="20810"/>
    <cellStyle name="Output 28 3 3 2_Table 2A-1_EFT (Annual)" xfId="8078"/>
    <cellStyle name="Output 28 3 3 3" xfId="11279"/>
    <cellStyle name="Output 28 3 3 3 2" xfId="23377"/>
    <cellStyle name="Output 28 3 3 4" xfId="18264"/>
    <cellStyle name="Output 28 3 3_Table 2A-1_EFT (Annual)" xfId="8077"/>
    <cellStyle name="Output 28 3 4" xfId="1722"/>
    <cellStyle name="Output 28 3 4 2" xfId="5283"/>
    <cellStyle name="Output 28 3 4 2 2" xfId="13512"/>
    <cellStyle name="Output 28 3 4 2 2 2" xfId="25505"/>
    <cellStyle name="Output 28 3 4 2 3" xfId="20392"/>
    <cellStyle name="Output 28 3 4 2_Table 2A-1_EFT (Annual)" xfId="8080"/>
    <cellStyle name="Output 28 3 4 3" xfId="10856"/>
    <cellStyle name="Output 28 3 4 3 2" xfId="22959"/>
    <cellStyle name="Output 28 3 4 4" xfId="17846"/>
    <cellStyle name="Output 28 3 4_Table 2A-1_EFT (Annual)" xfId="8079"/>
    <cellStyle name="Output 28 3 5" xfId="4007"/>
    <cellStyle name="Output 28 3 5 2" xfId="12335"/>
    <cellStyle name="Output 28 3 5 2 2" xfId="24359"/>
    <cellStyle name="Output 28 3 5 3" xfId="19246"/>
    <cellStyle name="Output 28 3 5_Table 2A-1_EFT (Annual)" xfId="8081"/>
    <cellStyle name="Output 28 3 6" xfId="9672"/>
    <cellStyle name="Output 28 3 6 2" xfId="21813"/>
    <cellStyle name="Output 28 3 7" xfId="16700"/>
    <cellStyle name="Output 28 3_Table 2A-1_EFT (Annual)" xfId="3440"/>
    <cellStyle name="Output 28 4" xfId="1257"/>
    <cellStyle name="Output 28 4 2" xfId="2527"/>
    <cellStyle name="Output 28 4 2 2" xfId="6088"/>
    <cellStyle name="Output 28 4 2 2 2" xfId="14282"/>
    <cellStyle name="Output 28 4 2 2 2 2" xfId="26254"/>
    <cellStyle name="Output 28 4 2 2 3" xfId="21141"/>
    <cellStyle name="Output 28 4 2 2_Table 2A-1_EFT (Annual)" xfId="8083"/>
    <cellStyle name="Output 28 4 2 3" xfId="11624"/>
    <cellStyle name="Output 28 4 2 3 2" xfId="23708"/>
    <cellStyle name="Output 28 4 2 4" xfId="18595"/>
    <cellStyle name="Output 28 4 2_Table 2A-1_EFT (Annual)" xfId="8082"/>
    <cellStyle name="Output 28 4 3" xfId="1838"/>
    <cellStyle name="Output 28 4 3 2" xfId="5399"/>
    <cellStyle name="Output 28 4 3 2 2" xfId="13614"/>
    <cellStyle name="Output 28 4 3 2 2 2" xfId="25602"/>
    <cellStyle name="Output 28 4 3 2 3" xfId="20489"/>
    <cellStyle name="Output 28 4 3 2_Table 2A-1_EFT (Annual)" xfId="8085"/>
    <cellStyle name="Output 28 4 3 3" xfId="10958"/>
    <cellStyle name="Output 28 4 3 3 2" xfId="23056"/>
    <cellStyle name="Output 28 4 3 4" xfId="17943"/>
    <cellStyle name="Output 28 4 3_Table 2A-1_EFT (Annual)" xfId="8084"/>
    <cellStyle name="Output 28 4 4" xfId="4818"/>
    <cellStyle name="Output 28 4 4 2" xfId="13078"/>
    <cellStyle name="Output 28 4 4 2 2" xfId="25084"/>
    <cellStyle name="Output 28 4 4 3" xfId="19971"/>
    <cellStyle name="Output 28 4 4_Table 2A-1_EFT (Annual)" xfId="8086"/>
    <cellStyle name="Output 28 4 5" xfId="10422"/>
    <cellStyle name="Output 28 4 5 2" xfId="22538"/>
    <cellStyle name="Output 28 4 6" xfId="17425"/>
    <cellStyle name="Output 28 4_Table 2A-1_EFT (Annual)" xfId="3442"/>
    <cellStyle name="Output 28 5" xfId="1996"/>
    <cellStyle name="Output 28 5 2" xfId="5557"/>
    <cellStyle name="Output 28 5 2 2" xfId="13772"/>
    <cellStyle name="Output 28 5 2 2 2" xfId="25760"/>
    <cellStyle name="Output 28 5 2 3" xfId="20647"/>
    <cellStyle name="Output 28 5 2_Table 2A-1_EFT (Annual)" xfId="8088"/>
    <cellStyle name="Output 28 5 3" xfId="11116"/>
    <cellStyle name="Output 28 5 3 2" xfId="23214"/>
    <cellStyle name="Output 28 5 4" xfId="18101"/>
    <cellStyle name="Output 28 5_Table 2A-1_EFT (Annual)" xfId="8087"/>
    <cellStyle name="Output 28 6" xfId="1665"/>
    <cellStyle name="Output 28 6 2" xfId="5226"/>
    <cellStyle name="Output 28 6 2 2" xfId="13473"/>
    <cellStyle name="Output 28 6 2 2 2" xfId="25473"/>
    <cellStyle name="Output 28 6 2 3" xfId="20360"/>
    <cellStyle name="Output 28 6 2_Table 2A-1_EFT (Annual)" xfId="8090"/>
    <cellStyle name="Output 28 6 3" xfId="10818"/>
    <cellStyle name="Output 28 6 3 2" xfId="22927"/>
    <cellStyle name="Output 28 6 4" xfId="17814"/>
    <cellStyle name="Output 28 6_Table 2A-1_EFT (Annual)" xfId="8089"/>
    <cellStyle name="Output 28 7" xfId="3798"/>
    <cellStyle name="Output 28 7 2" xfId="12166"/>
    <cellStyle name="Output 28 7 2 2" xfId="24196"/>
    <cellStyle name="Output 28 7 3" xfId="19083"/>
    <cellStyle name="Output 28 7_Table 2A-1_EFT (Annual)" xfId="8091"/>
    <cellStyle name="Output 28 8" xfId="9485"/>
    <cellStyle name="Output 28 8 2" xfId="21650"/>
    <cellStyle name="Output 28 9" xfId="16537"/>
    <cellStyle name="Output 28_Table 2A-1_EFT (Annual)" xfId="3437"/>
    <cellStyle name="Output 29" xfId="219"/>
    <cellStyle name="Output 29 2" xfId="612"/>
    <cellStyle name="Output 29 2 2" xfId="1589"/>
    <cellStyle name="Output 29 2 2 2" xfId="2859"/>
    <cellStyle name="Output 29 2 2 2 2" xfId="6420"/>
    <cellStyle name="Output 29 2 2 2 2 2" xfId="14614"/>
    <cellStyle name="Output 29 2 2 2 2 2 2" xfId="26586"/>
    <cellStyle name="Output 29 2 2 2 2 3" xfId="21473"/>
    <cellStyle name="Output 29 2 2 2 2_Table 2A-1_EFT (Annual)" xfId="8093"/>
    <cellStyle name="Output 29 2 2 2 3" xfId="11956"/>
    <cellStyle name="Output 29 2 2 2 3 2" xfId="24040"/>
    <cellStyle name="Output 29 2 2 2 4" xfId="18927"/>
    <cellStyle name="Output 29 2 2 2_Table 2A-1_EFT (Annual)" xfId="8092"/>
    <cellStyle name="Output 29 2 2 3" xfId="1935"/>
    <cellStyle name="Output 29 2 2 3 2" xfId="5496"/>
    <cellStyle name="Output 29 2 2 3 2 2" xfId="13711"/>
    <cellStyle name="Output 29 2 2 3 2 2 2" xfId="25699"/>
    <cellStyle name="Output 29 2 2 3 2 3" xfId="20586"/>
    <cellStyle name="Output 29 2 2 3 2_Table 2A-1_EFT (Annual)" xfId="8095"/>
    <cellStyle name="Output 29 2 2 3 3" xfId="11055"/>
    <cellStyle name="Output 29 2 2 3 3 2" xfId="23153"/>
    <cellStyle name="Output 29 2 2 3 4" xfId="18040"/>
    <cellStyle name="Output 29 2 2 3_Table 2A-1_EFT (Annual)" xfId="8094"/>
    <cellStyle name="Output 29 2 2 4" xfId="5150"/>
    <cellStyle name="Output 29 2 2 4 2" xfId="13410"/>
    <cellStyle name="Output 29 2 2 4 2 2" xfId="25416"/>
    <cellStyle name="Output 29 2 2 4 3" xfId="20303"/>
    <cellStyle name="Output 29 2 2 4_Table 2A-1_EFT (Annual)" xfId="8096"/>
    <cellStyle name="Output 29 2 2 5" xfId="10754"/>
    <cellStyle name="Output 29 2 2 5 2" xfId="22870"/>
    <cellStyle name="Output 29 2 2 6" xfId="17757"/>
    <cellStyle name="Output 29 2 2_Table 2A-1_EFT (Annual)" xfId="3445"/>
    <cellStyle name="Output 29 2 3" xfId="2328"/>
    <cellStyle name="Output 29 2 3 2" xfId="5889"/>
    <cellStyle name="Output 29 2 3 2 2" xfId="14104"/>
    <cellStyle name="Output 29 2 3 2 2 2" xfId="26092"/>
    <cellStyle name="Output 29 2 3 2 3" xfId="20979"/>
    <cellStyle name="Output 29 2 3 2_Table 2A-1_EFT (Annual)" xfId="8098"/>
    <cellStyle name="Output 29 2 3 3" xfId="11448"/>
    <cellStyle name="Output 29 2 3 3 2" xfId="23546"/>
    <cellStyle name="Output 29 2 3 4" xfId="18433"/>
    <cellStyle name="Output 29 2 3_Table 2A-1_EFT (Annual)" xfId="8097"/>
    <cellStyle name="Output 29 2 4" xfId="1760"/>
    <cellStyle name="Output 29 2 4 2" xfId="5321"/>
    <cellStyle name="Output 29 2 4 2 2" xfId="13546"/>
    <cellStyle name="Output 29 2 4 2 2 2" xfId="25537"/>
    <cellStyle name="Output 29 2 4 2 3" xfId="20424"/>
    <cellStyle name="Output 29 2 4 2_Table 2A-1_EFT (Annual)" xfId="8100"/>
    <cellStyle name="Output 29 2 4 3" xfId="10889"/>
    <cellStyle name="Output 29 2 4 3 2" xfId="22991"/>
    <cellStyle name="Output 29 2 4 4" xfId="17878"/>
    <cellStyle name="Output 29 2 4_Table 2A-1_EFT (Annual)" xfId="8099"/>
    <cellStyle name="Output 29 2 5" xfId="4182"/>
    <cellStyle name="Output 29 2 5 2" xfId="12506"/>
    <cellStyle name="Output 29 2 5 2 2" xfId="24528"/>
    <cellStyle name="Output 29 2 5 3" xfId="19415"/>
    <cellStyle name="Output 29 2 5_Table 2A-1_EFT (Annual)" xfId="8101"/>
    <cellStyle name="Output 29 2 6" xfId="9845"/>
    <cellStyle name="Output 29 2 6 2" xfId="21982"/>
    <cellStyle name="Output 29 2 7" xfId="16869"/>
    <cellStyle name="Output 29 2_Table 2A-1_EFT (Annual)" xfId="3444"/>
    <cellStyle name="Output 29 3" xfId="447"/>
    <cellStyle name="Output 29 3 2" xfId="1430"/>
    <cellStyle name="Output 29 3 2 2" xfId="2700"/>
    <cellStyle name="Output 29 3 2 2 2" xfId="6261"/>
    <cellStyle name="Output 29 3 2 2 2 2" xfId="14455"/>
    <cellStyle name="Output 29 3 2 2 2 2 2" xfId="26427"/>
    <cellStyle name="Output 29 3 2 2 2 3" xfId="21314"/>
    <cellStyle name="Output 29 3 2 2 2_Table 2A-1_EFT (Annual)" xfId="8103"/>
    <cellStyle name="Output 29 3 2 2 3" xfId="11797"/>
    <cellStyle name="Output 29 3 2 2 3 2" xfId="23881"/>
    <cellStyle name="Output 29 3 2 2 4" xfId="18768"/>
    <cellStyle name="Output 29 3 2 2_Table 2A-1_EFT (Annual)" xfId="8102"/>
    <cellStyle name="Output 29 3 2 3" xfId="1904"/>
    <cellStyle name="Output 29 3 2 3 2" xfId="5465"/>
    <cellStyle name="Output 29 3 2 3 2 2" xfId="13680"/>
    <cellStyle name="Output 29 3 2 3 2 2 2" xfId="25668"/>
    <cellStyle name="Output 29 3 2 3 2 3" xfId="20555"/>
    <cellStyle name="Output 29 3 2 3 2_Table 2A-1_EFT (Annual)" xfId="8105"/>
    <cellStyle name="Output 29 3 2 3 3" xfId="11024"/>
    <cellStyle name="Output 29 3 2 3 3 2" xfId="23122"/>
    <cellStyle name="Output 29 3 2 3 4" xfId="18009"/>
    <cellStyle name="Output 29 3 2 3_Table 2A-1_EFT (Annual)" xfId="8104"/>
    <cellStyle name="Output 29 3 2 4" xfId="4991"/>
    <cellStyle name="Output 29 3 2 4 2" xfId="13251"/>
    <cellStyle name="Output 29 3 2 4 2 2" xfId="25257"/>
    <cellStyle name="Output 29 3 2 4 3" xfId="20144"/>
    <cellStyle name="Output 29 3 2 4_Table 2A-1_EFT (Annual)" xfId="8106"/>
    <cellStyle name="Output 29 3 2 5" xfId="10595"/>
    <cellStyle name="Output 29 3 2 5 2" xfId="22711"/>
    <cellStyle name="Output 29 3 2 6" xfId="17598"/>
    <cellStyle name="Output 29 3 2_Table 2A-1_EFT (Annual)" xfId="3447"/>
    <cellStyle name="Output 29 3 3" xfId="2169"/>
    <cellStyle name="Output 29 3 3 2" xfId="5730"/>
    <cellStyle name="Output 29 3 3 2 2" xfId="13945"/>
    <cellStyle name="Output 29 3 3 2 2 2" xfId="25933"/>
    <cellStyle name="Output 29 3 3 2 3" xfId="20820"/>
    <cellStyle name="Output 29 3 3 2_Table 2A-1_EFT (Annual)" xfId="8108"/>
    <cellStyle name="Output 29 3 3 3" xfId="11289"/>
    <cellStyle name="Output 29 3 3 3 2" xfId="23387"/>
    <cellStyle name="Output 29 3 3 4" xfId="18274"/>
    <cellStyle name="Output 29 3 3_Table 2A-1_EFT (Annual)" xfId="8107"/>
    <cellStyle name="Output 29 3 4" xfId="1724"/>
    <cellStyle name="Output 29 3 4 2" xfId="5285"/>
    <cellStyle name="Output 29 3 4 2 2" xfId="13514"/>
    <cellStyle name="Output 29 3 4 2 2 2" xfId="25507"/>
    <cellStyle name="Output 29 3 4 2 3" xfId="20394"/>
    <cellStyle name="Output 29 3 4 2_Table 2A-1_EFT (Annual)" xfId="8110"/>
    <cellStyle name="Output 29 3 4 3" xfId="10858"/>
    <cellStyle name="Output 29 3 4 3 2" xfId="22961"/>
    <cellStyle name="Output 29 3 4 4" xfId="17848"/>
    <cellStyle name="Output 29 3 4_Table 2A-1_EFT (Annual)" xfId="8109"/>
    <cellStyle name="Output 29 3 5" xfId="4017"/>
    <cellStyle name="Output 29 3 5 2" xfId="12345"/>
    <cellStyle name="Output 29 3 5 2 2" xfId="24369"/>
    <cellStyle name="Output 29 3 5 3" xfId="19256"/>
    <cellStyle name="Output 29 3 5_Table 2A-1_EFT (Annual)" xfId="8111"/>
    <cellStyle name="Output 29 3 6" xfId="9682"/>
    <cellStyle name="Output 29 3 6 2" xfId="21823"/>
    <cellStyle name="Output 29 3 7" xfId="16710"/>
    <cellStyle name="Output 29 3_Table 2A-1_EFT (Annual)" xfId="3446"/>
    <cellStyle name="Output 29 4" xfId="1267"/>
    <cellStyle name="Output 29 4 2" xfId="2537"/>
    <cellStyle name="Output 29 4 2 2" xfId="6098"/>
    <cellStyle name="Output 29 4 2 2 2" xfId="14292"/>
    <cellStyle name="Output 29 4 2 2 2 2" xfId="26264"/>
    <cellStyle name="Output 29 4 2 2 3" xfId="21151"/>
    <cellStyle name="Output 29 4 2 2_Table 2A-1_EFT (Annual)" xfId="8113"/>
    <cellStyle name="Output 29 4 2 3" xfId="11634"/>
    <cellStyle name="Output 29 4 2 3 2" xfId="23718"/>
    <cellStyle name="Output 29 4 2 4" xfId="18605"/>
    <cellStyle name="Output 29 4 2_Table 2A-1_EFT (Annual)" xfId="8112"/>
    <cellStyle name="Output 29 4 3" xfId="1840"/>
    <cellStyle name="Output 29 4 3 2" xfId="5401"/>
    <cellStyle name="Output 29 4 3 2 2" xfId="13616"/>
    <cellStyle name="Output 29 4 3 2 2 2" xfId="25604"/>
    <cellStyle name="Output 29 4 3 2 3" xfId="20491"/>
    <cellStyle name="Output 29 4 3 2_Table 2A-1_EFT (Annual)" xfId="8115"/>
    <cellStyle name="Output 29 4 3 3" xfId="10960"/>
    <cellStyle name="Output 29 4 3 3 2" xfId="23058"/>
    <cellStyle name="Output 29 4 3 4" xfId="17945"/>
    <cellStyle name="Output 29 4 3_Table 2A-1_EFT (Annual)" xfId="8114"/>
    <cellStyle name="Output 29 4 4" xfId="4828"/>
    <cellStyle name="Output 29 4 4 2" xfId="13088"/>
    <cellStyle name="Output 29 4 4 2 2" xfId="25094"/>
    <cellStyle name="Output 29 4 4 3" xfId="19981"/>
    <cellStyle name="Output 29 4 4_Table 2A-1_EFT (Annual)" xfId="8116"/>
    <cellStyle name="Output 29 4 5" xfId="10432"/>
    <cellStyle name="Output 29 4 5 2" xfId="22548"/>
    <cellStyle name="Output 29 4 6" xfId="17435"/>
    <cellStyle name="Output 29 4_Table 2A-1_EFT (Annual)" xfId="3448"/>
    <cellStyle name="Output 29 5" xfId="2006"/>
    <cellStyle name="Output 29 5 2" xfId="5567"/>
    <cellStyle name="Output 29 5 2 2" xfId="13782"/>
    <cellStyle name="Output 29 5 2 2 2" xfId="25770"/>
    <cellStyle name="Output 29 5 2 3" xfId="20657"/>
    <cellStyle name="Output 29 5 2_Table 2A-1_EFT (Annual)" xfId="8118"/>
    <cellStyle name="Output 29 5 3" xfId="11126"/>
    <cellStyle name="Output 29 5 3 2" xfId="23224"/>
    <cellStyle name="Output 29 5 4" xfId="18111"/>
    <cellStyle name="Output 29 5_Table 2A-1_EFT (Annual)" xfId="8117"/>
    <cellStyle name="Output 29 6" xfId="1667"/>
    <cellStyle name="Output 29 6 2" xfId="5228"/>
    <cellStyle name="Output 29 6 2 2" xfId="13475"/>
    <cellStyle name="Output 29 6 2 2 2" xfId="25475"/>
    <cellStyle name="Output 29 6 2 3" xfId="20362"/>
    <cellStyle name="Output 29 6 2_Table 2A-1_EFT (Annual)" xfId="8120"/>
    <cellStyle name="Output 29 6 3" xfId="10820"/>
    <cellStyle name="Output 29 6 3 2" xfId="22929"/>
    <cellStyle name="Output 29 6 4" xfId="17816"/>
    <cellStyle name="Output 29 6_Table 2A-1_EFT (Annual)" xfId="8119"/>
    <cellStyle name="Output 29 7" xfId="3808"/>
    <cellStyle name="Output 29 7 2" xfId="12176"/>
    <cellStyle name="Output 29 7 2 2" xfId="24206"/>
    <cellStyle name="Output 29 7 3" xfId="19093"/>
    <cellStyle name="Output 29 7_Table 2A-1_EFT (Annual)" xfId="8121"/>
    <cellStyle name="Output 29 8" xfId="9495"/>
    <cellStyle name="Output 29 8 2" xfId="21660"/>
    <cellStyle name="Output 29 9" xfId="16547"/>
    <cellStyle name="Output 29_Table 2A-1_EFT (Annual)" xfId="3443"/>
    <cellStyle name="Output 3" xfId="115"/>
    <cellStyle name="Output 3 10" xfId="21510"/>
    <cellStyle name="Output 3 2" xfId="508"/>
    <cellStyle name="Output 3 2 2" xfId="1485"/>
    <cellStyle name="Output 3 2 2 2" xfId="2755"/>
    <cellStyle name="Output 3 2 2 2 2" xfId="6316"/>
    <cellStyle name="Output 3 2 2 2 2 2" xfId="14510"/>
    <cellStyle name="Output 3 2 2 2 2 2 2" xfId="26482"/>
    <cellStyle name="Output 3 2 2 2 2 3" xfId="21369"/>
    <cellStyle name="Output 3 2 2 2 2_Table 2A-1_EFT (Annual)" xfId="8123"/>
    <cellStyle name="Output 3 2 2 2 3" xfId="11852"/>
    <cellStyle name="Output 3 2 2 2 3 2" xfId="23936"/>
    <cellStyle name="Output 3 2 2 2 4" xfId="18823"/>
    <cellStyle name="Output 3 2 2 2_Table 2A-1_EFT (Annual)" xfId="8122"/>
    <cellStyle name="Output 3 2 2 3" xfId="1917"/>
    <cellStyle name="Output 3 2 2 3 2" xfId="5478"/>
    <cellStyle name="Output 3 2 2 3 2 2" xfId="13693"/>
    <cellStyle name="Output 3 2 2 3 2 2 2" xfId="25681"/>
    <cellStyle name="Output 3 2 2 3 2 3" xfId="20568"/>
    <cellStyle name="Output 3 2 2 3 2_Table 2A-1_EFT (Annual)" xfId="8125"/>
    <cellStyle name="Output 3 2 2 3 3" xfId="11037"/>
    <cellStyle name="Output 3 2 2 3 3 2" xfId="23135"/>
    <cellStyle name="Output 3 2 2 3 4" xfId="18022"/>
    <cellStyle name="Output 3 2 2 3_Table 2A-1_EFT (Annual)" xfId="8124"/>
    <cellStyle name="Output 3 2 2 4" xfId="5046"/>
    <cellStyle name="Output 3 2 2 4 2" xfId="13306"/>
    <cellStyle name="Output 3 2 2 4 2 2" xfId="25312"/>
    <cellStyle name="Output 3 2 2 4 3" xfId="20199"/>
    <cellStyle name="Output 3 2 2 4_Table 2A-1_EFT (Annual)" xfId="8126"/>
    <cellStyle name="Output 3 2 2 5" xfId="10650"/>
    <cellStyle name="Output 3 2 2 5 2" xfId="22766"/>
    <cellStyle name="Output 3 2 2 6" xfId="17653"/>
    <cellStyle name="Output 3 2 2_Table 2A-1_EFT (Annual)" xfId="3451"/>
    <cellStyle name="Output 3 2 3" xfId="2224"/>
    <cellStyle name="Output 3 2 3 2" xfId="5785"/>
    <cellStyle name="Output 3 2 3 2 2" xfId="14000"/>
    <cellStyle name="Output 3 2 3 2 2 2" xfId="25988"/>
    <cellStyle name="Output 3 2 3 2 3" xfId="20875"/>
    <cellStyle name="Output 3 2 3 2_Table 2A-1_EFT (Annual)" xfId="8128"/>
    <cellStyle name="Output 3 2 3 3" xfId="11344"/>
    <cellStyle name="Output 3 2 3 3 2" xfId="23442"/>
    <cellStyle name="Output 3 2 3 4" xfId="18329"/>
    <cellStyle name="Output 3 2 3_Table 2A-1_EFT (Annual)" xfId="8127"/>
    <cellStyle name="Output 3 2 4" xfId="1742"/>
    <cellStyle name="Output 3 2 4 2" xfId="5303"/>
    <cellStyle name="Output 3 2 4 2 2" xfId="13528"/>
    <cellStyle name="Output 3 2 4 2 2 2" xfId="25519"/>
    <cellStyle name="Output 3 2 4 2 3" xfId="20406"/>
    <cellStyle name="Output 3 2 4 2_Table 2A-1_EFT (Annual)" xfId="8130"/>
    <cellStyle name="Output 3 2 4 3" xfId="10871"/>
    <cellStyle name="Output 3 2 4 3 2" xfId="22973"/>
    <cellStyle name="Output 3 2 4 4" xfId="17860"/>
    <cellStyle name="Output 3 2 4_Table 2A-1_EFT (Annual)" xfId="8129"/>
    <cellStyle name="Output 3 2 5" xfId="4078"/>
    <cellStyle name="Output 3 2 5 2" xfId="12402"/>
    <cellStyle name="Output 3 2 5 2 2" xfId="24424"/>
    <cellStyle name="Output 3 2 5 3" xfId="19311"/>
    <cellStyle name="Output 3 2 5_Table 2A-1_EFT (Annual)" xfId="8131"/>
    <cellStyle name="Output 3 2 6" xfId="9741"/>
    <cellStyle name="Output 3 2 6 2" xfId="21878"/>
    <cellStyle name="Output 3 2 7" xfId="16765"/>
    <cellStyle name="Output 3 2_Table 2A-1_EFT (Annual)" xfId="3450"/>
    <cellStyle name="Output 3 3" xfId="346"/>
    <cellStyle name="Output 3 3 2" xfId="1329"/>
    <cellStyle name="Output 3 3 2 2" xfId="2599"/>
    <cellStyle name="Output 3 3 2 2 2" xfId="6160"/>
    <cellStyle name="Output 3 3 2 2 2 2" xfId="14354"/>
    <cellStyle name="Output 3 3 2 2 2 2 2" xfId="26326"/>
    <cellStyle name="Output 3 3 2 2 2 3" xfId="21213"/>
    <cellStyle name="Output 3 3 2 2 2_Table 2A-1_EFT (Annual)" xfId="8133"/>
    <cellStyle name="Output 3 3 2 2 3" xfId="11696"/>
    <cellStyle name="Output 3 3 2 2 3 2" xfId="23780"/>
    <cellStyle name="Output 3 3 2 2 4" xfId="18667"/>
    <cellStyle name="Output 3 3 2 2_Table 2A-1_EFT (Annual)" xfId="8132"/>
    <cellStyle name="Output 3 3 2 3" xfId="1886"/>
    <cellStyle name="Output 3 3 2 3 2" xfId="5447"/>
    <cellStyle name="Output 3 3 2 3 2 2" xfId="13662"/>
    <cellStyle name="Output 3 3 2 3 2 2 2" xfId="25650"/>
    <cellStyle name="Output 3 3 2 3 2 3" xfId="20537"/>
    <cellStyle name="Output 3 3 2 3 2_Table 2A-1_EFT (Annual)" xfId="8135"/>
    <cellStyle name="Output 3 3 2 3 3" xfId="11006"/>
    <cellStyle name="Output 3 3 2 3 3 2" xfId="23104"/>
    <cellStyle name="Output 3 3 2 3 4" xfId="17991"/>
    <cellStyle name="Output 3 3 2 3_Table 2A-1_EFT (Annual)" xfId="8134"/>
    <cellStyle name="Output 3 3 2 4" xfId="4890"/>
    <cellStyle name="Output 3 3 2 4 2" xfId="13150"/>
    <cellStyle name="Output 3 3 2 4 2 2" xfId="25156"/>
    <cellStyle name="Output 3 3 2 4 3" xfId="20043"/>
    <cellStyle name="Output 3 3 2 4_Table 2A-1_EFT (Annual)" xfId="8136"/>
    <cellStyle name="Output 3 3 2 5" xfId="10494"/>
    <cellStyle name="Output 3 3 2 5 2" xfId="22610"/>
    <cellStyle name="Output 3 3 2 6" xfId="17497"/>
    <cellStyle name="Output 3 3 2_Table 2A-1_EFT (Annual)" xfId="3453"/>
    <cellStyle name="Output 3 3 3" xfId="2068"/>
    <cellStyle name="Output 3 3 3 2" xfId="5629"/>
    <cellStyle name="Output 3 3 3 2 2" xfId="13844"/>
    <cellStyle name="Output 3 3 3 2 2 2" xfId="25832"/>
    <cellStyle name="Output 3 3 3 2 3" xfId="20719"/>
    <cellStyle name="Output 3 3 3 2_Table 2A-1_EFT (Annual)" xfId="8138"/>
    <cellStyle name="Output 3 3 3 3" xfId="11188"/>
    <cellStyle name="Output 3 3 3 3 2" xfId="23286"/>
    <cellStyle name="Output 3 3 3 4" xfId="18173"/>
    <cellStyle name="Output 3 3 3_Table 2A-1_EFT (Annual)" xfId="8137"/>
    <cellStyle name="Output 3 3 4" xfId="1706"/>
    <cellStyle name="Output 3 3 4 2" xfId="5267"/>
    <cellStyle name="Output 3 3 4 2 2" xfId="13496"/>
    <cellStyle name="Output 3 3 4 2 2 2" xfId="25489"/>
    <cellStyle name="Output 3 3 4 2 3" xfId="20376"/>
    <cellStyle name="Output 3 3 4 2_Table 2A-1_EFT (Annual)" xfId="8140"/>
    <cellStyle name="Output 3 3 4 3" xfId="10840"/>
    <cellStyle name="Output 3 3 4 3 2" xfId="22943"/>
    <cellStyle name="Output 3 3 4 4" xfId="17830"/>
    <cellStyle name="Output 3 3 4_Table 2A-1_EFT (Annual)" xfId="8139"/>
    <cellStyle name="Output 3 3 5" xfId="3916"/>
    <cellStyle name="Output 3 3 5 2" xfId="12244"/>
    <cellStyle name="Output 3 3 5 2 2" xfId="24268"/>
    <cellStyle name="Output 3 3 5 3" xfId="19155"/>
    <cellStyle name="Output 3 3 5_Table 2A-1_EFT (Annual)" xfId="8141"/>
    <cellStyle name="Output 3 3 6" xfId="9581"/>
    <cellStyle name="Output 3 3 6 2" xfId="21722"/>
    <cellStyle name="Output 3 3 7" xfId="16609"/>
    <cellStyle name="Output 3 3_Table 2A-1_EFT (Annual)" xfId="3452"/>
    <cellStyle name="Output 3 4" xfId="1163"/>
    <cellStyle name="Output 3 4 2" xfId="2433"/>
    <cellStyle name="Output 3 4 2 2" xfId="5994"/>
    <cellStyle name="Output 3 4 2 2 2" xfId="14188"/>
    <cellStyle name="Output 3 4 2 2 2 2" xfId="26160"/>
    <cellStyle name="Output 3 4 2 2 3" xfId="21047"/>
    <cellStyle name="Output 3 4 2 2_Table 2A-1_EFT (Annual)" xfId="8143"/>
    <cellStyle name="Output 3 4 2 3" xfId="11530"/>
    <cellStyle name="Output 3 4 2 3 2" xfId="23614"/>
    <cellStyle name="Output 3 4 2 4" xfId="18501"/>
    <cellStyle name="Output 3 4 2_Table 2A-1_EFT (Annual)" xfId="8142"/>
    <cellStyle name="Output 3 4 3" xfId="1822"/>
    <cellStyle name="Output 3 4 3 2" xfId="5383"/>
    <cellStyle name="Output 3 4 3 2 2" xfId="13598"/>
    <cellStyle name="Output 3 4 3 2 2 2" xfId="25586"/>
    <cellStyle name="Output 3 4 3 2 3" xfId="20473"/>
    <cellStyle name="Output 3 4 3 2_Table 2A-1_EFT (Annual)" xfId="8145"/>
    <cellStyle name="Output 3 4 3 3" xfId="10942"/>
    <cellStyle name="Output 3 4 3 3 2" xfId="23040"/>
    <cellStyle name="Output 3 4 3 4" xfId="17927"/>
    <cellStyle name="Output 3 4 3_Table 2A-1_EFT (Annual)" xfId="8144"/>
    <cellStyle name="Output 3 4 4" xfId="4724"/>
    <cellStyle name="Output 3 4 4 2" xfId="12984"/>
    <cellStyle name="Output 3 4 4 2 2" xfId="24990"/>
    <cellStyle name="Output 3 4 4 3" xfId="19877"/>
    <cellStyle name="Output 3 4 4_Table 2A-1_EFT (Annual)" xfId="8146"/>
    <cellStyle name="Output 3 4 5" xfId="10328"/>
    <cellStyle name="Output 3 4 5 2" xfId="22444"/>
    <cellStyle name="Output 3 4 6" xfId="17331"/>
    <cellStyle name="Output 3 4_Table 2A-1_EFT (Annual)" xfId="3454"/>
    <cellStyle name="Output 3 5" xfId="1868"/>
    <cellStyle name="Output 3 5 2" xfId="5429"/>
    <cellStyle name="Output 3 5 2 2" xfId="13644"/>
    <cellStyle name="Output 3 5 2 2 2" xfId="25632"/>
    <cellStyle name="Output 3 5 2 3" xfId="20519"/>
    <cellStyle name="Output 3 5 2_Table 2A-1_EFT (Annual)" xfId="8148"/>
    <cellStyle name="Output 3 5 3" xfId="10988"/>
    <cellStyle name="Output 3 5 3 2" xfId="23086"/>
    <cellStyle name="Output 3 5 4" xfId="17973"/>
    <cellStyle name="Output 3 5_Table 2A-1_EFT (Annual)" xfId="8147"/>
    <cellStyle name="Output 3 6" xfId="1649"/>
    <cellStyle name="Output 3 6 2" xfId="5210"/>
    <cellStyle name="Output 3 6 2 2" xfId="13457"/>
    <cellStyle name="Output 3 6 2 2 2" xfId="25457"/>
    <cellStyle name="Output 3 6 2 3" xfId="20344"/>
    <cellStyle name="Output 3 6 2_Table 2A-1_EFT (Annual)" xfId="8150"/>
    <cellStyle name="Output 3 6 3" xfId="10802"/>
    <cellStyle name="Output 3 6 3 2" xfId="22911"/>
    <cellStyle name="Output 3 6 4" xfId="17798"/>
    <cellStyle name="Output 3 6_Table 2A-1_EFT (Annual)" xfId="8149"/>
    <cellStyle name="Output 3 7" xfId="3704"/>
    <cellStyle name="Output 3 7 2" xfId="12072"/>
    <cellStyle name="Output 3 7 2 2" xfId="24102"/>
    <cellStyle name="Output 3 7 3" xfId="18989"/>
    <cellStyle name="Output 3 7_Table 2A-1_EFT (Annual)" xfId="8151"/>
    <cellStyle name="Output 3 8" xfId="9391"/>
    <cellStyle name="Output 3 8 2" xfId="21556"/>
    <cellStyle name="Output 3 9" xfId="16443"/>
    <cellStyle name="Output 3_Table 2A-1_EFT (Annual)" xfId="3449"/>
    <cellStyle name="Output 30" xfId="191"/>
    <cellStyle name="Output 30 2" xfId="584"/>
    <cellStyle name="Output 30 2 2" xfId="1561"/>
    <cellStyle name="Output 30 2 2 2" xfId="2831"/>
    <cellStyle name="Output 30 2 2 2 2" xfId="6392"/>
    <cellStyle name="Output 30 2 2 2 2 2" xfId="14586"/>
    <cellStyle name="Output 30 2 2 2 2 2 2" xfId="26558"/>
    <cellStyle name="Output 30 2 2 2 2 3" xfId="21445"/>
    <cellStyle name="Output 30 2 2 2 2_Table 2A-1_EFT (Annual)" xfId="8153"/>
    <cellStyle name="Output 30 2 2 2 3" xfId="11928"/>
    <cellStyle name="Output 30 2 2 2 3 2" xfId="24012"/>
    <cellStyle name="Output 30 2 2 2 4" xfId="18899"/>
    <cellStyle name="Output 30 2 2 2_Table 2A-1_EFT (Annual)" xfId="8152"/>
    <cellStyle name="Output 30 2 2 3" xfId="1930"/>
    <cellStyle name="Output 30 2 2 3 2" xfId="5491"/>
    <cellStyle name="Output 30 2 2 3 2 2" xfId="13706"/>
    <cellStyle name="Output 30 2 2 3 2 2 2" xfId="25694"/>
    <cellStyle name="Output 30 2 2 3 2 3" xfId="20581"/>
    <cellStyle name="Output 30 2 2 3 2_Table 2A-1_EFT (Annual)" xfId="8155"/>
    <cellStyle name="Output 30 2 2 3 3" xfId="11050"/>
    <cellStyle name="Output 30 2 2 3 3 2" xfId="23148"/>
    <cellStyle name="Output 30 2 2 3 4" xfId="18035"/>
    <cellStyle name="Output 30 2 2 3_Table 2A-1_EFT (Annual)" xfId="8154"/>
    <cellStyle name="Output 30 2 2 4" xfId="5122"/>
    <cellStyle name="Output 30 2 2 4 2" xfId="13382"/>
    <cellStyle name="Output 30 2 2 4 2 2" xfId="25388"/>
    <cellStyle name="Output 30 2 2 4 3" xfId="20275"/>
    <cellStyle name="Output 30 2 2 4_Table 2A-1_EFT (Annual)" xfId="8156"/>
    <cellStyle name="Output 30 2 2 5" xfId="10726"/>
    <cellStyle name="Output 30 2 2 5 2" xfId="22842"/>
    <cellStyle name="Output 30 2 2 6" xfId="17729"/>
    <cellStyle name="Output 30 2 2_Table 2A-1_EFT (Annual)" xfId="3457"/>
    <cellStyle name="Output 30 2 3" xfId="2300"/>
    <cellStyle name="Output 30 2 3 2" xfId="5861"/>
    <cellStyle name="Output 30 2 3 2 2" xfId="14076"/>
    <cellStyle name="Output 30 2 3 2 2 2" xfId="26064"/>
    <cellStyle name="Output 30 2 3 2 3" xfId="20951"/>
    <cellStyle name="Output 30 2 3 2_Table 2A-1_EFT (Annual)" xfId="8158"/>
    <cellStyle name="Output 30 2 3 3" xfId="11420"/>
    <cellStyle name="Output 30 2 3 3 2" xfId="23518"/>
    <cellStyle name="Output 30 2 3 4" xfId="18405"/>
    <cellStyle name="Output 30 2 3_Table 2A-1_EFT (Annual)" xfId="8157"/>
    <cellStyle name="Output 30 2 4" xfId="1755"/>
    <cellStyle name="Output 30 2 4 2" xfId="5316"/>
    <cellStyle name="Output 30 2 4 2 2" xfId="13541"/>
    <cellStyle name="Output 30 2 4 2 2 2" xfId="25532"/>
    <cellStyle name="Output 30 2 4 2 3" xfId="20419"/>
    <cellStyle name="Output 30 2 4 2_Table 2A-1_EFT (Annual)" xfId="8160"/>
    <cellStyle name="Output 30 2 4 3" xfId="10884"/>
    <cellStyle name="Output 30 2 4 3 2" xfId="22986"/>
    <cellStyle name="Output 30 2 4 4" xfId="17873"/>
    <cellStyle name="Output 30 2 4_Table 2A-1_EFT (Annual)" xfId="8159"/>
    <cellStyle name="Output 30 2 5" xfId="4154"/>
    <cellStyle name="Output 30 2 5 2" xfId="12478"/>
    <cellStyle name="Output 30 2 5 2 2" xfId="24500"/>
    <cellStyle name="Output 30 2 5 3" xfId="19387"/>
    <cellStyle name="Output 30 2 5_Table 2A-1_EFT (Annual)" xfId="8161"/>
    <cellStyle name="Output 30 2 6" xfId="9817"/>
    <cellStyle name="Output 30 2 6 2" xfId="21954"/>
    <cellStyle name="Output 30 2 7" xfId="16841"/>
    <cellStyle name="Output 30 2_Table 2A-1_EFT (Annual)" xfId="3456"/>
    <cellStyle name="Output 30 3" xfId="421"/>
    <cellStyle name="Output 30 3 2" xfId="1404"/>
    <cellStyle name="Output 30 3 2 2" xfId="2674"/>
    <cellStyle name="Output 30 3 2 2 2" xfId="6235"/>
    <cellStyle name="Output 30 3 2 2 2 2" xfId="14429"/>
    <cellStyle name="Output 30 3 2 2 2 2 2" xfId="26401"/>
    <cellStyle name="Output 30 3 2 2 2 3" xfId="21288"/>
    <cellStyle name="Output 30 3 2 2 2_Table 2A-1_EFT (Annual)" xfId="8163"/>
    <cellStyle name="Output 30 3 2 2 3" xfId="11771"/>
    <cellStyle name="Output 30 3 2 2 3 2" xfId="23855"/>
    <cellStyle name="Output 30 3 2 2 4" xfId="18742"/>
    <cellStyle name="Output 30 3 2 2_Table 2A-1_EFT (Annual)" xfId="8162"/>
    <cellStyle name="Output 30 3 2 3" xfId="1899"/>
    <cellStyle name="Output 30 3 2 3 2" xfId="5460"/>
    <cellStyle name="Output 30 3 2 3 2 2" xfId="13675"/>
    <cellStyle name="Output 30 3 2 3 2 2 2" xfId="25663"/>
    <cellStyle name="Output 30 3 2 3 2 3" xfId="20550"/>
    <cellStyle name="Output 30 3 2 3 2_Table 2A-1_EFT (Annual)" xfId="8165"/>
    <cellStyle name="Output 30 3 2 3 3" xfId="11019"/>
    <cellStyle name="Output 30 3 2 3 3 2" xfId="23117"/>
    <cellStyle name="Output 30 3 2 3 4" xfId="18004"/>
    <cellStyle name="Output 30 3 2 3_Table 2A-1_EFT (Annual)" xfId="8164"/>
    <cellStyle name="Output 30 3 2 4" xfId="4965"/>
    <cellStyle name="Output 30 3 2 4 2" xfId="13225"/>
    <cellStyle name="Output 30 3 2 4 2 2" xfId="25231"/>
    <cellStyle name="Output 30 3 2 4 3" xfId="20118"/>
    <cellStyle name="Output 30 3 2 4_Table 2A-1_EFT (Annual)" xfId="8166"/>
    <cellStyle name="Output 30 3 2 5" xfId="10569"/>
    <cellStyle name="Output 30 3 2 5 2" xfId="22685"/>
    <cellStyle name="Output 30 3 2 6" xfId="17572"/>
    <cellStyle name="Output 30 3 2_Table 2A-1_EFT (Annual)" xfId="3459"/>
    <cellStyle name="Output 30 3 3" xfId="2143"/>
    <cellStyle name="Output 30 3 3 2" xfId="5704"/>
    <cellStyle name="Output 30 3 3 2 2" xfId="13919"/>
    <cellStyle name="Output 30 3 3 2 2 2" xfId="25907"/>
    <cellStyle name="Output 30 3 3 2 3" xfId="20794"/>
    <cellStyle name="Output 30 3 3 2_Table 2A-1_EFT (Annual)" xfId="8168"/>
    <cellStyle name="Output 30 3 3 3" xfId="11263"/>
    <cellStyle name="Output 30 3 3 3 2" xfId="23361"/>
    <cellStyle name="Output 30 3 3 4" xfId="18248"/>
    <cellStyle name="Output 30 3 3_Table 2A-1_EFT (Annual)" xfId="8167"/>
    <cellStyle name="Output 30 3 4" xfId="1719"/>
    <cellStyle name="Output 30 3 4 2" xfId="5280"/>
    <cellStyle name="Output 30 3 4 2 2" xfId="13509"/>
    <cellStyle name="Output 30 3 4 2 2 2" xfId="25502"/>
    <cellStyle name="Output 30 3 4 2 3" xfId="20389"/>
    <cellStyle name="Output 30 3 4 2_Table 2A-1_EFT (Annual)" xfId="8170"/>
    <cellStyle name="Output 30 3 4 3" xfId="10853"/>
    <cellStyle name="Output 30 3 4 3 2" xfId="22956"/>
    <cellStyle name="Output 30 3 4 4" xfId="17843"/>
    <cellStyle name="Output 30 3 4_Table 2A-1_EFT (Annual)" xfId="8169"/>
    <cellStyle name="Output 30 3 5" xfId="3991"/>
    <cellStyle name="Output 30 3 5 2" xfId="12319"/>
    <cellStyle name="Output 30 3 5 2 2" xfId="24343"/>
    <cellStyle name="Output 30 3 5 3" xfId="19230"/>
    <cellStyle name="Output 30 3 5_Table 2A-1_EFT (Annual)" xfId="8171"/>
    <cellStyle name="Output 30 3 6" xfId="9656"/>
    <cellStyle name="Output 30 3 6 2" xfId="21797"/>
    <cellStyle name="Output 30 3 7" xfId="16684"/>
    <cellStyle name="Output 30 3_Table 2A-1_EFT (Annual)" xfId="3458"/>
    <cellStyle name="Output 30 4" xfId="1239"/>
    <cellStyle name="Output 30 4 2" xfId="2509"/>
    <cellStyle name="Output 30 4 2 2" xfId="6070"/>
    <cellStyle name="Output 30 4 2 2 2" xfId="14264"/>
    <cellStyle name="Output 30 4 2 2 2 2" xfId="26236"/>
    <cellStyle name="Output 30 4 2 2 3" xfId="21123"/>
    <cellStyle name="Output 30 4 2 2_Table 2A-1_EFT (Annual)" xfId="8173"/>
    <cellStyle name="Output 30 4 2 3" xfId="11606"/>
    <cellStyle name="Output 30 4 2 3 2" xfId="23690"/>
    <cellStyle name="Output 30 4 2 4" xfId="18577"/>
    <cellStyle name="Output 30 4 2_Table 2A-1_EFT (Annual)" xfId="8172"/>
    <cellStyle name="Output 30 4 3" xfId="1835"/>
    <cellStyle name="Output 30 4 3 2" xfId="5396"/>
    <cellStyle name="Output 30 4 3 2 2" xfId="13611"/>
    <cellStyle name="Output 30 4 3 2 2 2" xfId="25599"/>
    <cellStyle name="Output 30 4 3 2 3" xfId="20486"/>
    <cellStyle name="Output 30 4 3 2_Table 2A-1_EFT (Annual)" xfId="8175"/>
    <cellStyle name="Output 30 4 3 3" xfId="10955"/>
    <cellStyle name="Output 30 4 3 3 2" xfId="23053"/>
    <cellStyle name="Output 30 4 3 4" xfId="17940"/>
    <cellStyle name="Output 30 4 3_Table 2A-1_EFT (Annual)" xfId="8174"/>
    <cellStyle name="Output 30 4 4" xfId="4800"/>
    <cellStyle name="Output 30 4 4 2" xfId="13060"/>
    <cellStyle name="Output 30 4 4 2 2" xfId="25066"/>
    <cellStyle name="Output 30 4 4 3" xfId="19953"/>
    <cellStyle name="Output 30 4 4_Table 2A-1_EFT (Annual)" xfId="8176"/>
    <cellStyle name="Output 30 4 5" xfId="10404"/>
    <cellStyle name="Output 30 4 5 2" xfId="22520"/>
    <cellStyle name="Output 30 4 6" xfId="17407"/>
    <cellStyle name="Output 30 4_Table 2A-1_EFT (Annual)" xfId="3460"/>
    <cellStyle name="Output 30 5" xfId="1978"/>
    <cellStyle name="Output 30 5 2" xfId="5539"/>
    <cellStyle name="Output 30 5 2 2" xfId="13754"/>
    <cellStyle name="Output 30 5 2 2 2" xfId="25742"/>
    <cellStyle name="Output 30 5 2 3" xfId="20629"/>
    <cellStyle name="Output 30 5 2_Table 2A-1_EFT (Annual)" xfId="8178"/>
    <cellStyle name="Output 30 5 3" xfId="11098"/>
    <cellStyle name="Output 30 5 3 2" xfId="23196"/>
    <cellStyle name="Output 30 5 4" xfId="18083"/>
    <cellStyle name="Output 30 5_Table 2A-1_EFT (Annual)" xfId="8177"/>
    <cellStyle name="Output 30 6" xfId="1662"/>
    <cellStyle name="Output 30 6 2" xfId="5223"/>
    <cellStyle name="Output 30 6 2 2" xfId="13470"/>
    <cellStyle name="Output 30 6 2 2 2" xfId="25470"/>
    <cellStyle name="Output 30 6 2 3" xfId="20357"/>
    <cellStyle name="Output 30 6 2_Table 2A-1_EFT (Annual)" xfId="8180"/>
    <cellStyle name="Output 30 6 3" xfId="10815"/>
    <cellStyle name="Output 30 6 3 2" xfId="22924"/>
    <cellStyle name="Output 30 6 4" xfId="17811"/>
    <cellStyle name="Output 30 6_Table 2A-1_EFT (Annual)" xfId="8179"/>
    <cellStyle name="Output 30 7" xfId="3780"/>
    <cellStyle name="Output 30 7 2" xfId="12148"/>
    <cellStyle name="Output 30 7 2 2" xfId="24178"/>
    <cellStyle name="Output 30 7 3" xfId="19065"/>
    <cellStyle name="Output 30 7_Table 2A-1_EFT (Annual)" xfId="8181"/>
    <cellStyle name="Output 30 8" xfId="9467"/>
    <cellStyle name="Output 30 8 2" xfId="21632"/>
    <cellStyle name="Output 30 9" xfId="16519"/>
    <cellStyle name="Output 30_Table 2A-1_EFT (Annual)" xfId="3455"/>
    <cellStyle name="Output 31" xfId="250"/>
    <cellStyle name="Output 31 2" xfId="637"/>
    <cellStyle name="Output 31 2 2" xfId="1614"/>
    <cellStyle name="Output 31 2 2 2" xfId="2884"/>
    <cellStyle name="Output 31 2 2 2 2" xfId="6445"/>
    <cellStyle name="Output 31 2 2 2 2 2" xfId="14639"/>
    <cellStyle name="Output 31 2 2 2 2 2 2" xfId="26611"/>
    <cellStyle name="Output 31 2 2 2 2 3" xfId="21498"/>
    <cellStyle name="Output 31 2 2 2 2_Table 2A-1_EFT (Annual)" xfId="8183"/>
    <cellStyle name="Output 31 2 2 2 3" xfId="11981"/>
    <cellStyle name="Output 31 2 2 2 3 2" xfId="24065"/>
    <cellStyle name="Output 31 2 2 2 4" xfId="18952"/>
    <cellStyle name="Output 31 2 2 2_Table 2A-1_EFT (Annual)" xfId="8182"/>
    <cellStyle name="Output 31 2 2 3" xfId="1940"/>
    <cellStyle name="Output 31 2 2 3 2" xfId="5501"/>
    <cellStyle name="Output 31 2 2 3 2 2" xfId="13716"/>
    <cellStyle name="Output 31 2 2 3 2 2 2" xfId="25704"/>
    <cellStyle name="Output 31 2 2 3 2 3" xfId="20591"/>
    <cellStyle name="Output 31 2 2 3 2_Table 2A-1_EFT (Annual)" xfId="8185"/>
    <cellStyle name="Output 31 2 2 3 3" xfId="11060"/>
    <cellStyle name="Output 31 2 2 3 3 2" xfId="23158"/>
    <cellStyle name="Output 31 2 2 3 4" xfId="18045"/>
    <cellStyle name="Output 31 2 2 3_Table 2A-1_EFT (Annual)" xfId="8184"/>
    <cellStyle name="Output 31 2 2 4" xfId="5175"/>
    <cellStyle name="Output 31 2 2 4 2" xfId="13435"/>
    <cellStyle name="Output 31 2 2 4 2 2" xfId="25441"/>
    <cellStyle name="Output 31 2 2 4 3" xfId="20328"/>
    <cellStyle name="Output 31 2 2 4_Table 2A-1_EFT (Annual)" xfId="8186"/>
    <cellStyle name="Output 31 2 2 5" xfId="10779"/>
    <cellStyle name="Output 31 2 2 5 2" xfId="22895"/>
    <cellStyle name="Output 31 2 2 6" xfId="17782"/>
    <cellStyle name="Output 31 2 2_Table 2A-1_EFT (Annual)" xfId="3463"/>
    <cellStyle name="Output 31 2 3" xfId="2353"/>
    <cellStyle name="Output 31 2 3 2" xfId="5914"/>
    <cellStyle name="Output 31 2 3 2 2" xfId="14129"/>
    <cellStyle name="Output 31 2 3 2 2 2" xfId="26117"/>
    <cellStyle name="Output 31 2 3 2 3" xfId="21004"/>
    <cellStyle name="Output 31 2 3 2_Table 2A-1_EFT (Annual)" xfId="8188"/>
    <cellStyle name="Output 31 2 3 3" xfId="11473"/>
    <cellStyle name="Output 31 2 3 3 2" xfId="23571"/>
    <cellStyle name="Output 31 2 3 4" xfId="18458"/>
    <cellStyle name="Output 31 2 3_Table 2A-1_EFT (Annual)" xfId="8187"/>
    <cellStyle name="Output 31 2 4" xfId="1765"/>
    <cellStyle name="Output 31 2 4 2" xfId="5326"/>
    <cellStyle name="Output 31 2 4 2 2" xfId="13551"/>
    <cellStyle name="Output 31 2 4 2 2 2" xfId="25542"/>
    <cellStyle name="Output 31 2 4 2 3" xfId="20429"/>
    <cellStyle name="Output 31 2 4 2_Table 2A-1_EFT (Annual)" xfId="8190"/>
    <cellStyle name="Output 31 2 4 3" xfId="10894"/>
    <cellStyle name="Output 31 2 4 3 2" xfId="22996"/>
    <cellStyle name="Output 31 2 4 4" xfId="17883"/>
    <cellStyle name="Output 31 2 4_Table 2A-1_EFT (Annual)" xfId="8189"/>
    <cellStyle name="Output 31 2 5" xfId="4207"/>
    <cellStyle name="Output 31 2 5 2" xfId="12531"/>
    <cellStyle name="Output 31 2 5 2 2" xfId="24553"/>
    <cellStyle name="Output 31 2 5 3" xfId="19440"/>
    <cellStyle name="Output 31 2 5_Table 2A-1_EFT (Annual)" xfId="8191"/>
    <cellStyle name="Output 31 2 6" xfId="9870"/>
    <cellStyle name="Output 31 2 6 2" xfId="22007"/>
    <cellStyle name="Output 31 2 7" xfId="16894"/>
    <cellStyle name="Output 31 2_Table 2A-1_EFT (Annual)" xfId="3462"/>
    <cellStyle name="Output 31 3" xfId="476"/>
    <cellStyle name="Output 31 3 2" xfId="1453"/>
    <cellStyle name="Output 31 3 2 2" xfId="2723"/>
    <cellStyle name="Output 31 3 2 2 2" xfId="6284"/>
    <cellStyle name="Output 31 3 2 2 2 2" xfId="14478"/>
    <cellStyle name="Output 31 3 2 2 2 2 2" xfId="26450"/>
    <cellStyle name="Output 31 3 2 2 2 3" xfId="21337"/>
    <cellStyle name="Output 31 3 2 2 2_Table 2A-1_EFT (Annual)" xfId="8193"/>
    <cellStyle name="Output 31 3 2 2 3" xfId="11820"/>
    <cellStyle name="Output 31 3 2 2 3 2" xfId="23904"/>
    <cellStyle name="Output 31 3 2 2 4" xfId="18791"/>
    <cellStyle name="Output 31 3 2 2_Table 2A-1_EFT (Annual)" xfId="8192"/>
    <cellStyle name="Output 31 3 2 3" xfId="1909"/>
    <cellStyle name="Output 31 3 2 3 2" xfId="5470"/>
    <cellStyle name="Output 31 3 2 3 2 2" xfId="13685"/>
    <cellStyle name="Output 31 3 2 3 2 2 2" xfId="25673"/>
    <cellStyle name="Output 31 3 2 3 2 3" xfId="20560"/>
    <cellStyle name="Output 31 3 2 3 2_Table 2A-1_EFT (Annual)" xfId="8195"/>
    <cellStyle name="Output 31 3 2 3 3" xfId="11029"/>
    <cellStyle name="Output 31 3 2 3 3 2" xfId="23127"/>
    <cellStyle name="Output 31 3 2 3 4" xfId="18014"/>
    <cellStyle name="Output 31 3 2 3_Table 2A-1_EFT (Annual)" xfId="8194"/>
    <cellStyle name="Output 31 3 2 4" xfId="5014"/>
    <cellStyle name="Output 31 3 2 4 2" xfId="13274"/>
    <cellStyle name="Output 31 3 2 4 2 2" xfId="25280"/>
    <cellStyle name="Output 31 3 2 4 3" xfId="20167"/>
    <cellStyle name="Output 31 3 2 4_Table 2A-1_EFT (Annual)" xfId="8196"/>
    <cellStyle name="Output 31 3 2 5" xfId="10618"/>
    <cellStyle name="Output 31 3 2 5 2" xfId="22734"/>
    <cellStyle name="Output 31 3 2 6" xfId="17621"/>
    <cellStyle name="Output 31 3 2_Table 2A-1_EFT (Annual)" xfId="3465"/>
    <cellStyle name="Output 31 3 3" xfId="2192"/>
    <cellStyle name="Output 31 3 3 2" xfId="5753"/>
    <cellStyle name="Output 31 3 3 2 2" xfId="13968"/>
    <cellStyle name="Output 31 3 3 2 2 2" xfId="25956"/>
    <cellStyle name="Output 31 3 3 2 3" xfId="20843"/>
    <cellStyle name="Output 31 3 3 2_Table 2A-1_EFT (Annual)" xfId="8198"/>
    <cellStyle name="Output 31 3 3 3" xfId="11312"/>
    <cellStyle name="Output 31 3 3 3 2" xfId="23410"/>
    <cellStyle name="Output 31 3 3 4" xfId="18297"/>
    <cellStyle name="Output 31 3 3_Table 2A-1_EFT (Annual)" xfId="8197"/>
    <cellStyle name="Output 31 3 4" xfId="1734"/>
    <cellStyle name="Output 31 3 4 2" xfId="5295"/>
    <cellStyle name="Output 31 3 4 2 2" xfId="13520"/>
    <cellStyle name="Output 31 3 4 2 2 2" xfId="25511"/>
    <cellStyle name="Output 31 3 4 2 3" xfId="20398"/>
    <cellStyle name="Output 31 3 4 2_Table 2A-1_EFT (Annual)" xfId="8200"/>
    <cellStyle name="Output 31 3 4 3" xfId="10863"/>
    <cellStyle name="Output 31 3 4 3 2" xfId="22965"/>
    <cellStyle name="Output 31 3 4 4" xfId="17852"/>
    <cellStyle name="Output 31 3 4_Table 2A-1_EFT (Annual)" xfId="8199"/>
    <cellStyle name="Output 31 3 5" xfId="4046"/>
    <cellStyle name="Output 31 3 5 2" xfId="12370"/>
    <cellStyle name="Output 31 3 5 2 2" xfId="24392"/>
    <cellStyle name="Output 31 3 5 3" xfId="19279"/>
    <cellStyle name="Output 31 3 5_Table 2A-1_EFT (Annual)" xfId="8201"/>
    <cellStyle name="Output 31 3 6" xfId="9709"/>
    <cellStyle name="Output 31 3 6 2" xfId="21846"/>
    <cellStyle name="Output 31 3 7" xfId="16733"/>
    <cellStyle name="Output 31 3_Table 2A-1_EFT (Annual)" xfId="3464"/>
    <cellStyle name="Output 31 4" xfId="1292"/>
    <cellStyle name="Output 31 4 2" xfId="2562"/>
    <cellStyle name="Output 31 4 2 2" xfId="6123"/>
    <cellStyle name="Output 31 4 2 2 2" xfId="14317"/>
    <cellStyle name="Output 31 4 2 2 2 2" xfId="26289"/>
    <cellStyle name="Output 31 4 2 2 3" xfId="21176"/>
    <cellStyle name="Output 31 4 2 2_Table 2A-1_EFT (Annual)" xfId="8203"/>
    <cellStyle name="Output 31 4 2 3" xfId="11659"/>
    <cellStyle name="Output 31 4 2 3 2" xfId="23743"/>
    <cellStyle name="Output 31 4 2 4" xfId="18630"/>
    <cellStyle name="Output 31 4 2_Table 2A-1_EFT (Annual)" xfId="8202"/>
    <cellStyle name="Output 31 4 3" xfId="1846"/>
    <cellStyle name="Output 31 4 3 2" xfId="5407"/>
    <cellStyle name="Output 31 4 3 2 2" xfId="13622"/>
    <cellStyle name="Output 31 4 3 2 2 2" xfId="25610"/>
    <cellStyle name="Output 31 4 3 2 3" xfId="20497"/>
    <cellStyle name="Output 31 4 3 2_Table 2A-1_EFT (Annual)" xfId="8205"/>
    <cellStyle name="Output 31 4 3 3" xfId="10966"/>
    <cellStyle name="Output 31 4 3 3 2" xfId="23064"/>
    <cellStyle name="Output 31 4 3 4" xfId="17951"/>
    <cellStyle name="Output 31 4 3_Table 2A-1_EFT (Annual)" xfId="8204"/>
    <cellStyle name="Output 31 4 4" xfId="4853"/>
    <cellStyle name="Output 31 4 4 2" xfId="13113"/>
    <cellStyle name="Output 31 4 4 2 2" xfId="25119"/>
    <cellStyle name="Output 31 4 4 3" xfId="20006"/>
    <cellStyle name="Output 31 4 4_Table 2A-1_EFT (Annual)" xfId="8206"/>
    <cellStyle name="Output 31 4 5" xfId="10457"/>
    <cellStyle name="Output 31 4 5 2" xfId="22573"/>
    <cellStyle name="Output 31 4 6" xfId="17460"/>
    <cellStyle name="Output 31 4_Table 2A-1_EFT (Annual)" xfId="3466"/>
    <cellStyle name="Output 31 5" xfId="2031"/>
    <cellStyle name="Output 31 5 2" xfId="5592"/>
    <cellStyle name="Output 31 5 2 2" xfId="13807"/>
    <cellStyle name="Output 31 5 2 2 2" xfId="25795"/>
    <cellStyle name="Output 31 5 2 3" xfId="20682"/>
    <cellStyle name="Output 31 5 2_Table 2A-1_EFT (Annual)" xfId="8208"/>
    <cellStyle name="Output 31 5 3" xfId="11151"/>
    <cellStyle name="Output 31 5 3 2" xfId="23249"/>
    <cellStyle name="Output 31 5 4" xfId="18136"/>
    <cellStyle name="Output 31 5_Table 2A-1_EFT (Annual)" xfId="8207"/>
    <cellStyle name="Output 31 6" xfId="1678"/>
    <cellStyle name="Output 31 6 2" xfId="5239"/>
    <cellStyle name="Output 31 6 2 2" xfId="13482"/>
    <cellStyle name="Output 31 6 2 2 2" xfId="25480"/>
    <cellStyle name="Output 31 6 2 3" xfId="20367"/>
    <cellStyle name="Output 31 6 2_Table 2A-1_EFT (Annual)" xfId="8210"/>
    <cellStyle name="Output 31 6 3" xfId="10827"/>
    <cellStyle name="Output 31 6 3 2" xfId="22934"/>
    <cellStyle name="Output 31 6 4" xfId="17821"/>
    <cellStyle name="Output 31 6_Table 2A-1_EFT (Annual)" xfId="8209"/>
    <cellStyle name="Output 31 7" xfId="3839"/>
    <cellStyle name="Output 31 7 2" xfId="12202"/>
    <cellStyle name="Output 31 7 2 2" xfId="24231"/>
    <cellStyle name="Output 31 7 3" xfId="19118"/>
    <cellStyle name="Output 31 7_Table 2A-1_EFT (Annual)" xfId="8211"/>
    <cellStyle name="Output 31 8" xfId="9521"/>
    <cellStyle name="Output 31 8 2" xfId="21685"/>
    <cellStyle name="Output 31 9" xfId="16572"/>
    <cellStyle name="Output 31_Table 2A-1_EFT (Annual)" xfId="3461"/>
    <cellStyle name="Output 32" xfId="221"/>
    <cellStyle name="Output 32 2" xfId="614"/>
    <cellStyle name="Output 32 2 2" xfId="1591"/>
    <cellStyle name="Output 32 2 2 2" xfId="2861"/>
    <cellStyle name="Output 32 2 2 2 2" xfId="6422"/>
    <cellStyle name="Output 32 2 2 2 2 2" xfId="14616"/>
    <cellStyle name="Output 32 2 2 2 2 2 2" xfId="26588"/>
    <cellStyle name="Output 32 2 2 2 2 3" xfId="21475"/>
    <cellStyle name="Output 32 2 2 2 2_Table 2A-1_EFT (Annual)" xfId="8213"/>
    <cellStyle name="Output 32 2 2 2 3" xfId="11958"/>
    <cellStyle name="Output 32 2 2 2 3 2" xfId="24042"/>
    <cellStyle name="Output 32 2 2 2 4" xfId="18929"/>
    <cellStyle name="Output 32 2 2 2_Table 2A-1_EFT (Annual)" xfId="8212"/>
    <cellStyle name="Output 32 2 2 3" xfId="1936"/>
    <cellStyle name="Output 32 2 2 3 2" xfId="5497"/>
    <cellStyle name="Output 32 2 2 3 2 2" xfId="13712"/>
    <cellStyle name="Output 32 2 2 3 2 2 2" xfId="25700"/>
    <cellStyle name="Output 32 2 2 3 2 3" xfId="20587"/>
    <cellStyle name="Output 32 2 2 3 2_Table 2A-1_EFT (Annual)" xfId="8215"/>
    <cellStyle name="Output 32 2 2 3 3" xfId="11056"/>
    <cellStyle name="Output 32 2 2 3 3 2" xfId="23154"/>
    <cellStyle name="Output 32 2 2 3 4" xfId="18041"/>
    <cellStyle name="Output 32 2 2 3_Table 2A-1_EFT (Annual)" xfId="8214"/>
    <cellStyle name="Output 32 2 2 4" xfId="5152"/>
    <cellStyle name="Output 32 2 2 4 2" xfId="13412"/>
    <cellStyle name="Output 32 2 2 4 2 2" xfId="25418"/>
    <cellStyle name="Output 32 2 2 4 3" xfId="20305"/>
    <cellStyle name="Output 32 2 2 4_Table 2A-1_EFT (Annual)" xfId="8216"/>
    <cellStyle name="Output 32 2 2 5" xfId="10756"/>
    <cellStyle name="Output 32 2 2 5 2" xfId="22872"/>
    <cellStyle name="Output 32 2 2 6" xfId="17759"/>
    <cellStyle name="Output 32 2 2_Table 2A-1_EFT (Annual)" xfId="3469"/>
    <cellStyle name="Output 32 2 3" xfId="2330"/>
    <cellStyle name="Output 32 2 3 2" xfId="5891"/>
    <cellStyle name="Output 32 2 3 2 2" xfId="14106"/>
    <cellStyle name="Output 32 2 3 2 2 2" xfId="26094"/>
    <cellStyle name="Output 32 2 3 2 3" xfId="20981"/>
    <cellStyle name="Output 32 2 3 2_Table 2A-1_EFT (Annual)" xfId="8218"/>
    <cellStyle name="Output 32 2 3 3" xfId="11450"/>
    <cellStyle name="Output 32 2 3 3 2" xfId="23548"/>
    <cellStyle name="Output 32 2 3 4" xfId="18435"/>
    <cellStyle name="Output 32 2 3_Table 2A-1_EFT (Annual)" xfId="8217"/>
    <cellStyle name="Output 32 2 4" xfId="1761"/>
    <cellStyle name="Output 32 2 4 2" xfId="5322"/>
    <cellStyle name="Output 32 2 4 2 2" xfId="13547"/>
    <cellStyle name="Output 32 2 4 2 2 2" xfId="25538"/>
    <cellStyle name="Output 32 2 4 2 3" xfId="20425"/>
    <cellStyle name="Output 32 2 4 2_Table 2A-1_EFT (Annual)" xfId="8220"/>
    <cellStyle name="Output 32 2 4 3" xfId="10890"/>
    <cellStyle name="Output 32 2 4 3 2" xfId="22992"/>
    <cellStyle name="Output 32 2 4 4" xfId="17879"/>
    <cellStyle name="Output 32 2 4_Table 2A-1_EFT (Annual)" xfId="8219"/>
    <cellStyle name="Output 32 2 5" xfId="4184"/>
    <cellStyle name="Output 32 2 5 2" xfId="12508"/>
    <cellStyle name="Output 32 2 5 2 2" xfId="24530"/>
    <cellStyle name="Output 32 2 5 3" xfId="19417"/>
    <cellStyle name="Output 32 2 5_Table 2A-1_EFT (Annual)" xfId="8221"/>
    <cellStyle name="Output 32 2 6" xfId="9847"/>
    <cellStyle name="Output 32 2 6 2" xfId="21984"/>
    <cellStyle name="Output 32 2 7" xfId="16871"/>
    <cellStyle name="Output 32 2_Table 2A-1_EFT (Annual)" xfId="3468"/>
    <cellStyle name="Output 32 3" xfId="1269"/>
    <cellStyle name="Output 32 3 2" xfId="2539"/>
    <cellStyle name="Output 32 3 2 2" xfId="6100"/>
    <cellStyle name="Output 32 3 2 2 2" xfId="14294"/>
    <cellStyle name="Output 32 3 2 2 2 2" xfId="26266"/>
    <cellStyle name="Output 32 3 2 2 3" xfId="21153"/>
    <cellStyle name="Output 32 3 2 2_Table 2A-1_EFT (Annual)" xfId="8223"/>
    <cellStyle name="Output 32 3 2 3" xfId="11636"/>
    <cellStyle name="Output 32 3 2 3 2" xfId="23720"/>
    <cellStyle name="Output 32 3 2 4" xfId="18607"/>
    <cellStyle name="Output 32 3 2_Table 2A-1_EFT (Annual)" xfId="8222"/>
    <cellStyle name="Output 32 3 3" xfId="1841"/>
    <cellStyle name="Output 32 3 3 2" xfId="5402"/>
    <cellStyle name="Output 32 3 3 2 2" xfId="13617"/>
    <cellStyle name="Output 32 3 3 2 2 2" xfId="25605"/>
    <cellStyle name="Output 32 3 3 2 3" xfId="20492"/>
    <cellStyle name="Output 32 3 3 2_Table 2A-1_EFT (Annual)" xfId="8225"/>
    <cellStyle name="Output 32 3 3 3" xfId="10961"/>
    <cellStyle name="Output 32 3 3 3 2" xfId="23059"/>
    <cellStyle name="Output 32 3 3 4" xfId="17946"/>
    <cellStyle name="Output 32 3 3_Table 2A-1_EFT (Annual)" xfId="8224"/>
    <cellStyle name="Output 32 3 4" xfId="4830"/>
    <cellStyle name="Output 32 3 4 2" xfId="13090"/>
    <cellStyle name="Output 32 3 4 2 2" xfId="25096"/>
    <cellStyle name="Output 32 3 4 3" xfId="19983"/>
    <cellStyle name="Output 32 3 4_Table 2A-1_EFT (Annual)" xfId="8226"/>
    <cellStyle name="Output 32 3 5" xfId="10434"/>
    <cellStyle name="Output 32 3 5 2" xfId="22550"/>
    <cellStyle name="Output 32 3 6" xfId="17437"/>
    <cellStyle name="Output 32 3_Table 2A-1_EFT (Annual)" xfId="3470"/>
    <cellStyle name="Output 32 4" xfId="2008"/>
    <cellStyle name="Output 32 4 2" xfId="5569"/>
    <cellStyle name="Output 32 4 2 2" xfId="13784"/>
    <cellStyle name="Output 32 4 2 2 2" xfId="25772"/>
    <cellStyle name="Output 32 4 2 3" xfId="20659"/>
    <cellStyle name="Output 32 4 2_Table 2A-1_EFT (Annual)" xfId="8228"/>
    <cellStyle name="Output 32 4 3" xfId="11128"/>
    <cellStyle name="Output 32 4 3 2" xfId="23226"/>
    <cellStyle name="Output 32 4 4" xfId="18113"/>
    <cellStyle name="Output 32 4_Table 2A-1_EFT (Annual)" xfId="8227"/>
    <cellStyle name="Output 32 5" xfId="1668"/>
    <cellStyle name="Output 32 5 2" xfId="5229"/>
    <cellStyle name="Output 32 5 2 2" xfId="13476"/>
    <cellStyle name="Output 32 5 2 2 2" xfId="25476"/>
    <cellStyle name="Output 32 5 2 3" xfId="20363"/>
    <cellStyle name="Output 32 5 2_Table 2A-1_EFT (Annual)" xfId="8230"/>
    <cellStyle name="Output 32 5 3" xfId="10821"/>
    <cellStyle name="Output 32 5 3 2" xfId="22930"/>
    <cellStyle name="Output 32 5 4" xfId="17817"/>
    <cellStyle name="Output 32 5_Table 2A-1_EFT (Annual)" xfId="8229"/>
    <cellStyle name="Output 32 6" xfId="3810"/>
    <cellStyle name="Output 32 6 2" xfId="12178"/>
    <cellStyle name="Output 32 6 2 2" xfId="24208"/>
    <cellStyle name="Output 32 6 3" xfId="19095"/>
    <cellStyle name="Output 32 6_Table 2A-1_EFT (Annual)" xfId="8231"/>
    <cellStyle name="Output 32 7" xfId="9497"/>
    <cellStyle name="Output 32 7 2" xfId="21662"/>
    <cellStyle name="Output 32 8" xfId="16549"/>
    <cellStyle name="Output 32_Table 2A-1_EFT (Annual)" xfId="3467"/>
    <cellStyle name="Output 33" xfId="294"/>
    <cellStyle name="Output 33 2" xfId="1298"/>
    <cellStyle name="Output 33 2 2" xfId="2568"/>
    <cellStyle name="Output 33 2 2 2" xfId="6129"/>
    <cellStyle name="Output 33 2 2 2 2" xfId="14323"/>
    <cellStyle name="Output 33 2 2 2 2 2" xfId="26295"/>
    <cellStyle name="Output 33 2 2 2 3" xfId="21182"/>
    <cellStyle name="Output 33 2 2 2_Table 2A-1_EFT (Annual)" xfId="8233"/>
    <cellStyle name="Output 33 2 2 3" xfId="11665"/>
    <cellStyle name="Output 33 2 2 3 2" xfId="23749"/>
    <cellStyle name="Output 33 2 2 4" xfId="18636"/>
    <cellStyle name="Output 33 2 2_Table 2A-1_EFT (Annual)" xfId="8232"/>
    <cellStyle name="Output 33 2 3" xfId="1873"/>
    <cellStyle name="Output 33 2 3 2" xfId="5434"/>
    <cellStyle name="Output 33 2 3 2 2" xfId="13649"/>
    <cellStyle name="Output 33 2 3 2 2 2" xfId="25637"/>
    <cellStyle name="Output 33 2 3 2 3" xfId="20524"/>
    <cellStyle name="Output 33 2 3 2_Table 2A-1_EFT (Annual)" xfId="8235"/>
    <cellStyle name="Output 33 2 3 3" xfId="10993"/>
    <cellStyle name="Output 33 2 3 3 2" xfId="23091"/>
    <cellStyle name="Output 33 2 3 4" xfId="17978"/>
    <cellStyle name="Output 33 2 3_Table 2A-1_EFT (Annual)" xfId="8234"/>
    <cellStyle name="Output 33 2 4" xfId="4859"/>
    <cellStyle name="Output 33 2 4 2" xfId="13119"/>
    <cellStyle name="Output 33 2 4 2 2" xfId="25125"/>
    <cellStyle name="Output 33 2 4 3" xfId="20012"/>
    <cellStyle name="Output 33 2 4_Table 2A-1_EFT (Annual)" xfId="8236"/>
    <cellStyle name="Output 33 2 5" xfId="10463"/>
    <cellStyle name="Output 33 2 5 2" xfId="22579"/>
    <cellStyle name="Output 33 2 6" xfId="17466"/>
    <cellStyle name="Output 33 2_Table 2A-1_EFT (Annual)" xfId="3472"/>
    <cellStyle name="Output 33 3" xfId="2037"/>
    <cellStyle name="Output 33 3 2" xfId="5598"/>
    <cellStyle name="Output 33 3 2 2" xfId="13813"/>
    <cellStyle name="Output 33 3 2 2 2" xfId="25801"/>
    <cellStyle name="Output 33 3 2 3" xfId="20688"/>
    <cellStyle name="Output 33 3 2_Table 2A-1_EFT (Annual)" xfId="8238"/>
    <cellStyle name="Output 33 3 3" xfId="11157"/>
    <cellStyle name="Output 33 3 3 2" xfId="23255"/>
    <cellStyle name="Output 33 3 4" xfId="18142"/>
    <cellStyle name="Output 33 3_Table 2A-1_EFT (Annual)" xfId="8237"/>
    <cellStyle name="Output 33 4" xfId="1680"/>
    <cellStyle name="Output 33 4 2" xfId="5241"/>
    <cellStyle name="Output 33 4 2 2" xfId="13484"/>
    <cellStyle name="Output 33 4 2 2 2" xfId="25481"/>
    <cellStyle name="Output 33 4 2 3" xfId="20368"/>
    <cellStyle name="Output 33 4 2_Table 2A-1_EFT (Annual)" xfId="8240"/>
    <cellStyle name="Output 33 4 3" xfId="10828"/>
    <cellStyle name="Output 33 4 3 2" xfId="22935"/>
    <cellStyle name="Output 33 4 4" xfId="17822"/>
    <cellStyle name="Output 33 4_Table 2A-1_EFT (Annual)" xfId="8239"/>
    <cellStyle name="Output 33 5" xfId="3866"/>
    <cellStyle name="Output 33 5 2" xfId="12208"/>
    <cellStyle name="Output 33 5 2 2" xfId="24237"/>
    <cellStyle name="Output 33 5 3" xfId="19124"/>
    <cellStyle name="Output 33 5_Table 2A-1_EFT (Annual)" xfId="8241"/>
    <cellStyle name="Output 33 6" xfId="9543"/>
    <cellStyle name="Output 33 6 2" xfId="21691"/>
    <cellStyle name="Output 33 7" xfId="16578"/>
    <cellStyle name="Output 33_Table 2A-1_EFT (Annual)" xfId="3471"/>
    <cellStyle name="Output 34" xfId="641"/>
    <cellStyle name="Output 34 2" xfId="1618"/>
    <cellStyle name="Output 34 2 2" xfId="2888"/>
    <cellStyle name="Output 34 2 2 2" xfId="6449"/>
    <cellStyle name="Output 34 2 2 2 2" xfId="14643"/>
    <cellStyle name="Output 34 2 2 2 2 2" xfId="26615"/>
    <cellStyle name="Output 34 2 2 2 3" xfId="21502"/>
    <cellStyle name="Output 34 2 2 2_Table 2A-1_EFT (Annual)" xfId="8244"/>
    <cellStyle name="Output 34 2 2 3" xfId="11985"/>
    <cellStyle name="Output 34 2 2 3 2" xfId="24069"/>
    <cellStyle name="Output 34 2 2 4" xfId="18956"/>
    <cellStyle name="Output 34 2 2_Table 2A-1_EFT (Annual)" xfId="8243"/>
    <cellStyle name="Output 34 2 3" xfId="1941"/>
    <cellStyle name="Output 34 2 3 2" xfId="5502"/>
    <cellStyle name="Output 34 2 3 2 2" xfId="13717"/>
    <cellStyle name="Output 34 2 3 2 2 2" xfId="25705"/>
    <cellStyle name="Output 34 2 3 2 3" xfId="20592"/>
    <cellStyle name="Output 34 2 3 2_Table 2A-1_EFT (Annual)" xfId="8246"/>
    <cellStyle name="Output 34 2 3 3" xfId="11061"/>
    <cellStyle name="Output 34 2 3 3 2" xfId="23159"/>
    <cellStyle name="Output 34 2 3 4" xfId="18046"/>
    <cellStyle name="Output 34 2 3_Table 2A-1_EFT (Annual)" xfId="8245"/>
    <cellStyle name="Output 34 2 4" xfId="5179"/>
    <cellStyle name="Output 34 2 4 2" xfId="13439"/>
    <cellStyle name="Output 34 2 4 2 2" xfId="25445"/>
    <cellStyle name="Output 34 2 4 3" xfId="20332"/>
    <cellStyle name="Output 34 2 4_Table 2A-1_EFT (Annual)" xfId="8247"/>
    <cellStyle name="Output 34 2 5" xfId="10783"/>
    <cellStyle name="Output 34 2 5 2" xfId="22899"/>
    <cellStyle name="Output 34 2 6" xfId="17786"/>
    <cellStyle name="Output 34 2_Table 2A-1_EFT (Annual)" xfId="3473"/>
    <cellStyle name="Output 34 3" xfId="1130"/>
    <cellStyle name="Output 34 3 2" xfId="2403"/>
    <cellStyle name="Output 34 3 2 2" xfId="5964"/>
    <cellStyle name="Output 34 3 2 2 2" xfId="14158"/>
    <cellStyle name="Output 34 3 2 2 2 2" xfId="26130"/>
    <cellStyle name="Output 34 3 2 2 3" xfId="21017"/>
    <cellStyle name="Output 34 3 2 2_Table 2A-1_EFT (Annual)" xfId="8249"/>
    <cellStyle name="Output 34 3 2 3" xfId="11500"/>
    <cellStyle name="Output 34 3 2 3 2" xfId="23584"/>
    <cellStyle name="Output 34 3 2 4" xfId="18471"/>
    <cellStyle name="Output 34 3 2_Table 2A-1_EFT (Annual)" xfId="8248"/>
    <cellStyle name="Output 34 3 3" xfId="4691"/>
    <cellStyle name="Output 34 3 3 2" xfId="12951"/>
    <cellStyle name="Output 34 3 3 2 2" xfId="24957"/>
    <cellStyle name="Output 34 3 3 3" xfId="19844"/>
    <cellStyle name="Output 34 3 3_Table 2A-1_EFT (Annual)" xfId="8250"/>
    <cellStyle name="Output 34 3 4" xfId="10295"/>
    <cellStyle name="Output 34 3 4 2" xfId="22411"/>
    <cellStyle name="Output 34 3 5" xfId="17298"/>
    <cellStyle name="Output 34 3_Table 2A-1_EFT (Annual)" xfId="3474"/>
    <cellStyle name="Output 34 4" xfId="2357"/>
    <cellStyle name="Output 34 4 2" xfId="5918"/>
    <cellStyle name="Output 34 4 2 2" xfId="14133"/>
    <cellStyle name="Output 34 4 2 2 2" xfId="26121"/>
    <cellStyle name="Output 34 4 2 3" xfId="21008"/>
    <cellStyle name="Output 34 4 2_Table 2A-1_EFT (Annual)" xfId="8252"/>
    <cellStyle name="Output 34 4 3" xfId="11477"/>
    <cellStyle name="Output 34 4 3 2" xfId="23575"/>
    <cellStyle name="Output 34 4 4" xfId="18462"/>
    <cellStyle name="Output 34 4_Table 2A-1_EFT (Annual)" xfId="8251"/>
    <cellStyle name="Output 34 5" xfId="4211"/>
    <cellStyle name="Output 34 5 2" xfId="12535"/>
    <cellStyle name="Output 34 5 2 2" xfId="24557"/>
    <cellStyle name="Output 34 5 3" xfId="19444"/>
    <cellStyle name="Output 34 5_Table 2A-1_EFT (Annual)" xfId="8253"/>
    <cellStyle name="Output 34 6" xfId="9874"/>
    <cellStyle name="Output 34 6 2" xfId="22011"/>
    <cellStyle name="Output 34 7" xfId="16898"/>
    <cellStyle name="Output 34_Table 2A-1_EFT (Annual)" xfId="8242"/>
    <cellStyle name="Output 35" xfId="698"/>
    <cellStyle name="Output 35 2" xfId="2365"/>
    <cellStyle name="Output 35 2 2" xfId="5926"/>
    <cellStyle name="Output 35 2 2 2" xfId="14140"/>
    <cellStyle name="Output 35 2 2 2 2" xfId="26128"/>
    <cellStyle name="Output 35 2 2 3" xfId="21015"/>
    <cellStyle name="Output 35 2 2_Table 2A-1_EFT (Annual)" xfId="8255"/>
    <cellStyle name="Output 35 2 3" xfId="11485"/>
    <cellStyle name="Output 35 2 3 2" xfId="23582"/>
    <cellStyle name="Output 35 2 4" xfId="18469"/>
    <cellStyle name="Output 35 2_Table 2A-1_EFT (Annual)" xfId="8254"/>
    <cellStyle name="Output 35 3" xfId="1623"/>
    <cellStyle name="Output 35 3 2" xfId="5184"/>
    <cellStyle name="Output 35 3 2 2" xfId="13444"/>
    <cellStyle name="Output 35 3 2 2 2" xfId="25449"/>
    <cellStyle name="Output 35 3 2 3" xfId="20336"/>
    <cellStyle name="Output 35 3 2_Table 2A-1_EFT (Annual)" xfId="8257"/>
    <cellStyle name="Output 35 3 3" xfId="10787"/>
    <cellStyle name="Output 35 3 3 2" xfId="22903"/>
    <cellStyle name="Output 35 3 4" xfId="17790"/>
    <cellStyle name="Output 35 3_Table 2A-1_EFT (Annual)" xfId="8256"/>
    <cellStyle name="Output 35 4" xfId="4261"/>
    <cellStyle name="Output 35 4 2" xfId="12546"/>
    <cellStyle name="Output 35 4 2 2" xfId="24564"/>
    <cellStyle name="Output 35 4 3" xfId="19451"/>
    <cellStyle name="Output 35 4_Table 2A-1_EFT (Annual)" xfId="8258"/>
    <cellStyle name="Output 35 5" xfId="9892"/>
    <cellStyle name="Output 35 5 2" xfId="22018"/>
    <cellStyle name="Output 35 6" xfId="16905"/>
    <cellStyle name="Output 35_Table 2A-1_EFT (Annual)" xfId="3475"/>
    <cellStyle name="Output 36" xfId="16012"/>
    <cellStyle name="Output 4" xfId="93"/>
    <cellStyle name="Output 4 10" xfId="21521"/>
    <cellStyle name="Output 4 2" xfId="492"/>
    <cellStyle name="Output 4 2 2" xfId="1469"/>
    <cellStyle name="Output 4 2 2 2" xfId="2739"/>
    <cellStyle name="Output 4 2 2 2 2" xfId="6300"/>
    <cellStyle name="Output 4 2 2 2 2 2" xfId="14494"/>
    <cellStyle name="Output 4 2 2 2 2 2 2" xfId="26466"/>
    <cellStyle name="Output 4 2 2 2 2 3" xfId="21353"/>
    <cellStyle name="Output 4 2 2 2 2_Table 2A-1_EFT (Annual)" xfId="8260"/>
    <cellStyle name="Output 4 2 2 2 3" xfId="11836"/>
    <cellStyle name="Output 4 2 2 2 3 2" xfId="23920"/>
    <cellStyle name="Output 4 2 2 2 4" xfId="18807"/>
    <cellStyle name="Output 4 2 2 2_Table 2A-1_EFT (Annual)" xfId="8259"/>
    <cellStyle name="Output 4 2 2 3" xfId="1913"/>
    <cellStyle name="Output 4 2 2 3 2" xfId="5474"/>
    <cellStyle name="Output 4 2 2 3 2 2" xfId="13689"/>
    <cellStyle name="Output 4 2 2 3 2 2 2" xfId="25677"/>
    <cellStyle name="Output 4 2 2 3 2 3" xfId="20564"/>
    <cellStyle name="Output 4 2 2 3 2_Table 2A-1_EFT (Annual)" xfId="8262"/>
    <cellStyle name="Output 4 2 2 3 3" xfId="11033"/>
    <cellStyle name="Output 4 2 2 3 3 2" xfId="23131"/>
    <cellStyle name="Output 4 2 2 3 4" xfId="18018"/>
    <cellStyle name="Output 4 2 2 3_Table 2A-1_EFT (Annual)" xfId="8261"/>
    <cellStyle name="Output 4 2 2 4" xfId="5030"/>
    <cellStyle name="Output 4 2 2 4 2" xfId="13290"/>
    <cellStyle name="Output 4 2 2 4 2 2" xfId="25296"/>
    <cellStyle name="Output 4 2 2 4 3" xfId="20183"/>
    <cellStyle name="Output 4 2 2 4_Table 2A-1_EFT (Annual)" xfId="8263"/>
    <cellStyle name="Output 4 2 2 5" xfId="10634"/>
    <cellStyle name="Output 4 2 2 5 2" xfId="22750"/>
    <cellStyle name="Output 4 2 2 6" xfId="17637"/>
    <cellStyle name="Output 4 2 2_Table 2A-1_EFT (Annual)" xfId="3478"/>
    <cellStyle name="Output 4 2 3" xfId="2208"/>
    <cellStyle name="Output 4 2 3 2" xfId="5769"/>
    <cellStyle name="Output 4 2 3 2 2" xfId="13984"/>
    <cellStyle name="Output 4 2 3 2 2 2" xfId="25972"/>
    <cellStyle name="Output 4 2 3 2 3" xfId="20859"/>
    <cellStyle name="Output 4 2 3 2_Table 2A-1_EFT (Annual)" xfId="8265"/>
    <cellStyle name="Output 4 2 3 3" xfId="11328"/>
    <cellStyle name="Output 4 2 3 3 2" xfId="23426"/>
    <cellStyle name="Output 4 2 3 4" xfId="18313"/>
    <cellStyle name="Output 4 2 3_Table 2A-1_EFT (Annual)" xfId="8264"/>
    <cellStyle name="Output 4 2 4" xfId="1738"/>
    <cellStyle name="Output 4 2 4 2" xfId="5299"/>
    <cellStyle name="Output 4 2 4 2 2" xfId="13524"/>
    <cellStyle name="Output 4 2 4 2 2 2" xfId="25515"/>
    <cellStyle name="Output 4 2 4 2 3" xfId="20402"/>
    <cellStyle name="Output 4 2 4 2_Table 2A-1_EFT (Annual)" xfId="8267"/>
    <cellStyle name="Output 4 2 4 3" xfId="10867"/>
    <cellStyle name="Output 4 2 4 3 2" xfId="22969"/>
    <cellStyle name="Output 4 2 4 4" xfId="17856"/>
    <cellStyle name="Output 4 2 4_Table 2A-1_EFT (Annual)" xfId="8266"/>
    <cellStyle name="Output 4 2 5" xfId="4062"/>
    <cellStyle name="Output 4 2 5 2" xfId="12386"/>
    <cellStyle name="Output 4 2 5 2 2" xfId="24408"/>
    <cellStyle name="Output 4 2 5 3" xfId="19295"/>
    <cellStyle name="Output 4 2 5_Table 2A-1_EFT (Annual)" xfId="8268"/>
    <cellStyle name="Output 4 2 6" xfId="9725"/>
    <cellStyle name="Output 4 2 6 2" xfId="21862"/>
    <cellStyle name="Output 4 2 7" xfId="16749"/>
    <cellStyle name="Output 4 2_Table 2A-1_EFT (Annual)" xfId="3477"/>
    <cellStyle name="Output 4 3" xfId="325"/>
    <cellStyle name="Output 4 3 2" xfId="1313"/>
    <cellStyle name="Output 4 3 2 2" xfId="2583"/>
    <cellStyle name="Output 4 3 2 2 2" xfId="6144"/>
    <cellStyle name="Output 4 3 2 2 2 2" xfId="14338"/>
    <cellStyle name="Output 4 3 2 2 2 2 2" xfId="26310"/>
    <cellStyle name="Output 4 3 2 2 2 3" xfId="21197"/>
    <cellStyle name="Output 4 3 2 2 2_Table 2A-1_EFT (Annual)" xfId="8270"/>
    <cellStyle name="Output 4 3 2 2 3" xfId="11680"/>
    <cellStyle name="Output 4 3 2 2 3 2" xfId="23764"/>
    <cellStyle name="Output 4 3 2 2 4" xfId="18651"/>
    <cellStyle name="Output 4 3 2 2_Table 2A-1_EFT (Annual)" xfId="8269"/>
    <cellStyle name="Output 4 3 2 3" xfId="1881"/>
    <cellStyle name="Output 4 3 2 3 2" xfId="5442"/>
    <cellStyle name="Output 4 3 2 3 2 2" xfId="13657"/>
    <cellStyle name="Output 4 3 2 3 2 2 2" xfId="25645"/>
    <cellStyle name="Output 4 3 2 3 2 3" xfId="20532"/>
    <cellStyle name="Output 4 3 2 3 2_Table 2A-1_EFT (Annual)" xfId="8272"/>
    <cellStyle name="Output 4 3 2 3 3" xfId="11001"/>
    <cellStyle name="Output 4 3 2 3 3 2" xfId="23099"/>
    <cellStyle name="Output 4 3 2 3 4" xfId="17986"/>
    <cellStyle name="Output 4 3 2 3_Table 2A-1_EFT (Annual)" xfId="8271"/>
    <cellStyle name="Output 4 3 2 4" xfId="4874"/>
    <cellStyle name="Output 4 3 2 4 2" xfId="13134"/>
    <cellStyle name="Output 4 3 2 4 2 2" xfId="25140"/>
    <cellStyle name="Output 4 3 2 4 3" xfId="20027"/>
    <cellStyle name="Output 4 3 2 4_Table 2A-1_EFT (Annual)" xfId="8273"/>
    <cellStyle name="Output 4 3 2 5" xfId="10478"/>
    <cellStyle name="Output 4 3 2 5 2" xfId="22594"/>
    <cellStyle name="Output 4 3 2 6" xfId="17481"/>
    <cellStyle name="Output 4 3 2_Table 2A-1_EFT (Annual)" xfId="3480"/>
    <cellStyle name="Output 4 3 3" xfId="2052"/>
    <cellStyle name="Output 4 3 3 2" xfId="5613"/>
    <cellStyle name="Output 4 3 3 2 2" xfId="13828"/>
    <cellStyle name="Output 4 3 3 2 2 2" xfId="25816"/>
    <cellStyle name="Output 4 3 3 2 3" xfId="20703"/>
    <cellStyle name="Output 4 3 3 2_Table 2A-1_EFT (Annual)" xfId="8275"/>
    <cellStyle name="Output 4 3 3 3" xfId="11172"/>
    <cellStyle name="Output 4 3 3 3 2" xfId="23270"/>
    <cellStyle name="Output 4 3 3 4" xfId="18157"/>
    <cellStyle name="Output 4 3 3_Table 2A-1_EFT (Annual)" xfId="8274"/>
    <cellStyle name="Output 4 3 4" xfId="1697"/>
    <cellStyle name="Output 4 3 4 2" xfId="5258"/>
    <cellStyle name="Output 4 3 4 2 2" xfId="13491"/>
    <cellStyle name="Output 4 3 4 2 2 2" xfId="25485"/>
    <cellStyle name="Output 4 3 4 2 3" xfId="20372"/>
    <cellStyle name="Output 4 3 4 2_Table 2A-1_EFT (Annual)" xfId="8277"/>
    <cellStyle name="Output 4 3 4 3" xfId="10835"/>
    <cellStyle name="Output 4 3 4 3 2" xfId="22939"/>
    <cellStyle name="Output 4 3 4 4" xfId="17826"/>
    <cellStyle name="Output 4 3 4_Table 2A-1_EFT (Annual)" xfId="8276"/>
    <cellStyle name="Output 4 3 5" xfId="3895"/>
    <cellStyle name="Output 4 3 5 2" xfId="12227"/>
    <cellStyle name="Output 4 3 5 2 2" xfId="24252"/>
    <cellStyle name="Output 4 3 5 3" xfId="19139"/>
    <cellStyle name="Output 4 3 5_Table 2A-1_EFT (Annual)" xfId="8278"/>
    <cellStyle name="Output 4 3 6" xfId="9564"/>
    <cellStyle name="Output 4 3 6 2" xfId="21706"/>
    <cellStyle name="Output 4 3 7" xfId="16593"/>
    <cellStyle name="Output 4 3_Table 2A-1_EFT (Annual)" xfId="3479"/>
    <cellStyle name="Output 4 4" xfId="1147"/>
    <cellStyle name="Output 4 4 2" xfId="2417"/>
    <cellStyle name="Output 4 4 2 2" xfId="5978"/>
    <cellStyle name="Output 4 4 2 2 2" xfId="14172"/>
    <cellStyle name="Output 4 4 2 2 2 2" xfId="26144"/>
    <cellStyle name="Output 4 4 2 2 3" xfId="21031"/>
    <cellStyle name="Output 4 4 2 2_Table 2A-1_EFT (Annual)" xfId="8280"/>
    <cellStyle name="Output 4 4 2 3" xfId="11514"/>
    <cellStyle name="Output 4 4 2 3 2" xfId="23598"/>
    <cellStyle name="Output 4 4 2 4" xfId="18485"/>
    <cellStyle name="Output 4 4 2_Table 2A-1_EFT (Annual)" xfId="8279"/>
    <cellStyle name="Output 4 4 3" xfId="1816"/>
    <cellStyle name="Output 4 4 3 2" xfId="5377"/>
    <cellStyle name="Output 4 4 3 2 2" xfId="13592"/>
    <cellStyle name="Output 4 4 3 2 2 2" xfId="25580"/>
    <cellStyle name="Output 4 4 3 2 3" xfId="20467"/>
    <cellStyle name="Output 4 4 3 2_Table 2A-1_EFT (Annual)" xfId="8282"/>
    <cellStyle name="Output 4 4 3 3" xfId="10936"/>
    <cellStyle name="Output 4 4 3 3 2" xfId="23034"/>
    <cellStyle name="Output 4 4 3 4" xfId="17921"/>
    <cellStyle name="Output 4 4 3_Table 2A-1_EFT (Annual)" xfId="8281"/>
    <cellStyle name="Output 4 4 4" xfId="4708"/>
    <cellStyle name="Output 4 4 4 2" xfId="12968"/>
    <cellStyle name="Output 4 4 4 2 2" xfId="24974"/>
    <cellStyle name="Output 4 4 4 3" xfId="19861"/>
    <cellStyle name="Output 4 4 4_Table 2A-1_EFT (Annual)" xfId="8283"/>
    <cellStyle name="Output 4 4 5" xfId="10312"/>
    <cellStyle name="Output 4 4 5 2" xfId="22428"/>
    <cellStyle name="Output 4 4 6" xfId="17315"/>
    <cellStyle name="Output 4 4_Table 2A-1_EFT (Annual)" xfId="3481"/>
    <cellStyle name="Output 4 5" xfId="1874"/>
    <cellStyle name="Output 4 5 2" xfId="5435"/>
    <cellStyle name="Output 4 5 2 2" xfId="13650"/>
    <cellStyle name="Output 4 5 2 2 2" xfId="25638"/>
    <cellStyle name="Output 4 5 2 3" xfId="20525"/>
    <cellStyle name="Output 4 5 2_Table 2A-1_EFT (Annual)" xfId="8285"/>
    <cellStyle name="Output 4 5 3" xfId="10994"/>
    <cellStyle name="Output 4 5 3 2" xfId="23092"/>
    <cellStyle name="Output 4 5 4" xfId="17979"/>
    <cellStyle name="Output 4 5_Table 2A-1_EFT (Annual)" xfId="8284"/>
    <cellStyle name="Output 4 6" xfId="1640"/>
    <cellStyle name="Output 4 6 2" xfId="5201"/>
    <cellStyle name="Output 4 6 2 2" xfId="13453"/>
    <cellStyle name="Output 4 6 2 2 2" xfId="25453"/>
    <cellStyle name="Output 4 6 2 3" xfId="20340"/>
    <cellStyle name="Output 4 6 2_Table 2A-1_EFT (Annual)" xfId="8287"/>
    <cellStyle name="Output 4 6 3" xfId="10797"/>
    <cellStyle name="Output 4 6 3 2" xfId="22907"/>
    <cellStyle name="Output 4 6 4" xfId="17794"/>
    <cellStyle name="Output 4 6_Table 2A-1_EFT (Annual)" xfId="8286"/>
    <cellStyle name="Output 4 7" xfId="3682"/>
    <cellStyle name="Output 4 7 2" xfId="12055"/>
    <cellStyle name="Output 4 7 2 2" xfId="24086"/>
    <cellStyle name="Output 4 7 3" xfId="18973"/>
    <cellStyle name="Output 4 7_Table 2A-1_EFT (Annual)" xfId="8288"/>
    <cellStyle name="Output 4 8" xfId="9372"/>
    <cellStyle name="Output 4 8 2" xfId="21540"/>
    <cellStyle name="Output 4 9" xfId="16427"/>
    <cellStyle name="Output 4_Table 2A-1_EFT (Annual)" xfId="3476"/>
    <cellStyle name="Output 5" xfId="99"/>
    <cellStyle name="Output 5 10" xfId="21516"/>
    <cellStyle name="Output 5 2" xfId="497"/>
    <cellStyle name="Output 5 2 2" xfId="1474"/>
    <cellStyle name="Output 5 2 2 2" xfId="2744"/>
    <cellStyle name="Output 5 2 2 2 2" xfId="6305"/>
    <cellStyle name="Output 5 2 2 2 2 2" xfId="14499"/>
    <cellStyle name="Output 5 2 2 2 2 2 2" xfId="26471"/>
    <cellStyle name="Output 5 2 2 2 2 3" xfId="21358"/>
    <cellStyle name="Output 5 2 2 2 2_Table 2A-1_EFT (Annual)" xfId="8290"/>
    <cellStyle name="Output 5 2 2 2 3" xfId="11841"/>
    <cellStyle name="Output 5 2 2 2 3 2" xfId="23925"/>
    <cellStyle name="Output 5 2 2 2 4" xfId="18812"/>
    <cellStyle name="Output 5 2 2 2_Table 2A-1_EFT (Annual)" xfId="8289"/>
    <cellStyle name="Output 5 2 2 3" xfId="1914"/>
    <cellStyle name="Output 5 2 2 3 2" xfId="5475"/>
    <cellStyle name="Output 5 2 2 3 2 2" xfId="13690"/>
    <cellStyle name="Output 5 2 2 3 2 2 2" xfId="25678"/>
    <cellStyle name="Output 5 2 2 3 2 3" xfId="20565"/>
    <cellStyle name="Output 5 2 2 3 2_Table 2A-1_EFT (Annual)" xfId="8292"/>
    <cellStyle name="Output 5 2 2 3 3" xfId="11034"/>
    <cellStyle name="Output 5 2 2 3 3 2" xfId="23132"/>
    <cellStyle name="Output 5 2 2 3 4" xfId="18019"/>
    <cellStyle name="Output 5 2 2 3_Table 2A-1_EFT (Annual)" xfId="8291"/>
    <cellStyle name="Output 5 2 2 4" xfId="5035"/>
    <cellStyle name="Output 5 2 2 4 2" xfId="13295"/>
    <cellStyle name="Output 5 2 2 4 2 2" xfId="25301"/>
    <cellStyle name="Output 5 2 2 4 3" xfId="20188"/>
    <cellStyle name="Output 5 2 2 4_Table 2A-1_EFT (Annual)" xfId="8293"/>
    <cellStyle name="Output 5 2 2 5" xfId="10639"/>
    <cellStyle name="Output 5 2 2 5 2" xfId="22755"/>
    <cellStyle name="Output 5 2 2 6" xfId="17642"/>
    <cellStyle name="Output 5 2 2_Table 2A-1_EFT (Annual)" xfId="3484"/>
    <cellStyle name="Output 5 2 3" xfId="2213"/>
    <cellStyle name="Output 5 2 3 2" xfId="5774"/>
    <cellStyle name="Output 5 2 3 2 2" xfId="13989"/>
    <cellStyle name="Output 5 2 3 2 2 2" xfId="25977"/>
    <cellStyle name="Output 5 2 3 2 3" xfId="20864"/>
    <cellStyle name="Output 5 2 3 2_Table 2A-1_EFT (Annual)" xfId="8295"/>
    <cellStyle name="Output 5 2 3 3" xfId="11333"/>
    <cellStyle name="Output 5 2 3 3 2" xfId="23431"/>
    <cellStyle name="Output 5 2 3 4" xfId="18318"/>
    <cellStyle name="Output 5 2 3_Table 2A-1_EFT (Annual)" xfId="8294"/>
    <cellStyle name="Output 5 2 4" xfId="1739"/>
    <cellStyle name="Output 5 2 4 2" xfId="5300"/>
    <cellStyle name="Output 5 2 4 2 2" xfId="13525"/>
    <cellStyle name="Output 5 2 4 2 2 2" xfId="25516"/>
    <cellStyle name="Output 5 2 4 2 3" xfId="20403"/>
    <cellStyle name="Output 5 2 4 2_Table 2A-1_EFT (Annual)" xfId="8297"/>
    <cellStyle name="Output 5 2 4 3" xfId="10868"/>
    <cellStyle name="Output 5 2 4 3 2" xfId="22970"/>
    <cellStyle name="Output 5 2 4 4" xfId="17857"/>
    <cellStyle name="Output 5 2 4_Table 2A-1_EFT (Annual)" xfId="8296"/>
    <cellStyle name="Output 5 2 5" xfId="4067"/>
    <cellStyle name="Output 5 2 5 2" xfId="12391"/>
    <cellStyle name="Output 5 2 5 2 2" xfId="24413"/>
    <cellStyle name="Output 5 2 5 3" xfId="19300"/>
    <cellStyle name="Output 5 2 5_Table 2A-1_EFT (Annual)" xfId="8298"/>
    <cellStyle name="Output 5 2 6" xfId="9730"/>
    <cellStyle name="Output 5 2 6 2" xfId="21867"/>
    <cellStyle name="Output 5 2 7" xfId="16754"/>
    <cellStyle name="Output 5 2_Table 2A-1_EFT (Annual)" xfId="3483"/>
    <cellStyle name="Output 5 3" xfId="330"/>
    <cellStyle name="Output 5 3 2" xfId="1318"/>
    <cellStyle name="Output 5 3 2 2" xfId="2588"/>
    <cellStyle name="Output 5 3 2 2 2" xfId="6149"/>
    <cellStyle name="Output 5 3 2 2 2 2" xfId="14343"/>
    <cellStyle name="Output 5 3 2 2 2 2 2" xfId="26315"/>
    <cellStyle name="Output 5 3 2 2 2 3" xfId="21202"/>
    <cellStyle name="Output 5 3 2 2 2_Table 2A-1_EFT (Annual)" xfId="8300"/>
    <cellStyle name="Output 5 3 2 2 3" xfId="11685"/>
    <cellStyle name="Output 5 3 2 2 3 2" xfId="23769"/>
    <cellStyle name="Output 5 3 2 2 4" xfId="18656"/>
    <cellStyle name="Output 5 3 2 2_Table 2A-1_EFT (Annual)" xfId="8299"/>
    <cellStyle name="Output 5 3 2 3" xfId="1882"/>
    <cellStyle name="Output 5 3 2 3 2" xfId="5443"/>
    <cellStyle name="Output 5 3 2 3 2 2" xfId="13658"/>
    <cellStyle name="Output 5 3 2 3 2 2 2" xfId="25646"/>
    <cellStyle name="Output 5 3 2 3 2 3" xfId="20533"/>
    <cellStyle name="Output 5 3 2 3 2_Table 2A-1_EFT (Annual)" xfId="8302"/>
    <cellStyle name="Output 5 3 2 3 3" xfId="11002"/>
    <cellStyle name="Output 5 3 2 3 3 2" xfId="23100"/>
    <cellStyle name="Output 5 3 2 3 4" xfId="17987"/>
    <cellStyle name="Output 5 3 2 3_Table 2A-1_EFT (Annual)" xfId="8301"/>
    <cellStyle name="Output 5 3 2 4" xfId="4879"/>
    <cellStyle name="Output 5 3 2 4 2" xfId="13139"/>
    <cellStyle name="Output 5 3 2 4 2 2" xfId="25145"/>
    <cellStyle name="Output 5 3 2 4 3" xfId="20032"/>
    <cellStyle name="Output 5 3 2 4_Table 2A-1_EFT (Annual)" xfId="8303"/>
    <cellStyle name="Output 5 3 2 5" xfId="10483"/>
    <cellStyle name="Output 5 3 2 5 2" xfId="22599"/>
    <cellStyle name="Output 5 3 2 6" xfId="17486"/>
    <cellStyle name="Output 5 3 2_Table 2A-1_EFT (Annual)" xfId="3486"/>
    <cellStyle name="Output 5 3 3" xfId="2057"/>
    <cellStyle name="Output 5 3 3 2" xfId="5618"/>
    <cellStyle name="Output 5 3 3 2 2" xfId="13833"/>
    <cellStyle name="Output 5 3 3 2 2 2" xfId="25821"/>
    <cellStyle name="Output 5 3 3 2 3" xfId="20708"/>
    <cellStyle name="Output 5 3 3 2_Table 2A-1_EFT (Annual)" xfId="8305"/>
    <cellStyle name="Output 5 3 3 3" xfId="11177"/>
    <cellStyle name="Output 5 3 3 3 2" xfId="23275"/>
    <cellStyle name="Output 5 3 3 4" xfId="18162"/>
    <cellStyle name="Output 5 3 3_Table 2A-1_EFT (Annual)" xfId="8304"/>
    <cellStyle name="Output 5 3 4" xfId="1698"/>
    <cellStyle name="Output 5 3 4 2" xfId="5259"/>
    <cellStyle name="Output 5 3 4 2 2" xfId="13492"/>
    <cellStyle name="Output 5 3 4 2 2 2" xfId="25486"/>
    <cellStyle name="Output 5 3 4 2 3" xfId="20373"/>
    <cellStyle name="Output 5 3 4 2_Table 2A-1_EFT (Annual)" xfId="8307"/>
    <cellStyle name="Output 5 3 4 3" xfId="10836"/>
    <cellStyle name="Output 5 3 4 3 2" xfId="22940"/>
    <cellStyle name="Output 5 3 4 4" xfId="17827"/>
    <cellStyle name="Output 5 3 4_Table 2A-1_EFT (Annual)" xfId="8306"/>
    <cellStyle name="Output 5 3 5" xfId="3900"/>
    <cellStyle name="Output 5 3 5 2" xfId="12232"/>
    <cellStyle name="Output 5 3 5 2 2" xfId="24257"/>
    <cellStyle name="Output 5 3 5 3" xfId="19144"/>
    <cellStyle name="Output 5 3 5_Table 2A-1_EFT (Annual)" xfId="8308"/>
    <cellStyle name="Output 5 3 6" xfId="9569"/>
    <cellStyle name="Output 5 3 6 2" xfId="21711"/>
    <cellStyle name="Output 5 3 7" xfId="16598"/>
    <cellStyle name="Output 5 3_Table 2A-1_EFT (Annual)" xfId="3485"/>
    <cellStyle name="Output 5 4" xfId="1152"/>
    <cellStyle name="Output 5 4 2" xfId="2422"/>
    <cellStyle name="Output 5 4 2 2" xfId="5983"/>
    <cellStyle name="Output 5 4 2 2 2" xfId="14177"/>
    <cellStyle name="Output 5 4 2 2 2 2" xfId="26149"/>
    <cellStyle name="Output 5 4 2 2 3" xfId="21036"/>
    <cellStyle name="Output 5 4 2 2_Table 2A-1_EFT (Annual)" xfId="8310"/>
    <cellStyle name="Output 5 4 2 3" xfId="11519"/>
    <cellStyle name="Output 5 4 2 3 2" xfId="23603"/>
    <cellStyle name="Output 5 4 2 4" xfId="18490"/>
    <cellStyle name="Output 5 4 2_Table 2A-1_EFT (Annual)" xfId="8309"/>
    <cellStyle name="Output 5 4 3" xfId="1818"/>
    <cellStyle name="Output 5 4 3 2" xfId="5379"/>
    <cellStyle name="Output 5 4 3 2 2" xfId="13594"/>
    <cellStyle name="Output 5 4 3 2 2 2" xfId="25582"/>
    <cellStyle name="Output 5 4 3 2 3" xfId="20469"/>
    <cellStyle name="Output 5 4 3 2_Table 2A-1_EFT (Annual)" xfId="8312"/>
    <cellStyle name="Output 5 4 3 3" xfId="10938"/>
    <cellStyle name="Output 5 4 3 3 2" xfId="23036"/>
    <cellStyle name="Output 5 4 3 4" xfId="17923"/>
    <cellStyle name="Output 5 4 3_Table 2A-1_EFT (Annual)" xfId="8311"/>
    <cellStyle name="Output 5 4 4" xfId="4713"/>
    <cellStyle name="Output 5 4 4 2" xfId="12973"/>
    <cellStyle name="Output 5 4 4 2 2" xfId="24979"/>
    <cellStyle name="Output 5 4 4 3" xfId="19866"/>
    <cellStyle name="Output 5 4 4_Table 2A-1_EFT (Annual)" xfId="8313"/>
    <cellStyle name="Output 5 4 5" xfId="10317"/>
    <cellStyle name="Output 5 4 5 2" xfId="22433"/>
    <cellStyle name="Output 5 4 6" xfId="17320"/>
    <cellStyle name="Output 5 4_Table 2A-1_EFT (Annual)" xfId="3487"/>
    <cellStyle name="Output 5 5" xfId="1817"/>
    <cellStyle name="Output 5 5 2" xfId="5378"/>
    <cellStyle name="Output 5 5 2 2" xfId="13593"/>
    <cellStyle name="Output 5 5 2 2 2" xfId="25581"/>
    <cellStyle name="Output 5 5 2 3" xfId="20468"/>
    <cellStyle name="Output 5 5 2_Table 2A-1_EFT (Annual)" xfId="8315"/>
    <cellStyle name="Output 5 5 3" xfId="10937"/>
    <cellStyle name="Output 5 5 3 2" xfId="23035"/>
    <cellStyle name="Output 5 5 4" xfId="17922"/>
    <cellStyle name="Output 5 5_Table 2A-1_EFT (Annual)" xfId="8314"/>
    <cellStyle name="Output 5 6" xfId="1641"/>
    <cellStyle name="Output 5 6 2" xfId="5202"/>
    <cellStyle name="Output 5 6 2 2" xfId="13454"/>
    <cellStyle name="Output 5 6 2 2 2" xfId="25454"/>
    <cellStyle name="Output 5 6 2 3" xfId="20341"/>
    <cellStyle name="Output 5 6 2_Table 2A-1_EFT (Annual)" xfId="8317"/>
    <cellStyle name="Output 5 6 3" xfId="10798"/>
    <cellStyle name="Output 5 6 3 2" xfId="22908"/>
    <cellStyle name="Output 5 6 4" xfId="17795"/>
    <cellStyle name="Output 5 6_Table 2A-1_EFT (Annual)" xfId="8316"/>
    <cellStyle name="Output 5 7" xfId="3688"/>
    <cellStyle name="Output 5 7 2" xfId="12060"/>
    <cellStyle name="Output 5 7 2 2" xfId="24091"/>
    <cellStyle name="Output 5 7 3" xfId="18978"/>
    <cellStyle name="Output 5 7_Table 2A-1_EFT (Annual)" xfId="8318"/>
    <cellStyle name="Output 5 8" xfId="9378"/>
    <cellStyle name="Output 5 8 2" xfId="21545"/>
    <cellStyle name="Output 5 9" xfId="16432"/>
    <cellStyle name="Output 5_Table 2A-1_EFT (Annual)" xfId="3482"/>
    <cellStyle name="Output 6" xfId="118"/>
    <cellStyle name="Output 6 2" xfId="511"/>
    <cellStyle name="Output 6 2 2" xfId="1488"/>
    <cellStyle name="Output 6 2 2 2" xfId="2758"/>
    <cellStyle name="Output 6 2 2 2 2" xfId="6319"/>
    <cellStyle name="Output 6 2 2 2 2 2" xfId="14513"/>
    <cellStyle name="Output 6 2 2 2 2 2 2" xfId="26485"/>
    <cellStyle name="Output 6 2 2 2 2 3" xfId="21372"/>
    <cellStyle name="Output 6 2 2 2 2_Table 2A-1_EFT (Annual)" xfId="8320"/>
    <cellStyle name="Output 6 2 2 2 3" xfId="11855"/>
    <cellStyle name="Output 6 2 2 2 3 2" xfId="23939"/>
    <cellStyle name="Output 6 2 2 2 4" xfId="18826"/>
    <cellStyle name="Output 6 2 2 2_Table 2A-1_EFT (Annual)" xfId="8319"/>
    <cellStyle name="Output 6 2 2 3" xfId="1918"/>
    <cellStyle name="Output 6 2 2 3 2" xfId="5479"/>
    <cellStyle name="Output 6 2 2 3 2 2" xfId="13694"/>
    <cellStyle name="Output 6 2 2 3 2 2 2" xfId="25682"/>
    <cellStyle name="Output 6 2 2 3 2 3" xfId="20569"/>
    <cellStyle name="Output 6 2 2 3 2_Table 2A-1_EFT (Annual)" xfId="8322"/>
    <cellStyle name="Output 6 2 2 3 3" xfId="11038"/>
    <cellStyle name="Output 6 2 2 3 3 2" xfId="23136"/>
    <cellStyle name="Output 6 2 2 3 4" xfId="18023"/>
    <cellStyle name="Output 6 2 2 3_Table 2A-1_EFT (Annual)" xfId="8321"/>
    <cellStyle name="Output 6 2 2 4" xfId="5049"/>
    <cellStyle name="Output 6 2 2 4 2" xfId="13309"/>
    <cellStyle name="Output 6 2 2 4 2 2" xfId="25315"/>
    <cellStyle name="Output 6 2 2 4 3" xfId="20202"/>
    <cellStyle name="Output 6 2 2 4_Table 2A-1_EFT (Annual)" xfId="8323"/>
    <cellStyle name="Output 6 2 2 5" xfId="10653"/>
    <cellStyle name="Output 6 2 2 5 2" xfId="22769"/>
    <cellStyle name="Output 6 2 2 6" xfId="17656"/>
    <cellStyle name="Output 6 2 2_Table 2A-1_EFT (Annual)" xfId="3490"/>
    <cellStyle name="Output 6 2 3" xfId="2227"/>
    <cellStyle name="Output 6 2 3 2" xfId="5788"/>
    <cellStyle name="Output 6 2 3 2 2" xfId="14003"/>
    <cellStyle name="Output 6 2 3 2 2 2" xfId="25991"/>
    <cellStyle name="Output 6 2 3 2 3" xfId="20878"/>
    <cellStyle name="Output 6 2 3 2_Table 2A-1_EFT (Annual)" xfId="8325"/>
    <cellStyle name="Output 6 2 3 3" xfId="11347"/>
    <cellStyle name="Output 6 2 3 3 2" xfId="23445"/>
    <cellStyle name="Output 6 2 3 4" xfId="18332"/>
    <cellStyle name="Output 6 2 3_Table 2A-1_EFT (Annual)" xfId="8324"/>
    <cellStyle name="Output 6 2 4" xfId="1743"/>
    <cellStyle name="Output 6 2 4 2" xfId="5304"/>
    <cellStyle name="Output 6 2 4 2 2" xfId="13529"/>
    <cellStyle name="Output 6 2 4 2 2 2" xfId="25520"/>
    <cellStyle name="Output 6 2 4 2 3" xfId="20407"/>
    <cellStyle name="Output 6 2 4 2_Table 2A-1_EFT (Annual)" xfId="8327"/>
    <cellStyle name="Output 6 2 4 3" xfId="10872"/>
    <cellStyle name="Output 6 2 4 3 2" xfId="22974"/>
    <cellStyle name="Output 6 2 4 4" xfId="17861"/>
    <cellStyle name="Output 6 2 4_Table 2A-1_EFT (Annual)" xfId="8326"/>
    <cellStyle name="Output 6 2 5" xfId="4081"/>
    <cellStyle name="Output 6 2 5 2" xfId="12405"/>
    <cellStyle name="Output 6 2 5 2 2" xfId="24427"/>
    <cellStyle name="Output 6 2 5 3" xfId="19314"/>
    <cellStyle name="Output 6 2 5_Table 2A-1_EFT (Annual)" xfId="8328"/>
    <cellStyle name="Output 6 2 6" xfId="9744"/>
    <cellStyle name="Output 6 2 6 2" xfId="21881"/>
    <cellStyle name="Output 6 2 7" xfId="16768"/>
    <cellStyle name="Output 6 2_Table 2A-1_EFT (Annual)" xfId="3489"/>
    <cellStyle name="Output 6 3" xfId="349"/>
    <cellStyle name="Output 6 3 2" xfId="1332"/>
    <cellStyle name="Output 6 3 2 2" xfId="2602"/>
    <cellStyle name="Output 6 3 2 2 2" xfId="6163"/>
    <cellStyle name="Output 6 3 2 2 2 2" xfId="14357"/>
    <cellStyle name="Output 6 3 2 2 2 2 2" xfId="26329"/>
    <cellStyle name="Output 6 3 2 2 2 3" xfId="21216"/>
    <cellStyle name="Output 6 3 2 2 2_Table 2A-1_EFT (Annual)" xfId="8330"/>
    <cellStyle name="Output 6 3 2 2 3" xfId="11699"/>
    <cellStyle name="Output 6 3 2 2 3 2" xfId="23783"/>
    <cellStyle name="Output 6 3 2 2 4" xfId="18670"/>
    <cellStyle name="Output 6 3 2 2_Table 2A-1_EFT (Annual)" xfId="8329"/>
    <cellStyle name="Output 6 3 2 3" xfId="1887"/>
    <cellStyle name="Output 6 3 2 3 2" xfId="5448"/>
    <cellStyle name="Output 6 3 2 3 2 2" xfId="13663"/>
    <cellStyle name="Output 6 3 2 3 2 2 2" xfId="25651"/>
    <cellStyle name="Output 6 3 2 3 2 3" xfId="20538"/>
    <cellStyle name="Output 6 3 2 3 2_Table 2A-1_EFT (Annual)" xfId="8332"/>
    <cellStyle name="Output 6 3 2 3 3" xfId="11007"/>
    <cellStyle name="Output 6 3 2 3 3 2" xfId="23105"/>
    <cellStyle name="Output 6 3 2 3 4" xfId="17992"/>
    <cellStyle name="Output 6 3 2 3_Table 2A-1_EFT (Annual)" xfId="8331"/>
    <cellStyle name="Output 6 3 2 4" xfId="4893"/>
    <cellStyle name="Output 6 3 2 4 2" xfId="13153"/>
    <cellStyle name="Output 6 3 2 4 2 2" xfId="25159"/>
    <cellStyle name="Output 6 3 2 4 3" xfId="20046"/>
    <cellStyle name="Output 6 3 2 4_Table 2A-1_EFT (Annual)" xfId="8333"/>
    <cellStyle name="Output 6 3 2 5" xfId="10497"/>
    <cellStyle name="Output 6 3 2 5 2" xfId="22613"/>
    <cellStyle name="Output 6 3 2 6" xfId="17500"/>
    <cellStyle name="Output 6 3 2_Table 2A-1_EFT (Annual)" xfId="3492"/>
    <cellStyle name="Output 6 3 3" xfId="2071"/>
    <cellStyle name="Output 6 3 3 2" xfId="5632"/>
    <cellStyle name="Output 6 3 3 2 2" xfId="13847"/>
    <cellStyle name="Output 6 3 3 2 2 2" xfId="25835"/>
    <cellStyle name="Output 6 3 3 2 3" xfId="20722"/>
    <cellStyle name="Output 6 3 3 2_Table 2A-1_EFT (Annual)" xfId="8335"/>
    <cellStyle name="Output 6 3 3 3" xfId="11191"/>
    <cellStyle name="Output 6 3 3 3 2" xfId="23289"/>
    <cellStyle name="Output 6 3 3 4" xfId="18176"/>
    <cellStyle name="Output 6 3 3_Table 2A-1_EFT (Annual)" xfId="8334"/>
    <cellStyle name="Output 6 3 4" xfId="1707"/>
    <cellStyle name="Output 6 3 4 2" xfId="5268"/>
    <cellStyle name="Output 6 3 4 2 2" xfId="13497"/>
    <cellStyle name="Output 6 3 4 2 2 2" xfId="25490"/>
    <cellStyle name="Output 6 3 4 2 3" xfId="20377"/>
    <cellStyle name="Output 6 3 4 2_Table 2A-1_EFT (Annual)" xfId="8337"/>
    <cellStyle name="Output 6 3 4 3" xfId="10841"/>
    <cellStyle name="Output 6 3 4 3 2" xfId="22944"/>
    <cellStyle name="Output 6 3 4 4" xfId="17831"/>
    <cellStyle name="Output 6 3 4_Table 2A-1_EFT (Annual)" xfId="8336"/>
    <cellStyle name="Output 6 3 5" xfId="3919"/>
    <cellStyle name="Output 6 3 5 2" xfId="12247"/>
    <cellStyle name="Output 6 3 5 2 2" xfId="24271"/>
    <cellStyle name="Output 6 3 5 3" xfId="19158"/>
    <cellStyle name="Output 6 3 5_Table 2A-1_EFT (Annual)" xfId="8338"/>
    <cellStyle name="Output 6 3 6" xfId="9584"/>
    <cellStyle name="Output 6 3 6 2" xfId="21725"/>
    <cellStyle name="Output 6 3 7" xfId="16612"/>
    <cellStyle name="Output 6 3_Table 2A-1_EFT (Annual)" xfId="3491"/>
    <cellStyle name="Output 6 4" xfId="1166"/>
    <cellStyle name="Output 6 4 2" xfId="2436"/>
    <cellStyle name="Output 6 4 2 2" xfId="5997"/>
    <cellStyle name="Output 6 4 2 2 2" xfId="14191"/>
    <cellStyle name="Output 6 4 2 2 2 2" xfId="26163"/>
    <cellStyle name="Output 6 4 2 2 3" xfId="21050"/>
    <cellStyle name="Output 6 4 2 2_Table 2A-1_EFT (Annual)" xfId="8340"/>
    <cellStyle name="Output 6 4 2 3" xfId="11533"/>
    <cellStyle name="Output 6 4 2 3 2" xfId="23617"/>
    <cellStyle name="Output 6 4 2 4" xfId="18504"/>
    <cellStyle name="Output 6 4 2_Table 2A-1_EFT (Annual)" xfId="8339"/>
    <cellStyle name="Output 6 4 3" xfId="1823"/>
    <cellStyle name="Output 6 4 3 2" xfId="5384"/>
    <cellStyle name="Output 6 4 3 2 2" xfId="13599"/>
    <cellStyle name="Output 6 4 3 2 2 2" xfId="25587"/>
    <cellStyle name="Output 6 4 3 2 3" xfId="20474"/>
    <cellStyle name="Output 6 4 3 2_Table 2A-1_EFT (Annual)" xfId="8342"/>
    <cellStyle name="Output 6 4 3 3" xfId="10943"/>
    <cellStyle name="Output 6 4 3 3 2" xfId="23041"/>
    <cellStyle name="Output 6 4 3 4" xfId="17928"/>
    <cellStyle name="Output 6 4 3_Table 2A-1_EFT (Annual)" xfId="8341"/>
    <cellStyle name="Output 6 4 4" xfId="4727"/>
    <cellStyle name="Output 6 4 4 2" xfId="12987"/>
    <cellStyle name="Output 6 4 4 2 2" xfId="24993"/>
    <cellStyle name="Output 6 4 4 3" xfId="19880"/>
    <cellStyle name="Output 6 4 4_Table 2A-1_EFT (Annual)" xfId="8343"/>
    <cellStyle name="Output 6 4 5" xfId="10331"/>
    <cellStyle name="Output 6 4 5 2" xfId="22447"/>
    <cellStyle name="Output 6 4 6" xfId="17334"/>
    <cellStyle name="Output 6 4_Table 2A-1_EFT (Annual)" xfId="3493"/>
    <cellStyle name="Output 6 5" xfId="1799"/>
    <cellStyle name="Output 6 5 2" xfId="5360"/>
    <cellStyle name="Output 6 5 2 2" xfId="13575"/>
    <cellStyle name="Output 6 5 2 2 2" xfId="25563"/>
    <cellStyle name="Output 6 5 2 3" xfId="20450"/>
    <cellStyle name="Output 6 5 2_Table 2A-1_EFT (Annual)" xfId="8345"/>
    <cellStyle name="Output 6 5 3" xfId="10919"/>
    <cellStyle name="Output 6 5 3 2" xfId="23017"/>
    <cellStyle name="Output 6 5 4" xfId="17904"/>
    <cellStyle name="Output 6 5_Table 2A-1_EFT (Annual)" xfId="8344"/>
    <cellStyle name="Output 6 6" xfId="1650"/>
    <cellStyle name="Output 6 6 2" xfId="5211"/>
    <cellStyle name="Output 6 6 2 2" xfId="13458"/>
    <cellStyle name="Output 6 6 2 2 2" xfId="25458"/>
    <cellStyle name="Output 6 6 2 3" xfId="20345"/>
    <cellStyle name="Output 6 6 2_Table 2A-1_EFT (Annual)" xfId="8347"/>
    <cellStyle name="Output 6 6 3" xfId="10803"/>
    <cellStyle name="Output 6 6 3 2" xfId="22912"/>
    <cellStyle name="Output 6 6 4" xfId="17799"/>
    <cellStyle name="Output 6 6_Table 2A-1_EFT (Annual)" xfId="8346"/>
    <cellStyle name="Output 6 7" xfId="3707"/>
    <cellStyle name="Output 6 7 2" xfId="12075"/>
    <cellStyle name="Output 6 7 2 2" xfId="24105"/>
    <cellStyle name="Output 6 7 3" xfId="18992"/>
    <cellStyle name="Output 6 7_Table 2A-1_EFT (Annual)" xfId="8348"/>
    <cellStyle name="Output 6 8" xfId="9394"/>
    <cellStyle name="Output 6 8 2" xfId="21559"/>
    <cellStyle name="Output 6 9" xfId="16446"/>
    <cellStyle name="Output 6_Table 2A-1_EFT (Annual)" xfId="3488"/>
    <cellStyle name="Output 7" xfId="112"/>
    <cellStyle name="Output 7 2" xfId="505"/>
    <cellStyle name="Output 7 2 2" xfId="1482"/>
    <cellStyle name="Output 7 2 2 2" xfId="2752"/>
    <cellStyle name="Output 7 2 2 2 2" xfId="6313"/>
    <cellStyle name="Output 7 2 2 2 2 2" xfId="14507"/>
    <cellStyle name="Output 7 2 2 2 2 2 2" xfId="26479"/>
    <cellStyle name="Output 7 2 2 2 2 3" xfId="21366"/>
    <cellStyle name="Output 7 2 2 2 2_Table 2A-1_EFT (Annual)" xfId="8350"/>
    <cellStyle name="Output 7 2 2 2 3" xfId="11849"/>
    <cellStyle name="Output 7 2 2 2 3 2" xfId="23933"/>
    <cellStyle name="Output 7 2 2 2 4" xfId="18820"/>
    <cellStyle name="Output 7 2 2 2_Table 2A-1_EFT (Annual)" xfId="8349"/>
    <cellStyle name="Output 7 2 2 3" xfId="1916"/>
    <cellStyle name="Output 7 2 2 3 2" xfId="5477"/>
    <cellStyle name="Output 7 2 2 3 2 2" xfId="13692"/>
    <cellStyle name="Output 7 2 2 3 2 2 2" xfId="25680"/>
    <cellStyle name="Output 7 2 2 3 2 3" xfId="20567"/>
    <cellStyle name="Output 7 2 2 3 2_Table 2A-1_EFT (Annual)" xfId="8352"/>
    <cellStyle name="Output 7 2 2 3 3" xfId="11036"/>
    <cellStyle name="Output 7 2 2 3 3 2" xfId="23134"/>
    <cellStyle name="Output 7 2 2 3 4" xfId="18021"/>
    <cellStyle name="Output 7 2 2 3_Table 2A-1_EFT (Annual)" xfId="8351"/>
    <cellStyle name="Output 7 2 2 4" xfId="5043"/>
    <cellStyle name="Output 7 2 2 4 2" xfId="13303"/>
    <cellStyle name="Output 7 2 2 4 2 2" xfId="25309"/>
    <cellStyle name="Output 7 2 2 4 3" xfId="20196"/>
    <cellStyle name="Output 7 2 2 4_Table 2A-1_EFT (Annual)" xfId="8353"/>
    <cellStyle name="Output 7 2 2 5" xfId="10647"/>
    <cellStyle name="Output 7 2 2 5 2" xfId="22763"/>
    <cellStyle name="Output 7 2 2 6" xfId="17650"/>
    <cellStyle name="Output 7 2 2_Table 2A-1_EFT (Annual)" xfId="3496"/>
    <cellStyle name="Output 7 2 3" xfId="2221"/>
    <cellStyle name="Output 7 2 3 2" xfId="5782"/>
    <cellStyle name="Output 7 2 3 2 2" xfId="13997"/>
    <cellStyle name="Output 7 2 3 2 2 2" xfId="25985"/>
    <cellStyle name="Output 7 2 3 2 3" xfId="20872"/>
    <cellStyle name="Output 7 2 3 2_Table 2A-1_EFT (Annual)" xfId="8355"/>
    <cellStyle name="Output 7 2 3 3" xfId="11341"/>
    <cellStyle name="Output 7 2 3 3 2" xfId="23439"/>
    <cellStyle name="Output 7 2 3 4" xfId="18326"/>
    <cellStyle name="Output 7 2 3_Table 2A-1_EFT (Annual)" xfId="8354"/>
    <cellStyle name="Output 7 2 4" xfId="1741"/>
    <cellStyle name="Output 7 2 4 2" xfId="5302"/>
    <cellStyle name="Output 7 2 4 2 2" xfId="13527"/>
    <cellStyle name="Output 7 2 4 2 2 2" xfId="25518"/>
    <cellStyle name="Output 7 2 4 2 3" xfId="20405"/>
    <cellStyle name="Output 7 2 4 2_Table 2A-1_EFT (Annual)" xfId="8357"/>
    <cellStyle name="Output 7 2 4 3" xfId="10870"/>
    <cellStyle name="Output 7 2 4 3 2" xfId="22972"/>
    <cellStyle name="Output 7 2 4 4" xfId="17859"/>
    <cellStyle name="Output 7 2 4_Table 2A-1_EFT (Annual)" xfId="8356"/>
    <cellStyle name="Output 7 2 5" xfId="4075"/>
    <cellStyle name="Output 7 2 5 2" xfId="12399"/>
    <cellStyle name="Output 7 2 5 2 2" xfId="24421"/>
    <cellStyle name="Output 7 2 5 3" xfId="19308"/>
    <cellStyle name="Output 7 2 5_Table 2A-1_EFT (Annual)" xfId="8358"/>
    <cellStyle name="Output 7 2 6" xfId="9738"/>
    <cellStyle name="Output 7 2 6 2" xfId="21875"/>
    <cellStyle name="Output 7 2 7" xfId="16762"/>
    <cellStyle name="Output 7 2_Table 2A-1_EFT (Annual)" xfId="3495"/>
    <cellStyle name="Output 7 3" xfId="343"/>
    <cellStyle name="Output 7 3 2" xfId="1326"/>
    <cellStyle name="Output 7 3 2 2" xfId="2596"/>
    <cellStyle name="Output 7 3 2 2 2" xfId="6157"/>
    <cellStyle name="Output 7 3 2 2 2 2" xfId="14351"/>
    <cellStyle name="Output 7 3 2 2 2 2 2" xfId="26323"/>
    <cellStyle name="Output 7 3 2 2 2 3" xfId="21210"/>
    <cellStyle name="Output 7 3 2 2 2_Table 2A-1_EFT (Annual)" xfId="8360"/>
    <cellStyle name="Output 7 3 2 2 3" xfId="11693"/>
    <cellStyle name="Output 7 3 2 2 3 2" xfId="23777"/>
    <cellStyle name="Output 7 3 2 2 4" xfId="18664"/>
    <cellStyle name="Output 7 3 2 2_Table 2A-1_EFT (Annual)" xfId="8359"/>
    <cellStyle name="Output 7 3 2 3" xfId="1885"/>
    <cellStyle name="Output 7 3 2 3 2" xfId="5446"/>
    <cellStyle name="Output 7 3 2 3 2 2" xfId="13661"/>
    <cellStyle name="Output 7 3 2 3 2 2 2" xfId="25649"/>
    <cellStyle name="Output 7 3 2 3 2 3" xfId="20536"/>
    <cellStyle name="Output 7 3 2 3 2_Table 2A-1_EFT (Annual)" xfId="8362"/>
    <cellStyle name="Output 7 3 2 3 3" xfId="11005"/>
    <cellStyle name="Output 7 3 2 3 3 2" xfId="23103"/>
    <cellStyle name="Output 7 3 2 3 4" xfId="17990"/>
    <cellStyle name="Output 7 3 2 3_Table 2A-1_EFT (Annual)" xfId="8361"/>
    <cellStyle name="Output 7 3 2 4" xfId="4887"/>
    <cellStyle name="Output 7 3 2 4 2" xfId="13147"/>
    <cellStyle name="Output 7 3 2 4 2 2" xfId="25153"/>
    <cellStyle name="Output 7 3 2 4 3" xfId="20040"/>
    <cellStyle name="Output 7 3 2 4_Table 2A-1_EFT (Annual)" xfId="8363"/>
    <cellStyle name="Output 7 3 2 5" xfId="10491"/>
    <cellStyle name="Output 7 3 2 5 2" xfId="22607"/>
    <cellStyle name="Output 7 3 2 6" xfId="17494"/>
    <cellStyle name="Output 7 3 2_Table 2A-1_EFT (Annual)" xfId="3498"/>
    <cellStyle name="Output 7 3 3" xfId="2065"/>
    <cellStyle name="Output 7 3 3 2" xfId="5626"/>
    <cellStyle name="Output 7 3 3 2 2" xfId="13841"/>
    <cellStyle name="Output 7 3 3 2 2 2" xfId="25829"/>
    <cellStyle name="Output 7 3 3 2 3" xfId="20716"/>
    <cellStyle name="Output 7 3 3 2_Table 2A-1_EFT (Annual)" xfId="8365"/>
    <cellStyle name="Output 7 3 3 3" xfId="11185"/>
    <cellStyle name="Output 7 3 3 3 2" xfId="23283"/>
    <cellStyle name="Output 7 3 3 4" xfId="18170"/>
    <cellStyle name="Output 7 3 3_Table 2A-1_EFT (Annual)" xfId="8364"/>
    <cellStyle name="Output 7 3 4" xfId="1705"/>
    <cellStyle name="Output 7 3 4 2" xfId="5266"/>
    <cellStyle name="Output 7 3 4 2 2" xfId="13495"/>
    <cellStyle name="Output 7 3 4 2 2 2" xfId="25488"/>
    <cellStyle name="Output 7 3 4 2 3" xfId="20375"/>
    <cellStyle name="Output 7 3 4 2_Table 2A-1_EFT (Annual)" xfId="8367"/>
    <cellStyle name="Output 7 3 4 3" xfId="10839"/>
    <cellStyle name="Output 7 3 4 3 2" xfId="22942"/>
    <cellStyle name="Output 7 3 4 4" xfId="17829"/>
    <cellStyle name="Output 7 3 4_Table 2A-1_EFT (Annual)" xfId="8366"/>
    <cellStyle name="Output 7 3 5" xfId="3913"/>
    <cellStyle name="Output 7 3 5 2" xfId="12241"/>
    <cellStyle name="Output 7 3 5 2 2" xfId="24265"/>
    <cellStyle name="Output 7 3 5 3" xfId="19152"/>
    <cellStyle name="Output 7 3 5_Table 2A-1_EFT (Annual)" xfId="8368"/>
    <cellStyle name="Output 7 3 6" xfId="9578"/>
    <cellStyle name="Output 7 3 6 2" xfId="21719"/>
    <cellStyle name="Output 7 3 7" xfId="16606"/>
    <cellStyle name="Output 7 3_Table 2A-1_EFT (Annual)" xfId="3497"/>
    <cellStyle name="Output 7 4" xfId="1160"/>
    <cellStyle name="Output 7 4 2" xfId="2430"/>
    <cellStyle name="Output 7 4 2 2" xfId="5991"/>
    <cellStyle name="Output 7 4 2 2 2" xfId="14185"/>
    <cellStyle name="Output 7 4 2 2 2 2" xfId="26157"/>
    <cellStyle name="Output 7 4 2 2 3" xfId="21044"/>
    <cellStyle name="Output 7 4 2 2_Table 2A-1_EFT (Annual)" xfId="8370"/>
    <cellStyle name="Output 7 4 2 3" xfId="11527"/>
    <cellStyle name="Output 7 4 2 3 2" xfId="23611"/>
    <cellStyle name="Output 7 4 2 4" xfId="18498"/>
    <cellStyle name="Output 7 4 2_Table 2A-1_EFT (Annual)" xfId="8369"/>
    <cellStyle name="Output 7 4 3" xfId="1821"/>
    <cellStyle name="Output 7 4 3 2" xfId="5382"/>
    <cellStyle name="Output 7 4 3 2 2" xfId="13597"/>
    <cellStyle name="Output 7 4 3 2 2 2" xfId="25585"/>
    <cellStyle name="Output 7 4 3 2 3" xfId="20472"/>
    <cellStyle name="Output 7 4 3 2_Table 2A-1_EFT (Annual)" xfId="8372"/>
    <cellStyle name="Output 7 4 3 3" xfId="10941"/>
    <cellStyle name="Output 7 4 3 3 2" xfId="23039"/>
    <cellStyle name="Output 7 4 3 4" xfId="17926"/>
    <cellStyle name="Output 7 4 3_Table 2A-1_EFT (Annual)" xfId="8371"/>
    <cellStyle name="Output 7 4 4" xfId="4721"/>
    <cellStyle name="Output 7 4 4 2" xfId="12981"/>
    <cellStyle name="Output 7 4 4 2 2" xfId="24987"/>
    <cellStyle name="Output 7 4 4 3" xfId="19874"/>
    <cellStyle name="Output 7 4 4_Table 2A-1_EFT (Annual)" xfId="8373"/>
    <cellStyle name="Output 7 4 5" xfId="10325"/>
    <cellStyle name="Output 7 4 5 2" xfId="22441"/>
    <cellStyle name="Output 7 4 6" xfId="17328"/>
    <cellStyle name="Output 7 4_Table 2A-1_EFT (Annual)" xfId="3499"/>
    <cellStyle name="Output 7 5" xfId="1802"/>
    <cellStyle name="Output 7 5 2" xfId="5363"/>
    <cellStyle name="Output 7 5 2 2" xfId="13578"/>
    <cellStyle name="Output 7 5 2 2 2" xfId="25566"/>
    <cellStyle name="Output 7 5 2 3" xfId="20453"/>
    <cellStyle name="Output 7 5 2_Table 2A-1_EFT (Annual)" xfId="8375"/>
    <cellStyle name="Output 7 5 3" xfId="10922"/>
    <cellStyle name="Output 7 5 3 2" xfId="23020"/>
    <cellStyle name="Output 7 5 4" xfId="17907"/>
    <cellStyle name="Output 7 5_Table 2A-1_EFT (Annual)" xfId="8374"/>
    <cellStyle name="Output 7 6" xfId="1648"/>
    <cellStyle name="Output 7 6 2" xfId="5209"/>
    <cellStyle name="Output 7 6 2 2" xfId="13456"/>
    <cellStyle name="Output 7 6 2 2 2" xfId="25456"/>
    <cellStyle name="Output 7 6 2 3" xfId="20343"/>
    <cellStyle name="Output 7 6 2_Table 2A-1_EFT (Annual)" xfId="8377"/>
    <cellStyle name="Output 7 6 3" xfId="10801"/>
    <cellStyle name="Output 7 6 3 2" xfId="22910"/>
    <cellStyle name="Output 7 6 4" xfId="17797"/>
    <cellStyle name="Output 7 6_Table 2A-1_EFT (Annual)" xfId="8376"/>
    <cellStyle name="Output 7 7" xfId="3701"/>
    <cellStyle name="Output 7 7 2" xfId="12069"/>
    <cellStyle name="Output 7 7 2 2" xfId="24099"/>
    <cellStyle name="Output 7 7 3" xfId="18986"/>
    <cellStyle name="Output 7 7_Table 2A-1_EFT (Annual)" xfId="8378"/>
    <cellStyle name="Output 7 8" xfId="9388"/>
    <cellStyle name="Output 7 8 2" xfId="21553"/>
    <cellStyle name="Output 7 9" xfId="16440"/>
    <cellStyle name="Output 7_Table 2A-1_EFT (Annual)" xfId="3494"/>
    <cellStyle name="Output 8" xfId="91"/>
    <cellStyle name="Output 8 2" xfId="490"/>
    <cellStyle name="Output 8 2 2" xfId="1467"/>
    <cellStyle name="Output 8 2 2 2" xfId="2737"/>
    <cellStyle name="Output 8 2 2 2 2" xfId="6298"/>
    <cellStyle name="Output 8 2 2 2 2 2" xfId="14492"/>
    <cellStyle name="Output 8 2 2 2 2 2 2" xfId="26464"/>
    <cellStyle name="Output 8 2 2 2 2 3" xfId="21351"/>
    <cellStyle name="Output 8 2 2 2 2_Table 2A-1_EFT (Annual)" xfId="8380"/>
    <cellStyle name="Output 8 2 2 2 3" xfId="11834"/>
    <cellStyle name="Output 8 2 2 2 3 2" xfId="23918"/>
    <cellStyle name="Output 8 2 2 2 4" xfId="18805"/>
    <cellStyle name="Output 8 2 2 2_Table 2A-1_EFT (Annual)" xfId="8379"/>
    <cellStyle name="Output 8 2 2 3" xfId="1912"/>
    <cellStyle name="Output 8 2 2 3 2" xfId="5473"/>
    <cellStyle name="Output 8 2 2 3 2 2" xfId="13688"/>
    <cellStyle name="Output 8 2 2 3 2 2 2" xfId="25676"/>
    <cellStyle name="Output 8 2 2 3 2 3" xfId="20563"/>
    <cellStyle name="Output 8 2 2 3 2_Table 2A-1_EFT (Annual)" xfId="8382"/>
    <cellStyle name="Output 8 2 2 3 3" xfId="11032"/>
    <cellStyle name="Output 8 2 2 3 3 2" xfId="23130"/>
    <cellStyle name="Output 8 2 2 3 4" xfId="18017"/>
    <cellStyle name="Output 8 2 2 3_Table 2A-1_EFT (Annual)" xfId="8381"/>
    <cellStyle name="Output 8 2 2 4" xfId="5028"/>
    <cellStyle name="Output 8 2 2 4 2" xfId="13288"/>
    <cellStyle name="Output 8 2 2 4 2 2" xfId="25294"/>
    <cellStyle name="Output 8 2 2 4 3" xfId="20181"/>
    <cellStyle name="Output 8 2 2 4_Table 2A-1_EFT (Annual)" xfId="8383"/>
    <cellStyle name="Output 8 2 2 5" xfId="10632"/>
    <cellStyle name="Output 8 2 2 5 2" xfId="22748"/>
    <cellStyle name="Output 8 2 2 6" xfId="17635"/>
    <cellStyle name="Output 8 2 2_Table 2A-1_EFT (Annual)" xfId="3502"/>
    <cellStyle name="Output 8 2 3" xfId="2206"/>
    <cellStyle name="Output 8 2 3 2" xfId="5767"/>
    <cellStyle name="Output 8 2 3 2 2" xfId="13982"/>
    <cellStyle name="Output 8 2 3 2 2 2" xfId="25970"/>
    <cellStyle name="Output 8 2 3 2 3" xfId="20857"/>
    <cellStyle name="Output 8 2 3 2_Table 2A-1_EFT (Annual)" xfId="8385"/>
    <cellStyle name="Output 8 2 3 3" xfId="11326"/>
    <cellStyle name="Output 8 2 3 3 2" xfId="23424"/>
    <cellStyle name="Output 8 2 3 4" xfId="18311"/>
    <cellStyle name="Output 8 2 3_Table 2A-1_EFT (Annual)" xfId="8384"/>
    <cellStyle name="Output 8 2 4" xfId="1737"/>
    <cellStyle name="Output 8 2 4 2" xfId="5298"/>
    <cellStyle name="Output 8 2 4 2 2" xfId="13523"/>
    <cellStyle name="Output 8 2 4 2 2 2" xfId="25514"/>
    <cellStyle name="Output 8 2 4 2 3" xfId="20401"/>
    <cellStyle name="Output 8 2 4 2_Table 2A-1_EFT (Annual)" xfId="8387"/>
    <cellStyle name="Output 8 2 4 3" xfId="10866"/>
    <cellStyle name="Output 8 2 4 3 2" xfId="22968"/>
    <cellStyle name="Output 8 2 4 4" xfId="17855"/>
    <cellStyle name="Output 8 2 4_Table 2A-1_EFT (Annual)" xfId="8386"/>
    <cellStyle name="Output 8 2 5" xfId="4060"/>
    <cellStyle name="Output 8 2 5 2" xfId="12384"/>
    <cellStyle name="Output 8 2 5 2 2" xfId="24406"/>
    <cellStyle name="Output 8 2 5 3" xfId="19293"/>
    <cellStyle name="Output 8 2 5_Table 2A-1_EFT (Annual)" xfId="8388"/>
    <cellStyle name="Output 8 2 6" xfId="9723"/>
    <cellStyle name="Output 8 2 6 2" xfId="21860"/>
    <cellStyle name="Output 8 2 7" xfId="16747"/>
    <cellStyle name="Output 8 2_Table 2A-1_EFT (Annual)" xfId="3501"/>
    <cellStyle name="Output 8 3" xfId="323"/>
    <cellStyle name="Output 8 3 2" xfId="1311"/>
    <cellStyle name="Output 8 3 2 2" xfId="2581"/>
    <cellStyle name="Output 8 3 2 2 2" xfId="6142"/>
    <cellStyle name="Output 8 3 2 2 2 2" xfId="14336"/>
    <cellStyle name="Output 8 3 2 2 2 2 2" xfId="26308"/>
    <cellStyle name="Output 8 3 2 2 2 3" xfId="21195"/>
    <cellStyle name="Output 8 3 2 2 2_Table 2A-1_EFT (Annual)" xfId="8390"/>
    <cellStyle name="Output 8 3 2 2 3" xfId="11678"/>
    <cellStyle name="Output 8 3 2 2 3 2" xfId="23762"/>
    <cellStyle name="Output 8 3 2 2 4" xfId="18649"/>
    <cellStyle name="Output 8 3 2 2_Table 2A-1_EFT (Annual)" xfId="8389"/>
    <cellStyle name="Output 8 3 2 3" xfId="1880"/>
    <cellStyle name="Output 8 3 2 3 2" xfId="5441"/>
    <cellStyle name="Output 8 3 2 3 2 2" xfId="13656"/>
    <cellStyle name="Output 8 3 2 3 2 2 2" xfId="25644"/>
    <cellStyle name="Output 8 3 2 3 2 3" xfId="20531"/>
    <cellStyle name="Output 8 3 2 3 2_Table 2A-1_EFT (Annual)" xfId="8392"/>
    <cellStyle name="Output 8 3 2 3 3" xfId="11000"/>
    <cellStyle name="Output 8 3 2 3 3 2" xfId="23098"/>
    <cellStyle name="Output 8 3 2 3 4" xfId="17985"/>
    <cellStyle name="Output 8 3 2 3_Table 2A-1_EFT (Annual)" xfId="8391"/>
    <cellStyle name="Output 8 3 2 4" xfId="4872"/>
    <cellStyle name="Output 8 3 2 4 2" xfId="13132"/>
    <cellStyle name="Output 8 3 2 4 2 2" xfId="25138"/>
    <cellStyle name="Output 8 3 2 4 3" xfId="20025"/>
    <cellStyle name="Output 8 3 2 4_Table 2A-1_EFT (Annual)" xfId="8393"/>
    <cellStyle name="Output 8 3 2 5" xfId="10476"/>
    <cellStyle name="Output 8 3 2 5 2" xfId="22592"/>
    <cellStyle name="Output 8 3 2 6" xfId="17479"/>
    <cellStyle name="Output 8 3 2_Table 2A-1_EFT (Annual)" xfId="3504"/>
    <cellStyle name="Output 8 3 3" xfId="2050"/>
    <cellStyle name="Output 8 3 3 2" xfId="5611"/>
    <cellStyle name="Output 8 3 3 2 2" xfId="13826"/>
    <cellStyle name="Output 8 3 3 2 2 2" xfId="25814"/>
    <cellStyle name="Output 8 3 3 2 3" xfId="20701"/>
    <cellStyle name="Output 8 3 3 2_Table 2A-1_EFT (Annual)" xfId="8395"/>
    <cellStyle name="Output 8 3 3 3" xfId="11170"/>
    <cellStyle name="Output 8 3 3 3 2" xfId="23268"/>
    <cellStyle name="Output 8 3 3 4" xfId="18155"/>
    <cellStyle name="Output 8 3 3_Table 2A-1_EFT (Annual)" xfId="8394"/>
    <cellStyle name="Output 8 3 4" xfId="1696"/>
    <cellStyle name="Output 8 3 4 2" xfId="5257"/>
    <cellStyle name="Output 8 3 4 2 2" xfId="13490"/>
    <cellStyle name="Output 8 3 4 2 2 2" xfId="25484"/>
    <cellStyle name="Output 8 3 4 2 3" xfId="20371"/>
    <cellStyle name="Output 8 3 4 2_Table 2A-1_EFT (Annual)" xfId="8397"/>
    <cellStyle name="Output 8 3 4 3" xfId="10834"/>
    <cellStyle name="Output 8 3 4 3 2" xfId="22938"/>
    <cellStyle name="Output 8 3 4 4" xfId="17825"/>
    <cellStyle name="Output 8 3 4_Table 2A-1_EFT (Annual)" xfId="8396"/>
    <cellStyle name="Output 8 3 5" xfId="3893"/>
    <cellStyle name="Output 8 3 5 2" xfId="12225"/>
    <cellStyle name="Output 8 3 5 2 2" xfId="24250"/>
    <cellStyle name="Output 8 3 5 3" xfId="19137"/>
    <cellStyle name="Output 8 3 5_Table 2A-1_EFT (Annual)" xfId="8398"/>
    <cellStyle name="Output 8 3 6" xfId="9562"/>
    <cellStyle name="Output 8 3 6 2" xfId="21704"/>
    <cellStyle name="Output 8 3 7" xfId="16591"/>
    <cellStyle name="Output 8 3_Table 2A-1_EFT (Annual)" xfId="3503"/>
    <cellStyle name="Output 8 4" xfId="1145"/>
    <cellStyle name="Output 8 4 2" xfId="2415"/>
    <cellStyle name="Output 8 4 2 2" xfId="5976"/>
    <cellStyle name="Output 8 4 2 2 2" xfId="14170"/>
    <cellStyle name="Output 8 4 2 2 2 2" xfId="26142"/>
    <cellStyle name="Output 8 4 2 2 3" xfId="21029"/>
    <cellStyle name="Output 8 4 2 2_Table 2A-1_EFT (Annual)" xfId="8400"/>
    <cellStyle name="Output 8 4 2 3" xfId="11512"/>
    <cellStyle name="Output 8 4 2 3 2" xfId="23596"/>
    <cellStyle name="Output 8 4 2 4" xfId="18483"/>
    <cellStyle name="Output 8 4 2_Table 2A-1_EFT (Annual)" xfId="8399"/>
    <cellStyle name="Output 8 4 3" xfId="1815"/>
    <cellStyle name="Output 8 4 3 2" xfId="5376"/>
    <cellStyle name="Output 8 4 3 2 2" xfId="13591"/>
    <cellStyle name="Output 8 4 3 2 2 2" xfId="25579"/>
    <cellStyle name="Output 8 4 3 2 3" xfId="20466"/>
    <cellStyle name="Output 8 4 3 2_Table 2A-1_EFT (Annual)" xfId="8402"/>
    <cellStyle name="Output 8 4 3 3" xfId="10935"/>
    <cellStyle name="Output 8 4 3 3 2" xfId="23033"/>
    <cellStyle name="Output 8 4 3 4" xfId="17920"/>
    <cellStyle name="Output 8 4 3_Table 2A-1_EFT (Annual)" xfId="8401"/>
    <cellStyle name="Output 8 4 4" xfId="4706"/>
    <cellStyle name="Output 8 4 4 2" xfId="12966"/>
    <cellStyle name="Output 8 4 4 2 2" xfId="24972"/>
    <cellStyle name="Output 8 4 4 3" xfId="19859"/>
    <cellStyle name="Output 8 4 4_Table 2A-1_EFT (Annual)" xfId="8403"/>
    <cellStyle name="Output 8 4 5" xfId="10310"/>
    <cellStyle name="Output 8 4 5 2" xfId="22426"/>
    <cellStyle name="Output 8 4 6" xfId="17313"/>
    <cellStyle name="Output 8 4_Table 2A-1_EFT (Annual)" xfId="3505"/>
    <cellStyle name="Output 8 5" xfId="1808"/>
    <cellStyle name="Output 8 5 2" xfId="5369"/>
    <cellStyle name="Output 8 5 2 2" xfId="13584"/>
    <cellStyle name="Output 8 5 2 2 2" xfId="25572"/>
    <cellStyle name="Output 8 5 2 3" xfId="20459"/>
    <cellStyle name="Output 8 5 2_Table 2A-1_EFT (Annual)" xfId="8405"/>
    <cellStyle name="Output 8 5 3" xfId="10928"/>
    <cellStyle name="Output 8 5 3 2" xfId="23026"/>
    <cellStyle name="Output 8 5 4" xfId="17913"/>
    <cellStyle name="Output 8 5_Table 2A-1_EFT (Annual)" xfId="8404"/>
    <cellStyle name="Output 8 6" xfId="1639"/>
    <cellStyle name="Output 8 6 2" xfId="5200"/>
    <cellStyle name="Output 8 6 2 2" xfId="13452"/>
    <cellStyle name="Output 8 6 2 2 2" xfId="25452"/>
    <cellStyle name="Output 8 6 2 3" xfId="20339"/>
    <cellStyle name="Output 8 6 2_Table 2A-1_EFT (Annual)" xfId="8407"/>
    <cellStyle name="Output 8 6 3" xfId="10796"/>
    <cellStyle name="Output 8 6 3 2" xfId="22906"/>
    <cellStyle name="Output 8 6 4" xfId="17793"/>
    <cellStyle name="Output 8 6_Table 2A-1_EFT (Annual)" xfId="8406"/>
    <cellStyle name="Output 8 7" xfId="3680"/>
    <cellStyle name="Output 8 7 2" xfId="12053"/>
    <cellStyle name="Output 8 7 2 2" xfId="24084"/>
    <cellStyle name="Output 8 7 3" xfId="18971"/>
    <cellStyle name="Output 8 7_Table 2A-1_EFT (Annual)" xfId="8408"/>
    <cellStyle name="Output 8 8" xfId="9370"/>
    <cellStyle name="Output 8 8 2" xfId="21538"/>
    <cellStyle name="Output 8 9" xfId="16425"/>
    <cellStyle name="Output 8_Table 2A-1_EFT (Annual)" xfId="3500"/>
    <cellStyle name="Output 9" xfId="124"/>
    <cellStyle name="Output 9 2" xfId="517"/>
    <cellStyle name="Output 9 2 2" xfId="1494"/>
    <cellStyle name="Output 9 2 2 2" xfId="2764"/>
    <cellStyle name="Output 9 2 2 2 2" xfId="6325"/>
    <cellStyle name="Output 9 2 2 2 2 2" xfId="14519"/>
    <cellStyle name="Output 9 2 2 2 2 2 2" xfId="26491"/>
    <cellStyle name="Output 9 2 2 2 2 3" xfId="21378"/>
    <cellStyle name="Output 9 2 2 2 2_Table 2A-1_EFT (Annual)" xfId="8410"/>
    <cellStyle name="Output 9 2 2 2 3" xfId="11861"/>
    <cellStyle name="Output 9 2 2 2 3 2" xfId="23945"/>
    <cellStyle name="Output 9 2 2 2 4" xfId="18832"/>
    <cellStyle name="Output 9 2 2 2_Table 2A-1_EFT (Annual)" xfId="8409"/>
    <cellStyle name="Output 9 2 2 3" xfId="1919"/>
    <cellStyle name="Output 9 2 2 3 2" xfId="5480"/>
    <cellStyle name="Output 9 2 2 3 2 2" xfId="13695"/>
    <cellStyle name="Output 9 2 2 3 2 2 2" xfId="25683"/>
    <cellStyle name="Output 9 2 2 3 2 3" xfId="20570"/>
    <cellStyle name="Output 9 2 2 3 2_Table 2A-1_EFT (Annual)" xfId="8412"/>
    <cellStyle name="Output 9 2 2 3 3" xfId="11039"/>
    <cellStyle name="Output 9 2 2 3 3 2" xfId="23137"/>
    <cellStyle name="Output 9 2 2 3 4" xfId="18024"/>
    <cellStyle name="Output 9 2 2 3_Table 2A-1_EFT (Annual)" xfId="8411"/>
    <cellStyle name="Output 9 2 2 4" xfId="5055"/>
    <cellStyle name="Output 9 2 2 4 2" xfId="13315"/>
    <cellStyle name="Output 9 2 2 4 2 2" xfId="25321"/>
    <cellStyle name="Output 9 2 2 4 3" xfId="20208"/>
    <cellStyle name="Output 9 2 2 4_Table 2A-1_EFT (Annual)" xfId="8413"/>
    <cellStyle name="Output 9 2 2 5" xfId="10659"/>
    <cellStyle name="Output 9 2 2 5 2" xfId="22775"/>
    <cellStyle name="Output 9 2 2 6" xfId="17662"/>
    <cellStyle name="Output 9 2 2_Table 2A-1_EFT (Annual)" xfId="3508"/>
    <cellStyle name="Output 9 2 3" xfId="2233"/>
    <cellStyle name="Output 9 2 3 2" xfId="5794"/>
    <cellStyle name="Output 9 2 3 2 2" xfId="14009"/>
    <cellStyle name="Output 9 2 3 2 2 2" xfId="25997"/>
    <cellStyle name="Output 9 2 3 2 3" xfId="20884"/>
    <cellStyle name="Output 9 2 3 2_Table 2A-1_EFT (Annual)" xfId="8415"/>
    <cellStyle name="Output 9 2 3 3" xfId="11353"/>
    <cellStyle name="Output 9 2 3 3 2" xfId="23451"/>
    <cellStyle name="Output 9 2 3 4" xfId="18338"/>
    <cellStyle name="Output 9 2 3_Table 2A-1_EFT (Annual)" xfId="8414"/>
    <cellStyle name="Output 9 2 4" xfId="1744"/>
    <cellStyle name="Output 9 2 4 2" xfId="5305"/>
    <cellStyle name="Output 9 2 4 2 2" xfId="13530"/>
    <cellStyle name="Output 9 2 4 2 2 2" xfId="25521"/>
    <cellStyle name="Output 9 2 4 2 3" xfId="20408"/>
    <cellStyle name="Output 9 2 4 2_Table 2A-1_EFT (Annual)" xfId="8417"/>
    <cellStyle name="Output 9 2 4 3" xfId="10873"/>
    <cellStyle name="Output 9 2 4 3 2" xfId="22975"/>
    <cellStyle name="Output 9 2 4 4" xfId="17862"/>
    <cellStyle name="Output 9 2 4_Table 2A-1_EFT (Annual)" xfId="8416"/>
    <cellStyle name="Output 9 2 5" xfId="4087"/>
    <cellStyle name="Output 9 2 5 2" xfId="12411"/>
    <cellStyle name="Output 9 2 5 2 2" xfId="24433"/>
    <cellStyle name="Output 9 2 5 3" xfId="19320"/>
    <cellStyle name="Output 9 2 5_Table 2A-1_EFT (Annual)" xfId="8418"/>
    <cellStyle name="Output 9 2 6" xfId="9750"/>
    <cellStyle name="Output 9 2 6 2" xfId="21887"/>
    <cellStyle name="Output 9 2 7" xfId="16774"/>
    <cellStyle name="Output 9 2_Table 2A-1_EFT (Annual)" xfId="3507"/>
    <cellStyle name="Output 9 3" xfId="355"/>
    <cellStyle name="Output 9 3 2" xfId="1338"/>
    <cellStyle name="Output 9 3 2 2" xfId="2608"/>
    <cellStyle name="Output 9 3 2 2 2" xfId="6169"/>
    <cellStyle name="Output 9 3 2 2 2 2" xfId="14363"/>
    <cellStyle name="Output 9 3 2 2 2 2 2" xfId="26335"/>
    <cellStyle name="Output 9 3 2 2 2 3" xfId="21222"/>
    <cellStyle name="Output 9 3 2 2 2_Table 2A-1_EFT (Annual)" xfId="8420"/>
    <cellStyle name="Output 9 3 2 2 3" xfId="11705"/>
    <cellStyle name="Output 9 3 2 2 3 2" xfId="23789"/>
    <cellStyle name="Output 9 3 2 2 4" xfId="18676"/>
    <cellStyle name="Output 9 3 2 2_Table 2A-1_EFT (Annual)" xfId="8419"/>
    <cellStyle name="Output 9 3 2 3" xfId="1888"/>
    <cellStyle name="Output 9 3 2 3 2" xfId="5449"/>
    <cellStyle name="Output 9 3 2 3 2 2" xfId="13664"/>
    <cellStyle name="Output 9 3 2 3 2 2 2" xfId="25652"/>
    <cellStyle name="Output 9 3 2 3 2 3" xfId="20539"/>
    <cellStyle name="Output 9 3 2 3 2_Table 2A-1_EFT (Annual)" xfId="8422"/>
    <cellStyle name="Output 9 3 2 3 3" xfId="11008"/>
    <cellStyle name="Output 9 3 2 3 3 2" xfId="23106"/>
    <cellStyle name="Output 9 3 2 3 4" xfId="17993"/>
    <cellStyle name="Output 9 3 2 3_Table 2A-1_EFT (Annual)" xfId="8421"/>
    <cellStyle name="Output 9 3 2 4" xfId="4899"/>
    <cellStyle name="Output 9 3 2 4 2" xfId="13159"/>
    <cellStyle name="Output 9 3 2 4 2 2" xfId="25165"/>
    <cellStyle name="Output 9 3 2 4 3" xfId="20052"/>
    <cellStyle name="Output 9 3 2 4_Table 2A-1_EFT (Annual)" xfId="8423"/>
    <cellStyle name="Output 9 3 2 5" xfId="10503"/>
    <cellStyle name="Output 9 3 2 5 2" xfId="22619"/>
    <cellStyle name="Output 9 3 2 6" xfId="17506"/>
    <cellStyle name="Output 9 3 2_Table 2A-1_EFT (Annual)" xfId="3510"/>
    <cellStyle name="Output 9 3 3" xfId="2077"/>
    <cellStyle name="Output 9 3 3 2" xfId="5638"/>
    <cellStyle name="Output 9 3 3 2 2" xfId="13853"/>
    <cellStyle name="Output 9 3 3 2 2 2" xfId="25841"/>
    <cellStyle name="Output 9 3 3 2 3" xfId="20728"/>
    <cellStyle name="Output 9 3 3 2_Table 2A-1_EFT (Annual)" xfId="8425"/>
    <cellStyle name="Output 9 3 3 3" xfId="11197"/>
    <cellStyle name="Output 9 3 3 3 2" xfId="23295"/>
    <cellStyle name="Output 9 3 3 4" xfId="18182"/>
    <cellStyle name="Output 9 3 3_Table 2A-1_EFT (Annual)" xfId="8424"/>
    <cellStyle name="Output 9 3 4" xfId="1708"/>
    <cellStyle name="Output 9 3 4 2" xfId="5269"/>
    <cellStyle name="Output 9 3 4 2 2" xfId="13498"/>
    <cellStyle name="Output 9 3 4 2 2 2" xfId="25491"/>
    <cellStyle name="Output 9 3 4 2 3" xfId="20378"/>
    <cellStyle name="Output 9 3 4 2_Table 2A-1_EFT (Annual)" xfId="8427"/>
    <cellStyle name="Output 9 3 4 3" xfId="10842"/>
    <cellStyle name="Output 9 3 4 3 2" xfId="22945"/>
    <cellStyle name="Output 9 3 4 4" xfId="17832"/>
    <cellStyle name="Output 9 3 4_Table 2A-1_EFT (Annual)" xfId="8426"/>
    <cellStyle name="Output 9 3 5" xfId="3925"/>
    <cellStyle name="Output 9 3 5 2" xfId="12253"/>
    <cellStyle name="Output 9 3 5 2 2" xfId="24277"/>
    <cellStyle name="Output 9 3 5 3" xfId="19164"/>
    <cellStyle name="Output 9 3 5_Table 2A-1_EFT (Annual)" xfId="8428"/>
    <cellStyle name="Output 9 3 6" xfId="9590"/>
    <cellStyle name="Output 9 3 6 2" xfId="21731"/>
    <cellStyle name="Output 9 3 7" xfId="16618"/>
    <cellStyle name="Output 9 3_Table 2A-1_EFT (Annual)" xfId="3509"/>
    <cellStyle name="Output 9 4" xfId="1172"/>
    <cellStyle name="Output 9 4 2" xfId="2442"/>
    <cellStyle name="Output 9 4 2 2" xfId="6003"/>
    <cellStyle name="Output 9 4 2 2 2" xfId="14197"/>
    <cellStyle name="Output 9 4 2 2 2 2" xfId="26169"/>
    <cellStyle name="Output 9 4 2 2 3" xfId="21056"/>
    <cellStyle name="Output 9 4 2 2_Table 2A-1_EFT (Annual)" xfId="8430"/>
    <cellStyle name="Output 9 4 2 3" xfId="11539"/>
    <cellStyle name="Output 9 4 2 3 2" xfId="23623"/>
    <cellStyle name="Output 9 4 2 4" xfId="18510"/>
    <cellStyle name="Output 9 4 2_Table 2A-1_EFT (Annual)" xfId="8429"/>
    <cellStyle name="Output 9 4 3" xfId="1824"/>
    <cellStyle name="Output 9 4 3 2" xfId="5385"/>
    <cellStyle name="Output 9 4 3 2 2" xfId="13600"/>
    <cellStyle name="Output 9 4 3 2 2 2" xfId="25588"/>
    <cellStyle name="Output 9 4 3 2 3" xfId="20475"/>
    <cellStyle name="Output 9 4 3 2_Table 2A-1_EFT (Annual)" xfId="8432"/>
    <cellStyle name="Output 9 4 3 3" xfId="10944"/>
    <cellStyle name="Output 9 4 3 3 2" xfId="23042"/>
    <cellStyle name="Output 9 4 3 4" xfId="17929"/>
    <cellStyle name="Output 9 4 3_Table 2A-1_EFT (Annual)" xfId="8431"/>
    <cellStyle name="Output 9 4 4" xfId="4733"/>
    <cellStyle name="Output 9 4 4 2" xfId="12993"/>
    <cellStyle name="Output 9 4 4 2 2" xfId="24999"/>
    <cellStyle name="Output 9 4 4 3" xfId="19886"/>
    <cellStyle name="Output 9 4 4_Table 2A-1_EFT (Annual)" xfId="8433"/>
    <cellStyle name="Output 9 4 5" xfId="10337"/>
    <cellStyle name="Output 9 4 5 2" xfId="22453"/>
    <cellStyle name="Output 9 4 6" xfId="17340"/>
    <cellStyle name="Output 9 4_Table 2A-1_EFT (Annual)" xfId="3511"/>
    <cellStyle name="Output 9 5" xfId="1796"/>
    <cellStyle name="Output 9 5 2" xfId="5357"/>
    <cellStyle name="Output 9 5 2 2" xfId="13572"/>
    <cellStyle name="Output 9 5 2 2 2" xfId="25560"/>
    <cellStyle name="Output 9 5 2 3" xfId="20447"/>
    <cellStyle name="Output 9 5 2_Table 2A-1_EFT (Annual)" xfId="8435"/>
    <cellStyle name="Output 9 5 3" xfId="10916"/>
    <cellStyle name="Output 9 5 3 2" xfId="23014"/>
    <cellStyle name="Output 9 5 4" xfId="17901"/>
    <cellStyle name="Output 9 5_Table 2A-1_EFT (Annual)" xfId="8434"/>
    <cellStyle name="Output 9 6" xfId="1651"/>
    <cellStyle name="Output 9 6 2" xfId="5212"/>
    <cellStyle name="Output 9 6 2 2" xfId="13459"/>
    <cellStyle name="Output 9 6 2 2 2" xfId="25459"/>
    <cellStyle name="Output 9 6 2 3" xfId="20346"/>
    <cellStyle name="Output 9 6 2_Table 2A-1_EFT (Annual)" xfId="8437"/>
    <cellStyle name="Output 9 6 3" xfId="10804"/>
    <cellStyle name="Output 9 6 3 2" xfId="22913"/>
    <cellStyle name="Output 9 6 4" xfId="17800"/>
    <cellStyle name="Output 9 6_Table 2A-1_EFT (Annual)" xfId="8436"/>
    <cellStyle name="Output 9 7" xfId="3713"/>
    <cellStyle name="Output 9 7 2" xfId="12081"/>
    <cellStyle name="Output 9 7 2 2" xfId="24111"/>
    <cellStyle name="Output 9 7 3" xfId="18998"/>
    <cellStyle name="Output 9 7_Table 2A-1_EFT (Annual)" xfId="8438"/>
    <cellStyle name="Output 9 8" xfId="9400"/>
    <cellStyle name="Output 9 8 2" xfId="21565"/>
    <cellStyle name="Output 9 9" xfId="16452"/>
    <cellStyle name="Output 9_Table 2A-1_EFT (Annual)" xfId="3506"/>
    <cellStyle name="Percent" xfId="48" builtinId="5"/>
    <cellStyle name="Percent 2" xfId="49"/>
    <cellStyle name="Percent 2 2" xfId="55"/>
    <cellStyle name="Percent 2_Table 2A-1_EFT (Annual)" xfId="8439"/>
    <cellStyle name="Percent 3" xfId="67"/>
    <cellStyle name="Percent 3 2" xfId="224"/>
    <cellStyle name="Percent 3 2 2" xfId="451"/>
    <cellStyle name="Percent 3 2 2 2" xfId="975"/>
    <cellStyle name="Percent 3 2 2 2 2" xfId="2397"/>
    <cellStyle name="Percent 3 2 2 2 2 2" xfId="5958"/>
    <cellStyle name="Percent 3 2 2 2 2 2 2" xfId="16406"/>
    <cellStyle name="Percent 3 2 2 2 2 3" xfId="16208"/>
    <cellStyle name="Percent 3 2 2 2 2_Table 2A-1_EFT (Annual)" xfId="8444"/>
    <cellStyle name="Percent 3 2 2 2 3" xfId="4536"/>
    <cellStyle name="Percent 3 2 2 2 3 2" xfId="16306"/>
    <cellStyle name="Percent 3 2 2 2 4" xfId="16109"/>
    <cellStyle name="Percent 3 2 2 2_Table 2A-1_EFT (Annual)" xfId="8443"/>
    <cellStyle name="Percent 3 2 2 3" xfId="1725"/>
    <cellStyle name="Percent 3 2 2 3 2" xfId="5286"/>
    <cellStyle name="Percent 3 2 2 3 2 2" xfId="16357"/>
    <cellStyle name="Percent 3 2 2 3 3" xfId="16159"/>
    <cellStyle name="Percent 3 2 2 3_Table 2A-1_EFT (Annual)" xfId="8445"/>
    <cellStyle name="Percent 3 2 2 4" xfId="4021"/>
    <cellStyle name="Percent 3 2 2 4 2" xfId="16257"/>
    <cellStyle name="Percent 3 2 2 5" xfId="16060"/>
    <cellStyle name="Percent 3 2 2_Table 2A-1_EFT (Annual)" xfId="8442"/>
    <cellStyle name="Percent 3 2 3" xfId="819"/>
    <cellStyle name="Percent 3 2 3 2" xfId="2372"/>
    <cellStyle name="Percent 3 2 3 2 2" xfId="5933"/>
    <cellStyle name="Percent 3 2 3 2 2 2" xfId="16381"/>
    <cellStyle name="Percent 3 2 3 2 3" xfId="16183"/>
    <cellStyle name="Percent 3 2 3 2_Table 2A-1_EFT (Annual)" xfId="8447"/>
    <cellStyle name="Percent 3 2 3 3" xfId="4380"/>
    <cellStyle name="Percent 3 2 3 3 2" xfId="16281"/>
    <cellStyle name="Percent 3 2 3 4" xfId="16084"/>
    <cellStyle name="Percent 3 2 3_Table 2A-1_EFT (Annual)" xfId="8446"/>
    <cellStyle name="Percent 3 2 4" xfId="1669"/>
    <cellStyle name="Percent 3 2 4 2" xfId="5230"/>
    <cellStyle name="Percent 3 2 4 2 2" xfId="16332"/>
    <cellStyle name="Percent 3 2 4 3" xfId="16134"/>
    <cellStyle name="Percent 3 2 4_Table 2A-1_EFT (Annual)" xfId="8448"/>
    <cellStyle name="Percent 3 2 5" xfId="3813"/>
    <cellStyle name="Percent 3 2 5 2" xfId="16232"/>
    <cellStyle name="Percent 3 2 6" xfId="16035"/>
    <cellStyle name="Percent 3 2_Table 2A-1_EFT (Annual)" xfId="8441"/>
    <cellStyle name="Percent 3 3" xfId="305"/>
    <cellStyle name="Percent 3 3 2" xfId="855"/>
    <cellStyle name="Percent 3 3 2 2" xfId="2385"/>
    <cellStyle name="Percent 3 3 2 2 2" xfId="5946"/>
    <cellStyle name="Percent 3 3 2 2 2 2" xfId="16394"/>
    <cellStyle name="Percent 3 3 2 2 3" xfId="16196"/>
    <cellStyle name="Percent 3 3 2 2_Table 2A-1_EFT (Annual)" xfId="8451"/>
    <cellStyle name="Percent 3 3 2 3" xfId="4416"/>
    <cellStyle name="Percent 3 3 2 3 2" xfId="16294"/>
    <cellStyle name="Percent 3 3 2 4" xfId="16097"/>
    <cellStyle name="Percent 3 3 2_Table 2A-1_EFT (Annual)" xfId="8450"/>
    <cellStyle name="Percent 3 3 3" xfId="1687"/>
    <cellStyle name="Percent 3 3 3 2" xfId="5248"/>
    <cellStyle name="Percent 3 3 3 2 2" xfId="16345"/>
    <cellStyle name="Percent 3 3 3 3" xfId="16147"/>
    <cellStyle name="Percent 3 3 3_Table 2A-1_EFT (Annual)" xfId="8452"/>
    <cellStyle name="Percent 3 3 4" xfId="3875"/>
    <cellStyle name="Percent 3 3 4 2" xfId="16245"/>
    <cellStyle name="Percent 3 3 5" xfId="16048"/>
    <cellStyle name="Percent 3 3_Table 2A-1_EFT (Annual)" xfId="8449"/>
    <cellStyle name="Percent 3 4" xfId="651"/>
    <cellStyle name="Percent 3 4 2" xfId="1772"/>
    <cellStyle name="Percent 3 4 2 2" xfId="5333"/>
    <cellStyle name="Percent 3 4 2 2 2" xfId="16369"/>
    <cellStyle name="Percent 3 4 2 3" xfId="16171"/>
    <cellStyle name="Percent 3 4 2_Table 2A-1_EFT (Annual)" xfId="8454"/>
    <cellStyle name="Percent 3 4 3" xfId="4221"/>
    <cellStyle name="Percent 3 4 3 2" xfId="16269"/>
    <cellStyle name="Percent 3 4 4" xfId="16072"/>
    <cellStyle name="Percent 3 4_Table 2A-1_EFT (Annual)" xfId="8453"/>
    <cellStyle name="Percent 3 5" xfId="1630"/>
    <cellStyle name="Percent 3 5 2" xfId="5191"/>
    <cellStyle name="Percent 3 5 2 2" xfId="16320"/>
    <cellStyle name="Percent 3 5 3" xfId="16122"/>
    <cellStyle name="Percent 3 5_Table 2A-1_EFT (Annual)" xfId="8455"/>
    <cellStyle name="Percent 3 6" xfId="3659"/>
    <cellStyle name="Percent 3 6 2" xfId="16220"/>
    <cellStyle name="Percent 3 7" xfId="16023"/>
    <cellStyle name="Percent 3_Table 2A-1_EFT (Annual)" xfId="8440"/>
    <cellStyle name="Percent 4" xfId="295"/>
    <cellStyle name="Percent 5" xfId="699"/>
    <cellStyle name="Percent 6" xfId="16013"/>
    <cellStyle name="Title" xfId="50" builtinId="15" customBuiltin="1"/>
    <cellStyle name="Title 2" xfId="296"/>
    <cellStyle name="Title 3" xfId="700"/>
    <cellStyle name="Title 4" xfId="16014"/>
    <cellStyle name="Total" xfId="51" builtinId="25" customBuiltin="1"/>
    <cellStyle name="Total 10" xfId="139"/>
    <cellStyle name="Total 10 2" xfId="532"/>
    <cellStyle name="Total 10 2 2" xfId="1509"/>
    <cellStyle name="Total 10 2 2 2" xfId="2779"/>
    <cellStyle name="Total 10 2 2 2 2" xfId="6340"/>
    <cellStyle name="Total 10 2 2 2 2 2" xfId="14534"/>
    <cellStyle name="Total 10 2 2 2 2 2 2" xfId="26506"/>
    <cellStyle name="Total 10 2 2 2 2 3" xfId="21393"/>
    <cellStyle name="Total 10 2 2 2 2_Table 2A-1_EFT (Annual)" xfId="8458"/>
    <cellStyle name="Total 10 2 2 2 3" xfId="11876"/>
    <cellStyle name="Total 10 2 2 2 3 2" xfId="23960"/>
    <cellStyle name="Total 10 2 2 2 4" xfId="18847"/>
    <cellStyle name="Total 10 2 2 2_Table 2A-1_EFT (Annual)" xfId="8457"/>
    <cellStyle name="Total 10 2 2 3" xfId="5070"/>
    <cellStyle name="Total 10 2 2 3 2" xfId="13330"/>
    <cellStyle name="Total 10 2 2 3 2 2" xfId="25336"/>
    <cellStyle name="Total 10 2 2 3 3" xfId="20223"/>
    <cellStyle name="Total 10 2 2 3_Table 2A-1_EFT (Annual)" xfId="8459"/>
    <cellStyle name="Total 10 2 2 4" xfId="10674"/>
    <cellStyle name="Total 10 2 2 4 2" xfId="22790"/>
    <cellStyle name="Total 10 2 2 5" xfId="17677"/>
    <cellStyle name="Total 10 2 2_Table 2A-1_EFT (Annual)" xfId="8456"/>
    <cellStyle name="Total 10 2 3" xfId="1041"/>
    <cellStyle name="Total 10 2 3 2" xfId="4602"/>
    <cellStyle name="Total 10 2 3 2 2" xfId="12862"/>
    <cellStyle name="Total 10 2 3 2 2 2" xfId="24868"/>
    <cellStyle name="Total 10 2 3 2 3" xfId="19755"/>
    <cellStyle name="Total 10 2 3 2_Table 2A-1_EFT (Annual)" xfId="8461"/>
    <cellStyle name="Total 10 2 3 3" xfId="10206"/>
    <cellStyle name="Total 10 2 3 3 2" xfId="22322"/>
    <cellStyle name="Total 10 2 3 4" xfId="17209"/>
    <cellStyle name="Total 10 2 3_Table 2A-1_EFT (Annual)" xfId="8460"/>
    <cellStyle name="Total 10 2 4" xfId="2248"/>
    <cellStyle name="Total 10 2 4 2" xfId="5809"/>
    <cellStyle name="Total 10 2 4 2 2" xfId="14024"/>
    <cellStyle name="Total 10 2 4 2 2 2" xfId="26012"/>
    <cellStyle name="Total 10 2 4 2 3" xfId="20899"/>
    <cellStyle name="Total 10 2 4 2_Table 2A-1_EFT (Annual)" xfId="8463"/>
    <cellStyle name="Total 10 2 4 3" xfId="11368"/>
    <cellStyle name="Total 10 2 4 3 2" xfId="23466"/>
    <cellStyle name="Total 10 2 4 4" xfId="18353"/>
    <cellStyle name="Total 10 2 4_Table 2A-1_EFT (Annual)" xfId="8462"/>
    <cellStyle name="Total 10 2 5" xfId="4102"/>
    <cellStyle name="Total 10 2 5 2" xfId="12426"/>
    <cellStyle name="Total 10 2 5 2 2" xfId="24448"/>
    <cellStyle name="Total 10 2 5 3" xfId="19335"/>
    <cellStyle name="Total 10 2 5_Table 2A-1_EFT (Annual)" xfId="8464"/>
    <cellStyle name="Total 10 2 6" xfId="9765"/>
    <cellStyle name="Total 10 2 6 2" xfId="21902"/>
    <cellStyle name="Total 10 2 7" xfId="16789"/>
    <cellStyle name="Total 10 2_Table 2A-1_EFT (Annual)" xfId="3513"/>
    <cellStyle name="Total 10 3" xfId="370"/>
    <cellStyle name="Total 10 3 2" xfId="1353"/>
    <cellStyle name="Total 10 3 2 2" xfId="2623"/>
    <cellStyle name="Total 10 3 2 2 2" xfId="6184"/>
    <cellStyle name="Total 10 3 2 2 2 2" xfId="14378"/>
    <cellStyle name="Total 10 3 2 2 2 2 2" xfId="26350"/>
    <cellStyle name="Total 10 3 2 2 2 3" xfId="21237"/>
    <cellStyle name="Total 10 3 2 2 2_Table 2A-1_EFT (Annual)" xfId="8467"/>
    <cellStyle name="Total 10 3 2 2 3" xfId="11720"/>
    <cellStyle name="Total 10 3 2 2 3 2" xfId="23804"/>
    <cellStyle name="Total 10 3 2 2 4" xfId="18691"/>
    <cellStyle name="Total 10 3 2 2_Table 2A-1_EFT (Annual)" xfId="8466"/>
    <cellStyle name="Total 10 3 2 3" xfId="4914"/>
    <cellStyle name="Total 10 3 2 3 2" xfId="13174"/>
    <cellStyle name="Total 10 3 2 3 2 2" xfId="25180"/>
    <cellStyle name="Total 10 3 2 3 3" xfId="20067"/>
    <cellStyle name="Total 10 3 2 3_Table 2A-1_EFT (Annual)" xfId="8468"/>
    <cellStyle name="Total 10 3 2 4" xfId="10518"/>
    <cellStyle name="Total 10 3 2 4 2" xfId="22634"/>
    <cellStyle name="Total 10 3 2 5" xfId="17521"/>
    <cellStyle name="Total 10 3 2_Table 2A-1_EFT (Annual)" xfId="8465"/>
    <cellStyle name="Total 10 3 3" xfId="909"/>
    <cellStyle name="Total 10 3 3 2" xfId="4470"/>
    <cellStyle name="Total 10 3 3 2 2" xfId="12732"/>
    <cellStyle name="Total 10 3 3 2 2 2" xfId="24742"/>
    <cellStyle name="Total 10 3 3 2 3" xfId="19629"/>
    <cellStyle name="Total 10 3 3 2_Table 2A-1_EFT (Annual)" xfId="8470"/>
    <cellStyle name="Total 10 3 3 3" xfId="10079"/>
    <cellStyle name="Total 10 3 3 3 2" xfId="22196"/>
    <cellStyle name="Total 10 3 3 4" xfId="17083"/>
    <cellStyle name="Total 10 3 3_Table 2A-1_EFT (Annual)" xfId="8469"/>
    <cellStyle name="Total 10 3 4" xfId="2092"/>
    <cellStyle name="Total 10 3 4 2" xfId="5653"/>
    <cellStyle name="Total 10 3 4 2 2" xfId="13868"/>
    <cellStyle name="Total 10 3 4 2 2 2" xfId="25856"/>
    <cellStyle name="Total 10 3 4 2 3" xfId="20743"/>
    <cellStyle name="Total 10 3 4 2_Table 2A-1_EFT (Annual)" xfId="8472"/>
    <cellStyle name="Total 10 3 4 3" xfId="11212"/>
    <cellStyle name="Total 10 3 4 3 2" xfId="23310"/>
    <cellStyle name="Total 10 3 4 4" xfId="18197"/>
    <cellStyle name="Total 10 3 4_Table 2A-1_EFT (Annual)" xfId="8471"/>
    <cellStyle name="Total 10 3 5" xfId="3940"/>
    <cellStyle name="Total 10 3 5 2" xfId="12268"/>
    <cellStyle name="Total 10 3 5 2 2" xfId="24292"/>
    <cellStyle name="Total 10 3 5 3" xfId="19179"/>
    <cellStyle name="Total 10 3 5_Table 2A-1_EFT (Annual)" xfId="8473"/>
    <cellStyle name="Total 10 3 6" xfId="9605"/>
    <cellStyle name="Total 10 3 6 2" xfId="21746"/>
    <cellStyle name="Total 10 3 7" xfId="16633"/>
    <cellStyle name="Total 10 3_Table 2A-1_EFT (Annual)" xfId="3514"/>
    <cellStyle name="Total 10 4" xfId="1187"/>
    <cellStyle name="Total 10 4 2" xfId="2457"/>
    <cellStyle name="Total 10 4 2 2" xfId="6018"/>
    <cellStyle name="Total 10 4 2 2 2" xfId="14212"/>
    <cellStyle name="Total 10 4 2 2 2 2" xfId="26184"/>
    <cellStyle name="Total 10 4 2 2 3" xfId="21071"/>
    <cellStyle name="Total 10 4 2 2_Table 2A-1_EFT (Annual)" xfId="8476"/>
    <cellStyle name="Total 10 4 2 3" xfId="11554"/>
    <cellStyle name="Total 10 4 2 3 2" xfId="23638"/>
    <cellStyle name="Total 10 4 2 4" xfId="18525"/>
    <cellStyle name="Total 10 4 2_Table 2A-1_EFT (Annual)" xfId="8475"/>
    <cellStyle name="Total 10 4 3" xfId="4748"/>
    <cellStyle name="Total 10 4 3 2" xfId="13008"/>
    <cellStyle name="Total 10 4 3 2 2" xfId="25014"/>
    <cellStyle name="Total 10 4 3 3" xfId="19901"/>
    <cellStyle name="Total 10 4 3_Table 2A-1_EFT (Annual)" xfId="8477"/>
    <cellStyle name="Total 10 4 4" xfId="10352"/>
    <cellStyle name="Total 10 4 4 2" xfId="22468"/>
    <cellStyle name="Total 10 4 5" xfId="17355"/>
    <cellStyle name="Total 10 4_Table 2A-1_EFT (Annual)" xfId="8474"/>
    <cellStyle name="Total 10 5" xfId="750"/>
    <cellStyle name="Total 10 5 2" xfId="4311"/>
    <cellStyle name="Total 10 5 2 2" xfId="12591"/>
    <cellStyle name="Total 10 5 2 2 2" xfId="24608"/>
    <cellStyle name="Total 10 5 2 3" xfId="19495"/>
    <cellStyle name="Total 10 5 2_Table 2A-1_EFT (Annual)" xfId="8479"/>
    <cellStyle name="Total 10 5 3" xfId="9939"/>
    <cellStyle name="Total 10 5 3 2" xfId="22062"/>
    <cellStyle name="Total 10 5 4" xfId="16949"/>
    <cellStyle name="Total 10 5_Table 2A-1_EFT (Annual)" xfId="8478"/>
    <cellStyle name="Total 10 6" xfId="1856"/>
    <cellStyle name="Total 10 6 2" xfId="5417"/>
    <cellStyle name="Total 10 6 2 2" xfId="13632"/>
    <cellStyle name="Total 10 6 2 2 2" xfId="25620"/>
    <cellStyle name="Total 10 6 2 3" xfId="20507"/>
    <cellStyle name="Total 10 6 2_Table 2A-1_EFT (Annual)" xfId="8481"/>
    <cellStyle name="Total 10 6 3" xfId="10976"/>
    <cellStyle name="Total 10 6 3 2" xfId="23074"/>
    <cellStyle name="Total 10 6 4" xfId="17961"/>
    <cellStyle name="Total 10 6_Table 2A-1_EFT (Annual)" xfId="8480"/>
    <cellStyle name="Total 10 7" xfId="3728"/>
    <cellStyle name="Total 10 7 2" xfId="12096"/>
    <cellStyle name="Total 10 7 2 2" xfId="24126"/>
    <cellStyle name="Total 10 7 3" xfId="19013"/>
    <cellStyle name="Total 10 7_Table 2A-1_EFT (Annual)" xfId="8482"/>
    <cellStyle name="Total 10 8" xfId="9415"/>
    <cellStyle name="Total 10 8 2" xfId="21580"/>
    <cellStyle name="Total 10 9" xfId="16467"/>
    <cellStyle name="Total 10_Table 2A-1_EFT (Annual)" xfId="3512"/>
    <cellStyle name="Total 11" xfId="130"/>
    <cellStyle name="Total 11 2" xfId="523"/>
    <cellStyle name="Total 11 2 2" xfId="1500"/>
    <cellStyle name="Total 11 2 2 2" xfId="2770"/>
    <cellStyle name="Total 11 2 2 2 2" xfId="6331"/>
    <cellStyle name="Total 11 2 2 2 2 2" xfId="14525"/>
    <cellStyle name="Total 11 2 2 2 2 2 2" xfId="26497"/>
    <cellStyle name="Total 11 2 2 2 2 3" xfId="21384"/>
    <cellStyle name="Total 11 2 2 2 2_Table 2A-1_EFT (Annual)" xfId="8485"/>
    <cellStyle name="Total 11 2 2 2 3" xfId="11867"/>
    <cellStyle name="Total 11 2 2 2 3 2" xfId="23951"/>
    <cellStyle name="Total 11 2 2 2 4" xfId="18838"/>
    <cellStyle name="Total 11 2 2 2_Table 2A-1_EFT (Annual)" xfId="8484"/>
    <cellStyle name="Total 11 2 2 3" xfId="5061"/>
    <cellStyle name="Total 11 2 2 3 2" xfId="13321"/>
    <cellStyle name="Total 11 2 2 3 2 2" xfId="25327"/>
    <cellStyle name="Total 11 2 2 3 3" xfId="20214"/>
    <cellStyle name="Total 11 2 2 3_Table 2A-1_EFT (Annual)" xfId="8486"/>
    <cellStyle name="Total 11 2 2 4" xfId="10665"/>
    <cellStyle name="Total 11 2 2 4 2" xfId="22781"/>
    <cellStyle name="Total 11 2 2 5" xfId="17668"/>
    <cellStyle name="Total 11 2 2_Table 2A-1_EFT (Annual)" xfId="8483"/>
    <cellStyle name="Total 11 2 3" xfId="1033"/>
    <cellStyle name="Total 11 2 3 2" xfId="4594"/>
    <cellStyle name="Total 11 2 3 2 2" xfId="12854"/>
    <cellStyle name="Total 11 2 3 2 2 2" xfId="24860"/>
    <cellStyle name="Total 11 2 3 2 3" xfId="19747"/>
    <cellStyle name="Total 11 2 3 2_Table 2A-1_EFT (Annual)" xfId="8488"/>
    <cellStyle name="Total 11 2 3 3" xfId="10198"/>
    <cellStyle name="Total 11 2 3 3 2" xfId="22314"/>
    <cellStyle name="Total 11 2 3 4" xfId="17201"/>
    <cellStyle name="Total 11 2 3_Table 2A-1_EFT (Annual)" xfId="8487"/>
    <cellStyle name="Total 11 2 4" xfId="2239"/>
    <cellStyle name="Total 11 2 4 2" xfId="5800"/>
    <cellStyle name="Total 11 2 4 2 2" xfId="14015"/>
    <cellStyle name="Total 11 2 4 2 2 2" xfId="26003"/>
    <cellStyle name="Total 11 2 4 2 3" xfId="20890"/>
    <cellStyle name="Total 11 2 4 2_Table 2A-1_EFT (Annual)" xfId="8490"/>
    <cellStyle name="Total 11 2 4 3" xfId="11359"/>
    <cellStyle name="Total 11 2 4 3 2" xfId="23457"/>
    <cellStyle name="Total 11 2 4 4" xfId="18344"/>
    <cellStyle name="Total 11 2 4_Table 2A-1_EFT (Annual)" xfId="8489"/>
    <cellStyle name="Total 11 2 5" xfId="4093"/>
    <cellStyle name="Total 11 2 5 2" xfId="12417"/>
    <cellStyle name="Total 11 2 5 2 2" xfId="24439"/>
    <cellStyle name="Total 11 2 5 3" xfId="19326"/>
    <cellStyle name="Total 11 2 5_Table 2A-1_EFT (Annual)" xfId="8491"/>
    <cellStyle name="Total 11 2 6" xfId="9756"/>
    <cellStyle name="Total 11 2 6 2" xfId="21893"/>
    <cellStyle name="Total 11 2 7" xfId="16780"/>
    <cellStyle name="Total 11 2_Table 2A-1_EFT (Annual)" xfId="3516"/>
    <cellStyle name="Total 11 3" xfId="361"/>
    <cellStyle name="Total 11 3 2" xfId="1344"/>
    <cellStyle name="Total 11 3 2 2" xfId="2614"/>
    <cellStyle name="Total 11 3 2 2 2" xfId="6175"/>
    <cellStyle name="Total 11 3 2 2 2 2" xfId="14369"/>
    <cellStyle name="Total 11 3 2 2 2 2 2" xfId="26341"/>
    <cellStyle name="Total 11 3 2 2 2 3" xfId="21228"/>
    <cellStyle name="Total 11 3 2 2 2_Table 2A-1_EFT (Annual)" xfId="8494"/>
    <cellStyle name="Total 11 3 2 2 3" xfId="11711"/>
    <cellStyle name="Total 11 3 2 2 3 2" xfId="23795"/>
    <cellStyle name="Total 11 3 2 2 4" xfId="18682"/>
    <cellStyle name="Total 11 3 2 2_Table 2A-1_EFT (Annual)" xfId="8493"/>
    <cellStyle name="Total 11 3 2 3" xfId="4905"/>
    <cellStyle name="Total 11 3 2 3 2" xfId="13165"/>
    <cellStyle name="Total 11 3 2 3 2 2" xfId="25171"/>
    <cellStyle name="Total 11 3 2 3 3" xfId="20058"/>
    <cellStyle name="Total 11 3 2 3_Table 2A-1_EFT (Annual)" xfId="8495"/>
    <cellStyle name="Total 11 3 2 4" xfId="10509"/>
    <cellStyle name="Total 11 3 2 4 2" xfId="22625"/>
    <cellStyle name="Total 11 3 2 5" xfId="17512"/>
    <cellStyle name="Total 11 3 2_Table 2A-1_EFT (Annual)" xfId="8492"/>
    <cellStyle name="Total 11 3 3" xfId="901"/>
    <cellStyle name="Total 11 3 3 2" xfId="4462"/>
    <cellStyle name="Total 11 3 3 2 2" xfId="12724"/>
    <cellStyle name="Total 11 3 3 2 2 2" xfId="24734"/>
    <cellStyle name="Total 11 3 3 2 3" xfId="19621"/>
    <cellStyle name="Total 11 3 3 2_Table 2A-1_EFT (Annual)" xfId="8497"/>
    <cellStyle name="Total 11 3 3 3" xfId="10071"/>
    <cellStyle name="Total 11 3 3 3 2" xfId="22188"/>
    <cellStyle name="Total 11 3 3 4" xfId="17075"/>
    <cellStyle name="Total 11 3 3_Table 2A-1_EFT (Annual)" xfId="8496"/>
    <cellStyle name="Total 11 3 4" xfId="2083"/>
    <cellStyle name="Total 11 3 4 2" xfId="5644"/>
    <cellStyle name="Total 11 3 4 2 2" xfId="13859"/>
    <cellStyle name="Total 11 3 4 2 2 2" xfId="25847"/>
    <cellStyle name="Total 11 3 4 2 3" xfId="20734"/>
    <cellStyle name="Total 11 3 4 2_Table 2A-1_EFT (Annual)" xfId="8499"/>
    <cellStyle name="Total 11 3 4 3" xfId="11203"/>
    <cellStyle name="Total 11 3 4 3 2" xfId="23301"/>
    <cellStyle name="Total 11 3 4 4" xfId="18188"/>
    <cellStyle name="Total 11 3 4_Table 2A-1_EFT (Annual)" xfId="8498"/>
    <cellStyle name="Total 11 3 5" xfId="3931"/>
    <cellStyle name="Total 11 3 5 2" xfId="12259"/>
    <cellStyle name="Total 11 3 5 2 2" xfId="24283"/>
    <cellStyle name="Total 11 3 5 3" xfId="19170"/>
    <cellStyle name="Total 11 3 5_Table 2A-1_EFT (Annual)" xfId="8500"/>
    <cellStyle name="Total 11 3 6" xfId="9596"/>
    <cellStyle name="Total 11 3 6 2" xfId="21737"/>
    <cellStyle name="Total 11 3 7" xfId="16624"/>
    <cellStyle name="Total 11 3_Table 2A-1_EFT (Annual)" xfId="3517"/>
    <cellStyle name="Total 11 4" xfId="1178"/>
    <cellStyle name="Total 11 4 2" xfId="2448"/>
    <cellStyle name="Total 11 4 2 2" xfId="6009"/>
    <cellStyle name="Total 11 4 2 2 2" xfId="14203"/>
    <cellStyle name="Total 11 4 2 2 2 2" xfId="26175"/>
    <cellStyle name="Total 11 4 2 2 3" xfId="21062"/>
    <cellStyle name="Total 11 4 2 2_Table 2A-1_EFT (Annual)" xfId="8503"/>
    <cellStyle name="Total 11 4 2 3" xfId="11545"/>
    <cellStyle name="Total 11 4 2 3 2" xfId="23629"/>
    <cellStyle name="Total 11 4 2 4" xfId="18516"/>
    <cellStyle name="Total 11 4 2_Table 2A-1_EFT (Annual)" xfId="8502"/>
    <cellStyle name="Total 11 4 3" xfId="4739"/>
    <cellStyle name="Total 11 4 3 2" xfId="12999"/>
    <cellStyle name="Total 11 4 3 2 2" xfId="25005"/>
    <cellStyle name="Total 11 4 3 3" xfId="19892"/>
    <cellStyle name="Total 11 4 3_Table 2A-1_EFT (Annual)" xfId="8504"/>
    <cellStyle name="Total 11 4 4" xfId="10343"/>
    <cellStyle name="Total 11 4 4 2" xfId="22459"/>
    <cellStyle name="Total 11 4 5" xfId="17346"/>
    <cellStyle name="Total 11 4_Table 2A-1_EFT (Annual)" xfId="8501"/>
    <cellStyle name="Total 11 5" xfId="742"/>
    <cellStyle name="Total 11 5 2" xfId="4303"/>
    <cellStyle name="Total 11 5 2 2" xfId="12583"/>
    <cellStyle name="Total 11 5 2 2 2" xfId="24600"/>
    <cellStyle name="Total 11 5 2 3" xfId="19487"/>
    <cellStyle name="Total 11 5 2_Table 2A-1_EFT (Annual)" xfId="8506"/>
    <cellStyle name="Total 11 5 3" xfId="9931"/>
    <cellStyle name="Total 11 5 3 2" xfId="22054"/>
    <cellStyle name="Total 11 5 4" xfId="16941"/>
    <cellStyle name="Total 11 5_Table 2A-1_EFT (Annual)" xfId="8505"/>
    <cellStyle name="Total 11 6" xfId="1793"/>
    <cellStyle name="Total 11 6 2" xfId="5354"/>
    <cellStyle name="Total 11 6 2 2" xfId="13569"/>
    <cellStyle name="Total 11 6 2 2 2" xfId="25557"/>
    <cellStyle name="Total 11 6 2 3" xfId="20444"/>
    <cellStyle name="Total 11 6 2_Table 2A-1_EFT (Annual)" xfId="8508"/>
    <cellStyle name="Total 11 6 3" xfId="10913"/>
    <cellStyle name="Total 11 6 3 2" xfId="23011"/>
    <cellStyle name="Total 11 6 4" xfId="17898"/>
    <cellStyle name="Total 11 6_Table 2A-1_EFT (Annual)" xfId="8507"/>
    <cellStyle name="Total 11 7" xfId="3719"/>
    <cellStyle name="Total 11 7 2" xfId="12087"/>
    <cellStyle name="Total 11 7 2 2" xfId="24117"/>
    <cellStyle name="Total 11 7 3" xfId="19004"/>
    <cellStyle name="Total 11 7_Table 2A-1_EFT (Annual)" xfId="8509"/>
    <cellStyle name="Total 11 8" xfId="9406"/>
    <cellStyle name="Total 11 8 2" xfId="21571"/>
    <cellStyle name="Total 11 9" xfId="16458"/>
    <cellStyle name="Total 11_Table 2A-1_EFT (Annual)" xfId="3515"/>
    <cellStyle name="Total 12" xfId="145"/>
    <cellStyle name="Total 12 2" xfId="538"/>
    <cellStyle name="Total 12 2 2" xfId="1515"/>
    <cellStyle name="Total 12 2 2 2" xfId="2785"/>
    <cellStyle name="Total 12 2 2 2 2" xfId="6346"/>
    <cellStyle name="Total 12 2 2 2 2 2" xfId="14540"/>
    <cellStyle name="Total 12 2 2 2 2 2 2" xfId="26512"/>
    <cellStyle name="Total 12 2 2 2 2 3" xfId="21399"/>
    <cellStyle name="Total 12 2 2 2 2_Table 2A-1_EFT (Annual)" xfId="8512"/>
    <cellStyle name="Total 12 2 2 2 3" xfId="11882"/>
    <cellStyle name="Total 12 2 2 2 3 2" xfId="23966"/>
    <cellStyle name="Total 12 2 2 2 4" xfId="18853"/>
    <cellStyle name="Total 12 2 2 2_Table 2A-1_EFT (Annual)" xfId="8511"/>
    <cellStyle name="Total 12 2 2 3" xfId="5076"/>
    <cellStyle name="Total 12 2 2 3 2" xfId="13336"/>
    <cellStyle name="Total 12 2 2 3 2 2" xfId="25342"/>
    <cellStyle name="Total 12 2 2 3 3" xfId="20229"/>
    <cellStyle name="Total 12 2 2 3_Table 2A-1_EFT (Annual)" xfId="8513"/>
    <cellStyle name="Total 12 2 2 4" xfId="10680"/>
    <cellStyle name="Total 12 2 2 4 2" xfId="22796"/>
    <cellStyle name="Total 12 2 2 5" xfId="17683"/>
    <cellStyle name="Total 12 2 2_Table 2A-1_EFT (Annual)" xfId="8510"/>
    <cellStyle name="Total 12 2 3" xfId="1047"/>
    <cellStyle name="Total 12 2 3 2" xfId="4608"/>
    <cellStyle name="Total 12 2 3 2 2" xfId="12868"/>
    <cellStyle name="Total 12 2 3 2 2 2" xfId="24874"/>
    <cellStyle name="Total 12 2 3 2 3" xfId="19761"/>
    <cellStyle name="Total 12 2 3 2_Table 2A-1_EFT (Annual)" xfId="8515"/>
    <cellStyle name="Total 12 2 3 3" xfId="10212"/>
    <cellStyle name="Total 12 2 3 3 2" xfId="22328"/>
    <cellStyle name="Total 12 2 3 4" xfId="17215"/>
    <cellStyle name="Total 12 2 3_Table 2A-1_EFT (Annual)" xfId="8514"/>
    <cellStyle name="Total 12 2 4" xfId="2254"/>
    <cellStyle name="Total 12 2 4 2" xfId="5815"/>
    <cellStyle name="Total 12 2 4 2 2" xfId="14030"/>
    <cellStyle name="Total 12 2 4 2 2 2" xfId="26018"/>
    <cellStyle name="Total 12 2 4 2 3" xfId="20905"/>
    <cellStyle name="Total 12 2 4 2_Table 2A-1_EFT (Annual)" xfId="8517"/>
    <cellStyle name="Total 12 2 4 3" xfId="11374"/>
    <cellStyle name="Total 12 2 4 3 2" xfId="23472"/>
    <cellStyle name="Total 12 2 4 4" xfId="18359"/>
    <cellStyle name="Total 12 2 4_Table 2A-1_EFT (Annual)" xfId="8516"/>
    <cellStyle name="Total 12 2 5" xfId="4108"/>
    <cellStyle name="Total 12 2 5 2" xfId="12432"/>
    <cellStyle name="Total 12 2 5 2 2" xfId="24454"/>
    <cellStyle name="Total 12 2 5 3" xfId="19341"/>
    <cellStyle name="Total 12 2 5_Table 2A-1_EFT (Annual)" xfId="8518"/>
    <cellStyle name="Total 12 2 6" xfId="9771"/>
    <cellStyle name="Total 12 2 6 2" xfId="21908"/>
    <cellStyle name="Total 12 2 7" xfId="16795"/>
    <cellStyle name="Total 12 2_Table 2A-1_EFT (Annual)" xfId="3519"/>
    <cellStyle name="Total 12 3" xfId="376"/>
    <cellStyle name="Total 12 3 2" xfId="1359"/>
    <cellStyle name="Total 12 3 2 2" xfId="2629"/>
    <cellStyle name="Total 12 3 2 2 2" xfId="6190"/>
    <cellStyle name="Total 12 3 2 2 2 2" xfId="14384"/>
    <cellStyle name="Total 12 3 2 2 2 2 2" xfId="26356"/>
    <cellStyle name="Total 12 3 2 2 2 3" xfId="21243"/>
    <cellStyle name="Total 12 3 2 2 2_Table 2A-1_EFT (Annual)" xfId="8521"/>
    <cellStyle name="Total 12 3 2 2 3" xfId="11726"/>
    <cellStyle name="Total 12 3 2 2 3 2" xfId="23810"/>
    <cellStyle name="Total 12 3 2 2 4" xfId="18697"/>
    <cellStyle name="Total 12 3 2 2_Table 2A-1_EFT (Annual)" xfId="8520"/>
    <cellStyle name="Total 12 3 2 3" xfId="4920"/>
    <cellStyle name="Total 12 3 2 3 2" xfId="13180"/>
    <cellStyle name="Total 12 3 2 3 2 2" xfId="25186"/>
    <cellStyle name="Total 12 3 2 3 3" xfId="20073"/>
    <cellStyle name="Total 12 3 2 3_Table 2A-1_EFT (Annual)" xfId="8522"/>
    <cellStyle name="Total 12 3 2 4" xfId="10524"/>
    <cellStyle name="Total 12 3 2 4 2" xfId="22640"/>
    <cellStyle name="Total 12 3 2 5" xfId="17527"/>
    <cellStyle name="Total 12 3 2_Table 2A-1_EFT (Annual)" xfId="8519"/>
    <cellStyle name="Total 12 3 3" xfId="915"/>
    <cellStyle name="Total 12 3 3 2" xfId="4476"/>
    <cellStyle name="Total 12 3 3 2 2" xfId="12738"/>
    <cellStyle name="Total 12 3 3 2 2 2" xfId="24748"/>
    <cellStyle name="Total 12 3 3 2 3" xfId="19635"/>
    <cellStyle name="Total 12 3 3 2_Table 2A-1_EFT (Annual)" xfId="8524"/>
    <cellStyle name="Total 12 3 3 3" xfId="10085"/>
    <cellStyle name="Total 12 3 3 3 2" xfId="22202"/>
    <cellStyle name="Total 12 3 3 4" xfId="17089"/>
    <cellStyle name="Total 12 3 3_Table 2A-1_EFT (Annual)" xfId="8523"/>
    <cellStyle name="Total 12 3 4" xfId="2098"/>
    <cellStyle name="Total 12 3 4 2" xfId="5659"/>
    <cellStyle name="Total 12 3 4 2 2" xfId="13874"/>
    <cellStyle name="Total 12 3 4 2 2 2" xfId="25862"/>
    <cellStyle name="Total 12 3 4 2 3" xfId="20749"/>
    <cellStyle name="Total 12 3 4 2_Table 2A-1_EFT (Annual)" xfId="8526"/>
    <cellStyle name="Total 12 3 4 3" xfId="11218"/>
    <cellStyle name="Total 12 3 4 3 2" xfId="23316"/>
    <cellStyle name="Total 12 3 4 4" xfId="18203"/>
    <cellStyle name="Total 12 3 4_Table 2A-1_EFT (Annual)" xfId="8525"/>
    <cellStyle name="Total 12 3 5" xfId="3946"/>
    <cellStyle name="Total 12 3 5 2" xfId="12274"/>
    <cellStyle name="Total 12 3 5 2 2" xfId="24298"/>
    <cellStyle name="Total 12 3 5 3" xfId="19185"/>
    <cellStyle name="Total 12 3 5_Table 2A-1_EFT (Annual)" xfId="8527"/>
    <cellStyle name="Total 12 3 6" xfId="9611"/>
    <cellStyle name="Total 12 3 6 2" xfId="21752"/>
    <cellStyle name="Total 12 3 7" xfId="16639"/>
    <cellStyle name="Total 12 3_Table 2A-1_EFT (Annual)" xfId="3520"/>
    <cellStyle name="Total 12 4" xfId="1193"/>
    <cellStyle name="Total 12 4 2" xfId="2463"/>
    <cellStyle name="Total 12 4 2 2" xfId="6024"/>
    <cellStyle name="Total 12 4 2 2 2" xfId="14218"/>
    <cellStyle name="Total 12 4 2 2 2 2" xfId="26190"/>
    <cellStyle name="Total 12 4 2 2 3" xfId="21077"/>
    <cellStyle name="Total 12 4 2 2_Table 2A-1_EFT (Annual)" xfId="8530"/>
    <cellStyle name="Total 12 4 2 3" xfId="11560"/>
    <cellStyle name="Total 12 4 2 3 2" xfId="23644"/>
    <cellStyle name="Total 12 4 2 4" xfId="18531"/>
    <cellStyle name="Total 12 4 2_Table 2A-1_EFT (Annual)" xfId="8529"/>
    <cellStyle name="Total 12 4 3" xfId="4754"/>
    <cellStyle name="Total 12 4 3 2" xfId="13014"/>
    <cellStyle name="Total 12 4 3 2 2" xfId="25020"/>
    <cellStyle name="Total 12 4 3 3" xfId="19907"/>
    <cellStyle name="Total 12 4 3_Table 2A-1_EFT (Annual)" xfId="8531"/>
    <cellStyle name="Total 12 4 4" xfId="10358"/>
    <cellStyle name="Total 12 4 4 2" xfId="22474"/>
    <cellStyle name="Total 12 4 5" xfId="17361"/>
    <cellStyle name="Total 12 4_Table 2A-1_EFT (Annual)" xfId="8528"/>
    <cellStyle name="Total 12 5" xfId="756"/>
    <cellStyle name="Total 12 5 2" xfId="4317"/>
    <cellStyle name="Total 12 5 2 2" xfId="12597"/>
    <cellStyle name="Total 12 5 2 2 2" xfId="24614"/>
    <cellStyle name="Total 12 5 2 3" xfId="19501"/>
    <cellStyle name="Total 12 5 2_Table 2A-1_EFT (Annual)" xfId="8533"/>
    <cellStyle name="Total 12 5 3" xfId="9945"/>
    <cellStyle name="Total 12 5 3 2" xfId="22068"/>
    <cellStyle name="Total 12 5 4" xfId="16955"/>
    <cellStyle name="Total 12 5_Table 2A-1_EFT (Annual)" xfId="8532"/>
    <cellStyle name="Total 12 6" xfId="1853"/>
    <cellStyle name="Total 12 6 2" xfId="5414"/>
    <cellStyle name="Total 12 6 2 2" xfId="13629"/>
    <cellStyle name="Total 12 6 2 2 2" xfId="25617"/>
    <cellStyle name="Total 12 6 2 3" xfId="20504"/>
    <cellStyle name="Total 12 6 2_Table 2A-1_EFT (Annual)" xfId="8535"/>
    <cellStyle name="Total 12 6 3" xfId="10973"/>
    <cellStyle name="Total 12 6 3 2" xfId="23071"/>
    <cellStyle name="Total 12 6 4" xfId="17958"/>
    <cellStyle name="Total 12 6_Table 2A-1_EFT (Annual)" xfId="8534"/>
    <cellStyle name="Total 12 7" xfId="3734"/>
    <cellStyle name="Total 12 7 2" xfId="12102"/>
    <cellStyle name="Total 12 7 2 2" xfId="24132"/>
    <cellStyle name="Total 12 7 3" xfId="19019"/>
    <cellStyle name="Total 12 7_Table 2A-1_EFT (Annual)" xfId="8536"/>
    <cellStyle name="Total 12 8" xfId="9421"/>
    <cellStyle name="Total 12 8 2" xfId="21586"/>
    <cellStyle name="Total 12 9" xfId="16473"/>
    <cellStyle name="Total 12_Table 2A-1_EFT (Annual)" xfId="3518"/>
    <cellStyle name="Total 13" xfId="153"/>
    <cellStyle name="Total 13 2" xfId="546"/>
    <cellStyle name="Total 13 2 2" xfId="1523"/>
    <cellStyle name="Total 13 2 2 2" xfId="2793"/>
    <cellStyle name="Total 13 2 2 2 2" xfId="6354"/>
    <cellStyle name="Total 13 2 2 2 2 2" xfId="14548"/>
    <cellStyle name="Total 13 2 2 2 2 2 2" xfId="26520"/>
    <cellStyle name="Total 13 2 2 2 2 3" xfId="21407"/>
    <cellStyle name="Total 13 2 2 2 2_Table 2A-1_EFT (Annual)" xfId="8539"/>
    <cellStyle name="Total 13 2 2 2 3" xfId="11890"/>
    <cellStyle name="Total 13 2 2 2 3 2" xfId="23974"/>
    <cellStyle name="Total 13 2 2 2 4" xfId="18861"/>
    <cellStyle name="Total 13 2 2 2_Table 2A-1_EFT (Annual)" xfId="8538"/>
    <cellStyle name="Total 13 2 2 3" xfId="5084"/>
    <cellStyle name="Total 13 2 2 3 2" xfId="13344"/>
    <cellStyle name="Total 13 2 2 3 2 2" xfId="25350"/>
    <cellStyle name="Total 13 2 2 3 3" xfId="20237"/>
    <cellStyle name="Total 13 2 2 3_Table 2A-1_EFT (Annual)" xfId="8540"/>
    <cellStyle name="Total 13 2 2 4" xfId="10688"/>
    <cellStyle name="Total 13 2 2 4 2" xfId="22804"/>
    <cellStyle name="Total 13 2 2 5" xfId="17691"/>
    <cellStyle name="Total 13 2 2_Table 2A-1_EFT (Annual)" xfId="8537"/>
    <cellStyle name="Total 13 2 3" xfId="1053"/>
    <cellStyle name="Total 13 2 3 2" xfId="4614"/>
    <cellStyle name="Total 13 2 3 2 2" xfId="12874"/>
    <cellStyle name="Total 13 2 3 2 2 2" xfId="24880"/>
    <cellStyle name="Total 13 2 3 2 3" xfId="19767"/>
    <cellStyle name="Total 13 2 3 2_Table 2A-1_EFT (Annual)" xfId="8542"/>
    <cellStyle name="Total 13 2 3 3" xfId="10218"/>
    <cellStyle name="Total 13 2 3 3 2" xfId="22334"/>
    <cellStyle name="Total 13 2 3 4" xfId="17221"/>
    <cellStyle name="Total 13 2 3_Table 2A-1_EFT (Annual)" xfId="8541"/>
    <cellStyle name="Total 13 2 4" xfId="2262"/>
    <cellStyle name="Total 13 2 4 2" xfId="5823"/>
    <cellStyle name="Total 13 2 4 2 2" xfId="14038"/>
    <cellStyle name="Total 13 2 4 2 2 2" xfId="26026"/>
    <cellStyle name="Total 13 2 4 2 3" xfId="20913"/>
    <cellStyle name="Total 13 2 4 2_Table 2A-1_EFT (Annual)" xfId="8544"/>
    <cellStyle name="Total 13 2 4 3" xfId="11382"/>
    <cellStyle name="Total 13 2 4 3 2" xfId="23480"/>
    <cellStyle name="Total 13 2 4 4" xfId="18367"/>
    <cellStyle name="Total 13 2 4_Table 2A-1_EFT (Annual)" xfId="8543"/>
    <cellStyle name="Total 13 2 5" xfId="4116"/>
    <cellStyle name="Total 13 2 5 2" xfId="12440"/>
    <cellStyle name="Total 13 2 5 2 2" xfId="24462"/>
    <cellStyle name="Total 13 2 5 3" xfId="19349"/>
    <cellStyle name="Total 13 2 5_Table 2A-1_EFT (Annual)" xfId="8545"/>
    <cellStyle name="Total 13 2 6" xfId="9779"/>
    <cellStyle name="Total 13 2 6 2" xfId="21916"/>
    <cellStyle name="Total 13 2 7" xfId="16803"/>
    <cellStyle name="Total 13 2_Table 2A-1_EFT (Annual)" xfId="3522"/>
    <cellStyle name="Total 13 3" xfId="384"/>
    <cellStyle name="Total 13 3 2" xfId="1367"/>
    <cellStyle name="Total 13 3 2 2" xfId="2637"/>
    <cellStyle name="Total 13 3 2 2 2" xfId="6198"/>
    <cellStyle name="Total 13 3 2 2 2 2" xfId="14392"/>
    <cellStyle name="Total 13 3 2 2 2 2 2" xfId="26364"/>
    <cellStyle name="Total 13 3 2 2 2 3" xfId="21251"/>
    <cellStyle name="Total 13 3 2 2 2_Table 2A-1_EFT (Annual)" xfId="8548"/>
    <cellStyle name="Total 13 3 2 2 3" xfId="11734"/>
    <cellStyle name="Total 13 3 2 2 3 2" xfId="23818"/>
    <cellStyle name="Total 13 3 2 2 4" xfId="18705"/>
    <cellStyle name="Total 13 3 2 2_Table 2A-1_EFT (Annual)" xfId="8547"/>
    <cellStyle name="Total 13 3 2 3" xfId="4928"/>
    <cellStyle name="Total 13 3 2 3 2" xfId="13188"/>
    <cellStyle name="Total 13 3 2 3 2 2" xfId="25194"/>
    <cellStyle name="Total 13 3 2 3 3" xfId="20081"/>
    <cellStyle name="Total 13 3 2 3_Table 2A-1_EFT (Annual)" xfId="8549"/>
    <cellStyle name="Total 13 3 2 4" xfId="10532"/>
    <cellStyle name="Total 13 3 2 4 2" xfId="22648"/>
    <cellStyle name="Total 13 3 2 5" xfId="17535"/>
    <cellStyle name="Total 13 3 2_Table 2A-1_EFT (Annual)" xfId="8546"/>
    <cellStyle name="Total 13 3 3" xfId="921"/>
    <cellStyle name="Total 13 3 3 2" xfId="4482"/>
    <cellStyle name="Total 13 3 3 2 2" xfId="12744"/>
    <cellStyle name="Total 13 3 3 2 2 2" xfId="24754"/>
    <cellStyle name="Total 13 3 3 2 3" xfId="19641"/>
    <cellStyle name="Total 13 3 3 2_Table 2A-1_EFT (Annual)" xfId="8551"/>
    <cellStyle name="Total 13 3 3 3" xfId="10091"/>
    <cellStyle name="Total 13 3 3 3 2" xfId="22208"/>
    <cellStyle name="Total 13 3 3 4" xfId="17095"/>
    <cellStyle name="Total 13 3 3_Table 2A-1_EFT (Annual)" xfId="8550"/>
    <cellStyle name="Total 13 3 4" xfId="2106"/>
    <cellStyle name="Total 13 3 4 2" xfId="5667"/>
    <cellStyle name="Total 13 3 4 2 2" xfId="13882"/>
    <cellStyle name="Total 13 3 4 2 2 2" xfId="25870"/>
    <cellStyle name="Total 13 3 4 2 3" xfId="20757"/>
    <cellStyle name="Total 13 3 4 2_Table 2A-1_EFT (Annual)" xfId="8553"/>
    <cellStyle name="Total 13 3 4 3" xfId="11226"/>
    <cellStyle name="Total 13 3 4 3 2" xfId="23324"/>
    <cellStyle name="Total 13 3 4 4" xfId="18211"/>
    <cellStyle name="Total 13 3 4_Table 2A-1_EFT (Annual)" xfId="8552"/>
    <cellStyle name="Total 13 3 5" xfId="3954"/>
    <cellStyle name="Total 13 3 5 2" xfId="12282"/>
    <cellStyle name="Total 13 3 5 2 2" xfId="24306"/>
    <cellStyle name="Total 13 3 5 3" xfId="19193"/>
    <cellStyle name="Total 13 3 5_Table 2A-1_EFT (Annual)" xfId="8554"/>
    <cellStyle name="Total 13 3 6" xfId="9619"/>
    <cellStyle name="Total 13 3 6 2" xfId="21760"/>
    <cellStyle name="Total 13 3 7" xfId="16647"/>
    <cellStyle name="Total 13 3_Table 2A-1_EFT (Annual)" xfId="3523"/>
    <cellStyle name="Total 13 4" xfId="1201"/>
    <cellStyle name="Total 13 4 2" xfId="2471"/>
    <cellStyle name="Total 13 4 2 2" xfId="6032"/>
    <cellStyle name="Total 13 4 2 2 2" xfId="14226"/>
    <cellStyle name="Total 13 4 2 2 2 2" xfId="26198"/>
    <cellStyle name="Total 13 4 2 2 3" xfId="21085"/>
    <cellStyle name="Total 13 4 2 2_Table 2A-1_EFT (Annual)" xfId="8557"/>
    <cellStyle name="Total 13 4 2 3" xfId="11568"/>
    <cellStyle name="Total 13 4 2 3 2" xfId="23652"/>
    <cellStyle name="Total 13 4 2 4" xfId="18539"/>
    <cellStyle name="Total 13 4 2_Table 2A-1_EFT (Annual)" xfId="8556"/>
    <cellStyle name="Total 13 4 3" xfId="4762"/>
    <cellStyle name="Total 13 4 3 2" xfId="13022"/>
    <cellStyle name="Total 13 4 3 2 2" xfId="25028"/>
    <cellStyle name="Total 13 4 3 3" xfId="19915"/>
    <cellStyle name="Total 13 4 3_Table 2A-1_EFT (Annual)" xfId="8558"/>
    <cellStyle name="Total 13 4 4" xfId="10366"/>
    <cellStyle name="Total 13 4 4 2" xfId="22482"/>
    <cellStyle name="Total 13 4 5" xfId="17369"/>
    <cellStyle name="Total 13 4_Table 2A-1_EFT (Annual)" xfId="8555"/>
    <cellStyle name="Total 13 5" xfId="762"/>
    <cellStyle name="Total 13 5 2" xfId="4323"/>
    <cellStyle name="Total 13 5 2 2" xfId="12603"/>
    <cellStyle name="Total 13 5 2 2 2" xfId="24620"/>
    <cellStyle name="Total 13 5 2 3" xfId="19507"/>
    <cellStyle name="Total 13 5 2_Table 2A-1_EFT (Annual)" xfId="8560"/>
    <cellStyle name="Total 13 5 3" xfId="9951"/>
    <cellStyle name="Total 13 5 3 2" xfId="22074"/>
    <cellStyle name="Total 13 5 4" xfId="16961"/>
    <cellStyle name="Total 13 5_Table 2A-1_EFT (Annual)" xfId="8559"/>
    <cellStyle name="Total 13 6" xfId="1849"/>
    <cellStyle name="Total 13 6 2" xfId="5410"/>
    <cellStyle name="Total 13 6 2 2" xfId="13625"/>
    <cellStyle name="Total 13 6 2 2 2" xfId="25613"/>
    <cellStyle name="Total 13 6 2 3" xfId="20500"/>
    <cellStyle name="Total 13 6 2_Table 2A-1_EFT (Annual)" xfId="8562"/>
    <cellStyle name="Total 13 6 3" xfId="10969"/>
    <cellStyle name="Total 13 6 3 2" xfId="23067"/>
    <cellStyle name="Total 13 6 4" xfId="17954"/>
    <cellStyle name="Total 13 6_Table 2A-1_EFT (Annual)" xfId="8561"/>
    <cellStyle name="Total 13 7" xfId="3742"/>
    <cellStyle name="Total 13 7 2" xfId="12110"/>
    <cellStyle name="Total 13 7 2 2" xfId="24140"/>
    <cellStyle name="Total 13 7 3" xfId="19027"/>
    <cellStyle name="Total 13 7_Table 2A-1_EFT (Annual)" xfId="8563"/>
    <cellStyle name="Total 13 8" xfId="9429"/>
    <cellStyle name="Total 13 8 2" xfId="21594"/>
    <cellStyle name="Total 13 9" xfId="16481"/>
    <cellStyle name="Total 13_Table 2A-1_EFT (Annual)" xfId="3521"/>
    <cellStyle name="Total 14" xfId="129"/>
    <cellStyle name="Total 14 2" xfId="522"/>
    <cellStyle name="Total 14 2 2" xfId="1499"/>
    <cellStyle name="Total 14 2 2 2" xfId="2769"/>
    <cellStyle name="Total 14 2 2 2 2" xfId="6330"/>
    <cellStyle name="Total 14 2 2 2 2 2" xfId="14524"/>
    <cellStyle name="Total 14 2 2 2 2 2 2" xfId="26496"/>
    <cellStyle name="Total 14 2 2 2 2 3" xfId="21383"/>
    <cellStyle name="Total 14 2 2 2 2_Table 2A-1_EFT (Annual)" xfId="8566"/>
    <cellStyle name="Total 14 2 2 2 3" xfId="11866"/>
    <cellStyle name="Total 14 2 2 2 3 2" xfId="23950"/>
    <cellStyle name="Total 14 2 2 2 4" xfId="18837"/>
    <cellStyle name="Total 14 2 2 2_Table 2A-1_EFT (Annual)" xfId="8565"/>
    <cellStyle name="Total 14 2 2 3" xfId="5060"/>
    <cellStyle name="Total 14 2 2 3 2" xfId="13320"/>
    <cellStyle name="Total 14 2 2 3 2 2" xfId="25326"/>
    <cellStyle name="Total 14 2 2 3 3" xfId="20213"/>
    <cellStyle name="Total 14 2 2 3_Table 2A-1_EFT (Annual)" xfId="8567"/>
    <cellStyle name="Total 14 2 2 4" xfId="10664"/>
    <cellStyle name="Total 14 2 2 4 2" xfId="22780"/>
    <cellStyle name="Total 14 2 2 5" xfId="17667"/>
    <cellStyle name="Total 14 2 2_Table 2A-1_EFT (Annual)" xfId="8564"/>
    <cellStyle name="Total 14 2 3" xfId="1032"/>
    <cellStyle name="Total 14 2 3 2" xfId="4593"/>
    <cellStyle name="Total 14 2 3 2 2" xfId="12853"/>
    <cellStyle name="Total 14 2 3 2 2 2" xfId="24859"/>
    <cellStyle name="Total 14 2 3 2 3" xfId="19746"/>
    <cellStyle name="Total 14 2 3 2_Table 2A-1_EFT (Annual)" xfId="8569"/>
    <cellStyle name="Total 14 2 3 3" xfId="10197"/>
    <cellStyle name="Total 14 2 3 3 2" xfId="22313"/>
    <cellStyle name="Total 14 2 3 4" xfId="17200"/>
    <cellStyle name="Total 14 2 3_Table 2A-1_EFT (Annual)" xfId="8568"/>
    <cellStyle name="Total 14 2 4" xfId="2238"/>
    <cellStyle name="Total 14 2 4 2" xfId="5799"/>
    <cellStyle name="Total 14 2 4 2 2" xfId="14014"/>
    <cellStyle name="Total 14 2 4 2 2 2" xfId="26002"/>
    <cellStyle name="Total 14 2 4 2 3" xfId="20889"/>
    <cellStyle name="Total 14 2 4 2_Table 2A-1_EFT (Annual)" xfId="8571"/>
    <cellStyle name="Total 14 2 4 3" xfId="11358"/>
    <cellStyle name="Total 14 2 4 3 2" xfId="23456"/>
    <cellStyle name="Total 14 2 4 4" xfId="18343"/>
    <cellStyle name="Total 14 2 4_Table 2A-1_EFT (Annual)" xfId="8570"/>
    <cellStyle name="Total 14 2 5" xfId="4092"/>
    <cellStyle name="Total 14 2 5 2" xfId="12416"/>
    <cellStyle name="Total 14 2 5 2 2" xfId="24438"/>
    <cellStyle name="Total 14 2 5 3" xfId="19325"/>
    <cellStyle name="Total 14 2 5_Table 2A-1_EFT (Annual)" xfId="8572"/>
    <cellStyle name="Total 14 2 6" xfId="9755"/>
    <cellStyle name="Total 14 2 6 2" xfId="21892"/>
    <cellStyle name="Total 14 2 7" xfId="16779"/>
    <cellStyle name="Total 14 2_Table 2A-1_EFT (Annual)" xfId="3525"/>
    <cellStyle name="Total 14 3" xfId="360"/>
    <cellStyle name="Total 14 3 2" xfId="1343"/>
    <cellStyle name="Total 14 3 2 2" xfId="2613"/>
    <cellStyle name="Total 14 3 2 2 2" xfId="6174"/>
    <cellStyle name="Total 14 3 2 2 2 2" xfId="14368"/>
    <cellStyle name="Total 14 3 2 2 2 2 2" xfId="26340"/>
    <cellStyle name="Total 14 3 2 2 2 3" xfId="21227"/>
    <cellStyle name="Total 14 3 2 2 2_Table 2A-1_EFT (Annual)" xfId="8575"/>
    <cellStyle name="Total 14 3 2 2 3" xfId="11710"/>
    <cellStyle name="Total 14 3 2 2 3 2" xfId="23794"/>
    <cellStyle name="Total 14 3 2 2 4" xfId="18681"/>
    <cellStyle name="Total 14 3 2 2_Table 2A-1_EFT (Annual)" xfId="8574"/>
    <cellStyle name="Total 14 3 2 3" xfId="4904"/>
    <cellStyle name="Total 14 3 2 3 2" xfId="13164"/>
    <cellStyle name="Total 14 3 2 3 2 2" xfId="25170"/>
    <cellStyle name="Total 14 3 2 3 3" xfId="20057"/>
    <cellStyle name="Total 14 3 2 3_Table 2A-1_EFT (Annual)" xfId="8576"/>
    <cellStyle name="Total 14 3 2 4" xfId="10508"/>
    <cellStyle name="Total 14 3 2 4 2" xfId="22624"/>
    <cellStyle name="Total 14 3 2 5" xfId="17511"/>
    <cellStyle name="Total 14 3 2_Table 2A-1_EFT (Annual)" xfId="8573"/>
    <cellStyle name="Total 14 3 3" xfId="900"/>
    <cellStyle name="Total 14 3 3 2" xfId="4461"/>
    <cellStyle name="Total 14 3 3 2 2" xfId="12723"/>
    <cellStyle name="Total 14 3 3 2 2 2" xfId="24733"/>
    <cellStyle name="Total 14 3 3 2 3" xfId="19620"/>
    <cellStyle name="Total 14 3 3 2_Table 2A-1_EFT (Annual)" xfId="8578"/>
    <cellStyle name="Total 14 3 3 3" xfId="10070"/>
    <cellStyle name="Total 14 3 3 3 2" xfId="22187"/>
    <cellStyle name="Total 14 3 3 4" xfId="17074"/>
    <cellStyle name="Total 14 3 3_Table 2A-1_EFT (Annual)" xfId="8577"/>
    <cellStyle name="Total 14 3 4" xfId="2082"/>
    <cellStyle name="Total 14 3 4 2" xfId="5643"/>
    <cellStyle name="Total 14 3 4 2 2" xfId="13858"/>
    <cellStyle name="Total 14 3 4 2 2 2" xfId="25846"/>
    <cellStyle name="Total 14 3 4 2 3" xfId="20733"/>
    <cellStyle name="Total 14 3 4 2_Table 2A-1_EFT (Annual)" xfId="8580"/>
    <cellStyle name="Total 14 3 4 3" xfId="11202"/>
    <cellStyle name="Total 14 3 4 3 2" xfId="23300"/>
    <cellStyle name="Total 14 3 4 4" xfId="18187"/>
    <cellStyle name="Total 14 3 4_Table 2A-1_EFT (Annual)" xfId="8579"/>
    <cellStyle name="Total 14 3 5" xfId="3930"/>
    <cellStyle name="Total 14 3 5 2" xfId="12258"/>
    <cellStyle name="Total 14 3 5 2 2" xfId="24282"/>
    <cellStyle name="Total 14 3 5 3" xfId="19169"/>
    <cellStyle name="Total 14 3 5_Table 2A-1_EFT (Annual)" xfId="8581"/>
    <cellStyle name="Total 14 3 6" xfId="9595"/>
    <cellStyle name="Total 14 3 6 2" xfId="21736"/>
    <cellStyle name="Total 14 3 7" xfId="16623"/>
    <cellStyle name="Total 14 3_Table 2A-1_EFT (Annual)" xfId="3526"/>
    <cellStyle name="Total 14 4" xfId="1177"/>
    <cellStyle name="Total 14 4 2" xfId="2447"/>
    <cellStyle name="Total 14 4 2 2" xfId="6008"/>
    <cellStyle name="Total 14 4 2 2 2" xfId="14202"/>
    <cellStyle name="Total 14 4 2 2 2 2" xfId="26174"/>
    <cellStyle name="Total 14 4 2 2 3" xfId="21061"/>
    <cellStyle name="Total 14 4 2 2_Table 2A-1_EFT (Annual)" xfId="8584"/>
    <cellStyle name="Total 14 4 2 3" xfId="11544"/>
    <cellStyle name="Total 14 4 2 3 2" xfId="23628"/>
    <cellStyle name="Total 14 4 2 4" xfId="18515"/>
    <cellStyle name="Total 14 4 2_Table 2A-1_EFT (Annual)" xfId="8583"/>
    <cellStyle name="Total 14 4 3" xfId="4738"/>
    <cellStyle name="Total 14 4 3 2" xfId="12998"/>
    <cellStyle name="Total 14 4 3 2 2" xfId="25004"/>
    <cellStyle name="Total 14 4 3 3" xfId="19891"/>
    <cellStyle name="Total 14 4 3_Table 2A-1_EFT (Annual)" xfId="8585"/>
    <cellStyle name="Total 14 4 4" xfId="10342"/>
    <cellStyle name="Total 14 4 4 2" xfId="22458"/>
    <cellStyle name="Total 14 4 5" xfId="17345"/>
    <cellStyle name="Total 14 4_Table 2A-1_EFT (Annual)" xfId="8582"/>
    <cellStyle name="Total 14 5" xfId="741"/>
    <cellStyle name="Total 14 5 2" xfId="4302"/>
    <cellStyle name="Total 14 5 2 2" xfId="12582"/>
    <cellStyle name="Total 14 5 2 2 2" xfId="24599"/>
    <cellStyle name="Total 14 5 2 3" xfId="19486"/>
    <cellStyle name="Total 14 5 2_Table 2A-1_EFT (Annual)" xfId="8587"/>
    <cellStyle name="Total 14 5 3" xfId="9930"/>
    <cellStyle name="Total 14 5 3 2" xfId="22053"/>
    <cellStyle name="Total 14 5 4" xfId="16940"/>
    <cellStyle name="Total 14 5_Table 2A-1_EFT (Annual)" xfId="8586"/>
    <cellStyle name="Total 14 6" xfId="1861"/>
    <cellStyle name="Total 14 6 2" xfId="5422"/>
    <cellStyle name="Total 14 6 2 2" xfId="13637"/>
    <cellStyle name="Total 14 6 2 2 2" xfId="25625"/>
    <cellStyle name="Total 14 6 2 3" xfId="20512"/>
    <cellStyle name="Total 14 6 2_Table 2A-1_EFT (Annual)" xfId="8589"/>
    <cellStyle name="Total 14 6 3" xfId="10981"/>
    <cellStyle name="Total 14 6 3 2" xfId="23079"/>
    <cellStyle name="Total 14 6 4" xfId="17966"/>
    <cellStyle name="Total 14 6_Table 2A-1_EFT (Annual)" xfId="8588"/>
    <cellStyle name="Total 14 7" xfId="3718"/>
    <cellStyle name="Total 14 7 2" xfId="12086"/>
    <cellStyle name="Total 14 7 2 2" xfId="24116"/>
    <cellStyle name="Total 14 7 3" xfId="19003"/>
    <cellStyle name="Total 14 7_Table 2A-1_EFT (Annual)" xfId="8590"/>
    <cellStyle name="Total 14 8" xfId="9405"/>
    <cellStyle name="Total 14 8 2" xfId="21570"/>
    <cellStyle name="Total 14 9" xfId="16457"/>
    <cellStyle name="Total 14_Table 2A-1_EFT (Annual)" xfId="3524"/>
    <cellStyle name="Total 15" xfId="142"/>
    <cellStyle name="Total 15 2" xfId="535"/>
    <cellStyle name="Total 15 2 2" xfId="1512"/>
    <cellStyle name="Total 15 2 2 2" xfId="2782"/>
    <cellStyle name="Total 15 2 2 2 2" xfId="6343"/>
    <cellStyle name="Total 15 2 2 2 2 2" xfId="14537"/>
    <cellStyle name="Total 15 2 2 2 2 2 2" xfId="26509"/>
    <cellStyle name="Total 15 2 2 2 2 3" xfId="21396"/>
    <cellStyle name="Total 15 2 2 2 2_Table 2A-1_EFT (Annual)" xfId="8593"/>
    <cellStyle name="Total 15 2 2 2 3" xfId="11879"/>
    <cellStyle name="Total 15 2 2 2 3 2" xfId="23963"/>
    <cellStyle name="Total 15 2 2 2 4" xfId="18850"/>
    <cellStyle name="Total 15 2 2 2_Table 2A-1_EFT (Annual)" xfId="8592"/>
    <cellStyle name="Total 15 2 2 3" xfId="5073"/>
    <cellStyle name="Total 15 2 2 3 2" xfId="13333"/>
    <cellStyle name="Total 15 2 2 3 2 2" xfId="25339"/>
    <cellStyle name="Total 15 2 2 3 3" xfId="20226"/>
    <cellStyle name="Total 15 2 2 3_Table 2A-1_EFT (Annual)" xfId="8594"/>
    <cellStyle name="Total 15 2 2 4" xfId="10677"/>
    <cellStyle name="Total 15 2 2 4 2" xfId="22793"/>
    <cellStyle name="Total 15 2 2 5" xfId="17680"/>
    <cellStyle name="Total 15 2 2_Table 2A-1_EFT (Annual)" xfId="8591"/>
    <cellStyle name="Total 15 2 3" xfId="1044"/>
    <cellStyle name="Total 15 2 3 2" xfId="4605"/>
    <cellStyle name="Total 15 2 3 2 2" xfId="12865"/>
    <cellStyle name="Total 15 2 3 2 2 2" xfId="24871"/>
    <cellStyle name="Total 15 2 3 2 3" xfId="19758"/>
    <cellStyle name="Total 15 2 3 2_Table 2A-1_EFT (Annual)" xfId="8596"/>
    <cellStyle name="Total 15 2 3 3" xfId="10209"/>
    <cellStyle name="Total 15 2 3 3 2" xfId="22325"/>
    <cellStyle name="Total 15 2 3 4" xfId="17212"/>
    <cellStyle name="Total 15 2 3_Table 2A-1_EFT (Annual)" xfId="8595"/>
    <cellStyle name="Total 15 2 4" xfId="2251"/>
    <cellStyle name="Total 15 2 4 2" xfId="5812"/>
    <cellStyle name="Total 15 2 4 2 2" xfId="14027"/>
    <cellStyle name="Total 15 2 4 2 2 2" xfId="26015"/>
    <cellStyle name="Total 15 2 4 2 3" xfId="20902"/>
    <cellStyle name="Total 15 2 4 2_Table 2A-1_EFT (Annual)" xfId="8598"/>
    <cellStyle name="Total 15 2 4 3" xfId="11371"/>
    <cellStyle name="Total 15 2 4 3 2" xfId="23469"/>
    <cellStyle name="Total 15 2 4 4" xfId="18356"/>
    <cellStyle name="Total 15 2 4_Table 2A-1_EFT (Annual)" xfId="8597"/>
    <cellStyle name="Total 15 2 5" xfId="4105"/>
    <cellStyle name="Total 15 2 5 2" xfId="12429"/>
    <cellStyle name="Total 15 2 5 2 2" xfId="24451"/>
    <cellStyle name="Total 15 2 5 3" xfId="19338"/>
    <cellStyle name="Total 15 2 5_Table 2A-1_EFT (Annual)" xfId="8599"/>
    <cellStyle name="Total 15 2 6" xfId="9768"/>
    <cellStyle name="Total 15 2 6 2" xfId="21905"/>
    <cellStyle name="Total 15 2 7" xfId="16792"/>
    <cellStyle name="Total 15 2_Table 2A-1_EFT (Annual)" xfId="3528"/>
    <cellStyle name="Total 15 3" xfId="373"/>
    <cellStyle name="Total 15 3 2" xfId="1356"/>
    <cellStyle name="Total 15 3 2 2" xfId="2626"/>
    <cellStyle name="Total 15 3 2 2 2" xfId="6187"/>
    <cellStyle name="Total 15 3 2 2 2 2" xfId="14381"/>
    <cellStyle name="Total 15 3 2 2 2 2 2" xfId="26353"/>
    <cellStyle name="Total 15 3 2 2 2 3" xfId="21240"/>
    <cellStyle name="Total 15 3 2 2 2_Table 2A-1_EFT (Annual)" xfId="8602"/>
    <cellStyle name="Total 15 3 2 2 3" xfId="11723"/>
    <cellStyle name="Total 15 3 2 2 3 2" xfId="23807"/>
    <cellStyle name="Total 15 3 2 2 4" xfId="18694"/>
    <cellStyle name="Total 15 3 2 2_Table 2A-1_EFT (Annual)" xfId="8601"/>
    <cellStyle name="Total 15 3 2 3" xfId="4917"/>
    <cellStyle name="Total 15 3 2 3 2" xfId="13177"/>
    <cellStyle name="Total 15 3 2 3 2 2" xfId="25183"/>
    <cellStyle name="Total 15 3 2 3 3" xfId="20070"/>
    <cellStyle name="Total 15 3 2 3_Table 2A-1_EFT (Annual)" xfId="8603"/>
    <cellStyle name="Total 15 3 2 4" xfId="10521"/>
    <cellStyle name="Total 15 3 2 4 2" xfId="22637"/>
    <cellStyle name="Total 15 3 2 5" xfId="17524"/>
    <cellStyle name="Total 15 3 2_Table 2A-1_EFT (Annual)" xfId="8600"/>
    <cellStyle name="Total 15 3 3" xfId="912"/>
    <cellStyle name="Total 15 3 3 2" xfId="4473"/>
    <cellStyle name="Total 15 3 3 2 2" xfId="12735"/>
    <cellStyle name="Total 15 3 3 2 2 2" xfId="24745"/>
    <cellStyle name="Total 15 3 3 2 3" xfId="19632"/>
    <cellStyle name="Total 15 3 3 2_Table 2A-1_EFT (Annual)" xfId="8605"/>
    <cellStyle name="Total 15 3 3 3" xfId="10082"/>
    <cellStyle name="Total 15 3 3 3 2" xfId="22199"/>
    <cellStyle name="Total 15 3 3 4" xfId="17086"/>
    <cellStyle name="Total 15 3 3_Table 2A-1_EFT (Annual)" xfId="8604"/>
    <cellStyle name="Total 15 3 4" xfId="2095"/>
    <cellStyle name="Total 15 3 4 2" xfId="5656"/>
    <cellStyle name="Total 15 3 4 2 2" xfId="13871"/>
    <cellStyle name="Total 15 3 4 2 2 2" xfId="25859"/>
    <cellStyle name="Total 15 3 4 2 3" xfId="20746"/>
    <cellStyle name="Total 15 3 4 2_Table 2A-1_EFT (Annual)" xfId="8607"/>
    <cellStyle name="Total 15 3 4 3" xfId="11215"/>
    <cellStyle name="Total 15 3 4 3 2" xfId="23313"/>
    <cellStyle name="Total 15 3 4 4" xfId="18200"/>
    <cellStyle name="Total 15 3 4_Table 2A-1_EFT (Annual)" xfId="8606"/>
    <cellStyle name="Total 15 3 5" xfId="3943"/>
    <cellStyle name="Total 15 3 5 2" xfId="12271"/>
    <cellStyle name="Total 15 3 5 2 2" xfId="24295"/>
    <cellStyle name="Total 15 3 5 3" xfId="19182"/>
    <cellStyle name="Total 15 3 5_Table 2A-1_EFT (Annual)" xfId="8608"/>
    <cellStyle name="Total 15 3 6" xfId="9608"/>
    <cellStyle name="Total 15 3 6 2" xfId="21749"/>
    <cellStyle name="Total 15 3 7" xfId="16636"/>
    <cellStyle name="Total 15 3_Table 2A-1_EFT (Annual)" xfId="3529"/>
    <cellStyle name="Total 15 4" xfId="1190"/>
    <cellStyle name="Total 15 4 2" xfId="2460"/>
    <cellStyle name="Total 15 4 2 2" xfId="6021"/>
    <cellStyle name="Total 15 4 2 2 2" xfId="14215"/>
    <cellStyle name="Total 15 4 2 2 2 2" xfId="26187"/>
    <cellStyle name="Total 15 4 2 2 3" xfId="21074"/>
    <cellStyle name="Total 15 4 2 2_Table 2A-1_EFT (Annual)" xfId="8611"/>
    <cellStyle name="Total 15 4 2 3" xfId="11557"/>
    <cellStyle name="Total 15 4 2 3 2" xfId="23641"/>
    <cellStyle name="Total 15 4 2 4" xfId="18528"/>
    <cellStyle name="Total 15 4 2_Table 2A-1_EFT (Annual)" xfId="8610"/>
    <cellStyle name="Total 15 4 3" xfId="4751"/>
    <cellStyle name="Total 15 4 3 2" xfId="13011"/>
    <cellStyle name="Total 15 4 3 2 2" xfId="25017"/>
    <cellStyle name="Total 15 4 3 3" xfId="19904"/>
    <cellStyle name="Total 15 4 3_Table 2A-1_EFT (Annual)" xfId="8612"/>
    <cellStyle name="Total 15 4 4" xfId="10355"/>
    <cellStyle name="Total 15 4 4 2" xfId="22471"/>
    <cellStyle name="Total 15 4 5" xfId="17358"/>
    <cellStyle name="Total 15 4_Table 2A-1_EFT (Annual)" xfId="8609"/>
    <cellStyle name="Total 15 5" xfId="753"/>
    <cellStyle name="Total 15 5 2" xfId="4314"/>
    <cellStyle name="Total 15 5 2 2" xfId="12594"/>
    <cellStyle name="Total 15 5 2 2 2" xfId="24611"/>
    <cellStyle name="Total 15 5 2 3" xfId="19498"/>
    <cellStyle name="Total 15 5 2_Table 2A-1_EFT (Annual)" xfId="8614"/>
    <cellStyle name="Total 15 5 3" xfId="9942"/>
    <cellStyle name="Total 15 5 3 2" xfId="22065"/>
    <cellStyle name="Total 15 5 4" xfId="16952"/>
    <cellStyle name="Total 15 5_Table 2A-1_EFT (Annual)" xfId="8613"/>
    <cellStyle name="Total 15 6" xfId="1787"/>
    <cellStyle name="Total 15 6 2" xfId="5348"/>
    <cellStyle name="Total 15 6 2 2" xfId="13563"/>
    <cellStyle name="Total 15 6 2 2 2" xfId="25551"/>
    <cellStyle name="Total 15 6 2 3" xfId="20438"/>
    <cellStyle name="Total 15 6 2_Table 2A-1_EFT (Annual)" xfId="8616"/>
    <cellStyle name="Total 15 6 3" xfId="10907"/>
    <cellStyle name="Total 15 6 3 2" xfId="23005"/>
    <cellStyle name="Total 15 6 4" xfId="17892"/>
    <cellStyle name="Total 15 6_Table 2A-1_EFT (Annual)" xfId="8615"/>
    <cellStyle name="Total 15 7" xfId="3731"/>
    <cellStyle name="Total 15 7 2" xfId="12099"/>
    <cellStyle name="Total 15 7 2 2" xfId="24129"/>
    <cellStyle name="Total 15 7 3" xfId="19016"/>
    <cellStyle name="Total 15 7_Table 2A-1_EFT (Annual)" xfId="8617"/>
    <cellStyle name="Total 15 8" xfId="9418"/>
    <cellStyle name="Total 15 8 2" xfId="21583"/>
    <cellStyle name="Total 15 9" xfId="16470"/>
    <cellStyle name="Total 15_Table 2A-1_EFT (Annual)" xfId="3527"/>
    <cellStyle name="Total 16" xfId="161"/>
    <cellStyle name="Total 16 2" xfId="554"/>
    <cellStyle name="Total 16 2 2" xfId="1531"/>
    <cellStyle name="Total 16 2 2 2" xfId="2801"/>
    <cellStyle name="Total 16 2 2 2 2" xfId="6362"/>
    <cellStyle name="Total 16 2 2 2 2 2" xfId="14556"/>
    <cellStyle name="Total 16 2 2 2 2 2 2" xfId="26528"/>
    <cellStyle name="Total 16 2 2 2 2 3" xfId="21415"/>
    <cellStyle name="Total 16 2 2 2 2_Table 2A-1_EFT (Annual)" xfId="8620"/>
    <cellStyle name="Total 16 2 2 2 3" xfId="11898"/>
    <cellStyle name="Total 16 2 2 2 3 2" xfId="23982"/>
    <cellStyle name="Total 16 2 2 2 4" xfId="18869"/>
    <cellStyle name="Total 16 2 2 2_Table 2A-1_EFT (Annual)" xfId="8619"/>
    <cellStyle name="Total 16 2 2 3" xfId="5092"/>
    <cellStyle name="Total 16 2 2 3 2" xfId="13352"/>
    <cellStyle name="Total 16 2 2 3 2 2" xfId="25358"/>
    <cellStyle name="Total 16 2 2 3 3" xfId="20245"/>
    <cellStyle name="Total 16 2 2 3_Table 2A-1_EFT (Annual)" xfId="8621"/>
    <cellStyle name="Total 16 2 2 4" xfId="10696"/>
    <cellStyle name="Total 16 2 2 4 2" xfId="22812"/>
    <cellStyle name="Total 16 2 2 5" xfId="17699"/>
    <cellStyle name="Total 16 2 2_Table 2A-1_EFT (Annual)" xfId="8618"/>
    <cellStyle name="Total 16 2 3" xfId="1059"/>
    <cellStyle name="Total 16 2 3 2" xfId="4620"/>
    <cellStyle name="Total 16 2 3 2 2" xfId="12880"/>
    <cellStyle name="Total 16 2 3 2 2 2" xfId="24886"/>
    <cellStyle name="Total 16 2 3 2 3" xfId="19773"/>
    <cellStyle name="Total 16 2 3 2_Table 2A-1_EFT (Annual)" xfId="8623"/>
    <cellStyle name="Total 16 2 3 3" xfId="10224"/>
    <cellStyle name="Total 16 2 3 3 2" xfId="22340"/>
    <cellStyle name="Total 16 2 3 4" xfId="17227"/>
    <cellStyle name="Total 16 2 3_Table 2A-1_EFT (Annual)" xfId="8622"/>
    <cellStyle name="Total 16 2 4" xfId="2270"/>
    <cellStyle name="Total 16 2 4 2" xfId="5831"/>
    <cellStyle name="Total 16 2 4 2 2" xfId="14046"/>
    <cellStyle name="Total 16 2 4 2 2 2" xfId="26034"/>
    <cellStyle name="Total 16 2 4 2 3" xfId="20921"/>
    <cellStyle name="Total 16 2 4 2_Table 2A-1_EFT (Annual)" xfId="8625"/>
    <cellStyle name="Total 16 2 4 3" xfId="11390"/>
    <cellStyle name="Total 16 2 4 3 2" xfId="23488"/>
    <cellStyle name="Total 16 2 4 4" xfId="18375"/>
    <cellStyle name="Total 16 2 4_Table 2A-1_EFT (Annual)" xfId="8624"/>
    <cellStyle name="Total 16 2 5" xfId="4124"/>
    <cellStyle name="Total 16 2 5 2" xfId="12448"/>
    <cellStyle name="Total 16 2 5 2 2" xfId="24470"/>
    <cellStyle name="Total 16 2 5 3" xfId="19357"/>
    <cellStyle name="Total 16 2 5_Table 2A-1_EFT (Annual)" xfId="8626"/>
    <cellStyle name="Total 16 2 6" xfId="9787"/>
    <cellStyle name="Total 16 2 6 2" xfId="21924"/>
    <cellStyle name="Total 16 2 7" xfId="16811"/>
    <cellStyle name="Total 16 2_Table 2A-1_EFT (Annual)" xfId="3531"/>
    <cellStyle name="Total 16 3" xfId="392"/>
    <cellStyle name="Total 16 3 2" xfId="1375"/>
    <cellStyle name="Total 16 3 2 2" xfId="2645"/>
    <cellStyle name="Total 16 3 2 2 2" xfId="6206"/>
    <cellStyle name="Total 16 3 2 2 2 2" xfId="14400"/>
    <cellStyle name="Total 16 3 2 2 2 2 2" xfId="26372"/>
    <cellStyle name="Total 16 3 2 2 2 3" xfId="21259"/>
    <cellStyle name="Total 16 3 2 2 2_Table 2A-1_EFT (Annual)" xfId="8629"/>
    <cellStyle name="Total 16 3 2 2 3" xfId="11742"/>
    <cellStyle name="Total 16 3 2 2 3 2" xfId="23826"/>
    <cellStyle name="Total 16 3 2 2 4" xfId="18713"/>
    <cellStyle name="Total 16 3 2 2_Table 2A-1_EFT (Annual)" xfId="8628"/>
    <cellStyle name="Total 16 3 2 3" xfId="4936"/>
    <cellStyle name="Total 16 3 2 3 2" xfId="13196"/>
    <cellStyle name="Total 16 3 2 3 2 2" xfId="25202"/>
    <cellStyle name="Total 16 3 2 3 3" xfId="20089"/>
    <cellStyle name="Total 16 3 2 3_Table 2A-1_EFT (Annual)" xfId="8630"/>
    <cellStyle name="Total 16 3 2 4" xfId="10540"/>
    <cellStyle name="Total 16 3 2 4 2" xfId="22656"/>
    <cellStyle name="Total 16 3 2 5" xfId="17543"/>
    <cellStyle name="Total 16 3 2_Table 2A-1_EFT (Annual)" xfId="8627"/>
    <cellStyle name="Total 16 3 3" xfId="927"/>
    <cellStyle name="Total 16 3 3 2" xfId="4488"/>
    <cellStyle name="Total 16 3 3 2 2" xfId="12750"/>
    <cellStyle name="Total 16 3 3 2 2 2" xfId="24760"/>
    <cellStyle name="Total 16 3 3 2 3" xfId="19647"/>
    <cellStyle name="Total 16 3 3 2_Table 2A-1_EFT (Annual)" xfId="8632"/>
    <cellStyle name="Total 16 3 3 3" xfId="10097"/>
    <cellStyle name="Total 16 3 3 3 2" xfId="22214"/>
    <cellStyle name="Total 16 3 3 4" xfId="17101"/>
    <cellStyle name="Total 16 3 3_Table 2A-1_EFT (Annual)" xfId="8631"/>
    <cellStyle name="Total 16 3 4" xfId="2114"/>
    <cellStyle name="Total 16 3 4 2" xfId="5675"/>
    <cellStyle name="Total 16 3 4 2 2" xfId="13890"/>
    <cellStyle name="Total 16 3 4 2 2 2" xfId="25878"/>
    <cellStyle name="Total 16 3 4 2 3" xfId="20765"/>
    <cellStyle name="Total 16 3 4 2_Table 2A-1_EFT (Annual)" xfId="8634"/>
    <cellStyle name="Total 16 3 4 3" xfId="11234"/>
    <cellStyle name="Total 16 3 4 3 2" xfId="23332"/>
    <cellStyle name="Total 16 3 4 4" xfId="18219"/>
    <cellStyle name="Total 16 3 4_Table 2A-1_EFT (Annual)" xfId="8633"/>
    <cellStyle name="Total 16 3 5" xfId="3962"/>
    <cellStyle name="Total 16 3 5 2" xfId="12290"/>
    <cellStyle name="Total 16 3 5 2 2" xfId="24314"/>
    <cellStyle name="Total 16 3 5 3" xfId="19201"/>
    <cellStyle name="Total 16 3 5_Table 2A-1_EFT (Annual)" xfId="8635"/>
    <cellStyle name="Total 16 3 6" xfId="9627"/>
    <cellStyle name="Total 16 3 6 2" xfId="21768"/>
    <cellStyle name="Total 16 3 7" xfId="16655"/>
    <cellStyle name="Total 16 3_Table 2A-1_EFT (Annual)" xfId="3532"/>
    <cellStyle name="Total 16 4" xfId="1209"/>
    <cellStyle name="Total 16 4 2" xfId="2479"/>
    <cellStyle name="Total 16 4 2 2" xfId="6040"/>
    <cellStyle name="Total 16 4 2 2 2" xfId="14234"/>
    <cellStyle name="Total 16 4 2 2 2 2" xfId="26206"/>
    <cellStyle name="Total 16 4 2 2 3" xfId="21093"/>
    <cellStyle name="Total 16 4 2 2_Table 2A-1_EFT (Annual)" xfId="8638"/>
    <cellStyle name="Total 16 4 2 3" xfId="11576"/>
    <cellStyle name="Total 16 4 2 3 2" xfId="23660"/>
    <cellStyle name="Total 16 4 2 4" xfId="18547"/>
    <cellStyle name="Total 16 4 2_Table 2A-1_EFT (Annual)" xfId="8637"/>
    <cellStyle name="Total 16 4 3" xfId="4770"/>
    <cellStyle name="Total 16 4 3 2" xfId="13030"/>
    <cellStyle name="Total 16 4 3 2 2" xfId="25036"/>
    <cellStyle name="Total 16 4 3 3" xfId="19923"/>
    <cellStyle name="Total 16 4 3_Table 2A-1_EFT (Annual)" xfId="8639"/>
    <cellStyle name="Total 16 4 4" xfId="10374"/>
    <cellStyle name="Total 16 4 4 2" xfId="22490"/>
    <cellStyle name="Total 16 4 5" xfId="17377"/>
    <cellStyle name="Total 16 4_Table 2A-1_EFT (Annual)" xfId="8636"/>
    <cellStyle name="Total 16 5" xfId="768"/>
    <cellStyle name="Total 16 5 2" xfId="4329"/>
    <cellStyle name="Total 16 5 2 2" xfId="12609"/>
    <cellStyle name="Total 16 5 2 2 2" xfId="24626"/>
    <cellStyle name="Total 16 5 2 3" xfId="19513"/>
    <cellStyle name="Total 16 5 2_Table 2A-1_EFT (Annual)" xfId="8641"/>
    <cellStyle name="Total 16 5 3" xfId="9957"/>
    <cellStyle name="Total 16 5 3 2" xfId="22080"/>
    <cellStyle name="Total 16 5 4" xfId="16967"/>
    <cellStyle name="Total 16 5_Table 2A-1_EFT (Annual)" xfId="8640"/>
    <cellStyle name="Total 16 6" xfId="1948"/>
    <cellStyle name="Total 16 6 2" xfId="5509"/>
    <cellStyle name="Total 16 6 2 2" xfId="13724"/>
    <cellStyle name="Total 16 6 2 2 2" xfId="25712"/>
    <cellStyle name="Total 16 6 2 3" xfId="20599"/>
    <cellStyle name="Total 16 6 2_Table 2A-1_EFT (Annual)" xfId="8643"/>
    <cellStyle name="Total 16 6 3" xfId="11068"/>
    <cellStyle name="Total 16 6 3 2" xfId="23166"/>
    <cellStyle name="Total 16 6 4" xfId="18053"/>
    <cellStyle name="Total 16 6_Table 2A-1_EFT (Annual)" xfId="8642"/>
    <cellStyle name="Total 16 7" xfId="3750"/>
    <cellStyle name="Total 16 7 2" xfId="12118"/>
    <cellStyle name="Total 16 7 2 2" xfId="24148"/>
    <cellStyle name="Total 16 7 3" xfId="19035"/>
    <cellStyle name="Total 16 7_Table 2A-1_EFT (Annual)" xfId="8644"/>
    <cellStyle name="Total 16 8" xfId="9437"/>
    <cellStyle name="Total 16 8 2" xfId="21602"/>
    <cellStyle name="Total 16 9" xfId="16489"/>
    <cellStyle name="Total 16_Table 2A-1_EFT (Annual)" xfId="3530"/>
    <cellStyle name="Total 17" xfId="158"/>
    <cellStyle name="Total 17 2" xfId="551"/>
    <cellStyle name="Total 17 2 2" xfId="1528"/>
    <cellStyle name="Total 17 2 2 2" xfId="2798"/>
    <cellStyle name="Total 17 2 2 2 2" xfId="6359"/>
    <cellStyle name="Total 17 2 2 2 2 2" xfId="14553"/>
    <cellStyle name="Total 17 2 2 2 2 2 2" xfId="26525"/>
    <cellStyle name="Total 17 2 2 2 2 3" xfId="21412"/>
    <cellStyle name="Total 17 2 2 2 2_Table 2A-1_EFT (Annual)" xfId="8647"/>
    <cellStyle name="Total 17 2 2 2 3" xfId="11895"/>
    <cellStyle name="Total 17 2 2 2 3 2" xfId="23979"/>
    <cellStyle name="Total 17 2 2 2 4" xfId="18866"/>
    <cellStyle name="Total 17 2 2 2_Table 2A-1_EFT (Annual)" xfId="8646"/>
    <cellStyle name="Total 17 2 2 3" xfId="5089"/>
    <cellStyle name="Total 17 2 2 3 2" xfId="13349"/>
    <cellStyle name="Total 17 2 2 3 2 2" xfId="25355"/>
    <cellStyle name="Total 17 2 2 3 3" xfId="20242"/>
    <cellStyle name="Total 17 2 2 3_Table 2A-1_EFT (Annual)" xfId="8648"/>
    <cellStyle name="Total 17 2 2 4" xfId="10693"/>
    <cellStyle name="Total 17 2 2 4 2" xfId="22809"/>
    <cellStyle name="Total 17 2 2 5" xfId="17696"/>
    <cellStyle name="Total 17 2 2_Table 2A-1_EFT (Annual)" xfId="8645"/>
    <cellStyle name="Total 17 2 3" xfId="1057"/>
    <cellStyle name="Total 17 2 3 2" xfId="4618"/>
    <cellStyle name="Total 17 2 3 2 2" xfId="12878"/>
    <cellStyle name="Total 17 2 3 2 2 2" xfId="24884"/>
    <cellStyle name="Total 17 2 3 2 3" xfId="19771"/>
    <cellStyle name="Total 17 2 3 2_Table 2A-1_EFT (Annual)" xfId="8650"/>
    <cellStyle name="Total 17 2 3 3" xfId="10222"/>
    <cellStyle name="Total 17 2 3 3 2" xfId="22338"/>
    <cellStyle name="Total 17 2 3 4" xfId="17225"/>
    <cellStyle name="Total 17 2 3_Table 2A-1_EFT (Annual)" xfId="8649"/>
    <cellStyle name="Total 17 2 4" xfId="2267"/>
    <cellStyle name="Total 17 2 4 2" xfId="5828"/>
    <cellStyle name="Total 17 2 4 2 2" xfId="14043"/>
    <cellStyle name="Total 17 2 4 2 2 2" xfId="26031"/>
    <cellStyle name="Total 17 2 4 2 3" xfId="20918"/>
    <cellStyle name="Total 17 2 4 2_Table 2A-1_EFT (Annual)" xfId="8652"/>
    <cellStyle name="Total 17 2 4 3" xfId="11387"/>
    <cellStyle name="Total 17 2 4 3 2" xfId="23485"/>
    <cellStyle name="Total 17 2 4 4" xfId="18372"/>
    <cellStyle name="Total 17 2 4_Table 2A-1_EFT (Annual)" xfId="8651"/>
    <cellStyle name="Total 17 2 5" xfId="4121"/>
    <cellStyle name="Total 17 2 5 2" xfId="12445"/>
    <cellStyle name="Total 17 2 5 2 2" xfId="24467"/>
    <cellStyle name="Total 17 2 5 3" xfId="19354"/>
    <cellStyle name="Total 17 2 5_Table 2A-1_EFT (Annual)" xfId="8653"/>
    <cellStyle name="Total 17 2 6" xfId="9784"/>
    <cellStyle name="Total 17 2 6 2" xfId="21921"/>
    <cellStyle name="Total 17 2 7" xfId="16808"/>
    <cellStyle name="Total 17 2_Table 2A-1_EFT (Annual)" xfId="3534"/>
    <cellStyle name="Total 17 3" xfId="389"/>
    <cellStyle name="Total 17 3 2" xfId="1372"/>
    <cellStyle name="Total 17 3 2 2" xfId="2642"/>
    <cellStyle name="Total 17 3 2 2 2" xfId="6203"/>
    <cellStyle name="Total 17 3 2 2 2 2" xfId="14397"/>
    <cellStyle name="Total 17 3 2 2 2 2 2" xfId="26369"/>
    <cellStyle name="Total 17 3 2 2 2 3" xfId="21256"/>
    <cellStyle name="Total 17 3 2 2 2_Table 2A-1_EFT (Annual)" xfId="8656"/>
    <cellStyle name="Total 17 3 2 2 3" xfId="11739"/>
    <cellStyle name="Total 17 3 2 2 3 2" xfId="23823"/>
    <cellStyle name="Total 17 3 2 2 4" xfId="18710"/>
    <cellStyle name="Total 17 3 2 2_Table 2A-1_EFT (Annual)" xfId="8655"/>
    <cellStyle name="Total 17 3 2 3" xfId="4933"/>
    <cellStyle name="Total 17 3 2 3 2" xfId="13193"/>
    <cellStyle name="Total 17 3 2 3 2 2" xfId="25199"/>
    <cellStyle name="Total 17 3 2 3 3" xfId="20086"/>
    <cellStyle name="Total 17 3 2 3_Table 2A-1_EFT (Annual)" xfId="8657"/>
    <cellStyle name="Total 17 3 2 4" xfId="10537"/>
    <cellStyle name="Total 17 3 2 4 2" xfId="22653"/>
    <cellStyle name="Total 17 3 2 5" xfId="17540"/>
    <cellStyle name="Total 17 3 2_Table 2A-1_EFT (Annual)" xfId="8654"/>
    <cellStyle name="Total 17 3 3" xfId="925"/>
    <cellStyle name="Total 17 3 3 2" xfId="4486"/>
    <cellStyle name="Total 17 3 3 2 2" xfId="12748"/>
    <cellStyle name="Total 17 3 3 2 2 2" xfId="24758"/>
    <cellStyle name="Total 17 3 3 2 3" xfId="19645"/>
    <cellStyle name="Total 17 3 3 2_Table 2A-1_EFT (Annual)" xfId="8659"/>
    <cellStyle name="Total 17 3 3 3" xfId="10095"/>
    <cellStyle name="Total 17 3 3 3 2" xfId="22212"/>
    <cellStyle name="Total 17 3 3 4" xfId="17099"/>
    <cellStyle name="Total 17 3 3_Table 2A-1_EFT (Annual)" xfId="8658"/>
    <cellStyle name="Total 17 3 4" xfId="2111"/>
    <cellStyle name="Total 17 3 4 2" xfId="5672"/>
    <cellStyle name="Total 17 3 4 2 2" xfId="13887"/>
    <cellStyle name="Total 17 3 4 2 2 2" xfId="25875"/>
    <cellStyle name="Total 17 3 4 2 3" xfId="20762"/>
    <cellStyle name="Total 17 3 4 2_Table 2A-1_EFT (Annual)" xfId="8661"/>
    <cellStyle name="Total 17 3 4 3" xfId="11231"/>
    <cellStyle name="Total 17 3 4 3 2" xfId="23329"/>
    <cellStyle name="Total 17 3 4 4" xfId="18216"/>
    <cellStyle name="Total 17 3 4_Table 2A-1_EFT (Annual)" xfId="8660"/>
    <cellStyle name="Total 17 3 5" xfId="3959"/>
    <cellStyle name="Total 17 3 5 2" xfId="12287"/>
    <cellStyle name="Total 17 3 5 2 2" xfId="24311"/>
    <cellStyle name="Total 17 3 5 3" xfId="19198"/>
    <cellStyle name="Total 17 3 5_Table 2A-1_EFT (Annual)" xfId="8662"/>
    <cellStyle name="Total 17 3 6" xfId="9624"/>
    <cellStyle name="Total 17 3 6 2" xfId="21765"/>
    <cellStyle name="Total 17 3 7" xfId="16652"/>
    <cellStyle name="Total 17 3_Table 2A-1_EFT (Annual)" xfId="3535"/>
    <cellStyle name="Total 17 4" xfId="1206"/>
    <cellStyle name="Total 17 4 2" xfId="2476"/>
    <cellStyle name="Total 17 4 2 2" xfId="6037"/>
    <cellStyle name="Total 17 4 2 2 2" xfId="14231"/>
    <cellStyle name="Total 17 4 2 2 2 2" xfId="26203"/>
    <cellStyle name="Total 17 4 2 2 3" xfId="21090"/>
    <cellStyle name="Total 17 4 2 2_Table 2A-1_EFT (Annual)" xfId="8665"/>
    <cellStyle name="Total 17 4 2 3" xfId="11573"/>
    <cellStyle name="Total 17 4 2 3 2" xfId="23657"/>
    <cellStyle name="Total 17 4 2 4" xfId="18544"/>
    <cellStyle name="Total 17 4 2_Table 2A-1_EFT (Annual)" xfId="8664"/>
    <cellStyle name="Total 17 4 3" xfId="4767"/>
    <cellStyle name="Total 17 4 3 2" xfId="13027"/>
    <cellStyle name="Total 17 4 3 2 2" xfId="25033"/>
    <cellStyle name="Total 17 4 3 3" xfId="19920"/>
    <cellStyle name="Total 17 4 3_Table 2A-1_EFT (Annual)" xfId="8666"/>
    <cellStyle name="Total 17 4 4" xfId="10371"/>
    <cellStyle name="Total 17 4 4 2" xfId="22487"/>
    <cellStyle name="Total 17 4 5" xfId="17374"/>
    <cellStyle name="Total 17 4_Table 2A-1_EFT (Annual)" xfId="8663"/>
    <cellStyle name="Total 17 5" xfId="766"/>
    <cellStyle name="Total 17 5 2" xfId="4327"/>
    <cellStyle name="Total 17 5 2 2" xfId="12607"/>
    <cellStyle name="Total 17 5 2 2 2" xfId="24624"/>
    <cellStyle name="Total 17 5 2 3" xfId="19511"/>
    <cellStyle name="Total 17 5 2_Table 2A-1_EFT (Annual)" xfId="8668"/>
    <cellStyle name="Total 17 5 3" xfId="9955"/>
    <cellStyle name="Total 17 5 3 2" xfId="22078"/>
    <cellStyle name="Total 17 5 4" xfId="16965"/>
    <cellStyle name="Total 17 5_Table 2A-1_EFT (Annual)" xfId="8667"/>
    <cellStyle name="Total 17 6" xfId="1779"/>
    <cellStyle name="Total 17 6 2" xfId="5340"/>
    <cellStyle name="Total 17 6 2 2" xfId="13555"/>
    <cellStyle name="Total 17 6 2 2 2" xfId="25543"/>
    <cellStyle name="Total 17 6 2 3" xfId="20430"/>
    <cellStyle name="Total 17 6 2_Table 2A-1_EFT (Annual)" xfId="8670"/>
    <cellStyle name="Total 17 6 3" xfId="10899"/>
    <cellStyle name="Total 17 6 3 2" xfId="22997"/>
    <cellStyle name="Total 17 6 4" xfId="17884"/>
    <cellStyle name="Total 17 6_Table 2A-1_EFT (Annual)" xfId="8669"/>
    <cellStyle name="Total 17 7" xfId="3747"/>
    <cellStyle name="Total 17 7 2" xfId="12115"/>
    <cellStyle name="Total 17 7 2 2" xfId="24145"/>
    <cellStyle name="Total 17 7 3" xfId="19032"/>
    <cellStyle name="Total 17 7_Table 2A-1_EFT (Annual)" xfId="8671"/>
    <cellStyle name="Total 17 8" xfId="9434"/>
    <cellStyle name="Total 17 8 2" xfId="21599"/>
    <cellStyle name="Total 17 9" xfId="16486"/>
    <cellStyle name="Total 17_Table 2A-1_EFT (Annual)" xfId="3533"/>
    <cellStyle name="Total 18" xfId="175"/>
    <cellStyle name="Total 18 2" xfId="568"/>
    <cellStyle name="Total 18 2 2" xfId="1545"/>
    <cellStyle name="Total 18 2 2 2" xfId="2815"/>
    <cellStyle name="Total 18 2 2 2 2" xfId="6376"/>
    <cellStyle name="Total 18 2 2 2 2 2" xfId="14570"/>
    <cellStyle name="Total 18 2 2 2 2 2 2" xfId="26542"/>
    <cellStyle name="Total 18 2 2 2 2 3" xfId="21429"/>
    <cellStyle name="Total 18 2 2 2 2_Table 2A-1_EFT (Annual)" xfId="8674"/>
    <cellStyle name="Total 18 2 2 2 3" xfId="11912"/>
    <cellStyle name="Total 18 2 2 2 3 2" xfId="23996"/>
    <cellStyle name="Total 18 2 2 2 4" xfId="18883"/>
    <cellStyle name="Total 18 2 2 2_Table 2A-1_EFT (Annual)" xfId="8673"/>
    <cellStyle name="Total 18 2 2 3" xfId="5106"/>
    <cellStyle name="Total 18 2 2 3 2" xfId="13366"/>
    <cellStyle name="Total 18 2 2 3 2 2" xfId="25372"/>
    <cellStyle name="Total 18 2 2 3 3" xfId="20259"/>
    <cellStyle name="Total 18 2 2 3_Table 2A-1_EFT (Annual)" xfId="8675"/>
    <cellStyle name="Total 18 2 2 4" xfId="10710"/>
    <cellStyle name="Total 18 2 2 4 2" xfId="22826"/>
    <cellStyle name="Total 18 2 2 5" xfId="17713"/>
    <cellStyle name="Total 18 2 2_Table 2A-1_EFT (Annual)" xfId="8672"/>
    <cellStyle name="Total 18 2 3" xfId="1070"/>
    <cellStyle name="Total 18 2 3 2" xfId="4631"/>
    <cellStyle name="Total 18 2 3 2 2" xfId="12891"/>
    <cellStyle name="Total 18 2 3 2 2 2" xfId="24897"/>
    <cellStyle name="Total 18 2 3 2 3" xfId="19784"/>
    <cellStyle name="Total 18 2 3 2_Table 2A-1_EFT (Annual)" xfId="8677"/>
    <cellStyle name="Total 18 2 3 3" xfId="10235"/>
    <cellStyle name="Total 18 2 3 3 2" xfId="22351"/>
    <cellStyle name="Total 18 2 3 4" xfId="17238"/>
    <cellStyle name="Total 18 2 3_Table 2A-1_EFT (Annual)" xfId="8676"/>
    <cellStyle name="Total 18 2 4" xfId="2284"/>
    <cellStyle name="Total 18 2 4 2" xfId="5845"/>
    <cellStyle name="Total 18 2 4 2 2" xfId="14060"/>
    <cellStyle name="Total 18 2 4 2 2 2" xfId="26048"/>
    <cellStyle name="Total 18 2 4 2 3" xfId="20935"/>
    <cellStyle name="Total 18 2 4 2_Table 2A-1_EFT (Annual)" xfId="8679"/>
    <cellStyle name="Total 18 2 4 3" xfId="11404"/>
    <cellStyle name="Total 18 2 4 3 2" xfId="23502"/>
    <cellStyle name="Total 18 2 4 4" xfId="18389"/>
    <cellStyle name="Total 18 2 4_Table 2A-1_EFT (Annual)" xfId="8678"/>
    <cellStyle name="Total 18 2 5" xfId="4138"/>
    <cellStyle name="Total 18 2 5 2" xfId="12462"/>
    <cellStyle name="Total 18 2 5 2 2" xfId="24484"/>
    <cellStyle name="Total 18 2 5 3" xfId="19371"/>
    <cellStyle name="Total 18 2 5_Table 2A-1_EFT (Annual)" xfId="8680"/>
    <cellStyle name="Total 18 2 6" xfId="9801"/>
    <cellStyle name="Total 18 2 6 2" xfId="21938"/>
    <cellStyle name="Total 18 2 7" xfId="16825"/>
    <cellStyle name="Total 18 2_Table 2A-1_EFT (Annual)" xfId="3537"/>
    <cellStyle name="Total 18 3" xfId="406"/>
    <cellStyle name="Total 18 3 2" xfId="1389"/>
    <cellStyle name="Total 18 3 2 2" xfId="2659"/>
    <cellStyle name="Total 18 3 2 2 2" xfId="6220"/>
    <cellStyle name="Total 18 3 2 2 2 2" xfId="14414"/>
    <cellStyle name="Total 18 3 2 2 2 2 2" xfId="26386"/>
    <cellStyle name="Total 18 3 2 2 2 3" xfId="21273"/>
    <cellStyle name="Total 18 3 2 2 2_Table 2A-1_EFT (Annual)" xfId="8683"/>
    <cellStyle name="Total 18 3 2 2 3" xfId="11756"/>
    <cellStyle name="Total 18 3 2 2 3 2" xfId="23840"/>
    <cellStyle name="Total 18 3 2 2 4" xfId="18727"/>
    <cellStyle name="Total 18 3 2 2_Table 2A-1_EFT (Annual)" xfId="8682"/>
    <cellStyle name="Total 18 3 2 3" xfId="4950"/>
    <cellStyle name="Total 18 3 2 3 2" xfId="13210"/>
    <cellStyle name="Total 18 3 2 3 2 2" xfId="25216"/>
    <cellStyle name="Total 18 3 2 3 3" xfId="20103"/>
    <cellStyle name="Total 18 3 2 3_Table 2A-1_EFT (Annual)" xfId="8684"/>
    <cellStyle name="Total 18 3 2 4" xfId="10554"/>
    <cellStyle name="Total 18 3 2 4 2" xfId="22670"/>
    <cellStyle name="Total 18 3 2 5" xfId="17557"/>
    <cellStyle name="Total 18 3 2_Table 2A-1_EFT (Annual)" xfId="8681"/>
    <cellStyle name="Total 18 3 3" xfId="938"/>
    <cellStyle name="Total 18 3 3 2" xfId="4499"/>
    <cellStyle name="Total 18 3 3 2 2" xfId="12761"/>
    <cellStyle name="Total 18 3 3 2 2 2" xfId="24771"/>
    <cellStyle name="Total 18 3 3 2 3" xfId="19658"/>
    <cellStyle name="Total 18 3 3 2_Table 2A-1_EFT (Annual)" xfId="8686"/>
    <cellStyle name="Total 18 3 3 3" xfId="10108"/>
    <cellStyle name="Total 18 3 3 3 2" xfId="22225"/>
    <cellStyle name="Total 18 3 3 4" xfId="17112"/>
    <cellStyle name="Total 18 3 3_Table 2A-1_EFT (Annual)" xfId="8685"/>
    <cellStyle name="Total 18 3 4" xfId="2128"/>
    <cellStyle name="Total 18 3 4 2" xfId="5689"/>
    <cellStyle name="Total 18 3 4 2 2" xfId="13904"/>
    <cellStyle name="Total 18 3 4 2 2 2" xfId="25892"/>
    <cellStyle name="Total 18 3 4 2 3" xfId="20779"/>
    <cellStyle name="Total 18 3 4 2_Table 2A-1_EFT (Annual)" xfId="8688"/>
    <cellStyle name="Total 18 3 4 3" xfId="11248"/>
    <cellStyle name="Total 18 3 4 3 2" xfId="23346"/>
    <cellStyle name="Total 18 3 4 4" xfId="18233"/>
    <cellStyle name="Total 18 3 4_Table 2A-1_EFT (Annual)" xfId="8687"/>
    <cellStyle name="Total 18 3 5" xfId="3976"/>
    <cellStyle name="Total 18 3 5 2" xfId="12304"/>
    <cellStyle name="Total 18 3 5 2 2" xfId="24328"/>
    <cellStyle name="Total 18 3 5 3" xfId="19215"/>
    <cellStyle name="Total 18 3 5_Table 2A-1_EFT (Annual)" xfId="8689"/>
    <cellStyle name="Total 18 3 6" xfId="9641"/>
    <cellStyle name="Total 18 3 6 2" xfId="21782"/>
    <cellStyle name="Total 18 3 7" xfId="16669"/>
    <cellStyle name="Total 18 3_Table 2A-1_EFT (Annual)" xfId="3538"/>
    <cellStyle name="Total 18 4" xfId="1223"/>
    <cellStyle name="Total 18 4 2" xfId="2493"/>
    <cellStyle name="Total 18 4 2 2" xfId="6054"/>
    <cellStyle name="Total 18 4 2 2 2" xfId="14248"/>
    <cellStyle name="Total 18 4 2 2 2 2" xfId="26220"/>
    <cellStyle name="Total 18 4 2 2 3" xfId="21107"/>
    <cellStyle name="Total 18 4 2 2_Table 2A-1_EFT (Annual)" xfId="8692"/>
    <cellStyle name="Total 18 4 2 3" xfId="11590"/>
    <cellStyle name="Total 18 4 2 3 2" xfId="23674"/>
    <cellStyle name="Total 18 4 2 4" xfId="18561"/>
    <cellStyle name="Total 18 4 2_Table 2A-1_EFT (Annual)" xfId="8691"/>
    <cellStyle name="Total 18 4 3" xfId="4784"/>
    <cellStyle name="Total 18 4 3 2" xfId="13044"/>
    <cellStyle name="Total 18 4 3 2 2" xfId="25050"/>
    <cellStyle name="Total 18 4 3 3" xfId="19937"/>
    <cellStyle name="Total 18 4 3_Table 2A-1_EFT (Annual)" xfId="8693"/>
    <cellStyle name="Total 18 4 4" xfId="10388"/>
    <cellStyle name="Total 18 4 4 2" xfId="22504"/>
    <cellStyle name="Total 18 4 5" xfId="17391"/>
    <cellStyle name="Total 18 4_Table 2A-1_EFT (Annual)" xfId="8690"/>
    <cellStyle name="Total 18 5" xfId="779"/>
    <cellStyle name="Total 18 5 2" xfId="4340"/>
    <cellStyle name="Total 18 5 2 2" xfId="12620"/>
    <cellStyle name="Total 18 5 2 2 2" xfId="24637"/>
    <cellStyle name="Total 18 5 2 3" xfId="19524"/>
    <cellStyle name="Total 18 5 2_Table 2A-1_EFT (Annual)" xfId="8695"/>
    <cellStyle name="Total 18 5 3" xfId="9968"/>
    <cellStyle name="Total 18 5 3 2" xfId="22091"/>
    <cellStyle name="Total 18 5 4" xfId="16978"/>
    <cellStyle name="Total 18 5_Table 2A-1_EFT (Annual)" xfId="8694"/>
    <cellStyle name="Total 18 6" xfId="1962"/>
    <cellStyle name="Total 18 6 2" xfId="5523"/>
    <cellStyle name="Total 18 6 2 2" xfId="13738"/>
    <cellStyle name="Total 18 6 2 2 2" xfId="25726"/>
    <cellStyle name="Total 18 6 2 3" xfId="20613"/>
    <cellStyle name="Total 18 6 2_Table 2A-1_EFT (Annual)" xfId="8697"/>
    <cellStyle name="Total 18 6 3" xfId="11082"/>
    <cellStyle name="Total 18 6 3 2" xfId="23180"/>
    <cellStyle name="Total 18 6 4" xfId="18067"/>
    <cellStyle name="Total 18 6_Table 2A-1_EFT (Annual)" xfId="8696"/>
    <cellStyle name="Total 18 7" xfId="3764"/>
    <cellStyle name="Total 18 7 2" xfId="12132"/>
    <cellStyle name="Total 18 7 2 2" xfId="24162"/>
    <cellStyle name="Total 18 7 3" xfId="19049"/>
    <cellStyle name="Total 18 7_Table 2A-1_EFT (Annual)" xfId="8698"/>
    <cellStyle name="Total 18 8" xfId="9451"/>
    <cellStyle name="Total 18 8 2" xfId="21616"/>
    <cellStyle name="Total 18 9" xfId="16503"/>
    <cellStyle name="Total 18_Table 2A-1_EFT (Annual)" xfId="3536"/>
    <cellStyle name="Total 19" xfId="176"/>
    <cellStyle name="Total 19 2" xfId="569"/>
    <cellStyle name="Total 19 2 2" xfId="1546"/>
    <cellStyle name="Total 19 2 2 2" xfId="2816"/>
    <cellStyle name="Total 19 2 2 2 2" xfId="6377"/>
    <cellStyle name="Total 19 2 2 2 2 2" xfId="14571"/>
    <cellStyle name="Total 19 2 2 2 2 2 2" xfId="26543"/>
    <cellStyle name="Total 19 2 2 2 2 3" xfId="21430"/>
    <cellStyle name="Total 19 2 2 2 2_Table 2A-1_EFT (Annual)" xfId="8701"/>
    <cellStyle name="Total 19 2 2 2 3" xfId="11913"/>
    <cellStyle name="Total 19 2 2 2 3 2" xfId="23997"/>
    <cellStyle name="Total 19 2 2 2 4" xfId="18884"/>
    <cellStyle name="Total 19 2 2 2_Table 2A-1_EFT (Annual)" xfId="8700"/>
    <cellStyle name="Total 19 2 2 3" xfId="5107"/>
    <cellStyle name="Total 19 2 2 3 2" xfId="13367"/>
    <cellStyle name="Total 19 2 2 3 2 2" xfId="25373"/>
    <cellStyle name="Total 19 2 2 3 3" xfId="20260"/>
    <cellStyle name="Total 19 2 2 3_Table 2A-1_EFT (Annual)" xfId="8702"/>
    <cellStyle name="Total 19 2 2 4" xfId="10711"/>
    <cellStyle name="Total 19 2 2 4 2" xfId="22827"/>
    <cellStyle name="Total 19 2 2 5" xfId="17714"/>
    <cellStyle name="Total 19 2 2_Table 2A-1_EFT (Annual)" xfId="8699"/>
    <cellStyle name="Total 19 2 3" xfId="1071"/>
    <cellStyle name="Total 19 2 3 2" xfId="4632"/>
    <cellStyle name="Total 19 2 3 2 2" xfId="12892"/>
    <cellStyle name="Total 19 2 3 2 2 2" xfId="24898"/>
    <cellStyle name="Total 19 2 3 2 3" xfId="19785"/>
    <cellStyle name="Total 19 2 3 2_Table 2A-1_EFT (Annual)" xfId="8704"/>
    <cellStyle name="Total 19 2 3 3" xfId="10236"/>
    <cellStyle name="Total 19 2 3 3 2" xfId="22352"/>
    <cellStyle name="Total 19 2 3 4" xfId="17239"/>
    <cellStyle name="Total 19 2 3_Table 2A-1_EFT (Annual)" xfId="8703"/>
    <cellStyle name="Total 19 2 4" xfId="2285"/>
    <cellStyle name="Total 19 2 4 2" xfId="5846"/>
    <cellStyle name="Total 19 2 4 2 2" xfId="14061"/>
    <cellStyle name="Total 19 2 4 2 2 2" xfId="26049"/>
    <cellStyle name="Total 19 2 4 2 3" xfId="20936"/>
    <cellStyle name="Total 19 2 4 2_Table 2A-1_EFT (Annual)" xfId="8706"/>
    <cellStyle name="Total 19 2 4 3" xfId="11405"/>
    <cellStyle name="Total 19 2 4 3 2" xfId="23503"/>
    <cellStyle name="Total 19 2 4 4" xfId="18390"/>
    <cellStyle name="Total 19 2 4_Table 2A-1_EFT (Annual)" xfId="8705"/>
    <cellStyle name="Total 19 2 5" xfId="4139"/>
    <cellStyle name="Total 19 2 5 2" xfId="12463"/>
    <cellStyle name="Total 19 2 5 2 2" xfId="24485"/>
    <cellStyle name="Total 19 2 5 3" xfId="19372"/>
    <cellStyle name="Total 19 2 5_Table 2A-1_EFT (Annual)" xfId="8707"/>
    <cellStyle name="Total 19 2 6" xfId="9802"/>
    <cellStyle name="Total 19 2 6 2" xfId="21939"/>
    <cellStyle name="Total 19 2 7" xfId="16826"/>
    <cellStyle name="Total 19 2_Table 2A-1_EFT (Annual)" xfId="3540"/>
    <cellStyle name="Total 19 3" xfId="407"/>
    <cellStyle name="Total 19 3 2" xfId="1390"/>
    <cellStyle name="Total 19 3 2 2" xfId="2660"/>
    <cellStyle name="Total 19 3 2 2 2" xfId="6221"/>
    <cellStyle name="Total 19 3 2 2 2 2" xfId="14415"/>
    <cellStyle name="Total 19 3 2 2 2 2 2" xfId="26387"/>
    <cellStyle name="Total 19 3 2 2 2 3" xfId="21274"/>
    <cellStyle name="Total 19 3 2 2 2_Table 2A-1_EFT (Annual)" xfId="8710"/>
    <cellStyle name="Total 19 3 2 2 3" xfId="11757"/>
    <cellStyle name="Total 19 3 2 2 3 2" xfId="23841"/>
    <cellStyle name="Total 19 3 2 2 4" xfId="18728"/>
    <cellStyle name="Total 19 3 2 2_Table 2A-1_EFT (Annual)" xfId="8709"/>
    <cellStyle name="Total 19 3 2 3" xfId="4951"/>
    <cellStyle name="Total 19 3 2 3 2" xfId="13211"/>
    <cellStyle name="Total 19 3 2 3 2 2" xfId="25217"/>
    <cellStyle name="Total 19 3 2 3 3" xfId="20104"/>
    <cellStyle name="Total 19 3 2 3_Table 2A-1_EFT (Annual)" xfId="8711"/>
    <cellStyle name="Total 19 3 2 4" xfId="10555"/>
    <cellStyle name="Total 19 3 2 4 2" xfId="22671"/>
    <cellStyle name="Total 19 3 2 5" xfId="17558"/>
    <cellStyle name="Total 19 3 2_Table 2A-1_EFT (Annual)" xfId="8708"/>
    <cellStyle name="Total 19 3 3" xfId="939"/>
    <cellStyle name="Total 19 3 3 2" xfId="4500"/>
    <cellStyle name="Total 19 3 3 2 2" xfId="12762"/>
    <cellStyle name="Total 19 3 3 2 2 2" xfId="24772"/>
    <cellStyle name="Total 19 3 3 2 3" xfId="19659"/>
    <cellStyle name="Total 19 3 3 2_Table 2A-1_EFT (Annual)" xfId="8713"/>
    <cellStyle name="Total 19 3 3 3" xfId="10109"/>
    <cellStyle name="Total 19 3 3 3 2" xfId="22226"/>
    <cellStyle name="Total 19 3 3 4" xfId="17113"/>
    <cellStyle name="Total 19 3 3_Table 2A-1_EFT (Annual)" xfId="8712"/>
    <cellStyle name="Total 19 3 4" xfId="2129"/>
    <cellStyle name="Total 19 3 4 2" xfId="5690"/>
    <cellStyle name="Total 19 3 4 2 2" xfId="13905"/>
    <cellStyle name="Total 19 3 4 2 2 2" xfId="25893"/>
    <cellStyle name="Total 19 3 4 2 3" xfId="20780"/>
    <cellStyle name="Total 19 3 4 2_Table 2A-1_EFT (Annual)" xfId="8715"/>
    <cellStyle name="Total 19 3 4 3" xfId="11249"/>
    <cellStyle name="Total 19 3 4 3 2" xfId="23347"/>
    <cellStyle name="Total 19 3 4 4" xfId="18234"/>
    <cellStyle name="Total 19 3 4_Table 2A-1_EFT (Annual)" xfId="8714"/>
    <cellStyle name="Total 19 3 5" xfId="3977"/>
    <cellStyle name="Total 19 3 5 2" xfId="12305"/>
    <cellStyle name="Total 19 3 5 2 2" xfId="24329"/>
    <cellStyle name="Total 19 3 5 3" xfId="19216"/>
    <cellStyle name="Total 19 3 5_Table 2A-1_EFT (Annual)" xfId="8716"/>
    <cellStyle name="Total 19 3 6" xfId="9642"/>
    <cellStyle name="Total 19 3 6 2" xfId="21783"/>
    <cellStyle name="Total 19 3 7" xfId="16670"/>
    <cellStyle name="Total 19 3_Table 2A-1_EFT (Annual)" xfId="3541"/>
    <cellStyle name="Total 19 4" xfId="1224"/>
    <cellStyle name="Total 19 4 2" xfId="2494"/>
    <cellStyle name="Total 19 4 2 2" xfId="6055"/>
    <cellStyle name="Total 19 4 2 2 2" xfId="14249"/>
    <cellStyle name="Total 19 4 2 2 2 2" xfId="26221"/>
    <cellStyle name="Total 19 4 2 2 3" xfId="21108"/>
    <cellStyle name="Total 19 4 2 2_Table 2A-1_EFT (Annual)" xfId="8719"/>
    <cellStyle name="Total 19 4 2 3" xfId="11591"/>
    <cellStyle name="Total 19 4 2 3 2" xfId="23675"/>
    <cellStyle name="Total 19 4 2 4" xfId="18562"/>
    <cellStyle name="Total 19 4 2_Table 2A-1_EFT (Annual)" xfId="8718"/>
    <cellStyle name="Total 19 4 3" xfId="4785"/>
    <cellStyle name="Total 19 4 3 2" xfId="13045"/>
    <cellStyle name="Total 19 4 3 2 2" xfId="25051"/>
    <cellStyle name="Total 19 4 3 3" xfId="19938"/>
    <cellStyle name="Total 19 4 3_Table 2A-1_EFT (Annual)" xfId="8720"/>
    <cellStyle name="Total 19 4 4" xfId="10389"/>
    <cellStyle name="Total 19 4 4 2" xfId="22505"/>
    <cellStyle name="Total 19 4 5" xfId="17392"/>
    <cellStyle name="Total 19 4_Table 2A-1_EFT (Annual)" xfId="8717"/>
    <cellStyle name="Total 19 5" xfId="780"/>
    <cellStyle name="Total 19 5 2" xfId="4341"/>
    <cellStyle name="Total 19 5 2 2" xfId="12621"/>
    <cellStyle name="Total 19 5 2 2 2" xfId="24638"/>
    <cellStyle name="Total 19 5 2 3" xfId="19525"/>
    <cellStyle name="Total 19 5 2_Table 2A-1_EFT (Annual)" xfId="8722"/>
    <cellStyle name="Total 19 5 3" xfId="9969"/>
    <cellStyle name="Total 19 5 3 2" xfId="22092"/>
    <cellStyle name="Total 19 5 4" xfId="16979"/>
    <cellStyle name="Total 19 5_Table 2A-1_EFT (Annual)" xfId="8721"/>
    <cellStyle name="Total 19 6" xfId="1963"/>
    <cellStyle name="Total 19 6 2" xfId="5524"/>
    <cellStyle name="Total 19 6 2 2" xfId="13739"/>
    <cellStyle name="Total 19 6 2 2 2" xfId="25727"/>
    <cellStyle name="Total 19 6 2 3" xfId="20614"/>
    <cellStyle name="Total 19 6 2_Table 2A-1_EFT (Annual)" xfId="8724"/>
    <cellStyle name="Total 19 6 3" xfId="11083"/>
    <cellStyle name="Total 19 6 3 2" xfId="23181"/>
    <cellStyle name="Total 19 6 4" xfId="18068"/>
    <cellStyle name="Total 19 6_Table 2A-1_EFT (Annual)" xfId="8723"/>
    <cellStyle name="Total 19 7" xfId="3765"/>
    <cellStyle name="Total 19 7 2" xfId="12133"/>
    <cellStyle name="Total 19 7 2 2" xfId="24163"/>
    <cellStyle name="Total 19 7 3" xfId="19050"/>
    <cellStyle name="Total 19 7_Table 2A-1_EFT (Annual)" xfId="8725"/>
    <cellStyle name="Total 19 8" xfId="9452"/>
    <cellStyle name="Total 19 8 2" xfId="21617"/>
    <cellStyle name="Total 19 9" xfId="16504"/>
    <cellStyle name="Total 19_Table 2A-1_EFT (Annual)" xfId="3539"/>
    <cellStyle name="Total 2" xfId="103"/>
    <cellStyle name="Total 2 10" xfId="21513"/>
    <cellStyle name="Total 2 2" xfId="501"/>
    <cellStyle name="Total 2 2 2" xfId="1478"/>
    <cellStyle name="Total 2 2 2 2" xfId="2748"/>
    <cellStyle name="Total 2 2 2 2 2" xfId="6309"/>
    <cellStyle name="Total 2 2 2 2 2 2" xfId="14503"/>
    <cellStyle name="Total 2 2 2 2 2 2 2" xfId="26475"/>
    <cellStyle name="Total 2 2 2 2 2 3" xfId="21362"/>
    <cellStyle name="Total 2 2 2 2 2_Table 2A-1_EFT (Annual)" xfId="8728"/>
    <cellStyle name="Total 2 2 2 2 3" xfId="11845"/>
    <cellStyle name="Total 2 2 2 2 3 2" xfId="23929"/>
    <cellStyle name="Total 2 2 2 2 4" xfId="18816"/>
    <cellStyle name="Total 2 2 2 2_Table 2A-1_EFT (Annual)" xfId="8727"/>
    <cellStyle name="Total 2 2 2 3" xfId="5039"/>
    <cellStyle name="Total 2 2 2 3 2" xfId="13299"/>
    <cellStyle name="Total 2 2 2 3 2 2" xfId="25305"/>
    <cellStyle name="Total 2 2 2 3 3" xfId="20192"/>
    <cellStyle name="Total 2 2 2 3_Table 2A-1_EFT (Annual)" xfId="8729"/>
    <cellStyle name="Total 2 2 2 4" xfId="10643"/>
    <cellStyle name="Total 2 2 2 4 2" xfId="22759"/>
    <cellStyle name="Total 2 2 2 5" xfId="17646"/>
    <cellStyle name="Total 2 2 2_Table 2A-1_EFT (Annual)" xfId="8726"/>
    <cellStyle name="Total 2 2 3" xfId="1015"/>
    <cellStyle name="Total 2 2 3 2" xfId="4576"/>
    <cellStyle name="Total 2 2 3 2 2" xfId="12836"/>
    <cellStyle name="Total 2 2 3 2 2 2" xfId="24842"/>
    <cellStyle name="Total 2 2 3 2 3" xfId="19729"/>
    <cellStyle name="Total 2 2 3 2_Table 2A-1_EFT (Annual)" xfId="8731"/>
    <cellStyle name="Total 2 2 3 3" xfId="10180"/>
    <cellStyle name="Total 2 2 3 3 2" xfId="22296"/>
    <cellStyle name="Total 2 2 3 4" xfId="17183"/>
    <cellStyle name="Total 2 2 3_Table 2A-1_EFT (Annual)" xfId="8730"/>
    <cellStyle name="Total 2 2 4" xfId="2217"/>
    <cellStyle name="Total 2 2 4 2" xfId="5778"/>
    <cellStyle name="Total 2 2 4 2 2" xfId="13993"/>
    <cellStyle name="Total 2 2 4 2 2 2" xfId="25981"/>
    <cellStyle name="Total 2 2 4 2 3" xfId="20868"/>
    <cellStyle name="Total 2 2 4 2_Table 2A-1_EFT (Annual)" xfId="8733"/>
    <cellStyle name="Total 2 2 4 3" xfId="11337"/>
    <cellStyle name="Total 2 2 4 3 2" xfId="23435"/>
    <cellStyle name="Total 2 2 4 4" xfId="18322"/>
    <cellStyle name="Total 2 2 4_Table 2A-1_EFT (Annual)" xfId="8732"/>
    <cellStyle name="Total 2 2 5" xfId="4071"/>
    <cellStyle name="Total 2 2 5 2" xfId="12395"/>
    <cellStyle name="Total 2 2 5 2 2" xfId="24417"/>
    <cellStyle name="Total 2 2 5 3" xfId="19304"/>
    <cellStyle name="Total 2 2 5_Table 2A-1_EFT (Annual)" xfId="8734"/>
    <cellStyle name="Total 2 2 6" xfId="9734"/>
    <cellStyle name="Total 2 2 6 2" xfId="21871"/>
    <cellStyle name="Total 2 2 7" xfId="16758"/>
    <cellStyle name="Total 2 2_Table 2A-1_EFT (Annual)" xfId="3543"/>
    <cellStyle name="Total 2 3" xfId="334"/>
    <cellStyle name="Total 2 3 2" xfId="1322"/>
    <cellStyle name="Total 2 3 2 2" xfId="2592"/>
    <cellStyle name="Total 2 3 2 2 2" xfId="6153"/>
    <cellStyle name="Total 2 3 2 2 2 2" xfId="14347"/>
    <cellStyle name="Total 2 3 2 2 2 2 2" xfId="26319"/>
    <cellStyle name="Total 2 3 2 2 2 3" xfId="21206"/>
    <cellStyle name="Total 2 3 2 2 2_Table 2A-1_EFT (Annual)" xfId="8737"/>
    <cellStyle name="Total 2 3 2 2 3" xfId="11689"/>
    <cellStyle name="Total 2 3 2 2 3 2" xfId="23773"/>
    <cellStyle name="Total 2 3 2 2 4" xfId="18660"/>
    <cellStyle name="Total 2 3 2 2_Table 2A-1_EFT (Annual)" xfId="8736"/>
    <cellStyle name="Total 2 3 2 3" xfId="4883"/>
    <cellStyle name="Total 2 3 2 3 2" xfId="13143"/>
    <cellStyle name="Total 2 3 2 3 2 2" xfId="25149"/>
    <cellStyle name="Total 2 3 2 3 3" xfId="20036"/>
    <cellStyle name="Total 2 3 2 3_Table 2A-1_EFT (Annual)" xfId="8738"/>
    <cellStyle name="Total 2 3 2 4" xfId="10487"/>
    <cellStyle name="Total 2 3 2 4 2" xfId="22603"/>
    <cellStyle name="Total 2 3 2 5" xfId="17490"/>
    <cellStyle name="Total 2 3 2_Table 2A-1_EFT (Annual)" xfId="8735"/>
    <cellStyle name="Total 2 3 3" xfId="878"/>
    <cellStyle name="Total 2 3 3 2" xfId="4439"/>
    <cellStyle name="Total 2 3 3 2 2" xfId="12704"/>
    <cellStyle name="Total 2 3 3 2 2 2" xfId="24716"/>
    <cellStyle name="Total 2 3 3 2 3" xfId="19603"/>
    <cellStyle name="Total 2 3 3 2_Table 2A-1_EFT (Annual)" xfId="8740"/>
    <cellStyle name="Total 2 3 3 3" xfId="10051"/>
    <cellStyle name="Total 2 3 3 3 2" xfId="22170"/>
    <cellStyle name="Total 2 3 3 4" xfId="17057"/>
    <cellStyle name="Total 2 3 3_Table 2A-1_EFT (Annual)" xfId="8739"/>
    <cellStyle name="Total 2 3 4" xfId="2061"/>
    <cellStyle name="Total 2 3 4 2" xfId="5622"/>
    <cellStyle name="Total 2 3 4 2 2" xfId="13837"/>
    <cellStyle name="Total 2 3 4 2 2 2" xfId="25825"/>
    <cellStyle name="Total 2 3 4 2 3" xfId="20712"/>
    <cellStyle name="Total 2 3 4 2_Table 2A-1_EFT (Annual)" xfId="8742"/>
    <cellStyle name="Total 2 3 4 3" xfId="11181"/>
    <cellStyle name="Total 2 3 4 3 2" xfId="23279"/>
    <cellStyle name="Total 2 3 4 4" xfId="18166"/>
    <cellStyle name="Total 2 3 4_Table 2A-1_EFT (Annual)" xfId="8741"/>
    <cellStyle name="Total 2 3 5" xfId="3904"/>
    <cellStyle name="Total 2 3 5 2" xfId="12236"/>
    <cellStyle name="Total 2 3 5 2 2" xfId="24261"/>
    <cellStyle name="Total 2 3 5 3" xfId="19148"/>
    <cellStyle name="Total 2 3 5_Table 2A-1_EFT (Annual)" xfId="8743"/>
    <cellStyle name="Total 2 3 6" xfId="9573"/>
    <cellStyle name="Total 2 3 6 2" xfId="21715"/>
    <cellStyle name="Total 2 3 7" xfId="16602"/>
    <cellStyle name="Total 2 3_Table 2A-1_EFT (Annual)" xfId="3544"/>
    <cellStyle name="Total 2 4" xfId="1156"/>
    <cellStyle name="Total 2 4 2" xfId="2426"/>
    <cellStyle name="Total 2 4 2 2" xfId="5987"/>
    <cellStyle name="Total 2 4 2 2 2" xfId="14181"/>
    <cellStyle name="Total 2 4 2 2 2 2" xfId="26153"/>
    <cellStyle name="Total 2 4 2 2 3" xfId="21040"/>
    <cellStyle name="Total 2 4 2 2_Table 2A-1_EFT (Annual)" xfId="8746"/>
    <cellStyle name="Total 2 4 2 3" xfId="11523"/>
    <cellStyle name="Total 2 4 2 3 2" xfId="23607"/>
    <cellStyle name="Total 2 4 2 4" xfId="18494"/>
    <cellStyle name="Total 2 4 2_Table 2A-1_EFT (Annual)" xfId="8745"/>
    <cellStyle name="Total 2 4 3" xfId="4717"/>
    <cellStyle name="Total 2 4 3 2" xfId="12977"/>
    <cellStyle name="Total 2 4 3 2 2" xfId="24983"/>
    <cellStyle name="Total 2 4 3 3" xfId="19870"/>
    <cellStyle name="Total 2 4 3_Table 2A-1_EFT (Annual)" xfId="8747"/>
    <cellStyle name="Total 2 4 4" xfId="10321"/>
    <cellStyle name="Total 2 4 4 2" xfId="22437"/>
    <cellStyle name="Total 2 4 5" xfId="17324"/>
    <cellStyle name="Total 2 4_Table 2A-1_EFT (Annual)" xfId="8744"/>
    <cellStyle name="Total 2 5" xfId="719"/>
    <cellStyle name="Total 2 5 2" xfId="4280"/>
    <cellStyle name="Total 2 5 2 2" xfId="12564"/>
    <cellStyle name="Total 2 5 2 2 2" xfId="24582"/>
    <cellStyle name="Total 2 5 2 3" xfId="19469"/>
    <cellStyle name="Total 2 5 2_Table 2A-1_EFT (Annual)" xfId="8749"/>
    <cellStyle name="Total 2 5 3" xfId="9911"/>
    <cellStyle name="Total 2 5 3 2" xfId="22036"/>
    <cellStyle name="Total 2 5 4" xfId="16923"/>
    <cellStyle name="Total 2 5_Table 2A-1_EFT (Annual)" xfId="8748"/>
    <cellStyle name="Total 2 6" xfId="1810"/>
    <cellStyle name="Total 2 6 2" xfId="5371"/>
    <cellStyle name="Total 2 6 2 2" xfId="13586"/>
    <cellStyle name="Total 2 6 2 2 2" xfId="25574"/>
    <cellStyle name="Total 2 6 2 3" xfId="20461"/>
    <cellStyle name="Total 2 6 2_Table 2A-1_EFT (Annual)" xfId="8751"/>
    <cellStyle name="Total 2 6 3" xfId="10930"/>
    <cellStyle name="Total 2 6 3 2" xfId="23028"/>
    <cellStyle name="Total 2 6 4" xfId="17915"/>
    <cellStyle name="Total 2 6_Table 2A-1_EFT (Annual)" xfId="8750"/>
    <cellStyle name="Total 2 7" xfId="3692"/>
    <cellStyle name="Total 2 7 2" xfId="12064"/>
    <cellStyle name="Total 2 7 2 2" xfId="24095"/>
    <cellStyle name="Total 2 7 3" xfId="18982"/>
    <cellStyle name="Total 2 7_Table 2A-1_EFT (Annual)" xfId="8752"/>
    <cellStyle name="Total 2 8" xfId="9382"/>
    <cellStyle name="Total 2 8 2" xfId="21549"/>
    <cellStyle name="Total 2 9" xfId="16436"/>
    <cellStyle name="Total 2_Table 2A-1_EFT (Annual)" xfId="3542"/>
    <cellStyle name="Total 20" xfId="182"/>
    <cellStyle name="Total 20 2" xfId="575"/>
    <cellStyle name="Total 20 2 2" xfId="1552"/>
    <cellStyle name="Total 20 2 2 2" xfId="2822"/>
    <cellStyle name="Total 20 2 2 2 2" xfId="6383"/>
    <cellStyle name="Total 20 2 2 2 2 2" xfId="14577"/>
    <cellStyle name="Total 20 2 2 2 2 2 2" xfId="26549"/>
    <cellStyle name="Total 20 2 2 2 2 3" xfId="21436"/>
    <cellStyle name="Total 20 2 2 2 2_Table 2A-1_EFT (Annual)" xfId="8755"/>
    <cellStyle name="Total 20 2 2 2 3" xfId="11919"/>
    <cellStyle name="Total 20 2 2 2 3 2" xfId="24003"/>
    <cellStyle name="Total 20 2 2 2 4" xfId="18890"/>
    <cellStyle name="Total 20 2 2 2_Table 2A-1_EFT (Annual)" xfId="8754"/>
    <cellStyle name="Total 20 2 2 3" xfId="5113"/>
    <cellStyle name="Total 20 2 2 3 2" xfId="13373"/>
    <cellStyle name="Total 20 2 2 3 2 2" xfId="25379"/>
    <cellStyle name="Total 20 2 2 3 3" xfId="20266"/>
    <cellStyle name="Total 20 2 2 3_Table 2A-1_EFT (Annual)" xfId="8756"/>
    <cellStyle name="Total 20 2 2 4" xfId="10717"/>
    <cellStyle name="Total 20 2 2 4 2" xfId="22833"/>
    <cellStyle name="Total 20 2 2 5" xfId="17720"/>
    <cellStyle name="Total 20 2 2_Table 2A-1_EFT (Annual)" xfId="8753"/>
    <cellStyle name="Total 20 2 3" xfId="1076"/>
    <cellStyle name="Total 20 2 3 2" xfId="4637"/>
    <cellStyle name="Total 20 2 3 2 2" xfId="12897"/>
    <cellStyle name="Total 20 2 3 2 2 2" xfId="24903"/>
    <cellStyle name="Total 20 2 3 2 3" xfId="19790"/>
    <cellStyle name="Total 20 2 3 2_Table 2A-1_EFT (Annual)" xfId="8758"/>
    <cellStyle name="Total 20 2 3 3" xfId="10241"/>
    <cellStyle name="Total 20 2 3 3 2" xfId="22357"/>
    <cellStyle name="Total 20 2 3 4" xfId="17244"/>
    <cellStyle name="Total 20 2 3_Table 2A-1_EFT (Annual)" xfId="8757"/>
    <cellStyle name="Total 20 2 4" xfId="2291"/>
    <cellStyle name="Total 20 2 4 2" xfId="5852"/>
    <cellStyle name="Total 20 2 4 2 2" xfId="14067"/>
    <cellStyle name="Total 20 2 4 2 2 2" xfId="26055"/>
    <cellStyle name="Total 20 2 4 2 3" xfId="20942"/>
    <cellStyle name="Total 20 2 4 2_Table 2A-1_EFT (Annual)" xfId="8760"/>
    <cellStyle name="Total 20 2 4 3" xfId="11411"/>
    <cellStyle name="Total 20 2 4 3 2" xfId="23509"/>
    <cellStyle name="Total 20 2 4 4" xfId="18396"/>
    <cellStyle name="Total 20 2 4_Table 2A-1_EFT (Annual)" xfId="8759"/>
    <cellStyle name="Total 20 2 5" xfId="4145"/>
    <cellStyle name="Total 20 2 5 2" xfId="12469"/>
    <cellStyle name="Total 20 2 5 2 2" xfId="24491"/>
    <cellStyle name="Total 20 2 5 3" xfId="19378"/>
    <cellStyle name="Total 20 2 5_Table 2A-1_EFT (Annual)" xfId="8761"/>
    <cellStyle name="Total 20 2 6" xfId="9808"/>
    <cellStyle name="Total 20 2 6 2" xfId="21945"/>
    <cellStyle name="Total 20 2 7" xfId="16832"/>
    <cellStyle name="Total 20 2_Table 2A-1_EFT (Annual)" xfId="3546"/>
    <cellStyle name="Total 20 3" xfId="413"/>
    <cellStyle name="Total 20 3 2" xfId="1396"/>
    <cellStyle name="Total 20 3 2 2" xfId="2666"/>
    <cellStyle name="Total 20 3 2 2 2" xfId="6227"/>
    <cellStyle name="Total 20 3 2 2 2 2" xfId="14421"/>
    <cellStyle name="Total 20 3 2 2 2 2 2" xfId="26393"/>
    <cellStyle name="Total 20 3 2 2 2 3" xfId="21280"/>
    <cellStyle name="Total 20 3 2 2 2_Table 2A-1_EFT (Annual)" xfId="8764"/>
    <cellStyle name="Total 20 3 2 2 3" xfId="11763"/>
    <cellStyle name="Total 20 3 2 2 3 2" xfId="23847"/>
    <cellStyle name="Total 20 3 2 2 4" xfId="18734"/>
    <cellStyle name="Total 20 3 2 2_Table 2A-1_EFT (Annual)" xfId="8763"/>
    <cellStyle name="Total 20 3 2 3" xfId="4957"/>
    <cellStyle name="Total 20 3 2 3 2" xfId="13217"/>
    <cellStyle name="Total 20 3 2 3 2 2" xfId="25223"/>
    <cellStyle name="Total 20 3 2 3 3" xfId="20110"/>
    <cellStyle name="Total 20 3 2 3_Table 2A-1_EFT (Annual)" xfId="8765"/>
    <cellStyle name="Total 20 3 2 4" xfId="10561"/>
    <cellStyle name="Total 20 3 2 4 2" xfId="22677"/>
    <cellStyle name="Total 20 3 2 5" xfId="17564"/>
    <cellStyle name="Total 20 3 2_Table 2A-1_EFT (Annual)" xfId="8762"/>
    <cellStyle name="Total 20 3 3" xfId="944"/>
    <cellStyle name="Total 20 3 3 2" xfId="4505"/>
    <cellStyle name="Total 20 3 3 2 2" xfId="12767"/>
    <cellStyle name="Total 20 3 3 2 2 2" xfId="24777"/>
    <cellStyle name="Total 20 3 3 2 3" xfId="19664"/>
    <cellStyle name="Total 20 3 3 2_Table 2A-1_EFT (Annual)" xfId="8767"/>
    <cellStyle name="Total 20 3 3 3" xfId="10114"/>
    <cellStyle name="Total 20 3 3 3 2" xfId="22231"/>
    <cellStyle name="Total 20 3 3 4" xfId="17118"/>
    <cellStyle name="Total 20 3 3_Table 2A-1_EFT (Annual)" xfId="8766"/>
    <cellStyle name="Total 20 3 4" xfId="2135"/>
    <cellStyle name="Total 20 3 4 2" xfId="5696"/>
    <cellStyle name="Total 20 3 4 2 2" xfId="13911"/>
    <cellStyle name="Total 20 3 4 2 2 2" xfId="25899"/>
    <cellStyle name="Total 20 3 4 2 3" xfId="20786"/>
    <cellStyle name="Total 20 3 4 2_Table 2A-1_EFT (Annual)" xfId="8769"/>
    <cellStyle name="Total 20 3 4 3" xfId="11255"/>
    <cellStyle name="Total 20 3 4 3 2" xfId="23353"/>
    <cellStyle name="Total 20 3 4 4" xfId="18240"/>
    <cellStyle name="Total 20 3 4_Table 2A-1_EFT (Annual)" xfId="8768"/>
    <cellStyle name="Total 20 3 5" xfId="3983"/>
    <cellStyle name="Total 20 3 5 2" xfId="12311"/>
    <cellStyle name="Total 20 3 5 2 2" xfId="24335"/>
    <cellStyle name="Total 20 3 5 3" xfId="19222"/>
    <cellStyle name="Total 20 3 5_Table 2A-1_EFT (Annual)" xfId="8770"/>
    <cellStyle name="Total 20 3 6" xfId="9648"/>
    <cellStyle name="Total 20 3 6 2" xfId="21789"/>
    <cellStyle name="Total 20 3 7" xfId="16676"/>
    <cellStyle name="Total 20 3_Table 2A-1_EFT (Annual)" xfId="3547"/>
    <cellStyle name="Total 20 4" xfId="1230"/>
    <cellStyle name="Total 20 4 2" xfId="2500"/>
    <cellStyle name="Total 20 4 2 2" xfId="6061"/>
    <cellStyle name="Total 20 4 2 2 2" xfId="14255"/>
    <cellStyle name="Total 20 4 2 2 2 2" xfId="26227"/>
    <cellStyle name="Total 20 4 2 2 3" xfId="21114"/>
    <cellStyle name="Total 20 4 2 2_Table 2A-1_EFT (Annual)" xfId="8773"/>
    <cellStyle name="Total 20 4 2 3" xfId="11597"/>
    <cellStyle name="Total 20 4 2 3 2" xfId="23681"/>
    <cellStyle name="Total 20 4 2 4" xfId="18568"/>
    <cellStyle name="Total 20 4 2_Table 2A-1_EFT (Annual)" xfId="8772"/>
    <cellStyle name="Total 20 4 3" xfId="4791"/>
    <cellStyle name="Total 20 4 3 2" xfId="13051"/>
    <cellStyle name="Total 20 4 3 2 2" xfId="25057"/>
    <cellStyle name="Total 20 4 3 3" xfId="19944"/>
    <cellStyle name="Total 20 4 3_Table 2A-1_EFT (Annual)" xfId="8774"/>
    <cellStyle name="Total 20 4 4" xfId="10395"/>
    <cellStyle name="Total 20 4 4 2" xfId="22511"/>
    <cellStyle name="Total 20 4 5" xfId="17398"/>
    <cellStyle name="Total 20 4_Table 2A-1_EFT (Annual)" xfId="8771"/>
    <cellStyle name="Total 20 5" xfId="785"/>
    <cellStyle name="Total 20 5 2" xfId="4346"/>
    <cellStyle name="Total 20 5 2 2" xfId="12626"/>
    <cellStyle name="Total 20 5 2 2 2" xfId="24643"/>
    <cellStyle name="Total 20 5 2 3" xfId="19530"/>
    <cellStyle name="Total 20 5 2_Table 2A-1_EFT (Annual)" xfId="8776"/>
    <cellStyle name="Total 20 5 3" xfId="9974"/>
    <cellStyle name="Total 20 5 3 2" xfId="22097"/>
    <cellStyle name="Total 20 5 4" xfId="16984"/>
    <cellStyle name="Total 20 5_Table 2A-1_EFT (Annual)" xfId="8775"/>
    <cellStyle name="Total 20 6" xfId="1969"/>
    <cellStyle name="Total 20 6 2" xfId="5530"/>
    <cellStyle name="Total 20 6 2 2" xfId="13745"/>
    <cellStyle name="Total 20 6 2 2 2" xfId="25733"/>
    <cellStyle name="Total 20 6 2 3" xfId="20620"/>
    <cellStyle name="Total 20 6 2_Table 2A-1_EFT (Annual)" xfId="8778"/>
    <cellStyle name="Total 20 6 3" xfId="11089"/>
    <cellStyle name="Total 20 6 3 2" xfId="23187"/>
    <cellStyle name="Total 20 6 4" xfId="18074"/>
    <cellStyle name="Total 20 6_Table 2A-1_EFT (Annual)" xfId="8777"/>
    <cellStyle name="Total 20 7" xfId="3771"/>
    <cellStyle name="Total 20 7 2" xfId="12139"/>
    <cellStyle name="Total 20 7 2 2" xfId="24169"/>
    <cellStyle name="Total 20 7 3" xfId="19056"/>
    <cellStyle name="Total 20 7_Table 2A-1_EFT (Annual)" xfId="8779"/>
    <cellStyle name="Total 20 8" xfId="9458"/>
    <cellStyle name="Total 20 8 2" xfId="21623"/>
    <cellStyle name="Total 20 9" xfId="16510"/>
    <cellStyle name="Total 20_Table 2A-1_EFT (Annual)" xfId="3545"/>
    <cellStyle name="Total 21" xfId="200"/>
    <cellStyle name="Total 21 2" xfId="593"/>
    <cellStyle name="Total 21 2 2" xfId="1570"/>
    <cellStyle name="Total 21 2 2 2" xfId="2840"/>
    <cellStyle name="Total 21 2 2 2 2" xfId="6401"/>
    <cellStyle name="Total 21 2 2 2 2 2" xfId="14595"/>
    <cellStyle name="Total 21 2 2 2 2 2 2" xfId="26567"/>
    <cellStyle name="Total 21 2 2 2 2 3" xfId="21454"/>
    <cellStyle name="Total 21 2 2 2 2_Table 2A-1_EFT (Annual)" xfId="8782"/>
    <cellStyle name="Total 21 2 2 2 3" xfId="11937"/>
    <cellStyle name="Total 21 2 2 2 3 2" xfId="24021"/>
    <cellStyle name="Total 21 2 2 2 4" xfId="18908"/>
    <cellStyle name="Total 21 2 2 2_Table 2A-1_EFT (Annual)" xfId="8781"/>
    <cellStyle name="Total 21 2 2 3" xfId="5131"/>
    <cellStyle name="Total 21 2 2 3 2" xfId="13391"/>
    <cellStyle name="Total 21 2 2 3 2 2" xfId="25397"/>
    <cellStyle name="Total 21 2 2 3 3" xfId="20284"/>
    <cellStyle name="Total 21 2 2 3_Table 2A-1_EFT (Annual)" xfId="8783"/>
    <cellStyle name="Total 21 2 2 4" xfId="10735"/>
    <cellStyle name="Total 21 2 2 4 2" xfId="22851"/>
    <cellStyle name="Total 21 2 2 5" xfId="17738"/>
    <cellStyle name="Total 21 2 2_Table 2A-1_EFT (Annual)" xfId="8780"/>
    <cellStyle name="Total 21 2 3" xfId="1091"/>
    <cellStyle name="Total 21 2 3 2" xfId="4652"/>
    <cellStyle name="Total 21 2 3 2 2" xfId="12912"/>
    <cellStyle name="Total 21 2 3 2 2 2" xfId="24918"/>
    <cellStyle name="Total 21 2 3 2 3" xfId="19805"/>
    <cellStyle name="Total 21 2 3 2_Table 2A-1_EFT (Annual)" xfId="8785"/>
    <cellStyle name="Total 21 2 3 3" xfId="10256"/>
    <cellStyle name="Total 21 2 3 3 2" xfId="22372"/>
    <cellStyle name="Total 21 2 3 4" xfId="17259"/>
    <cellStyle name="Total 21 2 3_Table 2A-1_EFT (Annual)" xfId="8784"/>
    <cellStyle name="Total 21 2 4" xfId="2309"/>
    <cellStyle name="Total 21 2 4 2" xfId="5870"/>
    <cellStyle name="Total 21 2 4 2 2" xfId="14085"/>
    <cellStyle name="Total 21 2 4 2 2 2" xfId="26073"/>
    <cellStyle name="Total 21 2 4 2 3" xfId="20960"/>
    <cellStyle name="Total 21 2 4 2_Table 2A-1_EFT (Annual)" xfId="8787"/>
    <cellStyle name="Total 21 2 4 3" xfId="11429"/>
    <cellStyle name="Total 21 2 4 3 2" xfId="23527"/>
    <cellStyle name="Total 21 2 4 4" xfId="18414"/>
    <cellStyle name="Total 21 2 4_Table 2A-1_EFT (Annual)" xfId="8786"/>
    <cellStyle name="Total 21 2 5" xfId="4163"/>
    <cellStyle name="Total 21 2 5 2" xfId="12487"/>
    <cellStyle name="Total 21 2 5 2 2" xfId="24509"/>
    <cellStyle name="Total 21 2 5 3" xfId="19396"/>
    <cellStyle name="Total 21 2 5_Table 2A-1_EFT (Annual)" xfId="8788"/>
    <cellStyle name="Total 21 2 6" xfId="9826"/>
    <cellStyle name="Total 21 2 6 2" xfId="21963"/>
    <cellStyle name="Total 21 2 7" xfId="16850"/>
    <cellStyle name="Total 21 2_Table 2A-1_EFT (Annual)" xfId="3549"/>
    <cellStyle name="Total 21 3" xfId="429"/>
    <cellStyle name="Total 21 3 2" xfId="1412"/>
    <cellStyle name="Total 21 3 2 2" xfId="2682"/>
    <cellStyle name="Total 21 3 2 2 2" xfId="6243"/>
    <cellStyle name="Total 21 3 2 2 2 2" xfId="14437"/>
    <cellStyle name="Total 21 3 2 2 2 2 2" xfId="26409"/>
    <cellStyle name="Total 21 3 2 2 2 3" xfId="21296"/>
    <cellStyle name="Total 21 3 2 2 2_Table 2A-1_EFT (Annual)" xfId="8791"/>
    <cellStyle name="Total 21 3 2 2 3" xfId="11779"/>
    <cellStyle name="Total 21 3 2 2 3 2" xfId="23863"/>
    <cellStyle name="Total 21 3 2 2 4" xfId="18750"/>
    <cellStyle name="Total 21 3 2 2_Table 2A-1_EFT (Annual)" xfId="8790"/>
    <cellStyle name="Total 21 3 2 3" xfId="4973"/>
    <cellStyle name="Total 21 3 2 3 2" xfId="13233"/>
    <cellStyle name="Total 21 3 2 3 2 2" xfId="25239"/>
    <cellStyle name="Total 21 3 2 3 3" xfId="20126"/>
    <cellStyle name="Total 21 3 2 3_Table 2A-1_EFT (Annual)" xfId="8792"/>
    <cellStyle name="Total 21 3 2 4" xfId="10577"/>
    <cellStyle name="Total 21 3 2 4 2" xfId="22693"/>
    <cellStyle name="Total 21 3 2 5" xfId="17580"/>
    <cellStyle name="Total 21 3 2_Table 2A-1_EFT (Annual)" xfId="8789"/>
    <cellStyle name="Total 21 3 3" xfId="957"/>
    <cellStyle name="Total 21 3 3 2" xfId="4518"/>
    <cellStyle name="Total 21 3 3 2 2" xfId="12780"/>
    <cellStyle name="Total 21 3 3 2 2 2" xfId="24790"/>
    <cellStyle name="Total 21 3 3 2 3" xfId="19677"/>
    <cellStyle name="Total 21 3 3 2_Table 2A-1_EFT (Annual)" xfId="8794"/>
    <cellStyle name="Total 21 3 3 3" xfId="10127"/>
    <cellStyle name="Total 21 3 3 3 2" xfId="22244"/>
    <cellStyle name="Total 21 3 3 4" xfId="17131"/>
    <cellStyle name="Total 21 3 3_Table 2A-1_EFT (Annual)" xfId="8793"/>
    <cellStyle name="Total 21 3 4" xfId="2151"/>
    <cellStyle name="Total 21 3 4 2" xfId="5712"/>
    <cellStyle name="Total 21 3 4 2 2" xfId="13927"/>
    <cellStyle name="Total 21 3 4 2 2 2" xfId="25915"/>
    <cellStyle name="Total 21 3 4 2 3" xfId="20802"/>
    <cellStyle name="Total 21 3 4 2_Table 2A-1_EFT (Annual)" xfId="8796"/>
    <cellStyle name="Total 21 3 4 3" xfId="11271"/>
    <cellStyle name="Total 21 3 4 3 2" xfId="23369"/>
    <cellStyle name="Total 21 3 4 4" xfId="18256"/>
    <cellStyle name="Total 21 3 4_Table 2A-1_EFT (Annual)" xfId="8795"/>
    <cellStyle name="Total 21 3 5" xfId="3999"/>
    <cellStyle name="Total 21 3 5 2" xfId="12327"/>
    <cellStyle name="Total 21 3 5 2 2" xfId="24351"/>
    <cellStyle name="Total 21 3 5 3" xfId="19238"/>
    <cellStyle name="Total 21 3 5_Table 2A-1_EFT (Annual)" xfId="8797"/>
    <cellStyle name="Total 21 3 6" xfId="9664"/>
    <cellStyle name="Total 21 3 6 2" xfId="21805"/>
    <cellStyle name="Total 21 3 7" xfId="16692"/>
    <cellStyle name="Total 21 3_Table 2A-1_EFT (Annual)" xfId="3550"/>
    <cellStyle name="Total 21 4" xfId="1248"/>
    <cellStyle name="Total 21 4 2" xfId="2518"/>
    <cellStyle name="Total 21 4 2 2" xfId="6079"/>
    <cellStyle name="Total 21 4 2 2 2" xfId="14273"/>
    <cellStyle name="Total 21 4 2 2 2 2" xfId="26245"/>
    <cellStyle name="Total 21 4 2 2 3" xfId="21132"/>
    <cellStyle name="Total 21 4 2 2_Table 2A-1_EFT (Annual)" xfId="8800"/>
    <cellStyle name="Total 21 4 2 3" xfId="11615"/>
    <cellStyle name="Total 21 4 2 3 2" xfId="23699"/>
    <cellStyle name="Total 21 4 2 4" xfId="18586"/>
    <cellStyle name="Total 21 4 2_Table 2A-1_EFT (Annual)" xfId="8799"/>
    <cellStyle name="Total 21 4 3" xfId="4809"/>
    <cellStyle name="Total 21 4 3 2" xfId="13069"/>
    <cellStyle name="Total 21 4 3 2 2" xfId="25075"/>
    <cellStyle name="Total 21 4 3 3" xfId="19962"/>
    <cellStyle name="Total 21 4 3_Table 2A-1_EFT (Annual)" xfId="8801"/>
    <cellStyle name="Total 21 4 4" xfId="10413"/>
    <cellStyle name="Total 21 4 4 2" xfId="22529"/>
    <cellStyle name="Total 21 4 5" xfId="17416"/>
    <cellStyle name="Total 21 4_Table 2A-1_EFT (Annual)" xfId="8798"/>
    <cellStyle name="Total 21 5" xfId="800"/>
    <cellStyle name="Total 21 5 2" xfId="4361"/>
    <cellStyle name="Total 21 5 2 2" xfId="12641"/>
    <cellStyle name="Total 21 5 2 2 2" xfId="24658"/>
    <cellStyle name="Total 21 5 2 3" xfId="19545"/>
    <cellStyle name="Total 21 5 2_Table 2A-1_EFT (Annual)" xfId="8803"/>
    <cellStyle name="Total 21 5 3" xfId="9989"/>
    <cellStyle name="Total 21 5 3 2" xfId="22112"/>
    <cellStyle name="Total 21 5 4" xfId="16999"/>
    <cellStyle name="Total 21 5_Table 2A-1_EFT (Annual)" xfId="8802"/>
    <cellStyle name="Total 21 6" xfId="1987"/>
    <cellStyle name="Total 21 6 2" xfId="5548"/>
    <cellStyle name="Total 21 6 2 2" xfId="13763"/>
    <cellStyle name="Total 21 6 2 2 2" xfId="25751"/>
    <cellStyle name="Total 21 6 2 3" xfId="20638"/>
    <cellStyle name="Total 21 6 2_Table 2A-1_EFT (Annual)" xfId="8805"/>
    <cellStyle name="Total 21 6 3" xfId="11107"/>
    <cellStyle name="Total 21 6 3 2" xfId="23205"/>
    <cellStyle name="Total 21 6 4" xfId="18092"/>
    <cellStyle name="Total 21 6_Table 2A-1_EFT (Annual)" xfId="8804"/>
    <cellStyle name="Total 21 7" xfId="3789"/>
    <cellStyle name="Total 21 7 2" xfId="12157"/>
    <cellStyle name="Total 21 7 2 2" xfId="24187"/>
    <cellStyle name="Total 21 7 3" xfId="19074"/>
    <cellStyle name="Total 21 7_Table 2A-1_EFT (Annual)" xfId="8806"/>
    <cellStyle name="Total 21 8" xfId="9476"/>
    <cellStyle name="Total 21 8 2" xfId="21641"/>
    <cellStyle name="Total 21 9" xfId="16528"/>
    <cellStyle name="Total 21_Table 2A-1_EFT (Annual)" xfId="3548"/>
    <cellStyle name="Total 22" xfId="212"/>
    <cellStyle name="Total 22 2" xfId="605"/>
    <cellStyle name="Total 22 2 2" xfId="1582"/>
    <cellStyle name="Total 22 2 2 2" xfId="2852"/>
    <cellStyle name="Total 22 2 2 2 2" xfId="6413"/>
    <cellStyle name="Total 22 2 2 2 2 2" xfId="14607"/>
    <cellStyle name="Total 22 2 2 2 2 2 2" xfId="26579"/>
    <cellStyle name="Total 22 2 2 2 2 3" xfId="21466"/>
    <cellStyle name="Total 22 2 2 2 2_Table 2A-1_EFT (Annual)" xfId="8809"/>
    <cellStyle name="Total 22 2 2 2 3" xfId="11949"/>
    <cellStyle name="Total 22 2 2 2 3 2" xfId="24033"/>
    <cellStyle name="Total 22 2 2 2 4" xfId="18920"/>
    <cellStyle name="Total 22 2 2 2_Table 2A-1_EFT (Annual)" xfId="8808"/>
    <cellStyle name="Total 22 2 2 3" xfId="5143"/>
    <cellStyle name="Total 22 2 2 3 2" xfId="13403"/>
    <cellStyle name="Total 22 2 2 3 2 2" xfId="25409"/>
    <cellStyle name="Total 22 2 2 3 3" xfId="20296"/>
    <cellStyle name="Total 22 2 2 3_Table 2A-1_EFT (Annual)" xfId="8810"/>
    <cellStyle name="Total 22 2 2 4" xfId="10747"/>
    <cellStyle name="Total 22 2 2 4 2" xfId="22863"/>
    <cellStyle name="Total 22 2 2 5" xfId="17750"/>
    <cellStyle name="Total 22 2 2_Table 2A-1_EFT (Annual)" xfId="8807"/>
    <cellStyle name="Total 22 2 3" xfId="1100"/>
    <cellStyle name="Total 22 2 3 2" xfId="4661"/>
    <cellStyle name="Total 22 2 3 2 2" xfId="12921"/>
    <cellStyle name="Total 22 2 3 2 2 2" xfId="24927"/>
    <cellStyle name="Total 22 2 3 2 3" xfId="19814"/>
    <cellStyle name="Total 22 2 3 2_Table 2A-1_EFT (Annual)" xfId="8812"/>
    <cellStyle name="Total 22 2 3 3" xfId="10265"/>
    <cellStyle name="Total 22 2 3 3 2" xfId="22381"/>
    <cellStyle name="Total 22 2 3 4" xfId="17268"/>
    <cellStyle name="Total 22 2 3_Table 2A-1_EFT (Annual)" xfId="8811"/>
    <cellStyle name="Total 22 2 4" xfId="2321"/>
    <cellStyle name="Total 22 2 4 2" xfId="5882"/>
    <cellStyle name="Total 22 2 4 2 2" xfId="14097"/>
    <cellStyle name="Total 22 2 4 2 2 2" xfId="26085"/>
    <cellStyle name="Total 22 2 4 2 3" xfId="20972"/>
    <cellStyle name="Total 22 2 4 2_Table 2A-1_EFT (Annual)" xfId="8814"/>
    <cellStyle name="Total 22 2 4 3" xfId="11441"/>
    <cellStyle name="Total 22 2 4 3 2" xfId="23539"/>
    <cellStyle name="Total 22 2 4 4" xfId="18426"/>
    <cellStyle name="Total 22 2 4_Table 2A-1_EFT (Annual)" xfId="8813"/>
    <cellStyle name="Total 22 2 5" xfId="4175"/>
    <cellStyle name="Total 22 2 5 2" xfId="12499"/>
    <cellStyle name="Total 22 2 5 2 2" xfId="24521"/>
    <cellStyle name="Total 22 2 5 3" xfId="19408"/>
    <cellStyle name="Total 22 2 5_Table 2A-1_EFT (Annual)" xfId="8815"/>
    <cellStyle name="Total 22 2 6" xfId="9838"/>
    <cellStyle name="Total 22 2 6 2" xfId="21975"/>
    <cellStyle name="Total 22 2 7" xfId="16862"/>
    <cellStyle name="Total 22 2_Table 2A-1_EFT (Annual)" xfId="3552"/>
    <cellStyle name="Total 22 3" xfId="440"/>
    <cellStyle name="Total 22 3 2" xfId="1423"/>
    <cellStyle name="Total 22 3 2 2" xfId="2693"/>
    <cellStyle name="Total 22 3 2 2 2" xfId="6254"/>
    <cellStyle name="Total 22 3 2 2 2 2" xfId="14448"/>
    <cellStyle name="Total 22 3 2 2 2 2 2" xfId="26420"/>
    <cellStyle name="Total 22 3 2 2 2 3" xfId="21307"/>
    <cellStyle name="Total 22 3 2 2 2_Table 2A-1_EFT (Annual)" xfId="8818"/>
    <cellStyle name="Total 22 3 2 2 3" xfId="11790"/>
    <cellStyle name="Total 22 3 2 2 3 2" xfId="23874"/>
    <cellStyle name="Total 22 3 2 2 4" xfId="18761"/>
    <cellStyle name="Total 22 3 2 2_Table 2A-1_EFT (Annual)" xfId="8817"/>
    <cellStyle name="Total 22 3 2 3" xfId="4984"/>
    <cellStyle name="Total 22 3 2 3 2" xfId="13244"/>
    <cellStyle name="Total 22 3 2 3 2 2" xfId="25250"/>
    <cellStyle name="Total 22 3 2 3 3" xfId="20137"/>
    <cellStyle name="Total 22 3 2 3_Table 2A-1_EFT (Annual)" xfId="8819"/>
    <cellStyle name="Total 22 3 2 4" xfId="10588"/>
    <cellStyle name="Total 22 3 2 4 2" xfId="22704"/>
    <cellStyle name="Total 22 3 2 5" xfId="17591"/>
    <cellStyle name="Total 22 3 2_Table 2A-1_EFT (Annual)" xfId="8816"/>
    <cellStyle name="Total 22 3 3" xfId="965"/>
    <cellStyle name="Total 22 3 3 2" xfId="4526"/>
    <cellStyle name="Total 22 3 3 2 2" xfId="12788"/>
    <cellStyle name="Total 22 3 3 2 2 2" xfId="24798"/>
    <cellStyle name="Total 22 3 3 2 3" xfId="19685"/>
    <cellStyle name="Total 22 3 3 2_Table 2A-1_EFT (Annual)" xfId="8821"/>
    <cellStyle name="Total 22 3 3 3" xfId="10135"/>
    <cellStyle name="Total 22 3 3 3 2" xfId="22252"/>
    <cellStyle name="Total 22 3 3 4" xfId="17139"/>
    <cellStyle name="Total 22 3 3_Table 2A-1_EFT (Annual)" xfId="8820"/>
    <cellStyle name="Total 22 3 4" xfId="2162"/>
    <cellStyle name="Total 22 3 4 2" xfId="5723"/>
    <cellStyle name="Total 22 3 4 2 2" xfId="13938"/>
    <cellStyle name="Total 22 3 4 2 2 2" xfId="25926"/>
    <cellStyle name="Total 22 3 4 2 3" xfId="20813"/>
    <cellStyle name="Total 22 3 4 2_Table 2A-1_EFT (Annual)" xfId="8823"/>
    <cellStyle name="Total 22 3 4 3" xfId="11282"/>
    <cellStyle name="Total 22 3 4 3 2" xfId="23380"/>
    <cellStyle name="Total 22 3 4 4" xfId="18267"/>
    <cellStyle name="Total 22 3 4_Table 2A-1_EFT (Annual)" xfId="8822"/>
    <cellStyle name="Total 22 3 5" xfId="4010"/>
    <cellStyle name="Total 22 3 5 2" xfId="12338"/>
    <cellStyle name="Total 22 3 5 2 2" xfId="24362"/>
    <cellStyle name="Total 22 3 5 3" xfId="19249"/>
    <cellStyle name="Total 22 3 5_Table 2A-1_EFT (Annual)" xfId="8824"/>
    <cellStyle name="Total 22 3 6" xfId="9675"/>
    <cellStyle name="Total 22 3 6 2" xfId="21816"/>
    <cellStyle name="Total 22 3 7" xfId="16703"/>
    <cellStyle name="Total 22 3_Table 2A-1_EFT (Annual)" xfId="3553"/>
    <cellStyle name="Total 22 4" xfId="1260"/>
    <cellStyle name="Total 22 4 2" xfId="2530"/>
    <cellStyle name="Total 22 4 2 2" xfId="6091"/>
    <cellStyle name="Total 22 4 2 2 2" xfId="14285"/>
    <cellStyle name="Total 22 4 2 2 2 2" xfId="26257"/>
    <cellStyle name="Total 22 4 2 2 3" xfId="21144"/>
    <cellStyle name="Total 22 4 2 2_Table 2A-1_EFT (Annual)" xfId="8827"/>
    <cellStyle name="Total 22 4 2 3" xfId="11627"/>
    <cellStyle name="Total 22 4 2 3 2" xfId="23711"/>
    <cellStyle name="Total 22 4 2 4" xfId="18598"/>
    <cellStyle name="Total 22 4 2_Table 2A-1_EFT (Annual)" xfId="8826"/>
    <cellStyle name="Total 22 4 3" xfId="4821"/>
    <cellStyle name="Total 22 4 3 2" xfId="13081"/>
    <cellStyle name="Total 22 4 3 2 2" xfId="25087"/>
    <cellStyle name="Total 22 4 3 3" xfId="19974"/>
    <cellStyle name="Total 22 4 3_Table 2A-1_EFT (Annual)" xfId="8828"/>
    <cellStyle name="Total 22 4 4" xfId="10425"/>
    <cellStyle name="Total 22 4 4 2" xfId="22541"/>
    <cellStyle name="Total 22 4 5" xfId="17428"/>
    <cellStyle name="Total 22 4_Table 2A-1_EFT (Annual)" xfId="8825"/>
    <cellStyle name="Total 22 5" xfId="809"/>
    <cellStyle name="Total 22 5 2" xfId="4370"/>
    <cellStyle name="Total 22 5 2 2" xfId="12650"/>
    <cellStyle name="Total 22 5 2 2 2" xfId="24667"/>
    <cellStyle name="Total 22 5 2 3" xfId="19554"/>
    <cellStyle name="Total 22 5 2_Table 2A-1_EFT (Annual)" xfId="8830"/>
    <cellStyle name="Total 22 5 3" xfId="9998"/>
    <cellStyle name="Total 22 5 3 2" xfId="22121"/>
    <cellStyle name="Total 22 5 4" xfId="17008"/>
    <cellStyle name="Total 22 5_Table 2A-1_EFT (Annual)" xfId="8829"/>
    <cellStyle name="Total 22 6" xfId="1999"/>
    <cellStyle name="Total 22 6 2" xfId="5560"/>
    <cellStyle name="Total 22 6 2 2" xfId="13775"/>
    <cellStyle name="Total 22 6 2 2 2" xfId="25763"/>
    <cellStyle name="Total 22 6 2 3" xfId="20650"/>
    <cellStyle name="Total 22 6 2_Table 2A-1_EFT (Annual)" xfId="8832"/>
    <cellStyle name="Total 22 6 3" xfId="11119"/>
    <cellStyle name="Total 22 6 3 2" xfId="23217"/>
    <cellStyle name="Total 22 6 4" xfId="18104"/>
    <cellStyle name="Total 22 6_Table 2A-1_EFT (Annual)" xfId="8831"/>
    <cellStyle name="Total 22 7" xfId="3801"/>
    <cellStyle name="Total 22 7 2" xfId="12169"/>
    <cellStyle name="Total 22 7 2 2" xfId="24199"/>
    <cellStyle name="Total 22 7 3" xfId="19086"/>
    <cellStyle name="Total 22 7_Table 2A-1_EFT (Annual)" xfId="8833"/>
    <cellStyle name="Total 22 8" xfId="9488"/>
    <cellStyle name="Total 22 8 2" xfId="21653"/>
    <cellStyle name="Total 22 9" xfId="16540"/>
    <cellStyle name="Total 22_Table 2A-1_EFT (Annual)" xfId="3551"/>
    <cellStyle name="Total 23" xfId="216"/>
    <cellStyle name="Total 23 2" xfId="609"/>
    <cellStyle name="Total 23 2 2" xfId="1586"/>
    <cellStyle name="Total 23 2 2 2" xfId="2856"/>
    <cellStyle name="Total 23 2 2 2 2" xfId="6417"/>
    <cellStyle name="Total 23 2 2 2 2 2" xfId="14611"/>
    <cellStyle name="Total 23 2 2 2 2 2 2" xfId="26583"/>
    <cellStyle name="Total 23 2 2 2 2 3" xfId="21470"/>
    <cellStyle name="Total 23 2 2 2 2_Table 2A-1_EFT (Annual)" xfId="8836"/>
    <cellStyle name="Total 23 2 2 2 3" xfId="11953"/>
    <cellStyle name="Total 23 2 2 2 3 2" xfId="24037"/>
    <cellStyle name="Total 23 2 2 2 4" xfId="18924"/>
    <cellStyle name="Total 23 2 2 2_Table 2A-1_EFT (Annual)" xfId="8835"/>
    <cellStyle name="Total 23 2 2 3" xfId="5147"/>
    <cellStyle name="Total 23 2 2 3 2" xfId="13407"/>
    <cellStyle name="Total 23 2 2 3 2 2" xfId="25413"/>
    <cellStyle name="Total 23 2 2 3 3" xfId="20300"/>
    <cellStyle name="Total 23 2 2 3_Table 2A-1_EFT (Annual)" xfId="8837"/>
    <cellStyle name="Total 23 2 2 4" xfId="10751"/>
    <cellStyle name="Total 23 2 2 4 2" xfId="22867"/>
    <cellStyle name="Total 23 2 2 5" xfId="17754"/>
    <cellStyle name="Total 23 2 2_Table 2A-1_EFT (Annual)" xfId="8834"/>
    <cellStyle name="Total 23 2 3" xfId="1104"/>
    <cellStyle name="Total 23 2 3 2" xfId="4665"/>
    <cellStyle name="Total 23 2 3 2 2" xfId="12925"/>
    <cellStyle name="Total 23 2 3 2 2 2" xfId="24931"/>
    <cellStyle name="Total 23 2 3 2 3" xfId="19818"/>
    <cellStyle name="Total 23 2 3 2_Table 2A-1_EFT (Annual)" xfId="8839"/>
    <cellStyle name="Total 23 2 3 3" xfId="10269"/>
    <cellStyle name="Total 23 2 3 3 2" xfId="22385"/>
    <cellStyle name="Total 23 2 3 4" xfId="17272"/>
    <cellStyle name="Total 23 2 3_Table 2A-1_EFT (Annual)" xfId="8838"/>
    <cellStyle name="Total 23 2 4" xfId="2325"/>
    <cellStyle name="Total 23 2 4 2" xfId="5886"/>
    <cellStyle name="Total 23 2 4 2 2" xfId="14101"/>
    <cellStyle name="Total 23 2 4 2 2 2" xfId="26089"/>
    <cellStyle name="Total 23 2 4 2 3" xfId="20976"/>
    <cellStyle name="Total 23 2 4 2_Table 2A-1_EFT (Annual)" xfId="8841"/>
    <cellStyle name="Total 23 2 4 3" xfId="11445"/>
    <cellStyle name="Total 23 2 4 3 2" xfId="23543"/>
    <cellStyle name="Total 23 2 4 4" xfId="18430"/>
    <cellStyle name="Total 23 2 4_Table 2A-1_EFT (Annual)" xfId="8840"/>
    <cellStyle name="Total 23 2 5" xfId="4179"/>
    <cellStyle name="Total 23 2 5 2" xfId="12503"/>
    <cellStyle name="Total 23 2 5 2 2" xfId="24525"/>
    <cellStyle name="Total 23 2 5 3" xfId="19412"/>
    <cellStyle name="Total 23 2 5_Table 2A-1_EFT (Annual)" xfId="8842"/>
    <cellStyle name="Total 23 2 6" xfId="9842"/>
    <cellStyle name="Total 23 2 6 2" xfId="21979"/>
    <cellStyle name="Total 23 2 7" xfId="16866"/>
    <cellStyle name="Total 23 2_Table 2A-1_EFT (Annual)" xfId="3555"/>
    <cellStyle name="Total 23 3" xfId="444"/>
    <cellStyle name="Total 23 3 2" xfId="1427"/>
    <cellStyle name="Total 23 3 2 2" xfId="2697"/>
    <cellStyle name="Total 23 3 2 2 2" xfId="6258"/>
    <cellStyle name="Total 23 3 2 2 2 2" xfId="14452"/>
    <cellStyle name="Total 23 3 2 2 2 2 2" xfId="26424"/>
    <cellStyle name="Total 23 3 2 2 2 3" xfId="21311"/>
    <cellStyle name="Total 23 3 2 2 2_Table 2A-1_EFT (Annual)" xfId="8845"/>
    <cellStyle name="Total 23 3 2 2 3" xfId="11794"/>
    <cellStyle name="Total 23 3 2 2 3 2" xfId="23878"/>
    <cellStyle name="Total 23 3 2 2 4" xfId="18765"/>
    <cellStyle name="Total 23 3 2 2_Table 2A-1_EFT (Annual)" xfId="8844"/>
    <cellStyle name="Total 23 3 2 3" xfId="4988"/>
    <cellStyle name="Total 23 3 2 3 2" xfId="13248"/>
    <cellStyle name="Total 23 3 2 3 2 2" xfId="25254"/>
    <cellStyle name="Total 23 3 2 3 3" xfId="20141"/>
    <cellStyle name="Total 23 3 2 3_Table 2A-1_EFT (Annual)" xfId="8846"/>
    <cellStyle name="Total 23 3 2 4" xfId="10592"/>
    <cellStyle name="Total 23 3 2 4 2" xfId="22708"/>
    <cellStyle name="Total 23 3 2 5" xfId="17595"/>
    <cellStyle name="Total 23 3 2_Table 2A-1_EFT (Annual)" xfId="8843"/>
    <cellStyle name="Total 23 3 3" xfId="969"/>
    <cellStyle name="Total 23 3 3 2" xfId="4530"/>
    <cellStyle name="Total 23 3 3 2 2" xfId="12792"/>
    <cellStyle name="Total 23 3 3 2 2 2" xfId="24802"/>
    <cellStyle name="Total 23 3 3 2 3" xfId="19689"/>
    <cellStyle name="Total 23 3 3 2_Table 2A-1_EFT (Annual)" xfId="8848"/>
    <cellStyle name="Total 23 3 3 3" xfId="10139"/>
    <cellStyle name="Total 23 3 3 3 2" xfId="22256"/>
    <cellStyle name="Total 23 3 3 4" xfId="17143"/>
    <cellStyle name="Total 23 3 3_Table 2A-1_EFT (Annual)" xfId="8847"/>
    <cellStyle name="Total 23 3 4" xfId="2166"/>
    <cellStyle name="Total 23 3 4 2" xfId="5727"/>
    <cellStyle name="Total 23 3 4 2 2" xfId="13942"/>
    <cellStyle name="Total 23 3 4 2 2 2" xfId="25930"/>
    <cellStyle name="Total 23 3 4 2 3" xfId="20817"/>
    <cellStyle name="Total 23 3 4 2_Table 2A-1_EFT (Annual)" xfId="8850"/>
    <cellStyle name="Total 23 3 4 3" xfId="11286"/>
    <cellStyle name="Total 23 3 4 3 2" xfId="23384"/>
    <cellStyle name="Total 23 3 4 4" xfId="18271"/>
    <cellStyle name="Total 23 3 4_Table 2A-1_EFT (Annual)" xfId="8849"/>
    <cellStyle name="Total 23 3 5" xfId="4014"/>
    <cellStyle name="Total 23 3 5 2" xfId="12342"/>
    <cellStyle name="Total 23 3 5 2 2" xfId="24366"/>
    <cellStyle name="Total 23 3 5 3" xfId="19253"/>
    <cellStyle name="Total 23 3 5_Table 2A-1_EFT (Annual)" xfId="8851"/>
    <cellStyle name="Total 23 3 6" xfId="9679"/>
    <cellStyle name="Total 23 3 6 2" xfId="21820"/>
    <cellStyle name="Total 23 3 7" xfId="16707"/>
    <cellStyle name="Total 23 3_Table 2A-1_EFT (Annual)" xfId="3556"/>
    <cellStyle name="Total 23 4" xfId="1264"/>
    <cellStyle name="Total 23 4 2" xfId="2534"/>
    <cellStyle name="Total 23 4 2 2" xfId="6095"/>
    <cellStyle name="Total 23 4 2 2 2" xfId="14289"/>
    <cellStyle name="Total 23 4 2 2 2 2" xfId="26261"/>
    <cellStyle name="Total 23 4 2 2 3" xfId="21148"/>
    <cellStyle name="Total 23 4 2 2_Table 2A-1_EFT (Annual)" xfId="8854"/>
    <cellStyle name="Total 23 4 2 3" xfId="11631"/>
    <cellStyle name="Total 23 4 2 3 2" xfId="23715"/>
    <cellStyle name="Total 23 4 2 4" xfId="18602"/>
    <cellStyle name="Total 23 4 2_Table 2A-1_EFT (Annual)" xfId="8853"/>
    <cellStyle name="Total 23 4 3" xfId="4825"/>
    <cellStyle name="Total 23 4 3 2" xfId="13085"/>
    <cellStyle name="Total 23 4 3 2 2" xfId="25091"/>
    <cellStyle name="Total 23 4 3 3" xfId="19978"/>
    <cellStyle name="Total 23 4 3_Table 2A-1_EFT (Annual)" xfId="8855"/>
    <cellStyle name="Total 23 4 4" xfId="10429"/>
    <cellStyle name="Total 23 4 4 2" xfId="22545"/>
    <cellStyle name="Total 23 4 5" xfId="17432"/>
    <cellStyle name="Total 23 4_Table 2A-1_EFT (Annual)" xfId="8852"/>
    <cellStyle name="Total 23 5" xfId="813"/>
    <cellStyle name="Total 23 5 2" xfId="4374"/>
    <cellStyle name="Total 23 5 2 2" xfId="12654"/>
    <cellStyle name="Total 23 5 2 2 2" xfId="24671"/>
    <cellStyle name="Total 23 5 2 3" xfId="19558"/>
    <cellStyle name="Total 23 5 2_Table 2A-1_EFT (Annual)" xfId="8857"/>
    <cellStyle name="Total 23 5 3" xfId="10002"/>
    <cellStyle name="Total 23 5 3 2" xfId="22125"/>
    <cellStyle name="Total 23 5 4" xfId="17012"/>
    <cellStyle name="Total 23 5_Table 2A-1_EFT (Annual)" xfId="8856"/>
    <cellStyle name="Total 23 6" xfId="2003"/>
    <cellStyle name="Total 23 6 2" xfId="5564"/>
    <cellStyle name="Total 23 6 2 2" xfId="13779"/>
    <cellStyle name="Total 23 6 2 2 2" xfId="25767"/>
    <cellStyle name="Total 23 6 2 3" xfId="20654"/>
    <cellStyle name="Total 23 6 2_Table 2A-1_EFT (Annual)" xfId="8859"/>
    <cellStyle name="Total 23 6 3" xfId="11123"/>
    <cellStyle name="Total 23 6 3 2" xfId="23221"/>
    <cellStyle name="Total 23 6 4" xfId="18108"/>
    <cellStyle name="Total 23 6_Table 2A-1_EFT (Annual)" xfId="8858"/>
    <cellStyle name="Total 23 7" xfId="3805"/>
    <cellStyle name="Total 23 7 2" xfId="12173"/>
    <cellStyle name="Total 23 7 2 2" xfId="24203"/>
    <cellStyle name="Total 23 7 3" xfId="19090"/>
    <cellStyle name="Total 23 7_Table 2A-1_EFT (Annual)" xfId="8860"/>
    <cellStyle name="Total 23 8" xfId="9492"/>
    <cellStyle name="Total 23 8 2" xfId="21657"/>
    <cellStyle name="Total 23 9" xfId="16544"/>
    <cellStyle name="Total 23_Table 2A-1_EFT (Annual)" xfId="3554"/>
    <cellStyle name="Total 24" xfId="199"/>
    <cellStyle name="Total 24 2" xfId="592"/>
    <cellStyle name="Total 24 2 2" xfId="1569"/>
    <cellStyle name="Total 24 2 2 2" xfId="2839"/>
    <cellStyle name="Total 24 2 2 2 2" xfId="6400"/>
    <cellStyle name="Total 24 2 2 2 2 2" xfId="14594"/>
    <cellStyle name="Total 24 2 2 2 2 2 2" xfId="26566"/>
    <cellStyle name="Total 24 2 2 2 2 3" xfId="21453"/>
    <cellStyle name="Total 24 2 2 2 2_Table 2A-1_EFT (Annual)" xfId="8863"/>
    <cellStyle name="Total 24 2 2 2 3" xfId="11936"/>
    <cellStyle name="Total 24 2 2 2 3 2" xfId="24020"/>
    <cellStyle name="Total 24 2 2 2 4" xfId="18907"/>
    <cellStyle name="Total 24 2 2 2_Table 2A-1_EFT (Annual)" xfId="8862"/>
    <cellStyle name="Total 24 2 2 3" xfId="5130"/>
    <cellStyle name="Total 24 2 2 3 2" xfId="13390"/>
    <cellStyle name="Total 24 2 2 3 2 2" xfId="25396"/>
    <cellStyle name="Total 24 2 2 3 3" xfId="20283"/>
    <cellStyle name="Total 24 2 2 3_Table 2A-1_EFT (Annual)" xfId="8864"/>
    <cellStyle name="Total 24 2 2 4" xfId="10734"/>
    <cellStyle name="Total 24 2 2 4 2" xfId="22850"/>
    <cellStyle name="Total 24 2 2 5" xfId="17737"/>
    <cellStyle name="Total 24 2 2_Table 2A-1_EFT (Annual)" xfId="8861"/>
    <cellStyle name="Total 24 2 3" xfId="1090"/>
    <cellStyle name="Total 24 2 3 2" xfId="4651"/>
    <cellStyle name="Total 24 2 3 2 2" xfId="12911"/>
    <cellStyle name="Total 24 2 3 2 2 2" xfId="24917"/>
    <cellStyle name="Total 24 2 3 2 3" xfId="19804"/>
    <cellStyle name="Total 24 2 3 2_Table 2A-1_EFT (Annual)" xfId="8866"/>
    <cellStyle name="Total 24 2 3 3" xfId="10255"/>
    <cellStyle name="Total 24 2 3 3 2" xfId="22371"/>
    <cellStyle name="Total 24 2 3 4" xfId="17258"/>
    <cellStyle name="Total 24 2 3_Table 2A-1_EFT (Annual)" xfId="8865"/>
    <cellStyle name="Total 24 2 4" xfId="2308"/>
    <cellStyle name="Total 24 2 4 2" xfId="5869"/>
    <cellStyle name="Total 24 2 4 2 2" xfId="14084"/>
    <cellStyle name="Total 24 2 4 2 2 2" xfId="26072"/>
    <cellStyle name="Total 24 2 4 2 3" xfId="20959"/>
    <cellStyle name="Total 24 2 4 2_Table 2A-1_EFT (Annual)" xfId="8868"/>
    <cellStyle name="Total 24 2 4 3" xfId="11428"/>
    <cellStyle name="Total 24 2 4 3 2" xfId="23526"/>
    <cellStyle name="Total 24 2 4 4" xfId="18413"/>
    <cellStyle name="Total 24 2 4_Table 2A-1_EFT (Annual)" xfId="8867"/>
    <cellStyle name="Total 24 2 5" xfId="4162"/>
    <cellStyle name="Total 24 2 5 2" xfId="12486"/>
    <cellStyle name="Total 24 2 5 2 2" xfId="24508"/>
    <cellStyle name="Total 24 2 5 3" xfId="19395"/>
    <cellStyle name="Total 24 2 5_Table 2A-1_EFT (Annual)" xfId="8869"/>
    <cellStyle name="Total 24 2 6" xfId="9825"/>
    <cellStyle name="Total 24 2 6 2" xfId="21962"/>
    <cellStyle name="Total 24 2 7" xfId="16849"/>
    <cellStyle name="Total 24 2_Table 2A-1_EFT (Annual)" xfId="3558"/>
    <cellStyle name="Total 24 3" xfId="428"/>
    <cellStyle name="Total 24 3 2" xfId="1411"/>
    <cellStyle name="Total 24 3 2 2" xfId="2681"/>
    <cellStyle name="Total 24 3 2 2 2" xfId="6242"/>
    <cellStyle name="Total 24 3 2 2 2 2" xfId="14436"/>
    <cellStyle name="Total 24 3 2 2 2 2 2" xfId="26408"/>
    <cellStyle name="Total 24 3 2 2 2 3" xfId="21295"/>
    <cellStyle name="Total 24 3 2 2 2_Table 2A-1_EFT (Annual)" xfId="8872"/>
    <cellStyle name="Total 24 3 2 2 3" xfId="11778"/>
    <cellStyle name="Total 24 3 2 2 3 2" xfId="23862"/>
    <cellStyle name="Total 24 3 2 2 4" xfId="18749"/>
    <cellStyle name="Total 24 3 2 2_Table 2A-1_EFT (Annual)" xfId="8871"/>
    <cellStyle name="Total 24 3 2 3" xfId="4972"/>
    <cellStyle name="Total 24 3 2 3 2" xfId="13232"/>
    <cellStyle name="Total 24 3 2 3 2 2" xfId="25238"/>
    <cellStyle name="Total 24 3 2 3 3" xfId="20125"/>
    <cellStyle name="Total 24 3 2 3_Table 2A-1_EFT (Annual)" xfId="8873"/>
    <cellStyle name="Total 24 3 2 4" xfId="10576"/>
    <cellStyle name="Total 24 3 2 4 2" xfId="22692"/>
    <cellStyle name="Total 24 3 2 5" xfId="17579"/>
    <cellStyle name="Total 24 3 2_Table 2A-1_EFT (Annual)" xfId="8870"/>
    <cellStyle name="Total 24 3 3" xfId="956"/>
    <cellStyle name="Total 24 3 3 2" xfId="4517"/>
    <cellStyle name="Total 24 3 3 2 2" xfId="12779"/>
    <cellStyle name="Total 24 3 3 2 2 2" xfId="24789"/>
    <cellStyle name="Total 24 3 3 2 3" xfId="19676"/>
    <cellStyle name="Total 24 3 3 2_Table 2A-1_EFT (Annual)" xfId="8875"/>
    <cellStyle name="Total 24 3 3 3" xfId="10126"/>
    <cellStyle name="Total 24 3 3 3 2" xfId="22243"/>
    <cellStyle name="Total 24 3 3 4" xfId="17130"/>
    <cellStyle name="Total 24 3 3_Table 2A-1_EFT (Annual)" xfId="8874"/>
    <cellStyle name="Total 24 3 4" xfId="2150"/>
    <cellStyle name="Total 24 3 4 2" xfId="5711"/>
    <cellStyle name="Total 24 3 4 2 2" xfId="13926"/>
    <cellStyle name="Total 24 3 4 2 2 2" xfId="25914"/>
    <cellStyle name="Total 24 3 4 2 3" xfId="20801"/>
    <cellStyle name="Total 24 3 4 2_Table 2A-1_EFT (Annual)" xfId="8877"/>
    <cellStyle name="Total 24 3 4 3" xfId="11270"/>
    <cellStyle name="Total 24 3 4 3 2" xfId="23368"/>
    <cellStyle name="Total 24 3 4 4" xfId="18255"/>
    <cellStyle name="Total 24 3 4_Table 2A-1_EFT (Annual)" xfId="8876"/>
    <cellStyle name="Total 24 3 5" xfId="3998"/>
    <cellStyle name="Total 24 3 5 2" xfId="12326"/>
    <cellStyle name="Total 24 3 5 2 2" xfId="24350"/>
    <cellStyle name="Total 24 3 5 3" xfId="19237"/>
    <cellStyle name="Total 24 3 5_Table 2A-1_EFT (Annual)" xfId="8878"/>
    <cellStyle name="Total 24 3 6" xfId="9663"/>
    <cellStyle name="Total 24 3 6 2" xfId="21804"/>
    <cellStyle name="Total 24 3 7" xfId="16691"/>
    <cellStyle name="Total 24 3_Table 2A-1_EFT (Annual)" xfId="3559"/>
    <cellStyle name="Total 24 4" xfId="1247"/>
    <cellStyle name="Total 24 4 2" xfId="2517"/>
    <cellStyle name="Total 24 4 2 2" xfId="6078"/>
    <cellStyle name="Total 24 4 2 2 2" xfId="14272"/>
    <cellStyle name="Total 24 4 2 2 2 2" xfId="26244"/>
    <cellStyle name="Total 24 4 2 2 3" xfId="21131"/>
    <cellStyle name="Total 24 4 2 2_Table 2A-1_EFT (Annual)" xfId="8881"/>
    <cellStyle name="Total 24 4 2 3" xfId="11614"/>
    <cellStyle name="Total 24 4 2 3 2" xfId="23698"/>
    <cellStyle name="Total 24 4 2 4" xfId="18585"/>
    <cellStyle name="Total 24 4 2_Table 2A-1_EFT (Annual)" xfId="8880"/>
    <cellStyle name="Total 24 4 3" xfId="4808"/>
    <cellStyle name="Total 24 4 3 2" xfId="13068"/>
    <cellStyle name="Total 24 4 3 2 2" xfId="25074"/>
    <cellStyle name="Total 24 4 3 3" xfId="19961"/>
    <cellStyle name="Total 24 4 3_Table 2A-1_EFT (Annual)" xfId="8882"/>
    <cellStyle name="Total 24 4 4" xfId="10412"/>
    <cellStyle name="Total 24 4 4 2" xfId="22528"/>
    <cellStyle name="Total 24 4 5" xfId="17415"/>
    <cellStyle name="Total 24 4_Table 2A-1_EFT (Annual)" xfId="8879"/>
    <cellStyle name="Total 24 5" xfId="799"/>
    <cellStyle name="Total 24 5 2" xfId="4360"/>
    <cellStyle name="Total 24 5 2 2" xfId="12640"/>
    <cellStyle name="Total 24 5 2 2 2" xfId="24657"/>
    <cellStyle name="Total 24 5 2 3" xfId="19544"/>
    <cellStyle name="Total 24 5 2_Table 2A-1_EFT (Annual)" xfId="8884"/>
    <cellStyle name="Total 24 5 3" xfId="9988"/>
    <cellStyle name="Total 24 5 3 2" xfId="22111"/>
    <cellStyle name="Total 24 5 4" xfId="16998"/>
    <cellStyle name="Total 24 5_Table 2A-1_EFT (Annual)" xfId="8883"/>
    <cellStyle name="Total 24 6" xfId="1986"/>
    <cellStyle name="Total 24 6 2" xfId="5547"/>
    <cellStyle name="Total 24 6 2 2" xfId="13762"/>
    <cellStyle name="Total 24 6 2 2 2" xfId="25750"/>
    <cellStyle name="Total 24 6 2 3" xfId="20637"/>
    <cellStyle name="Total 24 6 2_Table 2A-1_EFT (Annual)" xfId="8886"/>
    <cellStyle name="Total 24 6 3" xfId="11106"/>
    <cellStyle name="Total 24 6 3 2" xfId="23204"/>
    <cellStyle name="Total 24 6 4" xfId="18091"/>
    <cellStyle name="Total 24 6_Table 2A-1_EFT (Annual)" xfId="8885"/>
    <cellStyle name="Total 24 7" xfId="3788"/>
    <cellStyle name="Total 24 7 2" xfId="12156"/>
    <cellStyle name="Total 24 7 2 2" xfId="24186"/>
    <cellStyle name="Total 24 7 3" xfId="19073"/>
    <cellStyle name="Total 24 7_Table 2A-1_EFT (Annual)" xfId="8887"/>
    <cellStyle name="Total 24 8" xfId="9475"/>
    <cellStyle name="Total 24 8 2" xfId="21640"/>
    <cellStyle name="Total 24 9" xfId="16527"/>
    <cellStyle name="Total 24_Table 2A-1_EFT (Annual)" xfId="3557"/>
    <cellStyle name="Total 25" xfId="242"/>
    <cellStyle name="Total 25 2" xfId="629"/>
    <cellStyle name="Total 25 2 2" xfId="1606"/>
    <cellStyle name="Total 25 2 2 2" xfId="2876"/>
    <cellStyle name="Total 25 2 2 2 2" xfId="6437"/>
    <cellStyle name="Total 25 2 2 2 2 2" xfId="14631"/>
    <cellStyle name="Total 25 2 2 2 2 2 2" xfId="26603"/>
    <cellStyle name="Total 25 2 2 2 2 3" xfId="21490"/>
    <cellStyle name="Total 25 2 2 2 2_Table 2A-1_EFT (Annual)" xfId="8890"/>
    <cellStyle name="Total 25 2 2 2 3" xfId="11973"/>
    <cellStyle name="Total 25 2 2 2 3 2" xfId="24057"/>
    <cellStyle name="Total 25 2 2 2 4" xfId="18944"/>
    <cellStyle name="Total 25 2 2 2_Table 2A-1_EFT (Annual)" xfId="8889"/>
    <cellStyle name="Total 25 2 2 3" xfId="5167"/>
    <cellStyle name="Total 25 2 2 3 2" xfId="13427"/>
    <cellStyle name="Total 25 2 2 3 2 2" xfId="25433"/>
    <cellStyle name="Total 25 2 2 3 3" xfId="20320"/>
    <cellStyle name="Total 25 2 2 3_Table 2A-1_EFT (Annual)" xfId="8891"/>
    <cellStyle name="Total 25 2 2 4" xfId="10771"/>
    <cellStyle name="Total 25 2 2 4 2" xfId="22887"/>
    <cellStyle name="Total 25 2 2 5" xfId="17774"/>
    <cellStyle name="Total 25 2 2_Table 2A-1_EFT (Annual)" xfId="8888"/>
    <cellStyle name="Total 25 2 3" xfId="1119"/>
    <cellStyle name="Total 25 2 3 2" xfId="4680"/>
    <cellStyle name="Total 25 2 3 2 2" xfId="12940"/>
    <cellStyle name="Total 25 2 3 2 2 2" xfId="24946"/>
    <cellStyle name="Total 25 2 3 2 3" xfId="19833"/>
    <cellStyle name="Total 25 2 3 2_Table 2A-1_EFT (Annual)" xfId="8893"/>
    <cellStyle name="Total 25 2 3 3" xfId="10284"/>
    <cellStyle name="Total 25 2 3 3 2" xfId="22400"/>
    <cellStyle name="Total 25 2 3 4" xfId="17287"/>
    <cellStyle name="Total 25 2 3_Table 2A-1_EFT (Annual)" xfId="8892"/>
    <cellStyle name="Total 25 2 4" xfId="2345"/>
    <cellStyle name="Total 25 2 4 2" xfId="5906"/>
    <cellStyle name="Total 25 2 4 2 2" xfId="14121"/>
    <cellStyle name="Total 25 2 4 2 2 2" xfId="26109"/>
    <cellStyle name="Total 25 2 4 2 3" xfId="20996"/>
    <cellStyle name="Total 25 2 4 2_Table 2A-1_EFT (Annual)" xfId="8895"/>
    <cellStyle name="Total 25 2 4 3" xfId="11465"/>
    <cellStyle name="Total 25 2 4 3 2" xfId="23563"/>
    <cellStyle name="Total 25 2 4 4" xfId="18450"/>
    <cellStyle name="Total 25 2 4_Table 2A-1_EFT (Annual)" xfId="8894"/>
    <cellStyle name="Total 25 2 5" xfId="4199"/>
    <cellStyle name="Total 25 2 5 2" xfId="12523"/>
    <cellStyle name="Total 25 2 5 2 2" xfId="24545"/>
    <cellStyle name="Total 25 2 5 3" xfId="19432"/>
    <cellStyle name="Total 25 2 5_Table 2A-1_EFT (Annual)" xfId="8896"/>
    <cellStyle name="Total 25 2 6" xfId="9862"/>
    <cellStyle name="Total 25 2 6 2" xfId="21999"/>
    <cellStyle name="Total 25 2 7" xfId="16886"/>
    <cellStyle name="Total 25 2_Table 2A-1_EFT (Annual)" xfId="3561"/>
    <cellStyle name="Total 25 3" xfId="468"/>
    <cellStyle name="Total 25 3 2" xfId="1445"/>
    <cellStyle name="Total 25 3 2 2" xfId="2715"/>
    <cellStyle name="Total 25 3 2 2 2" xfId="6276"/>
    <cellStyle name="Total 25 3 2 2 2 2" xfId="14470"/>
    <cellStyle name="Total 25 3 2 2 2 2 2" xfId="26442"/>
    <cellStyle name="Total 25 3 2 2 2 3" xfId="21329"/>
    <cellStyle name="Total 25 3 2 2 2_Table 2A-1_EFT (Annual)" xfId="8899"/>
    <cellStyle name="Total 25 3 2 2 3" xfId="11812"/>
    <cellStyle name="Total 25 3 2 2 3 2" xfId="23896"/>
    <cellStyle name="Total 25 3 2 2 4" xfId="18783"/>
    <cellStyle name="Total 25 3 2 2_Table 2A-1_EFT (Annual)" xfId="8898"/>
    <cellStyle name="Total 25 3 2 3" xfId="5006"/>
    <cellStyle name="Total 25 3 2 3 2" xfId="13266"/>
    <cellStyle name="Total 25 3 2 3 2 2" xfId="25272"/>
    <cellStyle name="Total 25 3 2 3 3" xfId="20159"/>
    <cellStyle name="Total 25 3 2 3_Table 2A-1_EFT (Annual)" xfId="8900"/>
    <cellStyle name="Total 25 3 2 4" xfId="10610"/>
    <cellStyle name="Total 25 3 2 4 2" xfId="22726"/>
    <cellStyle name="Total 25 3 2 5" xfId="17613"/>
    <cellStyle name="Total 25 3 2_Table 2A-1_EFT (Annual)" xfId="8897"/>
    <cellStyle name="Total 25 3 3" xfId="989"/>
    <cellStyle name="Total 25 3 3 2" xfId="4550"/>
    <cellStyle name="Total 25 3 3 2 2" xfId="12810"/>
    <cellStyle name="Total 25 3 3 2 2 2" xfId="24816"/>
    <cellStyle name="Total 25 3 3 2 3" xfId="19703"/>
    <cellStyle name="Total 25 3 3 2_Table 2A-1_EFT (Annual)" xfId="8902"/>
    <cellStyle name="Total 25 3 3 3" xfId="10154"/>
    <cellStyle name="Total 25 3 3 3 2" xfId="22270"/>
    <cellStyle name="Total 25 3 3 4" xfId="17157"/>
    <cellStyle name="Total 25 3 3_Table 2A-1_EFT (Annual)" xfId="8901"/>
    <cellStyle name="Total 25 3 4" xfId="2184"/>
    <cellStyle name="Total 25 3 4 2" xfId="5745"/>
    <cellStyle name="Total 25 3 4 2 2" xfId="13960"/>
    <cellStyle name="Total 25 3 4 2 2 2" xfId="25948"/>
    <cellStyle name="Total 25 3 4 2 3" xfId="20835"/>
    <cellStyle name="Total 25 3 4 2_Table 2A-1_EFT (Annual)" xfId="8904"/>
    <cellStyle name="Total 25 3 4 3" xfId="11304"/>
    <cellStyle name="Total 25 3 4 3 2" xfId="23402"/>
    <cellStyle name="Total 25 3 4 4" xfId="18289"/>
    <cellStyle name="Total 25 3 4_Table 2A-1_EFT (Annual)" xfId="8903"/>
    <cellStyle name="Total 25 3 5" xfId="4038"/>
    <cellStyle name="Total 25 3 5 2" xfId="12362"/>
    <cellStyle name="Total 25 3 5 2 2" xfId="24384"/>
    <cellStyle name="Total 25 3 5 3" xfId="19271"/>
    <cellStyle name="Total 25 3 5_Table 2A-1_EFT (Annual)" xfId="8905"/>
    <cellStyle name="Total 25 3 6" xfId="9701"/>
    <cellStyle name="Total 25 3 6 2" xfId="21838"/>
    <cellStyle name="Total 25 3 7" xfId="16725"/>
    <cellStyle name="Total 25 3_Table 2A-1_EFT (Annual)" xfId="3562"/>
    <cellStyle name="Total 25 4" xfId="1284"/>
    <cellStyle name="Total 25 4 2" xfId="2554"/>
    <cellStyle name="Total 25 4 2 2" xfId="6115"/>
    <cellStyle name="Total 25 4 2 2 2" xfId="14309"/>
    <cellStyle name="Total 25 4 2 2 2 2" xfId="26281"/>
    <cellStyle name="Total 25 4 2 2 3" xfId="21168"/>
    <cellStyle name="Total 25 4 2 2_Table 2A-1_EFT (Annual)" xfId="8908"/>
    <cellStyle name="Total 25 4 2 3" xfId="11651"/>
    <cellStyle name="Total 25 4 2 3 2" xfId="23735"/>
    <cellStyle name="Total 25 4 2 4" xfId="18622"/>
    <cellStyle name="Total 25 4 2_Table 2A-1_EFT (Annual)" xfId="8907"/>
    <cellStyle name="Total 25 4 3" xfId="4845"/>
    <cellStyle name="Total 25 4 3 2" xfId="13105"/>
    <cellStyle name="Total 25 4 3 2 2" xfId="25111"/>
    <cellStyle name="Total 25 4 3 3" xfId="19998"/>
    <cellStyle name="Total 25 4 3_Table 2A-1_EFT (Annual)" xfId="8909"/>
    <cellStyle name="Total 25 4 4" xfId="10449"/>
    <cellStyle name="Total 25 4 4 2" xfId="22565"/>
    <cellStyle name="Total 25 4 5" xfId="17452"/>
    <cellStyle name="Total 25 4_Table 2A-1_EFT (Annual)" xfId="8906"/>
    <cellStyle name="Total 25 5" xfId="834"/>
    <cellStyle name="Total 25 5 2" xfId="4395"/>
    <cellStyle name="Total 25 5 2 2" xfId="12669"/>
    <cellStyle name="Total 25 5 2 2 2" xfId="24686"/>
    <cellStyle name="Total 25 5 2 3" xfId="19573"/>
    <cellStyle name="Total 25 5 2_Table 2A-1_EFT (Annual)" xfId="8911"/>
    <cellStyle name="Total 25 5 3" xfId="10018"/>
    <cellStyle name="Total 25 5 3 2" xfId="22140"/>
    <cellStyle name="Total 25 5 4" xfId="17027"/>
    <cellStyle name="Total 25 5_Table 2A-1_EFT (Annual)" xfId="8910"/>
    <cellStyle name="Total 25 6" xfId="2023"/>
    <cellStyle name="Total 25 6 2" xfId="5584"/>
    <cellStyle name="Total 25 6 2 2" xfId="13799"/>
    <cellStyle name="Total 25 6 2 2 2" xfId="25787"/>
    <cellStyle name="Total 25 6 2 3" xfId="20674"/>
    <cellStyle name="Total 25 6 2_Table 2A-1_EFT (Annual)" xfId="8913"/>
    <cellStyle name="Total 25 6 3" xfId="11143"/>
    <cellStyle name="Total 25 6 3 2" xfId="23241"/>
    <cellStyle name="Total 25 6 4" xfId="18128"/>
    <cellStyle name="Total 25 6_Table 2A-1_EFT (Annual)" xfId="8912"/>
    <cellStyle name="Total 25 7" xfId="3831"/>
    <cellStyle name="Total 25 7 2" xfId="12194"/>
    <cellStyle name="Total 25 7 2 2" xfId="24223"/>
    <cellStyle name="Total 25 7 3" xfId="19110"/>
    <cellStyle name="Total 25 7_Table 2A-1_EFT (Annual)" xfId="8914"/>
    <cellStyle name="Total 25 8" xfId="9513"/>
    <cellStyle name="Total 25 8 2" xfId="21677"/>
    <cellStyle name="Total 25 9" xfId="16564"/>
    <cellStyle name="Total 25_Table 2A-1_EFT (Annual)" xfId="3560"/>
    <cellStyle name="Total 26" xfId="207"/>
    <cellStyle name="Total 26 2" xfId="600"/>
    <cellStyle name="Total 26 2 2" xfId="1577"/>
    <cellStyle name="Total 26 2 2 2" xfId="2847"/>
    <cellStyle name="Total 26 2 2 2 2" xfId="6408"/>
    <cellStyle name="Total 26 2 2 2 2 2" xfId="14602"/>
    <cellStyle name="Total 26 2 2 2 2 2 2" xfId="26574"/>
    <cellStyle name="Total 26 2 2 2 2 3" xfId="21461"/>
    <cellStyle name="Total 26 2 2 2 2_Table 2A-1_EFT (Annual)" xfId="8917"/>
    <cellStyle name="Total 26 2 2 2 3" xfId="11944"/>
    <cellStyle name="Total 26 2 2 2 3 2" xfId="24028"/>
    <cellStyle name="Total 26 2 2 2 4" xfId="18915"/>
    <cellStyle name="Total 26 2 2 2_Table 2A-1_EFT (Annual)" xfId="8916"/>
    <cellStyle name="Total 26 2 2 3" xfId="5138"/>
    <cellStyle name="Total 26 2 2 3 2" xfId="13398"/>
    <cellStyle name="Total 26 2 2 3 2 2" xfId="25404"/>
    <cellStyle name="Total 26 2 2 3 3" xfId="20291"/>
    <cellStyle name="Total 26 2 2 3_Table 2A-1_EFT (Annual)" xfId="8918"/>
    <cellStyle name="Total 26 2 2 4" xfId="10742"/>
    <cellStyle name="Total 26 2 2 4 2" xfId="22858"/>
    <cellStyle name="Total 26 2 2 5" xfId="17745"/>
    <cellStyle name="Total 26 2 2_Table 2A-1_EFT (Annual)" xfId="8915"/>
    <cellStyle name="Total 26 2 3" xfId="1097"/>
    <cellStyle name="Total 26 2 3 2" xfId="4658"/>
    <cellStyle name="Total 26 2 3 2 2" xfId="12918"/>
    <cellStyle name="Total 26 2 3 2 2 2" xfId="24924"/>
    <cellStyle name="Total 26 2 3 2 3" xfId="19811"/>
    <cellStyle name="Total 26 2 3 2_Table 2A-1_EFT (Annual)" xfId="8920"/>
    <cellStyle name="Total 26 2 3 3" xfId="10262"/>
    <cellStyle name="Total 26 2 3 3 2" xfId="22378"/>
    <cellStyle name="Total 26 2 3 4" xfId="17265"/>
    <cellStyle name="Total 26 2 3_Table 2A-1_EFT (Annual)" xfId="8919"/>
    <cellStyle name="Total 26 2 4" xfId="2316"/>
    <cellStyle name="Total 26 2 4 2" xfId="5877"/>
    <cellStyle name="Total 26 2 4 2 2" xfId="14092"/>
    <cellStyle name="Total 26 2 4 2 2 2" xfId="26080"/>
    <cellStyle name="Total 26 2 4 2 3" xfId="20967"/>
    <cellStyle name="Total 26 2 4 2_Table 2A-1_EFT (Annual)" xfId="8922"/>
    <cellStyle name="Total 26 2 4 3" xfId="11436"/>
    <cellStyle name="Total 26 2 4 3 2" xfId="23534"/>
    <cellStyle name="Total 26 2 4 4" xfId="18421"/>
    <cellStyle name="Total 26 2 4_Table 2A-1_EFT (Annual)" xfId="8921"/>
    <cellStyle name="Total 26 2 5" xfId="4170"/>
    <cellStyle name="Total 26 2 5 2" xfId="12494"/>
    <cellStyle name="Total 26 2 5 2 2" xfId="24516"/>
    <cellStyle name="Total 26 2 5 3" xfId="19403"/>
    <cellStyle name="Total 26 2 5_Table 2A-1_EFT (Annual)" xfId="8923"/>
    <cellStyle name="Total 26 2 6" xfId="9833"/>
    <cellStyle name="Total 26 2 6 2" xfId="21970"/>
    <cellStyle name="Total 26 2 7" xfId="16857"/>
    <cellStyle name="Total 26 2_Table 2A-1_EFT (Annual)" xfId="3564"/>
    <cellStyle name="Total 26 3" xfId="435"/>
    <cellStyle name="Total 26 3 2" xfId="1418"/>
    <cellStyle name="Total 26 3 2 2" xfId="2688"/>
    <cellStyle name="Total 26 3 2 2 2" xfId="6249"/>
    <cellStyle name="Total 26 3 2 2 2 2" xfId="14443"/>
    <cellStyle name="Total 26 3 2 2 2 2 2" xfId="26415"/>
    <cellStyle name="Total 26 3 2 2 2 3" xfId="21302"/>
    <cellStyle name="Total 26 3 2 2 2_Table 2A-1_EFT (Annual)" xfId="8926"/>
    <cellStyle name="Total 26 3 2 2 3" xfId="11785"/>
    <cellStyle name="Total 26 3 2 2 3 2" xfId="23869"/>
    <cellStyle name="Total 26 3 2 2 4" xfId="18756"/>
    <cellStyle name="Total 26 3 2 2_Table 2A-1_EFT (Annual)" xfId="8925"/>
    <cellStyle name="Total 26 3 2 3" xfId="4979"/>
    <cellStyle name="Total 26 3 2 3 2" xfId="13239"/>
    <cellStyle name="Total 26 3 2 3 2 2" xfId="25245"/>
    <cellStyle name="Total 26 3 2 3 3" xfId="20132"/>
    <cellStyle name="Total 26 3 2 3_Table 2A-1_EFT (Annual)" xfId="8927"/>
    <cellStyle name="Total 26 3 2 4" xfId="10583"/>
    <cellStyle name="Total 26 3 2 4 2" xfId="22699"/>
    <cellStyle name="Total 26 3 2 5" xfId="17586"/>
    <cellStyle name="Total 26 3 2_Table 2A-1_EFT (Annual)" xfId="8924"/>
    <cellStyle name="Total 26 3 3" xfId="962"/>
    <cellStyle name="Total 26 3 3 2" xfId="4523"/>
    <cellStyle name="Total 26 3 3 2 2" xfId="12785"/>
    <cellStyle name="Total 26 3 3 2 2 2" xfId="24795"/>
    <cellStyle name="Total 26 3 3 2 3" xfId="19682"/>
    <cellStyle name="Total 26 3 3 2_Table 2A-1_EFT (Annual)" xfId="8929"/>
    <cellStyle name="Total 26 3 3 3" xfId="10132"/>
    <cellStyle name="Total 26 3 3 3 2" xfId="22249"/>
    <cellStyle name="Total 26 3 3 4" xfId="17136"/>
    <cellStyle name="Total 26 3 3_Table 2A-1_EFT (Annual)" xfId="8928"/>
    <cellStyle name="Total 26 3 4" xfId="2157"/>
    <cellStyle name="Total 26 3 4 2" xfId="5718"/>
    <cellStyle name="Total 26 3 4 2 2" xfId="13933"/>
    <cellStyle name="Total 26 3 4 2 2 2" xfId="25921"/>
    <cellStyle name="Total 26 3 4 2 3" xfId="20808"/>
    <cellStyle name="Total 26 3 4 2_Table 2A-1_EFT (Annual)" xfId="8931"/>
    <cellStyle name="Total 26 3 4 3" xfId="11277"/>
    <cellStyle name="Total 26 3 4 3 2" xfId="23375"/>
    <cellStyle name="Total 26 3 4 4" xfId="18262"/>
    <cellStyle name="Total 26 3 4_Table 2A-1_EFT (Annual)" xfId="8930"/>
    <cellStyle name="Total 26 3 5" xfId="4005"/>
    <cellStyle name="Total 26 3 5 2" xfId="12333"/>
    <cellStyle name="Total 26 3 5 2 2" xfId="24357"/>
    <cellStyle name="Total 26 3 5 3" xfId="19244"/>
    <cellStyle name="Total 26 3 5_Table 2A-1_EFT (Annual)" xfId="8932"/>
    <cellStyle name="Total 26 3 6" xfId="9670"/>
    <cellStyle name="Total 26 3 6 2" xfId="21811"/>
    <cellStyle name="Total 26 3 7" xfId="16698"/>
    <cellStyle name="Total 26 3_Table 2A-1_EFT (Annual)" xfId="3565"/>
    <cellStyle name="Total 26 4" xfId="1255"/>
    <cellStyle name="Total 26 4 2" xfId="2525"/>
    <cellStyle name="Total 26 4 2 2" xfId="6086"/>
    <cellStyle name="Total 26 4 2 2 2" xfId="14280"/>
    <cellStyle name="Total 26 4 2 2 2 2" xfId="26252"/>
    <cellStyle name="Total 26 4 2 2 3" xfId="21139"/>
    <cellStyle name="Total 26 4 2 2_Table 2A-1_EFT (Annual)" xfId="8935"/>
    <cellStyle name="Total 26 4 2 3" xfId="11622"/>
    <cellStyle name="Total 26 4 2 3 2" xfId="23706"/>
    <cellStyle name="Total 26 4 2 4" xfId="18593"/>
    <cellStyle name="Total 26 4 2_Table 2A-1_EFT (Annual)" xfId="8934"/>
    <cellStyle name="Total 26 4 3" xfId="4816"/>
    <cellStyle name="Total 26 4 3 2" xfId="13076"/>
    <cellStyle name="Total 26 4 3 2 2" xfId="25082"/>
    <cellStyle name="Total 26 4 3 3" xfId="19969"/>
    <cellStyle name="Total 26 4 3_Table 2A-1_EFT (Annual)" xfId="8936"/>
    <cellStyle name="Total 26 4 4" xfId="10420"/>
    <cellStyle name="Total 26 4 4 2" xfId="22536"/>
    <cellStyle name="Total 26 4 5" xfId="17423"/>
    <cellStyle name="Total 26 4_Table 2A-1_EFT (Annual)" xfId="8933"/>
    <cellStyle name="Total 26 5" xfId="806"/>
    <cellStyle name="Total 26 5 2" xfId="4367"/>
    <cellStyle name="Total 26 5 2 2" xfId="12647"/>
    <cellStyle name="Total 26 5 2 2 2" xfId="24664"/>
    <cellStyle name="Total 26 5 2 3" xfId="19551"/>
    <cellStyle name="Total 26 5 2_Table 2A-1_EFT (Annual)" xfId="8938"/>
    <cellStyle name="Total 26 5 3" xfId="9995"/>
    <cellStyle name="Total 26 5 3 2" xfId="22118"/>
    <cellStyle name="Total 26 5 4" xfId="17005"/>
    <cellStyle name="Total 26 5_Table 2A-1_EFT (Annual)" xfId="8937"/>
    <cellStyle name="Total 26 6" xfId="1994"/>
    <cellStyle name="Total 26 6 2" xfId="5555"/>
    <cellStyle name="Total 26 6 2 2" xfId="13770"/>
    <cellStyle name="Total 26 6 2 2 2" xfId="25758"/>
    <cellStyle name="Total 26 6 2 3" xfId="20645"/>
    <cellStyle name="Total 26 6 2_Table 2A-1_EFT (Annual)" xfId="8940"/>
    <cellStyle name="Total 26 6 3" xfId="11114"/>
    <cellStyle name="Total 26 6 3 2" xfId="23212"/>
    <cellStyle name="Total 26 6 4" xfId="18099"/>
    <cellStyle name="Total 26 6_Table 2A-1_EFT (Annual)" xfId="8939"/>
    <cellStyle name="Total 26 7" xfId="3796"/>
    <cellStyle name="Total 26 7 2" xfId="12164"/>
    <cellStyle name="Total 26 7 2 2" xfId="24194"/>
    <cellStyle name="Total 26 7 3" xfId="19081"/>
    <cellStyle name="Total 26 7_Table 2A-1_EFT (Annual)" xfId="8941"/>
    <cellStyle name="Total 26 8" xfId="9483"/>
    <cellStyle name="Total 26 8 2" xfId="21648"/>
    <cellStyle name="Total 26 9" xfId="16535"/>
    <cellStyle name="Total 26_Table 2A-1_EFT (Annual)" xfId="3563"/>
    <cellStyle name="Total 27" xfId="249"/>
    <cellStyle name="Total 27 2" xfId="636"/>
    <cellStyle name="Total 27 2 2" xfId="1613"/>
    <cellStyle name="Total 27 2 2 2" xfId="2883"/>
    <cellStyle name="Total 27 2 2 2 2" xfId="6444"/>
    <cellStyle name="Total 27 2 2 2 2 2" xfId="14638"/>
    <cellStyle name="Total 27 2 2 2 2 2 2" xfId="26610"/>
    <cellStyle name="Total 27 2 2 2 2 3" xfId="21497"/>
    <cellStyle name="Total 27 2 2 2 2_Table 2A-1_EFT (Annual)" xfId="8944"/>
    <cellStyle name="Total 27 2 2 2 3" xfId="11980"/>
    <cellStyle name="Total 27 2 2 2 3 2" xfId="24064"/>
    <cellStyle name="Total 27 2 2 2 4" xfId="18951"/>
    <cellStyle name="Total 27 2 2 2_Table 2A-1_EFT (Annual)" xfId="8943"/>
    <cellStyle name="Total 27 2 2 3" xfId="5174"/>
    <cellStyle name="Total 27 2 2 3 2" xfId="13434"/>
    <cellStyle name="Total 27 2 2 3 2 2" xfId="25440"/>
    <cellStyle name="Total 27 2 2 3 3" xfId="20327"/>
    <cellStyle name="Total 27 2 2 3_Table 2A-1_EFT (Annual)" xfId="8945"/>
    <cellStyle name="Total 27 2 2 4" xfId="10778"/>
    <cellStyle name="Total 27 2 2 4 2" xfId="22894"/>
    <cellStyle name="Total 27 2 2 5" xfId="17781"/>
    <cellStyle name="Total 27 2 2_Table 2A-1_EFT (Annual)" xfId="8942"/>
    <cellStyle name="Total 27 2 3" xfId="1126"/>
    <cellStyle name="Total 27 2 3 2" xfId="4687"/>
    <cellStyle name="Total 27 2 3 2 2" xfId="12947"/>
    <cellStyle name="Total 27 2 3 2 2 2" xfId="24953"/>
    <cellStyle name="Total 27 2 3 2 3" xfId="19840"/>
    <cellStyle name="Total 27 2 3 2_Table 2A-1_EFT (Annual)" xfId="8947"/>
    <cellStyle name="Total 27 2 3 3" xfId="10291"/>
    <cellStyle name="Total 27 2 3 3 2" xfId="22407"/>
    <cellStyle name="Total 27 2 3 4" xfId="17294"/>
    <cellStyle name="Total 27 2 3_Table 2A-1_EFT (Annual)" xfId="8946"/>
    <cellStyle name="Total 27 2 4" xfId="2352"/>
    <cellStyle name="Total 27 2 4 2" xfId="5913"/>
    <cellStyle name="Total 27 2 4 2 2" xfId="14128"/>
    <cellStyle name="Total 27 2 4 2 2 2" xfId="26116"/>
    <cellStyle name="Total 27 2 4 2 3" xfId="21003"/>
    <cellStyle name="Total 27 2 4 2_Table 2A-1_EFT (Annual)" xfId="8949"/>
    <cellStyle name="Total 27 2 4 3" xfId="11472"/>
    <cellStyle name="Total 27 2 4 3 2" xfId="23570"/>
    <cellStyle name="Total 27 2 4 4" xfId="18457"/>
    <cellStyle name="Total 27 2 4_Table 2A-1_EFT (Annual)" xfId="8948"/>
    <cellStyle name="Total 27 2 5" xfId="4206"/>
    <cellStyle name="Total 27 2 5 2" xfId="12530"/>
    <cellStyle name="Total 27 2 5 2 2" xfId="24552"/>
    <cellStyle name="Total 27 2 5 3" xfId="19439"/>
    <cellStyle name="Total 27 2 5_Table 2A-1_EFT (Annual)" xfId="8950"/>
    <cellStyle name="Total 27 2 6" xfId="9869"/>
    <cellStyle name="Total 27 2 6 2" xfId="22006"/>
    <cellStyle name="Total 27 2 7" xfId="16893"/>
    <cellStyle name="Total 27 2_Table 2A-1_EFT (Annual)" xfId="3567"/>
    <cellStyle name="Total 27 3" xfId="475"/>
    <cellStyle name="Total 27 3 2" xfId="1452"/>
    <cellStyle name="Total 27 3 2 2" xfId="2722"/>
    <cellStyle name="Total 27 3 2 2 2" xfId="6283"/>
    <cellStyle name="Total 27 3 2 2 2 2" xfId="14477"/>
    <cellStyle name="Total 27 3 2 2 2 2 2" xfId="26449"/>
    <cellStyle name="Total 27 3 2 2 2 3" xfId="21336"/>
    <cellStyle name="Total 27 3 2 2 2_Table 2A-1_EFT (Annual)" xfId="8953"/>
    <cellStyle name="Total 27 3 2 2 3" xfId="11819"/>
    <cellStyle name="Total 27 3 2 2 3 2" xfId="23903"/>
    <cellStyle name="Total 27 3 2 2 4" xfId="18790"/>
    <cellStyle name="Total 27 3 2 2_Table 2A-1_EFT (Annual)" xfId="8952"/>
    <cellStyle name="Total 27 3 2 3" xfId="5013"/>
    <cellStyle name="Total 27 3 2 3 2" xfId="13273"/>
    <cellStyle name="Total 27 3 2 3 2 2" xfId="25279"/>
    <cellStyle name="Total 27 3 2 3 3" xfId="20166"/>
    <cellStyle name="Total 27 3 2 3_Table 2A-1_EFT (Annual)" xfId="8954"/>
    <cellStyle name="Total 27 3 2 4" xfId="10617"/>
    <cellStyle name="Total 27 3 2 4 2" xfId="22733"/>
    <cellStyle name="Total 27 3 2 5" xfId="17620"/>
    <cellStyle name="Total 27 3 2_Table 2A-1_EFT (Annual)" xfId="8951"/>
    <cellStyle name="Total 27 3 3" xfId="996"/>
    <cellStyle name="Total 27 3 3 2" xfId="4557"/>
    <cellStyle name="Total 27 3 3 2 2" xfId="12817"/>
    <cellStyle name="Total 27 3 3 2 2 2" xfId="24823"/>
    <cellStyle name="Total 27 3 3 2 3" xfId="19710"/>
    <cellStyle name="Total 27 3 3 2_Table 2A-1_EFT (Annual)" xfId="8956"/>
    <cellStyle name="Total 27 3 3 3" xfId="10161"/>
    <cellStyle name="Total 27 3 3 3 2" xfId="22277"/>
    <cellStyle name="Total 27 3 3 4" xfId="17164"/>
    <cellStyle name="Total 27 3 3_Table 2A-1_EFT (Annual)" xfId="8955"/>
    <cellStyle name="Total 27 3 4" xfId="2191"/>
    <cellStyle name="Total 27 3 4 2" xfId="5752"/>
    <cellStyle name="Total 27 3 4 2 2" xfId="13967"/>
    <cellStyle name="Total 27 3 4 2 2 2" xfId="25955"/>
    <cellStyle name="Total 27 3 4 2 3" xfId="20842"/>
    <cellStyle name="Total 27 3 4 2_Table 2A-1_EFT (Annual)" xfId="8958"/>
    <cellStyle name="Total 27 3 4 3" xfId="11311"/>
    <cellStyle name="Total 27 3 4 3 2" xfId="23409"/>
    <cellStyle name="Total 27 3 4 4" xfId="18296"/>
    <cellStyle name="Total 27 3 4_Table 2A-1_EFT (Annual)" xfId="8957"/>
    <cellStyle name="Total 27 3 5" xfId="4045"/>
    <cellStyle name="Total 27 3 5 2" xfId="12369"/>
    <cellStyle name="Total 27 3 5 2 2" xfId="24391"/>
    <cellStyle name="Total 27 3 5 3" xfId="19278"/>
    <cellStyle name="Total 27 3 5_Table 2A-1_EFT (Annual)" xfId="8959"/>
    <cellStyle name="Total 27 3 6" xfId="9708"/>
    <cellStyle name="Total 27 3 6 2" xfId="21845"/>
    <cellStyle name="Total 27 3 7" xfId="16732"/>
    <cellStyle name="Total 27 3_Table 2A-1_EFT (Annual)" xfId="3568"/>
    <cellStyle name="Total 27 4" xfId="1291"/>
    <cellStyle name="Total 27 4 2" xfId="2561"/>
    <cellStyle name="Total 27 4 2 2" xfId="6122"/>
    <cellStyle name="Total 27 4 2 2 2" xfId="14316"/>
    <cellStyle name="Total 27 4 2 2 2 2" xfId="26288"/>
    <cellStyle name="Total 27 4 2 2 3" xfId="21175"/>
    <cellStyle name="Total 27 4 2 2_Table 2A-1_EFT (Annual)" xfId="8962"/>
    <cellStyle name="Total 27 4 2 3" xfId="11658"/>
    <cellStyle name="Total 27 4 2 3 2" xfId="23742"/>
    <cellStyle name="Total 27 4 2 4" xfId="18629"/>
    <cellStyle name="Total 27 4 2_Table 2A-1_EFT (Annual)" xfId="8961"/>
    <cellStyle name="Total 27 4 3" xfId="4852"/>
    <cellStyle name="Total 27 4 3 2" xfId="13112"/>
    <cellStyle name="Total 27 4 3 2 2" xfId="25118"/>
    <cellStyle name="Total 27 4 3 3" xfId="20005"/>
    <cellStyle name="Total 27 4 3_Table 2A-1_EFT (Annual)" xfId="8963"/>
    <cellStyle name="Total 27 4 4" xfId="10456"/>
    <cellStyle name="Total 27 4 4 2" xfId="22572"/>
    <cellStyle name="Total 27 4 5" xfId="17459"/>
    <cellStyle name="Total 27 4_Table 2A-1_EFT (Annual)" xfId="8960"/>
    <cellStyle name="Total 27 5" xfId="841"/>
    <cellStyle name="Total 27 5 2" xfId="4402"/>
    <cellStyle name="Total 27 5 2 2" xfId="12676"/>
    <cellStyle name="Total 27 5 2 2 2" xfId="24693"/>
    <cellStyle name="Total 27 5 2 3" xfId="19580"/>
    <cellStyle name="Total 27 5 2_Table 2A-1_EFT (Annual)" xfId="8965"/>
    <cellStyle name="Total 27 5 3" xfId="10025"/>
    <cellStyle name="Total 27 5 3 2" xfId="22147"/>
    <cellStyle name="Total 27 5 4" xfId="17034"/>
    <cellStyle name="Total 27 5_Table 2A-1_EFT (Annual)" xfId="8964"/>
    <cellStyle name="Total 27 6" xfId="2030"/>
    <cellStyle name="Total 27 6 2" xfId="5591"/>
    <cellStyle name="Total 27 6 2 2" xfId="13806"/>
    <cellStyle name="Total 27 6 2 2 2" xfId="25794"/>
    <cellStyle name="Total 27 6 2 3" xfId="20681"/>
    <cellStyle name="Total 27 6 2_Table 2A-1_EFT (Annual)" xfId="8967"/>
    <cellStyle name="Total 27 6 3" xfId="11150"/>
    <cellStyle name="Total 27 6 3 2" xfId="23248"/>
    <cellStyle name="Total 27 6 4" xfId="18135"/>
    <cellStyle name="Total 27 6_Table 2A-1_EFT (Annual)" xfId="8966"/>
    <cellStyle name="Total 27 7" xfId="3838"/>
    <cellStyle name="Total 27 7 2" xfId="12201"/>
    <cellStyle name="Total 27 7 2 2" xfId="24230"/>
    <cellStyle name="Total 27 7 3" xfId="19117"/>
    <cellStyle name="Total 27 7_Table 2A-1_EFT (Annual)" xfId="8968"/>
    <cellStyle name="Total 27 8" xfId="9520"/>
    <cellStyle name="Total 27 8 2" xfId="21684"/>
    <cellStyle name="Total 27 9" xfId="16571"/>
    <cellStyle name="Total 27_Table 2A-1_EFT (Annual)" xfId="3566"/>
    <cellStyle name="Total 28" xfId="189"/>
    <cellStyle name="Total 28 2" xfId="582"/>
    <cellStyle name="Total 28 2 2" xfId="1559"/>
    <cellStyle name="Total 28 2 2 2" xfId="2829"/>
    <cellStyle name="Total 28 2 2 2 2" xfId="6390"/>
    <cellStyle name="Total 28 2 2 2 2 2" xfId="14584"/>
    <cellStyle name="Total 28 2 2 2 2 2 2" xfId="26556"/>
    <cellStyle name="Total 28 2 2 2 2 3" xfId="21443"/>
    <cellStyle name="Total 28 2 2 2 2_Table 2A-1_EFT (Annual)" xfId="8971"/>
    <cellStyle name="Total 28 2 2 2 3" xfId="11926"/>
    <cellStyle name="Total 28 2 2 2 3 2" xfId="24010"/>
    <cellStyle name="Total 28 2 2 2 4" xfId="18897"/>
    <cellStyle name="Total 28 2 2 2_Table 2A-1_EFT (Annual)" xfId="8970"/>
    <cellStyle name="Total 28 2 2 3" xfId="5120"/>
    <cellStyle name="Total 28 2 2 3 2" xfId="13380"/>
    <cellStyle name="Total 28 2 2 3 2 2" xfId="25386"/>
    <cellStyle name="Total 28 2 2 3 3" xfId="20273"/>
    <cellStyle name="Total 28 2 2 3_Table 2A-1_EFT (Annual)" xfId="8972"/>
    <cellStyle name="Total 28 2 2 4" xfId="10724"/>
    <cellStyle name="Total 28 2 2 4 2" xfId="22840"/>
    <cellStyle name="Total 28 2 2 5" xfId="17727"/>
    <cellStyle name="Total 28 2 2_Table 2A-1_EFT (Annual)" xfId="8969"/>
    <cellStyle name="Total 28 2 3" xfId="1082"/>
    <cellStyle name="Total 28 2 3 2" xfId="4643"/>
    <cellStyle name="Total 28 2 3 2 2" xfId="12903"/>
    <cellStyle name="Total 28 2 3 2 2 2" xfId="24909"/>
    <cellStyle name="Total 28 2 3 2 3" xfId="19796"/>
    <cellStyle name="Total 28 2 3 2_Table 2A-1_EFT (Annual)" xfId="8974"/>
    <cellStyle name="Total 28 2 3 3" xfId="10247"/>
    <cellStyle name="Total 28 2 3 3 2" xfId="22363"/>
    <cellStyle name="Total 28 2 3 4" xfId="17250"/>
    <cellStyle name="Total 28 2 3_Table 2A-1_EFT (Annual)" xfId="8973"/>
    <cellStyle name="Total 28 2 4" xfId="2298"/>
    <cellStyle name="Total 28 2 4 2" xfId="5859"/>
    <cellStyle name="Total 28 2 4 2 2" xfId="14074"/>
    <cellStyle name="Total 28 2 4 2 2 2" xfId="26062"/>
    <cellStyle name="Total 28 2 4 2 3" xfId="20949"/>
    <cellStyle name="Total 28 2 4 2_Table 2A-1_EFT (Annual)" xfId="8976"/>
    <cellStyle name="Total 28 2 4 3" xfId="11418"/>
    <cellStyle name="Total 28 2 4 3 2" xfId="23516"/>
    <cellStyle name="Total 28 2 4 4" xfId="18403"/>
    <cellStyle name="Total 28 2 4_Table 2A-1_EFT (Annual)" xfId="8975"/>
    <cellStyle name="Total 28 2 5" xfId="4152"/>
    <cellStyle name="Total 28 2 5 2" xfId="12476"/>
    <cellStyle name="Total 28 2 5 2 2" xfId="24498"/>
    <cellStyle name="Total 28 2 5 3" xfId="19385"/>
    <cellStyle name="Total 28 2 5_Table 2A-1_EFT (Annual)" xfId="8977"/>
    <cellStyle name="Total 28 2 6" xfId="9815"/>
    <cellStyle name="Total 28 2 6 2" xfId="21952"/>
    <cellStyle name="Total 28 2 7" xfId="16839"/>
    <cellStyle name="Total 28 2_Table 2A-1_EFT (Annual)" xfId="3570"/>
    <cellStyle name="Total 28 3" xfId="419"/>
    <cellStyle name="Total 28 3 2" xfId="1402"/>
    <cellStyle name="Total 28 3 2 2" xfId="2672"/>
    <cellStyle name="Total 28 3 2 2 2" xfId="6233"/>
    <cellStyle name="Total 28 3 2 2 2 2" xfId="14427"/>
    <cellStyle name="Total 28 3 2 2 2 2 2" xfId="26399"/>
    <cellStyle name="Total 28 3 2 2 2 3" xfId="21286"/>
    <cellStyle name="Total 28 3 2 2 2_Table 2A-1_EFT (Annual)" xfId="8980"/>
    <cellStyle name="Total 28 3 2 2 3" xfId="11769"/>
    <cellStyle name="Total 28 3 2 2 3 2" xfId="23853"/>
    <cellStyle name="Total 28 3 2 2 4" xfId="18740"/>
    <cellStyle name="Total 28 3 2 2_Table 2A-1_EFT (Annual)" xfId="8979"/>
    <cellStyle name="Total 28 3 2 3" xfId="4963"/>
    <cellStyle name="Total 28 3 2 3 2" xfId="13223"/>
    <cellStyle name="Total 28 3 2 3 2 2" xfId="25229"/>
    <cellStyle name="Total 28 3 2 3 3" xfId="20116"/>
    <cellStyle name="Total 28 3 2 3_Table 2A-1_EFT (Annual)" xfId="8981"/>
    <cellStyle name="Total 28 3 2 4" xfId="10567"/>
    <cellStyle name="Total 28 3 2 4 2" xfId="22683"/>
    <cellStyle name="Total 28 3 2 5" xfId="17570"/>
    <cellStyle name="Total 28 3 2_Table 2A-1_EFT (Annual)" xfId="8978"/>
    <cellStyle name="Total 28 3 3" xfId="949"/>
    <cellStyle name="Total 28 3 3 2" xfId="4510"/>
    <cellStyle name="Total 28 3 3 2 2" xfId="12772"/>
    <cellStyle name="Total 28 3 3 2 2 2" xfId="24782"/>
    <cellStyle name="Total 28 3 3 2 3" xfId="19669"/>
    <cellStyle name="Total 28 3 3 2_Table 2A-1_EFT (Annual)" xfId="8983"/>
    <cellStyle name="Total 28 3 3 3" xfId="10119"/>
    <cellStyle name="Total 28 3 3 3 2" xfId="22236"/>
    <cellStyle name="Total 28 3 3 4" xfId="17123"/>
    <cellStyle name="Total 28 3 3_Table 2A-1_EFT (Annual)" xfId="8982"/>
    <cellStyle name="Total 28 3 4" xfId="2141"/>
    <cellStyle name="Total 28 3 4 2" xfId="5702"/>
    <cellStyle name="Total 28 3 4 2 2" xfId="13917"/>
    <cellStyle name="Total 28 3 4 2 2 2" xfId="25905"/>
    <cellStyle name="Total 28 3 4 2 3" xfId="20792"/>
    <cellStyle name="Total 28 3 4 2_Table 2A-1_EFT (Annual)" xfId="8985"/>
    <cellStyle name="Total 28 3 4 3" xfId="11261"/>
    <cellStyle name="Total 28 3 4 3 2" xfId="23359"/>
    <cellStyle name="Total 28 3 4 4" xfId="18246"/>
    <cellStyle name="Total 28 3 4_Table 2A-1_EFT (Annual)" xfId="8984"/>
    <cellStyle name="Total 28 3 5" xfId="3989"/>
    <cellStyle name="Total 28 3 5 2" xfId="12317"/>
    <cellStyle name="Total 28 3 5 2 2" xfId="24341"/>
    <cellStyle name="Total 28 3 5 3" xfId="19228"/>
    <cellStyle name="Total 28 3 5_Table 2A-1_EFT (Annual)" xfId="8986"/>
    <cellStyle name="Total 28 3 6" xfId="9654"/>
    <cellStyle name="Total 28 3 6 2" xfId="21795"/>
    <cellStyle name="Total 28 3 7" xfId="16682"/>
    <cellStyle name="Total 28 3_Table 2A-1_EFT (Annual)" xfId="3571"/>
    <cellStyle name="Total 28 4" xfId="1237"/>
    <cellStyle name="Total 28 4 2" xfId="2507"/>
    <cellStyle name="Total 28 4 2 2" xfId="6068"/>
    <cellStyle name="Total 28 4 2 2 2" xfId="14262"/>
    <cellStyle name="Total 28 4 2 2 2 2" xfId="26234"/>
    <cellStyle name="Total 28 4 2 2 3" xfId="21121"/>
    <cellStyle name="Total 28 4 2 2_Table 2A-1_EFT (Annual)" xfId="8989"/>
    <cellStyle name="Total 28 4 2 3" xfId="11604"/>
    <cellStyle name="Total 28 4 2 3 2" xfId="23688"/>
    <cellStyle name="Total 28 4 2 4" xfId="18575"/>
    <cellStyle name="Total 28 4 2_Table 2A-1_EFT (Annual)" xfId="8988"/>
    <cellStyle name="Total 28 4 3" xfId="4798"/>
    <cellStyle name="Total 28 4 3 2" xfId="13058"/>
    <cellStyle name="Total 28 4 3 2 2" xfId="25064"/>
    <cellStyle name="Total 28 4 3 3" xfId="19951"/>
    <cellStyle name="Total 28 4 3_Table 2A-1_EFT (Annual)" xfId="8990"/>
    <cellStyle name="Total 28 4 4" xfId="10402"/>
    <cellStyle name="Total 28 4 4 2" xfId="22518"/>
    <cellStyle name="Total 28 4 5" xfId="17405"/>
    <cellStyle name="Total 28 4_Table 2A-1_EFT (Annual)" xfId="8987"/>
    <cellStyle name="Total 28 5" xfId="791"/>
    <cellStyle name="Total 28 5 2" xfId="4352"/>
    <cellStyle name="Total 28 5 2 2" xfId="12632"/>
    <cellStyle name="Total 28 5 2 2 2" xfId="24649"/>
    <cellStyle name="Total 28 5 2 3" xfId="19536"/>
    <cellStyle name="Total 28 5 2_Table 2A-1_EFT (Annual)" xfId="8992"/>
    <cellStyle name="Total 28 5 3" xfId="9980"/>
    <cellStyle name="Total 28 5 3 2" xfId="22103"/>
    <cellStyle name="Total 28 5 4" xfId="16990"/>
    <cellStyle name="Total 28 5_Table 2A-1_EFT (Annual)" xfId="8991"/>
    <cellStyle name="Total 28 6" xfId="1976"/>
    <cellStyle name="Total 28 6 2" xfId="5537"/>
    <cellStyle name="Total 28 6 2 2" xfId="13752"/>
    <cellStyle name="Total 28 6 2 2 2" xfId="25740"/>
    <cellStyle name="Total 28 6 2 3" xfId="20627"/>
    <cellStyle name="Total 28 6 2_Table 2A-1_EFT (Annual)" xfId="8994"/>
    <cellStyle name="Total 28 6 3" xfId="11096"/>
    <cellStyle name="Total 28 6 3 2" xfId="23194"/>
    <cellStyle name="Total 28 6 4" xfId="18081"/>
    <cellStyle name="Total 28 6_Table 2A-1_EFT (Annual)" xfId="8993"/>
    <cellStyle name="Total 28 7" xfId="3778"/>
    <cellStyle name="Total 28 7 2" xfId="12146"/>
    <cellStyle name="Total 28 7 2 2" xfId="24176"/>
    <cellStyle name="Total 28 7 3" xfId="19063"/>
    <cellStyle name="Total 28 7_Table 2A-1_EFT (Annual)" xfId="8995"/>
    <cellStyle name="Total 28 8" xfId="9465"/>
    <cellStyle name="Total 28 8 2" xfId="21630"/>
    <cellStyle name="Total 28 9" xfId="16517"/>
    <cellStyle name="Total 28_Table 2A-1_EFT (Annual)" xfId="3569"/>
    <cellStyle name="Total 29" xfId="215"/>
    <cellStyle name="Total 29 2" xfId="608"/>
    <cellStyle name="Total 29 2 2" xfId="1585"/>
    <cellStyle name="Total 29 2 2 2" xfId="2855"/>
    <cellStyle name="Total 29 2 2 2 2" xfId="6416"/>
    <cellStyle name="Total 29 2 2 2 2 2" xfId="14610"/>
    <cellStyle name="Total 29 2 2 2 2 2 2" xfId="26582"/>
    <cellStyle name="Total 29 2 2 2 2 3" xfId="21469"/>
    <cellStyle name="Total 29 2 2 2 2_Table 2A-1_EFT (Annual)" xfId="8998"/>
    <cellStyle name="Total 29 2 2 2 3" xfId="11952"/>
    <cellStyle name="Total 29 2 2 2 3 2" xfId="24036"/>
    <cellStyle name="Total 29 2 2 2 4" xfId="18923"/>
    <cellStyle name="Total 29 2 2 2_Table 2A-1_EFT (Annual)" xfId="8997"/>
    <cellStyle name="Total 29 2 2 3" xfId="5146"/>
    <cellStyle name="Total 29 2 2 3 2" xfId="13406"/>
    <cellStyle name="Total 29 2 2 3 2 2" xfId="25412"/>
    <cellStyle name="Total 29 2 2 3 3" xfId="20299"/>
    <cellStyle name="Total 29 2 2 3_Table 2A-1_EFT (Annual)" xfId="8999"/>
    <cellStyle name="Total 29 2 2 4" xfId="10750"/>
    <cellStyle name="Total 29 2 2 4 2" xfId="22866"/>
    <cellStyle name="Total 29 2 2 5" xfId="17753"/>
    <cellStyle name="Total 29 2 2_Table 2A-1_EFT (Annual)" xfId="8996"/>
    <cellStyle name="Total 29 2 3" xfId="1103"/>
    <cellStyle name="Total 29 2 3 2" xfId="4664"/>
    <cellStyle name="Total 29 2 3 2 2" xfId="12924"/>
    <cellStyle name="Total 29 2 3 2 2 2" xfId="24930"/>
    <cellStyle name="Total 29 2 3 2 3" xfId="19817"/>
    <cellStyle name="Total 29 2 3 2_Table 2A-1_EFT (Annual)" xfId="9001"/>
    <cellStyle name="Total 29 2 3 3" xfId="10268"/>
    <cellStyle name="Total 29 2 3 3 2" xfId="22384"/>
    <cellStyle name="Total 29 2 3 4" xfId="17271"/>
    <cellStyle name="Total 29 2 3_Table 2A-1_EFT (Annual)" xfId="9000"/>
    <cellStyle name="Total 29 2 4" xfId="2324"/>
    <cellStyle name="Total 29 2 4 2" xfId="5885"/>
    <cellStyle name="Total 29 2 4 2 2" xfId="14100"/>
    <cellStyle name="Total 29 2 4 2 2 2" xfId="26088"/>
    <cellStyle name="Total 29 2 4 2 3" xfId="20975"/>
    <cellStyle name="Total 29 2 4 2_Table 2A-1_EFT (Annual)" xfId="9003"/>
    <cellStyle name="Total 29 2 4 3" xfId="11444"/>
    <cellStyle name="Total 29 2 4 3 2" xfId="23542"/>
    <cellStyle name="Total 29 2 4 4" xfId="18429"/>
    <cellStyle name="Total 29 2 4_Table 2A-1_EFT (Annual)" xfId="9002"/>
    <cellStyle name="Total 29 2 5" xfId="4178"/>
    <cellStyle name="Total 29 2 5 2" xfId="12502"/>
    <cellStyle name="Total 29 2 5 2 2" xfId="24524"/>
    <cellStyle name="Total 29 2 5 3" xfId="19411"/>
    <cellStyle name="Total 29 2 5_Table 2A-1_EFT (Annual)" xfId="9004"/>
    <cellStyle name="Total 29 2 6" xfId="9841"/>
    <cellStyle name="Total 29 2 6 2" xfId="21978"/>
    <cellStyle name="Total 29 2 7" xfId="16865"/>
    <cellStyle name="Total 29 2_Table 2A-1_EFT (Annual)" xfId="3573"/>
    <cellStyle name="Total 29 3" xfId="443"/>
    <cellStyle name="Total 29 3 2" xfId="1426"/>
    <cellStyle name="Total 29 3 2 2" xfId="2696"/>
    <cellStyle name="Total 29 3 2 2 2" xfId="6257"/>
    <cellStyle name="Total 29 3 2 2 2 2" xfId="14451"/>
    <cellStyle name="Total 29 3 2 2 2 2 2" xfId="26423"/>
    <cellStyle name="Total 29 3 2 2 2 3" xfId="21310"/>
    <cellStyle name="Total 29 3 2 2 2_Table 2A-1_EFT (Annual)" xfId="9007"/>
    <cellStyle name="Total 29 3 2 2 3" xfId="11793"/>
    <cellStyle name="Total 29 3 2 2 3 2" xfId="23877"/>
    <cellStyle name="Total 29 3 2 2 4" xfId="18764"/>
    <cellStyle name="Total 29 3 2 2_Table 2A-1_EFT (Annual)" xfId="9006"/>
    <cellStyle name="Total 29 3 2 3" xfId="4987"/>
    <cellStyle name="Total 29 3 2 3 2" xfId="13247"/>
    <cellStyle name="Total 29 3 2 3 2 2" xfId="25253"/>
    <cellStyle name="Total 29 3 2 3 3" xfId="20140"/>
    <cellStyle name="Total 29 3 2 3_Table 2A-1_EFT (Annual)" xfId="9008"/>
    <cellStyle name="Total 29 3 2 4" xfId="10591"/>
    <cellStyle name="Total 29 3 2 4 2" xfId="22707"/>
    <cellStyle name="Total 29 3 2 5" xfId="17594"/>
    <cellStyle name="Total 29 3 2_Table 2A-1_EFT (Annual)" xfId="9005"/>
    <cellStyle name="Total 29 3 3" xfId="968"/>
    <cellStyle name="Total 29 3 3 2" xfId="4529"/>
    <cellStyle name="Total 29 3 3 2 2" xfId="12791"/>
    <cellStyle name="Total 29 3 3 2 2 2" xfId="24801"/>
    <cellStyle name="Total 29 3 3 2 3" xfId="19688"/>
    <cellStyle name="Total 29 3 3 2_Table 2A-1_EFT (Annual)" xfId="9010"/>
    <cellStyle name="Total 29 3 3 3" xfId="10138"/>
    <cellStyle name="Total 29 3 3 3 2" xfId="22255"/>
    <cellStyle name="Total 29 3 3 4" xfId="17142"/>
    <cellStyle name="Total 29 3 3_Table 2A-1_EFT (Annual)" xfId="9009"/>
    <cellStyle name="Total 29 3 4" xfId="2165"/>
    <cellStyle name="Total 29 3 4 2" xfId="5726"/>
    <cellStyle name="Total 29 3 4 2 2" xfId="13941"/>
    <cellStyle name="Total 29 3 4 2 2 2" xfId="25929"/>
    <cellStyle name="Total 29 3 4 2 3" xfId="20816"/>
    <cellStyle name="Total 29 3 4 2_Table 2A-1_EFT (Annual)" xfId="9012"/>
    <cellStyle name="Total 29 3 4 3" xfId="11285"/>
    <cellStyle name="Total 29 3 4 3 2" xfId="23383"/>
    <cellStyle name="Total 29 3 4 4" xfId="18270"/>
    <cellStyle name="Total 29 3 4_Table 2A-1_EFT (Annual)" xfId="9011"/>
    <cellStyle name="Total 29 3 5" xfId="4013"/>
    <cellStyle name="Total 29 3 5 2" xfId="12341"/>
    <cellStyle name="Total 29 3 5 2 2" xfId="24365"/>
    <cellStyle name="Total 29 3 5 3" xfId="19252"/>
    <cellStyle name="Total 29 3 5_Table 2A-1_EFT (Annual)" xfId="9013"/>
    <cellStyle name="Total 29 3 6" xfId="9678"/>
    <cellStyle name="Total 29 3 6 2" xfId="21819"/>
    <cellStyle name="Total 29 3 7" xfId="16706"/>
    <cellStyle name="Total 29 3_Table 2A-1_EFT (Annual)" xfId="3574"/>
    <cellStyle name="Total 29 4" xfId="1263"/>
    <cellStyle name="Total 29 4 2" xfId="2533"/>
    <cellStyle name="Total 29 4 2 2" xfId="6094"/>
    <cellStyle name="Total 29 4 2 2 2" xfId="14288"/>
    <cellStyle name="Total 29 4 2 2 2 2" xfId="26260"/>
    <cellStyle name="Total 29 4 2 2 3" xfId="21147"/>
    <cellStyle name="Total 29 4 2 2_Table 2A-1_EFT (Annual)" xfId="9016"/>
    <cellStyle name="Total 29 4 2 3" xfId="11630"/>
    <cellStyle name="Total 29 4 2 3 2" xfId="23714"/>
    <cellStyle name="Total 29 4 2 4" xfId="18601"/>
    <cellStyle name="Total 29 4 2_Table 2A-1_EFT (Annual)" xfId="9015"/>
    <cellStyle name="Total 29 4 3" xfId="4824"/>
    <cellStyle name="Total 29 4 3 2" xfId="13084"/>
    <cellStyle name="Total 29 4 3 2 2" xfId="25090"/>
    <cellStyle name="Total 29 4 3 3" xfId="19977"/>
    <cellStyle name="Total 29 4 3_Table 2A-1_EFT (Annual)" xfId="9017"/>
    <cellStyle name="Total 29 4 4" xfId="10428"/>
    <cellStyle name="Total 29 4 4 2" xfId="22544"/>
    <cellStyle name="Total 29 4 5" xfId="17431"/>
    <cellStyle name="Total 29 4_Table 2A-1_EFT (Annual)" xfId="9014"/>
    <cellStyle name="Total 29 5" xfId="812"/>
    <cellStyle name="Total 29 5 2" xfId="4373"/>
    <cellStyle name="Total 29 5 2 2" xfId="12653"/>
    <cellStyle name="Total 29 5 2 2 2" xfId="24670"/>
    <cellStyle name="Total 29 5 2 3" xfId="19557"/>
    <cellStyle name="Total 29 5 2_Table 2A-1_EFT (Annual)" xfId="9019"/>
    <cellStyle name="Total 29 5 3" xfId="10001"/>
    <cellStyle name="Total 29 5 3 2" xfId="22124"/>
    <cellStyle name="Total 29 5 4" xfId="17011"/>
    <cellStyle name="Total 29 5_Table 2A-1_EFT (Annual)" xfId="9018"/>
    <cellStyle name="Total 29 6" xfId="2002"/>
    <cellStyle name="Total 29 6 2" xfId="5563"/>
    <cellStyle name="Total 29 6 2 2" xfId="13778"/>
    <cellStyle name="Total 29 6 2 2 2" xfId="25766"/>
    <cellStyle name="Total 29 6 2 3" xfId="20653"/>
    <cellStyle name="Total 29 6 2_Table 2A-1_EFT (Annual)" xfId="9021"/>
    <cellStyle name="Total 29 6 3" xfId="11122"/>
    <cellStyle name="Total 29 6 3 2" xfId="23220"/>
    <cellStyle name="Total 29 6 4" xfId="18107"/>
    <cellStyle name="Total 29 6_Table 2A-1_EFT (Annual)" xfId="9020"/>
    <cellStyle name="Total 29 7" xfId="3804"/>
    <cellStyle name="Total 29 7 2" xfId="12172"/>
    <cellStyle name="Total 29 7 2 2" xfId="24202"/>
    <cellStyle name="Total 29 7 3" xfId="19089"/>
    <cellStyle name="Total 29 7_Table 2A-1_EFT (Annual)" xfId="9022"/>
    <cellStyle name="Total 29 8" xfId="9491"/>
    <cellStyle name="Total 29 8 2" xfId="21656"/>
    <cellStyle name="Total 29 9" xfId="16543"/>
    <cellStyle name="Total 29_Table 2A-1_EFT (Annual)" xfId="3572"/>
    <cellStyle name="Total 3" xfId="116"/>
    <cellStyle name="Total 3 10" xfId="21508"/>
    <cellStyle name="Total 3 2" xfId="509"/>
    <cellStyle name="Total 3 2 2" xfId="1486"/>
    <cellStyle name="Total 3 2 2 2" xfId="2756"/>
    <cellStyle name="Total 3 2 2 2 2" xfId="6317"/>
    <cellStyle name="Total 3 2 2 2 2 2" xfId="14511"/>
    <cellStyle name="Total 3 2 2 2 2 2 2" xfId="26483"/>
    <cellStyle name="Total 3 2 2 2 2 3" xfId="21370"/>
    <cellStyle name="Total 3 2 2 2 2_Table 2A-1_EFT (Annual)" xfId="9025"/>
    <cellStyle name="Total 3 2 2 2 3" xfId="11853"/>
    <cellStyle name="Total 3 2 2 2 3 2" xfId="23937"/>
    <cellStyle name="Total 3 2 2 2 4" xfId="18824"/>
    <cellStyle name="Total 3 2 2 2_Table 2A-1_EFT (Annual)" xfId="9024"/>
    <cellStyle name="Total 3 2 2 3" xfId="5047"/>
    <cellStyle name="Total 3 2 2 3 2" xfId="13307"/>
    <cellStyle name="Total 3 2 2 3 2 2" xfId="25313"/>
    <cellStyle name="Total 3 2 2 3 3" xfId="20200"/>
    <cellStyle name="Total 3 2 2 3_Table 2A-1_EFT (Annual)" xfId="9026"/>
    <cellStyle name="Total 3 2 2 4" xfId="10651"/>
    <cellStyle name="Total 3 2 2 4 2" xfId="22767"/>
    <cellStyle name="Total 3 2 2 5" xfId="17654"/>
    <cellStyle name="Total 3 2 2_Table 2A-1_EFT (Annual)" xfId="9023"/>
    <cellStyle name="Total 3 2 3" xfId="1021"/>
    <cellStyle name="Total 3 2 3 2" xfId="4582"/>
    <cellStyle name="Total 3 2 3 2 2" xfId="12842"/>
    <cellStyle name="Total 3 2 3 2 2 2" xfId="24848"/>
    <cellStyle name="Total 3 2 3 2 3" xfId="19735"/>
    <cellStyle name="Total 3 2 3 2_Table 2A-1_EFT (Annual)" xfId="9028"/>
    <cellStyle name="Total 3 2 3 3" xfId="10186"/>
    <cellStyle name="Total 3 2 3 3 2" xfId="22302"/>
    <cellStyle name="Total 3 2 3 4" xfId="17189"/>
    <cellStyle name="Total 3 2 3_Table 2A-1_EFT (Annual)" xfId="9027"/>
    <cellStyle name="Total 3 2 4" xfId="2225"/>
    <cellStyle name="Total 3 2 4 2" xfId="5786"/>
    <cellStyle name="Total 3 2 4 2 2" xfId="14001"/>
    <cellStyle name="Total 3 2 4 2 2 2" xfId="25989"/>
    <cellStyle name="Total 3 2 4 2 3" xfId="20876"/>
    <cellStyle name="Total 3 2 4 2_Table 2A-1_EFT (Annual)" xfId="9030"/>
    <cellStyle name="Total 3 2 4 3" xfId="11345"/>
    <cellStyle name="Total 3 2 4 3 2" xfId="23443"/>
    <cellStyle name="Total 3 2 4 4" xfId="18330"/>
    <cellStyle name="Total 3 2 4_Table 2A-1_EFT (Annual)" xfId="9029"/>
    <cellStyle name="Total 3 2 5" xfId="4079"/>
    <cellStyle name="Total 3 2 5 2" xfId="12403"/>
    <cellStyle name="Total 3 2 5 2 2" xfId="24425"/>
    <cellStyle name="Total 3 2 5 3" xfId="19312"/>
    <cellStyle name="Total 3 2 5_Table 2A-1_EFT (Annual)" xfId="9031"/>
    <cellStyle name="Total 3 2 6" xfId="9742"/>
    <cellStyle name="Total 3 2 6 2" xfId="21879"/>
    <cellStyle name="Total 3 2 7" xfId="16766"/>
    <cellStyle name="Total 3 2_Table 2A-1_EFT (Annual)" xfId="3576"/>
    <cellStyle name="Total 3 3" xfId="347"/>
    <cellStyle name="Total 3 3 2" xfId="1330"/>
    <cellStyle name="Total 3 3 2 2" xfId="2600"/>
    <cellStyle name="Total 3 3 2 2 2" xfId="6161"/>
    <cellStyle name="Total 3 3 2 2 2 2" xfId="14355"/>
    <cellStyle name="Total 3 3 2 2 2 2 2" xfId="26327"/>
    <cellStyle name="Total 3 3 2 2 2 3" xfId="21214"/>
    <cellStyle name="Total 3 3 2 2 2_Table 2A-1_EFT (Annual)" xfId="9034"/>
    <cellStyle name="Total 3 3 2 2 3" xfId="11697"/>
    <cellStyle name="Total 3 3 2 2 3 2" xfId="23781"/>
    <cellStyle name="Total 3 3 2 2 4" xfId="18668"/>
    <cellStyle name="Total 3 3 2 2_Table 2A-1_EFT (Annual)" xfId="9033"/>
    <cellStyle name="Total 3 3 2 3" xfId="4891"/>
    <cellStyle name="Total 3 3 2 3 2" xfId="13151"/>
    <cellStyle name="Total 3 3 2 3 2 2" xfId="25157"/>
    <cellStyle name="Total 3 3 2 3 3" xfId="20044"/>
    <cellStyle name="Total 3 3 2 3_Table 2A-1_EFT (Annual)" xfId="9035"/>
    <cellStyle name="Total 3 3 2 4" xfId="10495"/>
    <cellStyle name="Total 3 3 2 4 2" xfId="22611"/>
    <cellStyle name="Total 3 3 2 5" xfId="17498"/>
    <cellStyle name="Total 3 3 2_Table 2A-1_EFT (Annual)" xfId="9032"/>
    <cellStyle name="Total 3 3 3" xfId="889"/>
    <cellStyle name="Total 3 3 3 2" xfId="4450"/>
    <cellStyle name="Total 3 3 3 2 2" xfId="12712"/>
    <cellStyle name="Total 3 3 3 2 2 2" xfId="24722"/>
    <cellStyle name="Total 3 3 3 2 3" xfId="19609"/>
    <cellStyle name="Total 3 3 3 2_Table 2A-1_EFT (Annual)" xfId="9037"/>
    <cellStyle name="Total 3 3 3 3" xfId="10059"/>
    <cellStyle name="Total 3 3 3 3 2" xfId="22176"/>
    <cellStyle name="Total 3 3 3 4" xfId="17063"/>
    <cellStyle name="Total 3 3 3_Table 2A-1_EFT (Annual)" xfId="9036"/>
    <cellStyle name="Total 3 3 4" xfId="2069"/>
    <cellStyle name="Total 3 3 4 2" xfId="5630"/>
    <cellStyle name="Total 3 3 4 2 2" xfId="13845"/>
    <cellStyle name="Total 3 3 4 2 2 2" xfId="25833"/>
    <cellStyle name="Total 3 3 4 2 3" xfId="20720"/>
    <cellStyle name="Total 3 3 4 2_Table 2A-1_EFT (Annual)" xfId="9039"/>
    <cellStyle name="Total 3 3 4 3" xfId="11189"/>
    <cellStyle name="Total 3 3 4 3 2" xfId="23287"/>
    <cellStyle name="Total 3 3 4 4" xfId="18174"/>
    <cellStyle name="Total 3 3 4_Table 2A-1_EFT (Annual)" xfId="9038"/>
    <cellStyle name="Total 3 3 5" xfId="3917"/>
    <cellStyle name="Total 3 3 5 2" xfId="12245"/>
    <cellStyle name="Total 3 3 5 2 2" xfId="24269"/>
    <cellStyle name="Total 3 3 5 3" xfId="19156"/>
    <cellStyle name="Total 3 3 5_Table 2A-1_EFT (Annual)" xfId="9040"/>
    <cellStyle name="Total 3 3 6" xfId="9582"/>
    <cellStyle name="Total 3 3 6 2" xfId="21723"/>
    <cellStyle name="Total 3 3 7" xfId="16610"/>
    <cellStyle name="Total 3 3_Table 2A-1_EFT (Annual)" xfId="3577"/>
    <cellStyle name="Total 3 4" xfId="1164"/>
    <cellStyle name="Total 3 4 2" xfId="2434"/>
    <cellStyle name="Total 3 4 2 2" xfId="5995"/>
    <cellStyle name="Total 3 4 2 2 2" xfId="14189"/>
    <cellStyle name="Total 3 4 2 2 2 2" xfId="26161"/>
    <cellStyle name="Total 3 4 2 2 3" xfId="21048"/>
    <cellStyle name="Total 3 4 2 2_Table 2A-1_EFT (Annual)" xfId="9043"/>
    <cellStyle name="Total 3 4 2 3" xfId="11531"/>
    <cellStyle name="Total 3 4 2 3 2" xfId="23615"/>
    <cellStyle name="Total 3 4 2 4" xfId="18502"/>
    <cellStyle name="Total 3 4 2_Table 2A-1_EFT (Annual)" xfId="9042"/>
    <cellStyle name="Total 3 4 3" xfId="4725"/>
    <cellStyle name="Total 3 4 3 2" xfId="12985"/>
    <cellStyle name="Total 3 4 3 2 2" xfId="24991"/>
    <cellStyle name="Total 3 4 3 3" xfId="19878"/>
    <cellStyle name="Total 3 4 3_Table 2A-1_EFT (Annual)" xfId="9044"/>
    <cellStyle name="Total 3 4 4" xfId="10329"/>
    <cellStyle name="Total 3 4 4 2" xfId="22445"/>
    <cellStyle name="Total 3 4 5" xfId="17332"/>
    <cellStyle name="Total 3 4_Table 2A-1_EFT (Annual)" xfId="9041"/>
    <cellStyle name="Total 3 5" xfId="730"/>
    <cellStyle name="Total 3 5 2" xfId="4291"/>
    <cellStyle name="Total 3 5 2 2" xfId="12571"/>
    <cellStyle name="Total 3 5 2 2 2" xfId="24588"/>
    <cellStyle name="Total 3 5 2 3" xfId="19475"/>
    <cellStyle name="Total 3 5 2_Table 2A-1_EFT (Annual)" xfId="9046"/>
    <cellStyle name="Total 3 5 3" xfId="9919"/>
    <cellStyle name="Total 3 5 3 2" xfId="22042"/>
    <cellStyle name="Total 3 5 4" xfId="16929"/>
    <cellStyle name="Total 3 5_Table 2A-1_EFT (Annual)" xfId="9045"/>
    <cellStyle name="Total 3 6" xfId="1800"/>
    <cellStyle name="Total 3 6 2" xfId="5361"/>
    <cellStyle name="Total 3 6 2 2" xfId="13576"/>
    <cellStyle name="Total 3 6 2 2 2" xfId="25564"/>
    <cellStyle name="Total 3 6 2 3" xfId="20451"/>
    <cellStyle name="Total 3 6 2_Table 2A-1_EFT (Annual)" xfId="9048"/>
    <cellStyle name="Total 3 6 3" xfId="10920"/>
    <cellStyle name="Total 3 6 3 2" xfId="23018"/>
    <cellStyle name="Total 3 6 4" xfId="17905"/>
    <cellStyle name="Total 3 6_Table 2A-1_EFT (Annual)" xfId="9047"/>
    <cellStyle name="Total 3 7" xfId="3705"/>
    <cellStyle name="Total 3 7 2" xfId="12073"/>
    <cellStyle name="Total 3 7 2 2" xfId="24103"/>
    <cellStyle name="Total 3 7 3" xfId="18990"/>
    <cellStyle name="Total 3 7_Table 2A-1_EFT (Annual)" xfId="9049"/>
    <cellStyle name="Total 3 8" xfId="9392"/>
    <cellStyle name="Total 3 8 2" xfId="21557"/>
    <cellStyle name="Total 3 9" xfId="16444"/>
    <cellStyle name="Total 3_Table 2A-1_EFT (Annual)" xfId="3575"/>
    <cellStyle name="Total 30" xfId="193"/>
    <cellStyle name="Total 30 2" xfId="586"/>
    <cellStyle name="Total 30 2 2" xfId="1563"/>
    <cellStyle name="Total 30 2 2 2" xfId="2833"/>
    <cellStyle name="Total 30 2 2 2 2" xfId="6394"/>
    <cellStyle name="Total 30 2 2 2 2 2" xfId="14588"/>
    <cellStyle name="Total 30 2 2 2 2 2 2" xfId="26560"/>
    <cellStyle name="Total 30 2 2 2 2 3" xfId="21447"/>
    <cellStyle name="Total 30 2 2 2 2_Table 2A-1_EFT (Annual)" xfId="9052"/>
    <cellStyle name="Total 30 2 2 2 3" xfId="11930"/>
    <cellStyle name="Total 30 2 2 2 3 2" xfId="24014"/>
    <cellStyle name="Total 30 2 2 2 4" xfId="18901"/>
    <cellStyle name="Total 30 2 2 2_Table 2A-1_EFT (Annual)" xfId="9051"/>
    <cellStyle name="Total 30 2 2 3" xfId="5124"/>
    <cellStyle name="Total 30 2 2 3 2" xfId="13384"/>
    <cellStyle name="Total 30 2 2 3 2 2" xfId="25390"/>
    <cellStyle name="Total 30 2 2 3 3" xfId="20277"/>
    <cellStyle name="Total 30 2 2 3_Table 2A-1_EFT (Annual)" xfId="9053"/>
    <cellStyle name="Total 30 2 2 4" xfId="10728"/>
    <cellStyle name="Total 30 2 2 4 2" xfId="22844"/>
    <cellStyle name="Total 30 2 2 5" xfId="17731"/>
    <cellStyle name="Total 30 2 2_Table 2A-1_EFT (Annual)" xfId="9050"/>
    <cellStyle name="Total 30 2 3" xfId="1085"/>
    <cellStyle name="Total 30 2 3 2" xfId="4646"/>
    <cellStyle name="Total 30 2 3 2 2" xfId="12906"/>
    <cellStyle name="Total 30 2 3 2 2 2" xfId="24912"/>
    <cellStyle name="Total 30 2 3 2 3" xfId="19799"/>
    <cellStyle name="Total 30 2 3 2_Table 2A-1_EFT (Annual)" xfId="9055"/>
    <cellStyle name="Total 30 2 3 3" xfId="10250"/>
    <cellStyle name="Total 30 2 3 3 2" xfId="22366"/>
    <cellStyle name="Total 30 2 3 4" xfId="17253"/>
    <cellStyle name="Total 30 2 3_Table 2A-1_EFT (Annual)" xfId="9054"/>
    <cellStyle name="Total 30 2 4" xfId="2302"/>
    <cellStyle name="Total 30 2 4 2" xfId="5863"/>
    <cellStyle name="Total 30 2 4 2 2" xfId="14078"/>
    <cellStyle name="Total 30 2 4 2 2 2" xfId="26066"/>
    <cellStyle name="Total 30 2 4 2 3" xfId="20953"/>
    <cellStyle name="Total 30 2 4 2_Table 2A-1_EFT (Annual)" xfId="9057"/>
    <cellStyle name="Total 30 2 4 3" xfId="11422"/>
    <cellStyle name="Total 30 2 4 3 2" xfId="23520"/>
    <cellStyle name="Total 30 2 4 4" xfId="18407"/>
    <cellStyle name="Total 30 2 4_Table 2A-1_EFT (Annual)" xfId="9056"/>
    <cellStyle name="Total 30 2 5" xfId="4156"/>
    <cellStyle name="Total 30 2 5 2" xfId="12480"/>
    <cellStyle name="Total 30 2 5 2 2" xfId="24502"/>
    <cellStyle name="Total 30 2 5 3" xfId="19389"/>
    <cellStyle name="Total 30 2 5_Table 2A-1_EFT (Annual)" xfId="9058"/>
    <cellStyle name="Total 30 2 6" xfId="9819"/>
    <cellStyle name="Total 30 2 6 2" xfId="21956"/>
    <cellStyle name="Total 30 2 7" xfId="16843"/>
    <cellStyle name="Total 30 2_Table 2A-1_EFT (Annual)" xfId="3579"/>
    <cellStyle name="Total 30 3" xfId="423"/>
    <cellStyle name="Total 30 3 2" xfId="1406"/>
    <cellStyle name="Total 30 3 2 2" xfId="2676"/>
    <cellStyle name="Total 30 3 2 2 2" xfId="6237"/>
    <cellStyle name="Total 30 3 2 2 2 2" xfId="14431"/>
    <cellStyle name="Total 30 3 2 2 2 2 2" xfId="26403"/>
    <cellStyle name="Total 30 3 2 2 2 3" xfId="21290"/>
    <cellStyle name="Total 30 3 2 2 2_Table 2A-1_EFT (Annual)" xfId="9061"/>
    <cellStyle name="Total 30 3 2 2 3" xfId="11773"/>
    <cellStyle name="Total 30 3 2 2 3 2" xfId="23857"/>
    <cellStyle name="Total 30 3 2 2 4" xfId="18744"/>
    <cellStyle name="Total 30 3 2 2_Table 2A-1_EFT (Annual)" xfId="9060"/>
    <cellStyle name="Total 30 3 2 3" xfId="4967"/>
    <cellStyle name="Total 30 3 2 3 2" xfId="13227"/>
    <cellStyle name="Total 30 3 2 3 2 2" xfId="25233"/>
    <cellStyle name="Total 30 3 2 3 3" xfId="20120"/>
    <cellStyle name="Total 30 3 2 3_Table 2A-1_EFT (Annual)" xfId="9062"/>
    <cellStyle name="Total 30 3 2 4" xfId="10571"/>
    <cellStyle name="Total 30 3 2 4 2" xfId="22687"/>
    <cellStyle name="Total 30 3 2 5" xfId="17574"/>
    <cellStyle name="Total 30 3 2_Table 2A-1_EFT (Annual)" xfId="9059"/>
    <cellStyle name="Total 30 3 3" xfId="952"/>
    <cellStyle name="Total 30 3 3 2" xfId="4513"/>
    <cellStyle name="Total 30 3 3 2 2" xfId="12775"/>
    <cellStyle name="Total 30 3 3 2 2 2" xfId="24785"/>
    <cellStyle name="Total 30 3 3 2 3" xfId="19672"/>
    <cellStyle name="Total 30 3 3 2_Table 2A-1_EFT (Annual)" xfId="9064"/>
    <cellStyle name="Total 30 3 3 3" xfId="10122"/>
    <cellStyle name="Total 30 3 3 3 2" xfId="22239"/>
    <cellStyle name="Total 30 3 3 4" xfId="17126"/>
    <cellStyle name="Total 30 3 3_Table 2A-1_EFT (Annual)" xfId="9063"/>
    <cellStyle name="Total 30 3 4" xfId="2145"/>
    <cellStyle name="Total 30 3 4 2" xfId="5706"/>
    <cellStyle name="Total 30 3 4 2 2" xfId="13921"/>
    <cellStyle name="Total 30 3 4 2 2 2" xfId="25909"/>
    <cellStyle name="Total 30 3 4 2 3" xfId="20796"/>
    <cellStyle name="Total 30 3 4 2_Table 2A-1_EFT (Annual)" xfId="9066"/>
    <cellStyle name="Total 30 3 4 3" xfId="11265"/>
    <cellStyle name="Total 30 3 4 3 2" xfId="23363"/>
    <cellStyle name="Total 30 3 4 4" xfId="18250"/>
    <cellStyle name="Total 30 3 4_Table 2A-1_EFT (Annual)" xfId="9065"/>
    <cellStyle name="Total 30 3 5" xfId="3993"/>
    <cellStyle name="Total 30 3 5 2" xfId="12321"/>
    <cellStyle name="Total 30 3 5 2 2" xfId="24345"/>
    <cellStyle name="Total 30 3 5 3" xfId="19232"/>
    <cellStyle name="Total 30 3 5_Table 2A-1_EFT (Annual)" xfId="9067"/>
    <cellStyle name="Total 30 3 6" xfId="9658"/>
    <cellStyle name="Total 30 3 6 2" xfId="21799"/>
    <cellStyle name="Total 30 3 7" xfId="16686"/>
    <cellStyle name="Total 30 3_Table 2A-1_EFT (Annual)" xfId="3580"/>
    <cellStyle name="Total 30 4" xfId="1241"/>
    <cellStyle name="Total 30 4 2" xfId="2511"/>
    <cellStyle name="Total 30 4 2 2" xfId="6072"/>
    <cellStyle name="Total 30 4 2 2 2" xfId="14266"/>
    <cellStyle name="Total 30 4 2 2 2 2" xfId="26238"/>
    <cellStyle name="Total 30 4 2 2 3" xfId="21125"/>
    <cellStyle name="Total 30 4 2 2_Table 2A-1_EFT (Annual)" xfId="9070"/>
    <cellStyle name="Total 30 4 2 3" xfId="11608"/>
    <cellStyle name="Total 30 4 2 3 2" xfId="23692"/>
    <cellStyle name="Total 30 4 2 4" xfId="18579"/>
    <cellStyle name="Total 30 4 2_Table 2A-1_EFT (Annual)" xfId="9069"/>
    <cellStyle name="Total 30 4 3" xfId="4802"/>
    <cellStyle name="Total 30 4 3 2" xfId="13062"/>
    <cellStyle name="Total 30 4 3 2 2" xfId="25068"/>
    <cellStyle name="Total 30 4 3 3" xfId="19955"/>
    <cellStyle name="Total 30 4 3_Table 2A-1_EFT (Annual)" xfId="9071"/>
    <cellStyle name="Total 30 4 4" xfId="10406"/>
    <cellStyle name="Total 30 4 4 2" xfId="22522"/>
    <cellStyle name="Total 30 4 5" xfId="17409"/>
    <cellStyle name="Total 30 4_Table 2A-1_EFT (Annual)" xfId="9068"/>
    <cellStyle name="Total 30 5" xfId="794"/>
    <cellStyle name="Total 30 5 2" xfId="4355"/>
    <cellStyle name="Total 30 5 2 2" xfId="12635"/>
    <cellStyle name="Total 30 5 2 2 2" xfId="24652"/>
    <cellStyle name="Total 30 5 2 3" xfId="19539"/>
    <cellStyle name="Total 30 5 2_Table 2A-1_EFT (Annual)" xfId="9073"/>
    <cellStyle name="Total 30 5 3" xfId="9983"/>
    <cellStyle name="Total 30 5 3 2" xfId="22106"/>
    <cellStyle name="Total 30 5 4" xfId="16993"/>
    <cellStyle name="Total 30 5_Table 2A-1_EFT (Annual)" xfId="9072"/>
    <cellStyle name="Total 30 6" xfId="1980"/>
    <cellStyle name="Total 30 6 2" xfId="5541"/>
    <cellStyle name="Total 30 6 2 2" xfId="13756"/>
    <cellStyle name="Total 30 6 2 2 2" xfId="25744"/>
    <cellStyle name="Total 30 6 2 3" xfId="20631"/>
    <cellStyle name="Total 30 6 2_Table 2A-1_EFT (Annual)" xfId="9075"/>
    <cellStyle name="Total 30 6 3" xfId="11100"/>
    <cellStyle name="Total 30 6 3 2" xfId="23198"/>
    <cellStyle name="Total 30 6 4" xfId="18085"/>
    <cellStyle name="Total 30 6_Table 2A-1_EFT (Annual)" xfId="9074"/>
    <cellStyle name="Total 30 7" xfId="3782"/>
    <cellStyle name="Total 30 7 2" xfId="12150"/>
    <cellStyle name="Total 30 7 2 2" xfId="24180"/>
    <cellStyle name="Total 30 7 3" xfId="19067"/>
    <cellStyle name="Total 30 7_Table 2A-1_EFT (Annual)" xfId="9076"/>
    <cellStyle name="Total 30 8" xfId="9469"/>
    <cellStyle name="Total 30 8 2" xfId="21634"/>
    <cellStyle name="Total 30 9" xfId="16521"/>
    <cellStyle name="Total 30_Table 2A-1_EFT (Annual)" xfId="3578"/>
    <cellStyle name="Total 31" xfId="246"/>
    <cellStyle name="Total 31 2" xfId="633"/>
    <cellStyle name="Total 31 2 2" xfId="1610"/>
    <cellStyle name="Total 31 2 2 2" xfId="2880"/>
    <cellStyle name="Total 31 2 2 2 2" xfId="6441"/>
    <cellStyle name="Total 31 2 2 2 2 2" xfId="14635"/>
    <cellStyle name="Total 31 2 2 2 2 2 2" xfId="26607"/>
    <cellStyle name="Total 31 2 2 2 2 3" xfId="21494"/>
    <cellStyle name="Total 31 2 2 2 2_Table 2A-1_EFT (Annual)" xfId="9079"/>
    <cellStyle name="Total 31 2 2 2 3" xfId="11977"/>
    <cellStyle name="Total 31 2 2 2 3 2" xfId="24061"/>
    <cellStyle name="Total 31 2 2 2 4" xfId="18948"/>
    <cellStyle name="Total 31 2 2 2_Table 2A-1_EFT (Annual)" xfId="9078"/>
    <cellStyle name="Total 31 2 2 3" xfId="5171"/>
    <cellStyle name="Total 31 2 2 3 2" xfId="13431"/>
    <cellStyle name="Total 31 2 2 3 2 2" xfId="25437"/>
    <cellStyle name="Total 31 2 2 3 3" xfId="20324"/>
    <cellStyle name="Total 31 2 2 3_Table 2A-1_EFT (Annual)" xfId="9080"/>
    <cellStyle name="Total 31 2 2 4" xfId="10775"/>
    <cellStyle name="Total 31 2 2 4 2" xfId="22891"/>
    <cellStyle name="Total 31 2 2 5" xfId="17778"/>
    <cellStyle name="Total 31 2 2_Table 2A-1_EFT (Annual)" xfId="9077"/>
    <cellStyle name="Total 31 2 3" xfId="1123"/>
    <cellStyle name="Total 31 2 3 2" xfId="4684"/>
    <cellStyle name="Total 31 2 3 2 2" xfId="12944"/>
    <cellStyle name="Total 31 2 3 2 2 2" xfId="24950"/>
    <cellStyle name="Total 31 2 3 2 3" xfId="19837"/>
    <cellStyle name="Total 31 2 3 2_Table 2A-1_EFT (Annual)" xfId="9082"/>
    <cellStyle name="Total 31 2 3 3" xfId="10288"/>
    <cellStyle name="Total 31 2 3 3 2" xfId="22404"/>
    <cellStyle name="Total 31 2 3 4" xfId="17291"/>
    <cellStyle name="Total 31 2 3_Table 2A-1_EFT (Annual)" xfId="9081"/>
    <cellStyle name="Total 31 2 4" xfId="2349"/>
    <cellStyle name="Total 31 2 4 2" xfId="5910"/>
    <cellStyle name="Total 31 2 4 2 2" xfId="14125"/>
    <cellStyle name="Total 31 2 4 2 2 2" xfId="26113"/>
    <cellStyle name="Total 31 2 4 2 3" xfId="21000"/>
    <cellStyle name="Total 31 2 4 2_Table 2A-1_EFT (Annual)" xfId="9084"/>
    <cellStyle name="Total 31 2 4 3" xfId="11469"/>
    <cellStyle name="Total 31 2 4 3 2" xfId="23567"/>
    <cellStyle name="Total 31 2 4 4" xfId="18454"/>
    <cellStyle name="Total 31 2 4_Table 2A-1_EFT (Annual)" xfId="9083"/>
    <cellStyle name="Total 31 2 5" xfId="4203"/>
    <cellStyle name="Total 31 2 5 2" xfId="12527"/>
    <cellStyle name="Total 31 2 5 2 2" xfId="24549"/>
    <cellStyle name="Total 31 2 5 3" xfId="19436"/>
    <cellStyle name="Total 31 2 5_Table 2A-1_EFT (Annual)" xfId="9085"/>
    <cellStyle name="Total 31 2 6" xfId="9866"/>
    <cellStyle name="Total 31 2 6 2" xfId="22003"/>
    <cellStyle name="Total 31 2 7" xfId="16890"/>
    <cellStyle name="Total 31 2_Table 2A-1_EFT (Annual)" xfId="3582"/>
    <cellStyle name="Total 31 3" xfId="472"/>
    <cellStyle name="Total 31 3 2" xfId="1449"/>
    <cellStyle name="Total 31 3 2 2" xfId="2719"/>
    <cellStyle name="Total 31 3 2 2 2" xfId="6280"/>
    <cellStyle name="Total 31 3 2 2 2 2" xfId="14474"/>
    <cellStyle name="Total 31 3 2 2 2 2 2" xfId="26446"/>
    <cellStyle name="Total 31 3 2 2 2 3" xfId="21333"/>
    <cellStyle name="Total 31 3 2 2 2_Table 2A-1_EFT (Annual)" xfId="9088"/>
    <cellStyle name="Total 31 3 2 2 3" xfId="11816"/>
    <cellStyle name="Total 31 3 2 2 3 2" xfId="23900"/>
    <cellStyle name="Total 31 3 2 2 4" xfId="18787"/>
    <cellStyle name="Total 31 3 2 2_Table 2A-1_EFT (Annual)" xfId="9087"/>
    <cellStyle name="Total 31 3 2 3" xfId="5010"/>
    <cellStyle name="Total 31 3 2 3 2" xfId="13270"/>
    <cellStyle name="Total 31 3 2 3 2 2" xfId="25276"/>
    <cellStyle name="Total 31 3 2 3 3" xfId="20163"/>
    <cellStyle name="Total 31 3 2 3_Table 2A-1_EFT (Annual)" xfId="9089"/>
    <cellStyle name="Total 31 3 2 4" xfId="10614"/>
    <cellStyle name="Total 31 3 2 4 2" xfId="22730"/>
    <cellStyle name="Total 31 3 2 5" xfId="17617"/>
    <cellStyle name="Total 31 3 2_Table 2A-1_EFT (Annual)" xfId="9086"/>
    <cellStyle name="Total 31 3 3" xfId="993"/>
    <cellStyle name="Total 31 3 3 2" xfId="4554"/>
    <cellStyle name="Total 31 3 3 2 2" xfId="12814"/>
    <cellStyle name="Total 31 3 3 2 2 2" xfId="24820"/>
    <cellStyle name="Total 31 3 3 2 3" xfId="19707"/>
    <cellStyle name="Total 31 3 3 2_Table 2A-1_EFT (Annual)" xfId="9091"/>
    <cellStyle name="Total 31 3 3 3" xfId="10158"/>
    <cellStyle name="Total 31 3 3 3 2" xfId="22274"/>
    <cellStyle name="Total 31 3 3 4" xfId="17161"/>
    <cellStyle name="Total 31 3 3_Table 2A-1_EFT (Annual)" xfId="9090"/>
    <cellStyle name="Total 31 3 4" xfId="2188"/>
    <cellStyle name="Total 31 3 4 2" xfId="5749"/>
    <cellStyle name="Total 31 3 4 2 2" xfId="13964"/>
    <cellStyle name="Total 31 3 4 2 2 2" xfId="25952"/>
    <cellStyle name="Total 31 3 4 2 3" xfId="20839"/>
    <cellStyle name="Total 31 3 4 2_Table 2A-1_EFT (Annual)" xfId="9093"/>
    <cellStyle name="Total 31 3 4 3" xfId="11308"/>
    <cellStyle name="Total 31 3 4 3 2" xfId="23406"/>
    <cellStyle name="Total 31 3 4 4" xfId="18293"/>
    <cellStyle name="Total 31 3 4_Table 2A-1_EFT (Annual)" xfId="9092"/>
    <cellStyle name="Total 31 3 5" xfId="4042"/>
    <cellStyle name="Total 31 3 5 2" xfId="12366"/>
    <cellStyle name="Total 31 3 5 2 2" xfId="24388"/>
    <cellStyle name="Total 31 3 5 3" xfId="19275"/>
    <cellStyle name="Total 31 3 5_Table 2A-1_EFT (Annual)" xfId="9094"/>
    <cellStyle name="Total 31 3 6" xfId="9705"/>
    <cellStyle name="Total 31 3 6 2" xfId="21842"/>
    <cellStyle name="Total 31 3 7" xfId="16729"/>
    <cellStyle name="Total 31 3_Table 2A-1_EFT (Annual)" xfId="3583"/>
    <cellStyle name="Total 31 4" xfId="1288"/>
    <cellStyle name="Total 31 4 2" xfId="2558"/>
    <cellStyle name="Total 31 4 2 2" xfId="6119"/>
    <cellStyle name="Total 31 4 2 2 2" xfId="14313"/>
    <cellStyle name="Total 31 4 2 2 2 2" xfId="26285"/>
    <cellStyle name="Total 31 4 2 2 3" xfId="21172"/>
    <cellStyle name="Total 31 4 2 2_Table 2A-1_EFT (Annual)" xfId="9097"/>
    <cellStyle name="Total 31 4 2 3" xfId="11655"/>
    <cellStyle name="Total 31 4 2 3 2" xfId="23739"/>
    <cellStyle name="Total 31 4 2 4" xfId="18626"/>
    <cellStyle name="Total 31 4 2_Table 2A-1_EFT (Annual)" xfId="9096"/>
    <cellStyle name="Total 31 4 3" xfId="4849"/>
    <cellStyle name="Total 31 4 3 2" xfId="13109"/>
    <cellStyle name="Total 31 4 3 2 2" xfId="25115"/>
    <cellStyle name="Total 31 4 3 3" xfId="20002"/>
    <cellStyle name="Total 31 4 3_Table 2A-1_EFT (Annual)" xfId="9098"/>
    <cellStyle name="Total 31 4 4" xfId="10453"/>
    <cellStyle name="Total 31 4 4 2" xfId="22569"/>
    <cellStyle name="Total 31 4 5" xfId="17456"/>
    <cellStyle name="Total 31 4_Table 2A-1_EFT (Annual)" xfId="9095"/>
    <cellStyle name="Total 31 5" xfId="838"/>
    <cellStyle name="Total 31 5 2" xfId="4399"/>
    <cellStyle name="Total 31 5 2 2" xfId="12673"/>
    <cellStyle name="Total 31 5 2 2 2" xfId="24690"/>
    <cellStyle name="Total 31 5 2 3" xfId="19577"/>
    <cellStyle name="Total 31 5 2_Table 2A-1_EFT (Annual)" xfId="9100"/>
    <cellStyle name="Total 31 5 3" xfId="10022"/>
    <cellStyle name="Total 31 5 3 2" xfId="22144"/>
    <cellStyle name="Total 31 5 4" xfId="17031"/>
    <cellStyle name="Total 31 5_Table 2A-1_EFT (Annual)" xfId="9099"/>
    <cellStyle name="Total 31 6" xfId="2027"/>
    <cellStyle name="Total 31 6 2" xfId="5588"/>
    <cellStyle name="Total 31 6 2 2" xfId="13803"/>
    <cellStyle name="Total 31 6 2 2 2" xfId="25791"/>
    <cellStyle name="Total 31 6 2 3" xfId="20678"/>
    <cellStyle name="Total 31 6 2_Table 2A-1_EFT (Annual)" xfId="9102"/>
    <cellStyle name="Total 31 6 3" xfId="11147"/>
    <cellStyle name="Total 31 6 3 2" xfId="23245"/>
    <cellStyle name="Total 31 6 4" xfId="18132"/>
    <cellStyle name="Total 31 6_Table 2A-1_EFT (Annual)" xfId="9101"/>
    <cellStyle name="Total 31 7" xfId="3835"/>
    <cellStyle name="Total 31 7 2" xfId="12198"/>
    <cellStyle name="Total 31 7 2 2" xfId="24227"/>
    <cellStyle name="Total 31 7 3" xfId="19114"/>
    <cellStyle name="Total 31 7_Table 2A-1_EFT (Annual)" xfId="9103"/>
    <cellStyle name="Total 31 8" xfId="9517"/>
    <cellStyle name="Total 31 8 2" xfId="21681"/>
    <cellStyle name="Total 31 9" xfId="16568"/>
    <cellStyle name="Total 31_Table 2A-1_EFT (Annual)" xfId="3581"/>
    <cellStyle name="Total 32" xfId="252"/>
    <cellStyle name="Total 32 2" xfId="639"/>
    <cellStyle name="Total 32 2 2" xfId="1616"/>
    <cellStyle name="Total 32 2 2 2" xfId="2886"/>
    <cellStyle name="Total 32 2 2 2 2" xfId="6447"/>
    <cellStyle name="Total 32 2 2 2 2 2" xfId="14641"/>
    <cellStyle name="Total 32 2 2 2 2 2 2" xfId="26613"/>
    <cellStyle name="Total 32 2 2 2 2 3" xfId="21500"/>
    <cellStyle name="Total 32 2 2 2 2_Table 2A-1_EFT (Annual)" xfId="9106"/>
    <cellStyle name="Total 32 2 2 2 3" xfId="11983"/>
    <cellStyle name="Total 32 2 2 2 3 2" xfId="24067"/>
    <cellStyle name="Total 32 2 2 2 4" xfId="18954"/>
    <cellStyle name="Total 32 2 2 2_Table 2A-1_EFT (Annual)" xfId="9105"/>
    <cellStyle name="Total 32 2 2 3" xfId="5177"/>
    <cellStyle name="Total 32 2 2 3 2" xfId="13437"/>
    <cellStyle name="Total 32 2 2 3 2 2" xfId="25443"/>
    <cellStyle name="Total 32 2 2 3 3" xfId="20330"/>
    <cellStyle name="Total 32 2 2 3_Table 2A-1_EFT (Annual)" xfId="9107"/>
    <cellStyle name="Total 32 2 2 4" xfId="10781"/>
    <cellStyle name="Total 32 2 2 4 2" xfId="22897"/>
    <cellStyle name="Total 32 2 2 5" xfId="17784"/>
    <cellStyle name="Total 32 2 2_Table 2A-1_EFT (Annual)" xfId="9104"/>
    <cellStyle name="Total 32 2 3" xfId="1128"/>
    <cellStyle name="Total 32 2 3 2" xfId="4689"/>
    <cellStyle name="Total 32 2 3 2 2" xfId="12949"/>
    <cellStyle name="Total 32 2 3 2 2 2" xfId="24955"/>
    <cellStyle name="Total 32 2 3 2 3" xfId="19842"/>
    <cellStyle name="Total 32 2 3 2_Table 2A-1_EFT (Annual)" xfId="9109"/>
    <cellStyle name="Total 32 2 3 3" xfId="10293"/>
    <cellStyle name="Total 32 2 3 3 2" xfId="22409"/>
    <cellStyle name="Total 32 2 3 4" xfId="17296"/>
    <cellStyle name="Total 32 2 3_Table 2A-1_EFT (Annual)" xfId="9108"/>
    <cellStyle name="Total 32 2 4" xfId="2355"/>
    <cellStyle name="Total 32 2 4 2" xfId="5916"/>
    <cellStyle name="Total 32 2 4 2 2" xfId="14131"/>
    <cellStyle name="Total 32 2 4 2 2 2" xfId="26119"/>
    <cellStyle name="Total 32 2 4 2 3" xfId="21006"/>
    <cellStyle name="Total 32 2 4 2_Table 2A-1_EFT (Annual)" xfId="9111"/>
    <cellStyle name="Total 32 2 4 3" xfId="11475"/>
    <cellStyle name="Total 32 2 4 3 2" xfId="23573"/>
    <cellStyle name="Total 32 2 4 4" xfId="18460"/>
    <cellStyle name="Total 32 2 4_Table 2A-1_EFT (Annual)" xfId="9110"/>
    <cellStyle name="Total 32 2 5" xfId="4209"/>
    <cellStyle name="Total 32 2 5 2" xfId="12533"/>
    <cellStyle name="Total 32 2 5 2 2" xfId="24555"/>
    <cellStyle name="Total 32 2 5 3" xfId="19442"/>
    <cellStyle name="Total 32 2 5_Table 2A-1_EFT (Annual)" xfId="9112"/>
    <cellStyle name="Total 32 2 6" xfId="9872"/>
    <cellStyle name="Total 32 2 6 2" xfId="22009"/>
    <cellStyle name="Total 32 2 7" xfId="16896"/>
    <cellStyle name="Total 32 2_Table 2A-1_EFT (Annual)" xfId="3585"/>
    <cellStyle name="Total 32 3" xfId="478"/>
    <cellStyle name="Total 32 3 2" xfId="1455"/>
    <cellStyle name="Total 32 3 2 2" xfId="2725"/>
    <cellStyle name="Total 32 3 2 2 2" xfId="6286"/>
    <cellStyle name="Total 32 3 2 2 2 2" xfId="14480"/>
    <cellStyle name="Total 32 3 2 2 2 2 2" xfId="26452"/>
    <cellStyle name="Total 32 3 2 2 2 3" xfId="21339"/>
    <cellStyle name="Total 32 3 2 2 2_Table 2A-1_EFT (Annual)" xfId="9115"/>
    <cellStyle name="Total 32 3 2 2 3" xfId="11822"/>
    <cellStyle name="Total 32 3 2 2 3 2" xfId="23906"/>
    <cellStyle name="Total 32 3 2 2 4" xfId="18793"/>
    <cellStyle name="Total 32 3 2 2_Table 2A-1_EFT (Annual)" xfId="9114"/>
    <cellStyle name="Total 32 3 2 3" xfId="5016"/>
    <cellStyle name="Total 32 3 2 3 2" xfId="13276"/>
    <cellStyle name="Total 32 3 2 3 2 2" xfId="25282"/>
    <cellStyle name="Total 32 3 2 3 3" xfId="20169"/>
    <cellStyle name="Total 32 3 2 3_Table 2A-1_EFT (Annual)" xfId="9116"/>
    <cellStyle name="Total 32 3 2 4" xfId="10620"/>
    <cellStyle name="Total 32 3 2 4 2" xfId="22736"/>
    <cellStyle name="Total 32 3 2 5" xfId="17623"/>
    <cellStyle name="Total 32 3 2_Table 2A-1_EFT (Annual)" xfId="9113"/>
    <cellStyle name="Total 32 3 3" xfId="998"/>
    <cellStyle name="Total 32 3 3 2" xfId="4559"/>
    <cellStyle name="Total 32 3 3 2 2" xfId="12819"/>
    <cellStyle name="Total 32 3 3 2 2 2" xfId="24825"/>
    <cellStyle name="Total 32 3 3 2 3" xfId="19712"/>
    <cellStyle name="Total 32 3 3 2_Table 2A-1_EFT (Annual)" xfId="9118"/>
    <cellStyle name="Total 32 3 3 3" xfId="10163"/>
    <cellStyle name="Total 32 3 3 3 2" xfId="22279"/>
    <cellStyle name="Total 32 3 3 4" xfId="17166"/>
    <cellStyle name="Total 32 3 3_Table 2A-1_EFT (Annual)" xfId="9117"/>
    <cellStyle name="Total 32 3 4" xfId="2194"/>
    <cellStyle name="Total 32 3 4 2" xfId="5755"/>
    <cellStyle name="Total 32 3 4 2 2" xfId="13970"/>
    <cellStyle name="Total 32 3 4 2 2 2" xfId="25958"/>
    <cellStyle name="Total 32 3 4 2 3" xfId="20845"/>
    <cellStyle name="Total 32 3 4 2_Table 2A-1_EFT (Annual)" xfId="9120"/>
    <cellStyle name="Total 32 3 4 3" xfId="11314"/>
    <cellStyle name="Total 32 3 4 3 2" xfId="23412"/>
    <cellStyle name="Total 32 3 4 4" xfId="18299"/>
    <cellStyle name="Total 32 3 4_Table 2A-1_EFT (Annual)" xfId="9119"/>
    <cellStyle name="Total 32 3 5" xfId="4048"/>
    <cellStyle name="Total 32 3 5 2" xfId="12372"/>
    <cellStyle name="Total 32 3 5 2 2" xfId="24394"/>
    <cellStyle name="Total 32 3 5 3" xfId="19281"/>
    <cellStyle name="Total 32 3 5_Table 2A-1_EFT (Annual)" xfId="9121"/>
    <cellStyle name="Total 32 3 6" xfId="9711"/>
    <cellStyle name="Total 32 3 6 2" xfId="21848"/>
    <cellStyle name="Total 32 3 7" xfId="16735"/>
    <cellStyle name="Total 32 3_Table 2A-1_EFT (Annual)" xfId="3586"/>
    <cellStyle name="Total 32 4" xfId="1294"/>
    <cellStyle name="Total 32 4 2" xfId="2564"/>
    <cellStyle name="Total 32 4 2 2" xfId="6125"/>
    <cellStyle name="Total 32 4 2 2 2" xfId="14319"/>
    <cellStyle name="Total 32 4 2 2 2 2" xfId="26291"/>
    <cellStyle name="Total 32 4 2 2 3" xfId="21178"/>
    <cellStyle name="Total 32 4 2 2_Table 2A-1_EFT (Annual)" xfId="9124"/>
    <cellStyle name="Total 32 4 2 3" xfId="11661"/>
    <cellStyle name="Total 32 4 2 3 2" xfId="23745"/>
    <cellStyle name="Total 32 4 2 4" xfId="18632"/>
    <cellStyle name="Total 32 4 2_Table 2A-1_EFT (Annual)" xfId="9123"/>
    <cellStyle name="Total 32 4 3" xfId="4855"/>
    <cellStyle name="Total 32 4 3 2" xfId="13115"/>
    <cellStyle name="Total 32 4 3 2 2" xfId="25121"/>
    <cellStyle name="Total 32 4 3 3" xfId="20008"/>
    <cellStyle name="Total 32 4 3_Table 2A-1_EFT (Annual)" xfId="9125"/>
    <cellStyle name="Total 32 4 4" xfId="10459"/>
    <cellStyle name="Total 32 4 4 2" xfId="22575"/>
    <cellStyle name="Total 32 4 5" xfId="17462"/>
    <cellStyle name="Total 32 4_Table 2A-1_EFT (Annual)" xfId="9122"/>
    <cellStyle name="Total 32 5" xfId="843"/>
    <cellStyle name="Total 32 5 2" xfId="4404"/>
    <cellStyle name="Total 32 5 2 2" xfId="12678"/>
    <cellStyle name="Total 32 5 2 2 2" xfId="24695"/>
    <cellStyle name="Total 32 5 2 3" xfId="19582"/>
    <cellStyle name="Total 32 5 2_Table 2A-1_EFT (Annual)" xfId="9127"/>
    <cellStyle name="Total 32 5 3" xfId="10027"/>
    <cellStyle name="Total 32 5 3 2" xfId="22149"/>
    <cellStyle name="Total 32 5 4" xfId="17036"/>
    <cellStyle name="Total 32 5_Table 2A-1_EFT (Annual)" xfId="9126"/>
    <cellStyle name="Total 32 6" xfId="2033"/>
    <cellStyle name="Total 32 6 2" xfId="5594"/>
    <cellStyle name="Total 32 6 2 2" xfId="13809"/>
    <cellStyle name="Total 32 6 2 2 2" xfId="25797"/>
    <cellStyle name="Total 32 6 2 3" xfId="20684"/>
    <cellStyle name="Total 32 6 2_Table 2A-1_EFT (Annual)" xfId="9129"/>
    <cellStyle name="Total 32 6 3" xfId="11153"/>
    <cellStyle name="Total 32 6 3 2" xfId="23251"/>
    <cellStyle name="Total 32 6 4" xfId="18138"/>
    <cellStyle name="Total 32 6_Table 2A-1_EFT (Annual)" xfId="9128"/>
    <cellStyle name="Total 32 7" xfId="3841"/>
    <cellStyle name="Total 32 7 2" xfId="12204"/>
    <cellStyle name="Total 32 7 2 2" xfId="24233"/>
    <cellStyle name="Total 32 7 3" xfId="19120"/>
    <cellStyle name="Total 32 7_Table 2A-1_EFT (Annual)" xfId="9130"/>
    <cellStyle name="Total 32 8" xfId="9523"/>
    <cellStyle name="Total 32 8 2" xfId="21687"/>
    <cellStyle name="Total 32 9" xfId="16574"/>
    <cellStyle name="Total 32_Table 2A-1_EFT (Annual)" xfId="3584"/>
    <cellStyle name="Total 33" xfId="187"/>
    <cellStyle name="Total 33 2" xfId="580"/>
    <cellStyle name="Total 33 2 2" xfId="1557"/>
    <cellStyle name="Total 33 2 2 2" xfId="2827"/>
    <cellStyle name="Total 33 2 2 2 2" xfId="6388"/>
    <cellStyle name="Total 33 2 2 2 2 2" xfId="14582"/>
    <cellStyle name="Total 33 2 2 2 2 2 2" xfId="26554"/>
    <cellStyle name="Total 33 2 2 2 2 3" xfId="21441"/>
    <cellStyle name="Total 33 2 2 2 2_Table 2A-1_EFT (Annual)" xfId="9133"/>
    <cellStyle name="Total 33 2 2 2 3" xfId="11924"/>
    <cellStyle name="Total 33 2 2 2 3 2" xfId="24008"/>
    <cellStyle name="Total 33 2 2 2 4" xfId="18895"/>
    <cellStyle name="Total 33 2 2 2_Table 2A-1_EFT (Annual)" xfId="9132"/>
    <cellStyle name="Total 33 2 2 3" xfId="5118"/>
    <cellStyle name="Total 33 2 2 3 2" xfId="13378"/>
    <cellStyle name="Total 33 2 2 3 2 2" xfId="25384"/>
    <cellStyle name="Total 33 2 2 3 3" xfId="20271"/>
    <cellStyle name="Total 33 2 2 3_Table 2A-1_EFT (Annual)" xfId="9134"/>
    <cellStyle name="Total 33 2 2 4" xfId="10722"/>
    <cellStyle name="Total 33 2 2 4 2" xfId="22838"/>
    <cellStyle name="Total 33 2 2 5" xfId="17725"/>
    <cellStyle name="Total 33 2 2_Table 2A-1_EFT (Annual)" xfId="9131"/>
    <cellStyle name="Total 33 2 3" xfId="1080"/>
    <cellStyle name="Total 33 2 3 2" xfId="4641"/>
    <cellStyle name="Total 33 2 3 2 2" xfId="12901"/>
    <cellStyle name="Total 33 2 3 2 2 2" xfId="24907"/>
    <cellStyle name="Total 33 2 3 2 3" xfId="19794"/>
    <cellStyle name="Total 33 2 3 2_Table 2A-1_EFT (Annual)" xfId="9136"/>
    <cellStyle name="Total 33 2 3 3" xfId="10245"/>
    <cellStyle name="Total 33 2 3 3 2" xfId="22361"/>
    <cellStyle name="Total 33 2 3 4" xfId="17248"/>
    <cellStyle name="Total 33 2 3_Table 2A-1_EFT (Annual)" xfId="9135"/>
    <cellStyle name="Total 33 2 4" xfId="2296"/>
    <cellStyle name="Total 33 2 4 2" xfId="5857"/>
    <cellStyle name="Total 33 2 4 2 2" xfId="14072"/>
    <cellStyle name="Total 33 2 4 2 2 2" xfId="26060"/>
    <cellStyle name="Total 33 2 4 2 3" xfId="20947"/>
    <cellStyle name="Total 33 2 4 2_Table 2A-1_EFT (Annual)" xfId="9138"/>
    <cellStyle name="Total 33 2 4 3" xfId="11416"/>
    <cellStyle name="Total 33 2 4 3 2" xfId="23514"/>
    <cellStyle name="Total 33 2 4 4" xfId="18401"/>
    <cellStyle name="Total 33 2 4_Table 2A-1_EFT (Annual)" xfId="9137"/>
    <cellStyle name="Total 33 2 5" xfId="4150"/>
    <cellStyle name="Total 33 2 5 2" xfId="12474"/>
    <cellStyle name="Total 33 2 5 2 2" xfId="24496"/>
    <cellStyle name="Total 33 2 5 3" xfId="19383"/>
    <cellStyle name="Total 33 2 5_Table 2A-1_EFT (Annual)" xfId="9139"/>
    <cellStyle name="Total 33 2 6" xfId="9813"/>
    <cellStyle name="Total 33 2 6 2" xfId="21950"/>
    <cellStyle name="Total 33 2 7" xfId="16837"/>
    <cellStyle name="Total 33 2_Table 2A-1_EFT (Annual)" xfId="3588"/>
    <cellStyle name="Total 33 3" xfId="1235"/>
    <cellStyle name="Total 33 3 2" xfId="2505"/>
    <cellStyle name="Total 33 3 2 2" xfId="6066"/>
    <cellStyle name="Total 33 3 2 2 2" xfId="14260"/>
    <cellStyle name="Total 33 3 2 2 2 2" xfId="26232"/>
    <cellStyle name="Total 33 3 2 2 3" xfId="21119"/>
    <cellStyle name="Total 33 3 2 2_Table 2A-1_EFT (Annual)" xfId="9142"/>
    <cellStyle name="Total 33 3 2 3" xfId="11602"/>
    <cellStyle name="Total 33 3 2 3 2" xfId="23686"/>
    <cellStyle name="Total 33 3 2 4" xfId="18573"/>
    <cellStyle name="Total 33 3 2_Table 2A-1_EFT (Annual)" xfId="9141"/>
    <cellStyle name="Total 33 3 3" xfId="4796"/>
    <cellStyle name="Total 33 3 3 2" xfId="13056"/>
    <cellStyle name="Total 33 3 3 2 2" xfId="25062"/>
    <cellStyle name="Total 33 3 3 3" xfId="19949"/>
    <cellStyle name="Total 33 3 3_Table 2A-1_EFT (Annual)" xfId="9143"/>
    <cellStyle name="Total 33 3 4" xfId="10400"/>
    <cellStyle name="Total 33 3 4 2" xfId="22516"/>
    <cellStyle name="Total 33 3 5" xfId="17403"/>
    <cellStyle name="Total 33 3_Table 2A-1_EFT (Annual)" xfId="9140"/>
    <cellStyle name="Total 33 4" xfId="789"/>
    <cellStyle name="Total 33 4 2" xfId="4350"/>
    <cellStyle name="Total 33 4 2 2" xfId="12630"/>
    <cellStyle name="Total 33 4 2 2 2" xfId="24647"/>
    <cellStyle name="Total 33 4 2 3" xfId="19534"/>
    <cellStyle name="Total 33 4 2_Table 2A-1_EFT (Annual)" xfId="9145"/>
    <cellStyle name="Total 33 4 3" xfId="9978"/>
    <cellStyle name="Total 33 4 3 2" xfId="22101"/>
    <cellStyle name="Total 33 4 4" xfId="16988"/>
    <cellStyle name="Total 33 4_Table 2A-1_EFT (Annual)" xfId="9144"/>
    <cellStyle name="Total 33 5" xfId="1974"/>
    <cellStyle name="Total 33 5 2" xfId="5535"/>
    <cellStyle name="Total 33 5 2 2" xfId="13750"/>
    <cellStyle name="Total 33 5 2 2 2" xfId="25738"/>
    <cellStyle name="Total 33 5 2 3" xfId="20625"/>
    <cellStyle name="Total 33 5 2_Table 2A-1_EFT (Annual)" xfId="9147"/>
    <cellStyle name="Total 33 5 3" xfId="11094"/>
    <cellStyle name="Total 33 5 3 2" xfId="23192"/>
    <cellStyle name="Total 33 5 4" xfId="18079"/>
    <cellStyle name="Total 33 5_Table 2A-1_EFT (Annual)" xfId="9146"/>
    <cellStyle name="Total 33 6" xfId="3776"/>
    <cellStyle name="Total 33 6 2" xfId="12144"/>
    <cellStyle name="Total 33 6 2 2" xfId="24174"/>
    <cellStyle name="Total 33 6 3" xfId="19061"/>
    <cellStyle name="Total 33 6_Table 2A-1_EFT (Annual)" xfId="9148"/>
    <cellStyle name="Total 33 7" xfId="9463"/>
    <cellStyle name="Total 33 7 2" xfId="21628"/>
    <cellStyle name="Total 33 8" xfId="16515"/>
    <cellStyle name="Total 33_Table 2A-1_EFT (Annual)" xfId="3587"/>
    <cellStyle name="Total 34" xfId="297"/>
    <cellStyle name="Total 34 2" xfId="1299"/>
    <cellStyle name="Total 34 2 2" xfId="2569"/>
    <cellStyle name="Total 34 2 2 2" xfId="6130"/>
    <cellStyle name="Total 34 2 2 2 2" xfId="14324"/>
    <cellStyle name="Total 34 2 2 2 2 2" xfId="26296"/>
    <cellStyle name="Total 34 2 2 2 3" xfId="21183"/>
    <cellStyle name="Total 34 2 2 2_Table 2A-1_EFT (Annual)" xfId="9151"/>
    <cellStyle name="Total 34 2 2 3" xfId="11666"/>
    <cellStyle name="Total 34 2 2 3 2" xfId="23750"/>
    <cellStyle name="Total 34 2 2 4" xfId="18637"/>
    <cellStyle name="Total 34 2 2_Table 2A-1_EFT (Annual)" xfId="9150"/>
    <cellStyle name="Total 34 2 3" xfId="4860"/>
    <cellStyle name="Total 34 2 3 2" xfId="13120"/>
    <cellStyle name="Total 34 2 3 2 2" xfId="25126"/>
    <cellStyle name="Total 34 2 3 3" xfId="20013"/>
    <cellStyle name="Total 34 2 3_Table 2A-1_EFT (Annual)" xfId="9152"/>
    <cellStyle name="Total 34 2 4" xfId="10464"/>
    <cellStyle name="Total 34 2 4 2" xfId="22580"/>
    <cellStyle name="Total 34 2 5" xfId="17467"/>
    <cellStyle name="Total 34 2_Table 2A-1_EFT (Annual)" xfId="9149"/>
    <cellStyle name="Total 34 3" xfId="848"/>
    <cellStyle name="Total 34 3 2" xfId="4409"/>
    <cellStyle name="Total 34 3 2 2" xfId="12682"/>
    <cellStyle name="Total 34 3 2 2 2" xfId="24699"/>
    <cellStyle name="Total 34 3 2 3" xfId="19586"/>
    <cellStyle name="Total 34 3 2_Table 2A-1_EFT (Annual)" xfId="9154"/>
    <cellStyle name="Total 34 3 3" xfId="10031"/>
    <cellStyle name="Total 34 3 3 2" xfId="22153"/>
    <cellStyle name="Total 34 3 4" xfId="17040"/>
    <cellStyle name="Total 34 3_Table 2A-1_EFT (Annual)" xfId="9153"/>
    <cellStyle name="Total 34 4" xfId="2038"/>
    <cellStyle name="Total 34 4 2" xfId="5599"/>
    <cellStyle name="Total 34 4 2 2" xfId="13814"/>
    <cellStyle name="Total 34 4 2 2 2" xfId="25802"/>
    <cellStyle name="Total 34 4 2 3" xfId="20689"/>
    <cellStyle name="Total 34 4 2_Table 2A-1_EFT (Annual)" xfId="9156"/>
    <cellStyle name="Total 34 4 3" xfId="11158"/>
    <cellStyle name="Total 34 4 3 2" xfId="23256"/>
    <cellStyle name="Total 34 4 4" xfId="18143"/>
    <cellStyle name="Total 34 4_Table 2A-1_EFT (Annual)" xfId="9155"/>
    <cellStyle name="Total 34 5" xfId="3868"/>
    <cellStyle name="Total 34 5 2" xfId="12209"/>
    <cellStyle name="Total 34 5 2 2" xfId="24238"/>
    <cellStyle name="Total 34 5 3" xfId="19125"/>
    <cellStyle name="Total 34 5_Table 2A-1_EFT (Annual)" xfId="9157"/>
    <cellStyle name="Total 34 6" xfId="9544"/>
    <cellStyle name="Total 34 6 2" xfId="21692"/>
    <cellStyle name="Total 34 7" xfId="16579"/>
    <cellStyle name="Total 34_Table 2A-1_EFT (Annual)" xfId="3589"/>
    <cellStyle name="Total 35" xfId="640"/>
    <cellStyle name="Total 35 2" xfId="1617"/>
    <cellStyle name="Total 35 2 2" xfId="2887"/>
    <cellStyle name="Total 35 2 2 2" xfId="6448"/>
    <cellStyle name="Total 35 2 2 2 2" xfId="14642"/>
    <cellStyle name="Total 35 2 2 2 2 2" xfId="26614"/>
    <cellStyle name="Total 35 2 2 2 3" xfId="21501"/>
    <cellStyle name="Total 35 2 2 2_Table 2A-1_EFT (Annual)" xfId="9160"/>
    <cellStyle name="Total 35 2 2 3" xfId="11984"/>
    <cellStyle name="Total 35 2 2 3 2" xfId="24068"/>
    <cellStyle name="Total 35 2 2 4" xfId="18955"/>
    <cellStyle name="Total 35 2 2_Table 2A-1_EFT (Annual)" xfId="9159"/>
    <cellStyle name="Total 35 2 3" xfId="5178"/>
    <cellStyle name="Total 35 2 3 2" xfId="13438"/>
    <cellStyle name="Total 35 2 3 2 2" xfId="25444"/>
    <cellStyle name="Total 35 2 3 3" xfId="20331"/>
    <cellStyle name="Total 35 2 3_Table 2A-1_EFT (Annual)" xfId="9161"/>
    <cellStyle name="Total 35 2 4" xfId="10782"/>
    <cellStyle name="Total 35 2 4 2" xfId="22898"/>
    <cellStyle name="Total 35 2 5" xfId="17785"/>
    <cellStyle name="Total 35 2_Table 2A-1_EFT (Annual)" xfId="9158"/>
    <cellStyle name="Total 35 3" xfId="1129"/>
    <cellStyle name="Total 35 3 2" xfId="4690"/>
    <cellStyle name="Total 35 3 2 2" xfId="12950"/>
    <cellStyle name="Total 35 3 2 2 2" xfId="24956"/>
    <cellStyle name="Total 35 3 2 3" xfId="19843"/>
    <cellStyle name="Total 35 3 2_Table 2A-1_EFT (Annual)" xfId="9163"/>
    <cellStyle name="Total 35 3 3" xfId="10294"/>
    <cellStyle name="Total 35 3 3 2" xfId="22410"/>
    <cellStyle name="Total 35 3 4" xfId="17297"/>
    <cellStyle name="Total 35 3_Table 2A-1_EFT (Annual)" xfId="9162"/>
    <cellStyle name="Total 35 4" xfId="2356"/>
    <cellStyle name="Total 35 4 2" xfId="5917"/>
    <cellStyle name="Total 35 4 2 2" xfId="14132"/>
    <cellStyle name="Total 35 4 2 2 2" xfId="26120"/>
    <cellStyle name="Total 35 4 2 3" xfId="21007"/>
    <cellStyle name="Total 35 4 2_Table 2A-1_EFT (Annual)" xfId="9165"/>
    <cellStyle name="Total 35 4 3" xfId="11476"/>
    <cellStyle name="Total 35 4 3 2" xfId="23574"/>
    <cellStyle name="Total 35 4 4" xfId="18461"/>
    <cellStyle name="Total 35 4_Table 2A-1_EFT (Annual)" xfId="9164"/>
    <cellStyle name="Total 35 5" xfId="4210"/>
    <cellStyle name="Total 35 5 2" xfId="12534"/>
    <cellStyle name="Total 35 5 2 2" xfId="24556"/>
    <cellStyle name="Total 35 5 3" xfId="19443"/>
    <cellStyle name="Total 35 5_Table 2A-1_EFT (Annual)" xfId="9166"/>
    <cellStyle name="Total 35 6" xfId="9873"/>
    <cellStyle name="Total 35 6 2" xfId="22010"/>
    <cellStyle name="Total 35 7" xfId="16897"/>
    <cellStyle name="Total 35_Table 2A-1_EFT (Annual)" xfId="3590"/>
    <cellStyle name="Total 36" xfId="701"/>
    <cellStyle name="Total 36 2" xfId="2366"/>
    <cellStyle name="Total 36 2 2" xfId="5927"/>
    <cellStyle name="Total 36 2 2 2" xfId="14141"/>
    <cellStyle name="Total 36 2 2 2 2" xfId="26129"/>
    <cellStyle name="Total 36 2 2 3" xfId="21016"/>
    <cellStyle name="Total 36 2 2_Table 2A-1_EFT (Annual)" xfId="9169"/>
    <cellStyle name="Total 36 2 3" xfId="11486"/>
    <cellStyle name="Total 36 2 3 2" xfId="23583"/>
    <cellStyle name="Total 36 2 4" xfId="18470"/>
    <cellStyle name="Total 36 2_Table 2A-1_EFT (Annual)" xfId="9168"/>
    <cellStyle name="Total 36 3" xfId="4263"/>
    <cellStyle name="Total 36 3 2" xfId="12547"/>
    <cellStyle name="Total 36 3 2 2" xfId="24565"/>
    <cellStyle name="Total 36 3 3" xfId="19452"/>
    <cellStyle name="Total 36 3_Table 2A-1_EFT (Annual)" xfId="9170"/>
    <cellStyle name="Total 36 4" xfId="9894"/>
    <cellStyle name="Total 36 4 2" xfId="22019"/>
    <cellStyle name="Total 36 5" xfId="16906"/>
    <cellStyle name="Total 36_Table 2A-1_EFT (Annual)" xfId="9167"/>
    <cellStyle name="Total 37" xfId="16015"/>
    <cellStyle name="Total 4" xfId="95"/>
    <cellStyle name="Total 4 10" xfId="21519"/>
    <cellStyle name="Total 4 2" xfId="494"/>
    <cellStyle name="Total 4 2 2" xfId="1471"/>
    <cellStyle name="Total 4 2 2 2" xfId="2741"/>
    <cellStyle name="Total 4 2 2 2 2" xfId="6302"/>
    <cellStyle name="Total 4 2 2 2 2 2" xfId="14496"/>
    <cellStyle name="Total 4 2 2 2 2 2 2" xfId="26468"/>
    <cellStyle name="Total 4 2 2 2 2 3" xfId="21355"/>
    <cellStyle name="Total 4 2 2 2 2_Table 2A-1_EFT (Annual)" xfId="9173"/>
    <cellStyle name="Total 4 2 2 2 3" xfId="11838"/>
    <cellStyle name="Total 4 2 2 2 3 2" xfId="23922"/>
    <cellStyle name="Total 4 2 2 2 4" xfId="18809"/>
    <cellStyle name="Total 4 2 2 2_Table 2A-1_EFT (Annual)" xfId="9172"/>
    <cellStyle name="Total 4 2 2 3" xfId="5032"/>
    <cellStyle name="Total 4 2 2 3 2" xfId="13292"/>
    <cellStyle name="Total 4 2 2 3 2 2" xfId="25298"/>
    <cellStyle name="Total 4 2 2 3 3" xfId="20185"/>
    <cellStyle name="Total 4 2 2 3_Table 2A-1_EFT (Annual)" xfId="9174"/>
    <cellStyle name="Total 4 2 2 4" xfId="10636"/>
    <cellStyle name="Total 4 2 2 4 2" xfId="22752"/>
    <cellStyle name="Total 4 2 2 5" xfId="17639"/>
    <cellStyle name="Total 4 2 2_Table 2A-1_EFT (Annual)" xfId="9171"/>
    <cellStyle name="Total 4 2 3" xfId="1010"/>
    <cellStyle name="Total 4 2 3 2" xfId="4571"/>
    <cellStyle name="Total 4 2 3 2 2" xfId="12831"/>
    <cellStyle name="Total 4 2 3 2 2 2" xfId="24837"/>
    <cellStyle name="Total 4 2 3 2 3" xfId="19724"/>
    <cellStyle name="Total 4 2 3 2_Table 2A-1_EFT (Annual)" xfId="9176"/>
    <cellStyle name="Total 4 2 3 3" xfId="10175"/>
    <cellStyle name="Total 4 2 3 3 2" xfId="22291"/>
    <cellStyle name="Total 4 2 3 4" xfId="17178"/>
    <cellStyle name="Total 4 2 3_Table 2A-1_EFT (Annual)" xfId="9175"/>
    <cellStyle name="Total 4 2 4" xfId="2210"/>
    <cellStyle name="Total 4 2 4 2" xfId="5771"/>
    <cellStyle name="Total 4 2 4 2 2" xfId="13986"/>
    <cellStyle name="Total 4 2 4 2 2 2" xfId="25974"/>
    <cellStyle name="Total 4 2 4 2 3" xfId="20861"/>
    <cellStyle name="Total 4 2 4 2_Table 2A-1_EFT (Annual)" xfId="9178"/>
    <cellStyle name="Total 4 2 4 3" xfId="11330"/>
    <cellStyle name="Total 4 2 4 3 2" xfId="23428"/>
    <cellStyle name="Total 4 2 4 4" xfId="18315"/>
    <cellStyle name="Total 4 2 4_Table 2A-1_EFT (Annual)" xfId="9177"/>
    <cellStyle name="Total 4 2 5" xfId="4064"/>
    <cellStyle name="Total 4 2 5 2" xfId="12388"/>
    <cellStyle name="Total 4 2 5 2 2" xfId="24410"/>
    <cellStyle name="Total 4 2 5 3" xfId="19297"/>
    <cellStyle name="Total 4 2 5_Table 2A-1_EFT (Annual)" xfId="9179"/>
    <cellStyle name="Total 4 2 6" xfId="9727"/>
    <cellStyle name="Total 4 2 6 2" xfId="21864"/>
    <cellStyle name="Total 4 2 7" xfId="16751"/>
    <cellStyle name="Total 4 2_Table 2A-1_EFT (Annual)" xfId="3592"/>
    <cellStyle name="Total 4 3" xfId="327"/>
    <cellStyle name="Total 4 3 2" xfId="1315"/>
    <cellStyle name="Total 4 3 2 2" xfId="2585"/>
    <cellStyle name="Total 4 3 2 2 2" xfId="6146"/>
    <cellStyle name="Total 4 3 2 2 2 2" xfId="14340"/>
    <cellStyle name="Total 4 3 2 2 2 2 2" xfId="26312"/>
    <cellStyle name="Total 4 3 2 2 2 3" xfId="21199"/>
    <cellStyle name="Total 4 3 2 2 2_Table 2A-1_EFT (Annual)" xfId="9182"/>
    <cellStyle name="Total 4 3 2 2 3" xfId="11682"/>
    <cellStyle name="Total 4 3 2 2 3 2" xfId="23766"/>
    <cellStyle name="Total 4 3 2 2 4" xfId="18653"/>
    <cellStyle name="Total 4 3 2 2_Table 2A-1_EFT (Annual)" xfId="9181"/>
    <cellStyle name="Total 4 3 2 3" xfId="4876"/>
    <cellStyle name="Total 4 3 2 3 2" xfId="13136"/>
    <cellStyle name="Total 4 3 2 3 2 2" xfId="25142"/>
    <cellStyle name="Total 4 3 2 3 3" xfId="20029"/>
    <cellStyle name="Total 4 3 2 3_Table 2A-1_EFT (Annual)" xfId="9183"/>
    <cellStyle name="Total 4 3 2 4" xfId="10480"/>
    <cellStyle name="Total 4 3 2 4 2" xfId="22596"/>
    <cellStyle name="Total 4 3 2 5" xfId="17483"/>
    <cellStyle name="Total 4 3 2_Table 2A-1_EFT (Annual)" xfId="9180"/>
    <cellStyle name="Total 4 3 3" xfId="873"/>
    <cellStyle name="Total 4 3 3 2" xfId="4434"/>
    <cellStyle name="Total 4 3 3 2 2" xfId="12699"/>
    <cellStyle name="Total 4 3 3 2 2 2" xfId="24711"/>
    <cellStyle name="Total 4 3 3 2 3" xfId="19598"/>
    <cellStyle name="Total 4 3 3 2_Table 2A-1_EFT (Annual)" xfId="9185"/>
    <cellStyle name="Total 4 3 3 3" xfId="10046"/>
    <cellStyle name="Total 4 3 3 3 2" xfId="22165"/>
    <cellStyle name="Total 4 3 3 4" xfId="17052"/>
    <cellStyle name="Total 4 3 3_Table 2A-1_EFT (Annual)" xfId="9184"/>
    <cellStyle name="Total 4 3 4" xfId="2054"/>
    <cellStyle name="Total 4 3 4 2" xfId="5615"/>
    <cellStyle name="Total 4 3 4 2 2" xfId="13830"/>
    <cellStyle name="Total 4 3 4 2 2 2" xfId="25818"/>
    <cellStyle name="Total 4 3 4 2 3" xfId="20705"/>
    <cellStyle name="Total 4 3 4 2_Table 2A-1_EFT (Annual)" xfId="9187"/>
    <cellStyle name="Total 4 3 4 3" xfId="11174"/>
    <cellStyle name="Total 4 3 4 3 2" xfId="23272"/>
    <cellStyle name="Total 4 3 4 4" xfId="18159"/>
    <cellStyle name="Total 4 3 4_Table 2A-1_EFT (Annual)" xfId="9186"/>
    <cellStyle name="Total 4 3 5" xfId="3897"/>
    <cellStyle name="Total 4 3 5 2" xfId="12229"/>
    <cellStyle name="Total 4 3 5 2 2" xfId="24254"/>
    <cellStyle name="Total 4 3 5 3" xfId="19141"/>
    <cellStyle name="Total 4 3 5_Table 2A-1_EFT (Annual)" xfId="9188"/>
    <cellStyle name="Total 4 3 6" xfId="9566"/>
    <cellStyle name="Total 4 3 6 2" xfId="21708"/>
    <cellStyle name="Total 4 3 7" xfId="16595"/>
    <cellStyle name="Total 4 3_Table 2A-1_EFT (Annual)" xfId="3593"/>
    <cellStyle name="Total 4 4" xfId="1149"/>
    <cellStyle name="Total 4 4 2" xfId="2419"/>
    <cellStyle name="Total 4 4 2 2" xfId="5980"/>
    <cellStyle name="Total 4 4 2 2 2" xfId="14174"/>
    <cellStyle name="Total 4 4 2 2 2 2" xfId="26146"/>
    <cellStyle name="Total 4 4 2 2 3" xfId="21033"/>
    <cellStyle name="Total 4 4 2 2_Table 2A-1_EFT (Annual)" xfId="9191"/>
    <cellStyle name="Total 4 4 2 3" xfId="11516"/>
    <cellStyle name="Total 4 4 2 3 2" xfId="23600"/>
    <cellStyle name="Total 4 4 2 4" xfId="18487"/>
    <cellStyle name="Total 4 4 2_Table 2A-1_EFT (Annual)" xfId="9190"/>
    <cellStyle name="Total 4 4 3" xfId="4710"/>
    <cellStyle name="Total 4 4 3 2" xfId="12970"/>
    <cellStyle name="Total 4 4 3 2 2" xfId="24976"/>
    <cellStyle name="Total 4 4 3 3" xfId="19863"/>
    <cellStyle name="Total 4 4 3_Table 2A-1_EFT (Annual)" xfId="9192"/>
    <cellStyle name="Total 4 4 4" xfId="10314"/>
    <cellStyle name="Total 4 4 4 2" xfId="22430"/>
    <cellStyle name="Total 4 4 5" xfId="17317"/>
    <cellStyle name="Total 4 4_Table 2A-1_EFT (Annual)" xfId="9189"/>
    <cellStyle name="Total 4 5" xfId="714"/>
    <cellStyle name="Total 4 5 2" xfId="4275"/>
    <cellStyle name="Total 4 5 2 2" xfId="12559"/>
    <cellStyle name="Total 4 5 2 2 2" xfId="24577"/>
    <cellStyle name="Total 4 5 2 3" xfId="19464"/>
    <cellStyle name="Total 4 5 2_Table 2A-1_EFT (Annual)" xfId="9194"/>
    <cellStyle name="Total 4 5 3" xfId="9906"/>
    <cellStyle name="Total 4 5 3 2" xfId="22031"/>
    <cellStyle name="Total 4 5 4" xfId="16918"/>
    <cellStyle name="Total 4 5_Table 2A-1_EFT (Annual)" xfId="9193"/>
    <cellStyle name="Total 4 6" xfId="1877"/>
    <cellStyle name="Total 4 6 2" xfId="5438"/>
    <cellStyle name="Total 4 6 2 2" xfId="13653"/>
    <cellStyle name="Total 4 6 2 2 2" xfId="25641"/>
    <cellStyle name="Total 4 6 2 3" xfId="20528"/>
    <cellStyle name="Total 4 6 2_Table 2A-1_EFT (Annual)" xfId="9196"/>
    <cellStyle name="Total 4 6 3" xfId="10997"/>
    <cellStyle name="Total 4 6 3 2" xfId="23095"/>
    <cellStyle name="Total 4 6 4" xfId="17982"/>
    <cellStyle name="Total 4 6_Table 2A-1_EFT (Annual)" xfId="9195"/>
    <cellStyle name="Total 4 7" xfId="3684"/>
    <cellStyle name="Total 4 7 2" xfId="12057"/>
    <cellStyle name="Total 4 7 2 2" xfId="24088"/>
    <cellStyle name="Total 4 7 3" xfId="18975"/>
    <cellStyle name="Total 4 7_Table 2A-1_EFT (Annual)" xfId="9197"/>
    <cellStyle name="Total 4 8" xfId="9374"/>
    <cellStyle name="Total 4 8 2" xfId="21542"/>
    <cellStyle name="Total 4 9" xfId="16429"/>
    <cellStyle name="Total 4_Table 2A-1_EFT (Annual)" xfId="3591"/>
    <cellStyle name="Total 5" xfId="84"/>
    <cellStyle name="Total 5 10" xfId="21524"/>
    <cellStyle name="Total 5 2" xfId="483"/>
    <cellStyle name="Total 5 2 2" xfId="1460"/>
    <cellStyle name="Total 5 2 2 2" xfId="2730"/>
    <cellStyle name="Total 5 2 2 2 2" xfId="6291"/>
    <cellStyle name="Total 5 2 2 2 2 2" xfId="14485"/>
    <cellStyle name="Total 5 2 2 2 2 2 2" xfId="26457"/>
    <cellStyle name="Total 5 2 2 2 2 3" xfId="21344"/>
    <cellStyle name="Total 5 2 2 2 2_Table 2A-1_EFT (Annual)" xfId="9200"/>
    <cellStyle name="Total 5 2 2 2 3" xfId="11827"/>
    <cellStyle name="Total 5 2 2 2 3 2" xfId="23911"/>
    <cellStyle name="Total 5 2 2 2 4" xfId="18798"/>
    <cellStyle name="Total 5 2 2 2_Table 2A-1_EFT (Annual)" xfId="9199"/>
    <cellStyle name="Total 5 2 2 3" xfId="5021"/>
    <cellStyle name="Total 5 2 2 3 2" xfId="13281"/>
    <cellStyle name="Total 5 2 2 3 2 2" xfId="25287"/>
    <cellStyle name="Total 5 2 2 3 3" xfId="20174"/>
    <cellStyle name="Total 5 2 2 3_Table 2A-1_EFT (Annual)" xfId="9201"/>
    <cellStyle name="Total 5 2 2 4" xfId="10625"/>
    <cellStyle name="Total 5 2 2 4 2" xfId="22741"/>
    <cellStyle name="Total 5 2 2 5" xfId="17628"/>
    <cellStyle name="Total 5 2 2_Table 2A-1_EFT (Annual)" xfId="9198"/>
    <cellStyle name="Total 5 2 3" xfId="1003"/>
    <cellStyle name="Total 5 2 3 2" xfId="4564"/>
    <cellStyle name="Total 5 2 3 2 2" xfId="12824"/>
    <cellStyle name="Total 5 2 3 2 2 2" xfId="24830"/>
    <cellStyle name="Total 5 2 3 2 3" xfId="19717"/>
    <cellStyle name="Total 5 2 3 2_Table 2A-1_EFT (Annual)" xfId="9203"/>
    <cellStyle name="Total 5 2 3 3" xfId="10168"/>
    <cellStyle name="Total 5 2 3 3 2" xfId="22284"/>
    <cellStyle name="Total 5 2 3 4" xfId="17171"/>
    <cellStyle name="Total 5 2 3_Table 2A-1_EFT (Annual)" xfId="9202"/>
    <cellStyle name="Total 5 2 4" xfId="2199"/>
    <cellStyle name="Total 5 2 4 2" xfId="5760"/>
    <cellStyle name="Total 5 2 4 2 2" xfId="13975"/>
    <cellStyle name="Total 5 2 4 2 2 2" xfId="25963"/>
    <cellStyle name="Total 5 2 4 2 3" xfId="20850"/>
    <cellStyle name="Total 5 2 4 2_Table 2A-1_EFT (Annual)" xfId="9205"/>
    <cellStyle name="Total 5 2 4 3" xfId="11319"/>
    <cellStyle name="Total 5 2 4 3 2" xfId="23417"/>
    <cellStyle name="Total 5 2 4 4" xfId="18304"/>
    <cellStyle name="Total 5 2 4_Table 2A-1_EFT (Annual)" xfId="9204"/>
    <cellStyle name="Total 5 2 5" xfId="4053"/>
    <cellStyle name="Total 5 2 5 2" xfId="12377"/>
    <cellStyle name="Total 5 2 5 2 2" xfId="24399"/>
    <cellStyle name="Total 5 2 5 3" xfId="19286"/>
    <cellStyle name="Total 5 2 5_Table 2A-1_EFT (Annual)" xfId="9206"/>
    <cellStyle name="Total 5 2 6" xfId="9716"/>
    <cellStyle name="Total 5 2 6 2" xfId="21853"/>
    <cellStyle name="Total 5 2 7" xfId="16740"/>
    <cellStyle name="Total 5 2_Table 2A-1_EFT (Annual)" xfId="3595"/>
    <cellStyle name="Total 5 3" xfId="316"/>
    <cellStyle name="Total 5 3 2" xfId="1304"/>
    <cellStyle name="Total 5 3 2 2" xfId="2574"/>
    <cellStyle name="Total 5 3 2 2 2" xfId="6135"/>
    <cellStyle name="Total 5 3 2 2 2 2" xfId="14329"/>
    <cellStyle name="Total 5 3 2 2 2 2 2" xfId="26301"/>
    <cellStyle name="Total 5 3 2 2 2 3" xfId="21188"/>
    <cellStyle name="Total 5 3 2 2 2_Table 2A-1_EFT (Annual)" xfId="9209"/>
    <cellStyle name="Total 5 3 2 2 3" xfId="11671"/>
    <cellStyle name="Total 5 3 2 2 3 2" xfId="23755"/>
    <cellStyle name="Total 5 3 2 2 4" xfId="18642"/>
    <cellStyle name="Total 5 3 2 2_Table 2A-1_EFT (Annual)" xfId="9208"/>
    <cellStyle name="Total 5 3 2 3" xfId="4865"/>
    <cellStyle name="Total 5 3 2 3 2" xfId="13125"/>
    <cellStyle name="Total 5 3 2 3 2 2" xfId="25131"/>
    <cellStyle name="Total 5 3 2 3 3" xfId="20018"/>
    <cellStyle name="Total 5 3 2 3_Table 2A-1_EFT (Annual)" xfId="9210"/>
    <cellStyle name="Total 5 3 2 4" xfId="10469"/>
    <cellStyle name="Total 5 3 2 4 2" xfId="22585"/>
    <cellStyle name="Total 5 3 2 5" xfId="17472"/>
    <cellStyle name="Total 5 3 2_Table 2A-1_EFT (Annual)" xfId="9207"/>
    <cellStyle name="Total 5 3 3" xfId="866"/>
    <cellStyle name="Total 5 3 3 2" xfId="4427"/>
    <cellStyle name="Total 5 3 3 2 2" xfId="12692"/>
    <cellStyle name="Total 5 3 3 2 2 2" xfId="24704"/>
    <cellStyle name="Total 5 3 3 2 3" xfId="19591"/>
    <cellStyle name="Total 5 3 3 2_Table 2A-1_EFT (Annual)" xfId="9212"/>
    <cellStyle name="Total 5 3 3 3" xfId="10039"/>
    <cellStyle name="Total 5 3 3 3 2" xfId="22158"/>
    <cellStyle name="Total 5 3 3 4" xfId="17045"/>
    <cellStyle name="Total 5 3 3_Table 2A-1_EFT (Annual)" xfId="9211"/>
    <cellStyle name="Total 5 3 4" xfId="2043"/>
    <cellStyle name="Total 5 3 4 2" xfId="5604"/>
    <cellStyle name="Total 5 3 4 2 2" xfId="13819"/>
    <cellStyle name="Total 5 3 4 2 2 2" xfId="25807"/>
    <cellStyle name="Total 5 3 4 2 3" xfId="20694"/>
    <cellStyle name="Total 5 3 4 2_Table 2A-1_EFT (Annual)" xfId="9214"/>
    <cellStyle name="Total 5 3 4 3" xfId="11163"/>
    <cellStyle name="Total 5 3 4 3 2" xfId="23261"/>
    <cellStyle name="Total 5 3 4 4" xfId="18148"/>
    <cellStyle name="Total 5 3 4_Table 2A-1_EFT (Annual)" xfId="9213"/>
    <cellStyle name="Total 5 3 5" xfId="3886"/>
    <cellStyle name="Total 5 3 5 2" xfId="12218"/>
    <cellStyle name="Total 5 3 5 2 2" xfId="24243"/>
    <cellStyle name="Total 5 3 5 3" xfId="19130"/>
    <cellStyle name="Total 5 3 5_Table 2A-1_EFT (Annual)" xfId="9215"/>
    <cellStyle name="Total 5 3 6" xfId="9555"/>
    <cellStyle name="Total 5 3 6 2" xfId="21697"/>
    <cellStyle name="Total 5 3 7" xfId="16584"/>
    <cellStyle name="Total 5 3_Table 2A-1_EFT (Annual)" xfId="3596"/>
    <cellStyle name="Total 5 4" xfId="1138"/>
    <cellStyle name="Total 5 4 2" xfId="2408"/>
    <cellStyle name="Total 5 4 2 2" xfId="5969"/>
    <cellStyle name="Total 5 4 2 2 2" xfId="14163"/>
    <cellStyle name="Total 5 4 2 2 2 2" xfId="26135"/>
    <cellStyle name="Total 5 4 2 2 3" xfId="21022"/>
    <cellStyle name="Total 5 4 2 2_Table 2A-1_EFT (Annual)" xfId="9218"/>
    <cellStyle name="Total 5 4 2 3" xfId="11505"/>
    <cellStyle name="Total 5 4 2 3 2" xfId="23589"/>
    <cellStyle name="Total 5 4 2 4" xfId="18476"/>
    <cellStyle name="Total 5 4 2_Table 2A-1_EFT (Annual)" xfId="9217"/>
    <cellStyle name="Total 5 4 3" xfId="4699"/>
    <cellStyle name="Total 5 4 3 2" xfId="12959"/>
    <cellStyle name="Total 5 4 3 2 2" xfId="24965"/>
    <cellStyle name="Total 5 4 3 3" xfId="19852"/>
    <cellStyle name="Total 5 4 3_Table 2A-1_EFT (Annual)" xfId="9219"/>
    <cellStyle name="Total 5 4 4" xfId="10303"/>
    <cellStyle name="Total 5 4 4 2" xfId="22419"/>
    <cellStyle name="Total 5 4 5" xfId="17306"/>
    <cellStyle name="Total 5 4_Table 2A-1_EFT (Annual)" xfId="9216"/>
    <cellStyle name="Total 5 5" xfId="707"/>
    <cellStyle name="Total 5 5 2" xfId="4268"/>
    <cellStyle name="Total 5 5 2 2" xfId="12552"/>
    <cellStyle name="Total 5 5 2 2 2" xfId="24570"/>
    <cellStyle name="Total 5 5 2 3" xfId="19457"/>
    <cellStyle name="Total 5 5 2_Table 2A-1_EFT (Annual)" xfId="9221"/>
    <cellStyle name="Total 5 5 3" xfId="9899"/>
    <cellStyle name="Total 5 5 3 2" xfId="22024"/>
    <cellStyle name="Total 5 5 4" xfId="16911"/>
    <cellStyle name="Total 5 5_Table 2A-1_EFT (Annual)" xfId="9220"/>
    <cellStyle name="Total 5 6" xfId="1905"/>
    <cellStyle name="Total 5 6 2" xfId="5466"/>
    <cellStyle name="Total 5 6 2 2" xfId="13681"/>
    <cellStyle name="Total 5 6 2 2 2" xfId="25669"/>
    <cellStyle name="Total 5 6 2 3" xfId="20556"/>
    <cellStyle name="Total 5 6 2_Table 2A-1_EFT (Annual)" xfId="9223"/>
    <cellStyle name="Total 5 6 3" xfId="11025"/>
    <cellStyle name="Total 5 6 3 2" xfId="23123"/>
    <cellStyle name="Total 5 6 4" xfId="18010"/>
    <cellStyle name="Total 5 6_Table 2A-1_EFT (Annual)" xfId="9222"/>
    <cellStyle name="Total 5 7" xfId="3673"/>
    <cellStyle name="Total 5 7 2" xfId="12046"/>
    <cellStyle name="Total 5 7 2 2" xfId="24077"/>
    <cellStyle name="Total 5 7 3" xfId="18964"/>
    <cellStyle name="Total 5 7_Table 2A-1_EFT (Annual)" xfId="9224"/>
    <cellStyle name="Total 5 8" xfId="9363"/>
    <cellStyle name="Total 5 8 2" xfId="21531"/>
    <cellStyle name="Total 5 9" xfId="16418"/>
    <cellStyle name="Total 5_Table 2A-1_EFT (Annual)" xfId="3594"/>
    <cellStyle name="Total 6" xfId="97"/>
    <cellStyle name="Total 6 2" xfId="496"/>
    <cellStyle name="Total 6 2 2" xfId="1473"/>
    <cellStyle name="Total 6 2 2 2" xfId="2743"/>
    <cellStyle name="Total 6 2 2 2 2" xfId="6304"/>
    <cellStyle name="Total 6 2 2 2 2 2" xfId="14498"/>
    <cellStyle name="Total 6 2 2 2 2 2 2" xfId="26470"/>
    <cellStyle name="Total 6 2 2 2 2 3" xfId="21357"/>
    <cellStyle name="Total 6 2 2 2 2_Table 2A-1_EFT (Annual)" xfId="9227"/>
    <cellStyle name="Total 6 2 2 2 3" xfId="11840"/>
    <cellStyle name="Total 6 2 2 2 3 2" xfId="23924"/>
    <cellStyle name="Total 6 2 2 2 4" xfId="18811"/>
    <cellStyle name="Total 6 2 2 2_Table 2A-1_EFT (Annual)" xfId="9226"/>
    <cellStyle name="Total 6 2 2 3" xfId="5034"/>
    <cellStyle name="Total 6 2 2 3 2" xfId="13294"/>
    <cellStyle name="Total 6 2 2 3 2 2" xfId="25300"/>
    <cellStyle name="Total 6 2 2 3 3" xfId="20187"/>
    <cellStyle name="Total 6 2 2 3_Table 2A-1_EFT (Annual)" xfId="9228"/>
    <cellStyle name="Total 6 2 2 4" xfId="10638"/>
    <cellStyle name="Total 6 2 2 4 2" xfId="22754"/>
    <cellStyle name="Total 6 2 2 5" xfId="17641"/>
    <cellStyle name="Total 6 2 2_Table 2A-1_EFT (Annual)" xfId="9225"/>
    <cellStyle name="Total 6 2 3" xfId="1012"/>
    <cellStyle name="Total 6 2 3 2" xfId="4573"/>
    <cellStyle name="Total 6 2 3 2 2" xfId="12833"/>
    <cellStyle name="Total 6 2 3 2 2 2" xfId="24839"/>
    <cellStyle name="Total 6 2 3 2 3" xfId="19726"/>
    <cellStyle name="Total 6 2 3 2_Table 2A-1_EFT (Annual)" xfId="9230"/>
    <cellStyle name="Total 6 2 3 3" xfId="10177"/>
    <cellStyle name="Total 6 2 3 3 2" xfId="22293"/>
    <cellStyle name="Total 6 2 3 4" xfId="17180"/>
    <cellStyle name="Total 6 2 3_Table 2A-1_EFT (Annual)" xfId="9229"/>
    <cellStyle name="Total 6 2 4" xfId="2212"/>
    <cellStyle name="Total 6 2 4 2" xfId="5773"/>
    <cellStyle name="Total 6 2 4 2 2" xfId="13988"/>
    <cellStyle name="Total 6 2 4 2 2 2" xfId="25976"/>
    <cellStyle name="Total 6 2 4 2 3" xfId="20863"/>
    <cellStyle name="Total 6 2 4 2_Table 2A-1_EFT (Annual)" xfId="9232"/>
    <cellStyle name="Total 6 2 4 3" xfId="11332"/>
    <cellStyle name="Total 6 2 4 3 2" xfId="23430"/>
    <cellStyle name="Total 6 2 4 4" xfId="18317"/>
    <cellStyle name="Total 6 2 4_Table 2A-1_EFT (Annual)" xfId="9231"/>
    <cellStyle name="Total 6 2 5" xfId="4066"/>
    <cellStyle name="Total 6 2 5 2" xfId="12390"/>
    <cellStyle name="Total 6 2 5 2 2" xfId="24412"/>
    <cellStyle name="Total 6 2 5 3" xfId="19299"/>
    <cellStyle name="Total 6 2 5_Table 2A-1_EFT (Annual)" xfId="9233"/>
    <cellStyle name="Total 6 2 6" xfId="9729"/>
    <cellStyle name="Total 6 2 6 2" xfId="21866"/>
    <cellStyle name="Total 6 2 7" xfId="16753"/>
    <cellStyle name="Total 6 2_Table 2A-1_EFT (Annual)" xfId="3598"/>
    <cellStyle name="Total 6 3" xfId="329"/>
    <cellStyle name="Total 6 3 2" xfId="1317"/>
    <cellStyle name="Total 6 3 2 2" xfId="2587"/>
    <cellStyle name="Total 6 3 2 2 2" xfId="6148"/>
    <cellStyle name="Total 6 3 2 2 2 2" xfId="14342"/>
    <cellStyle name="Total 6 3 2 2 2 2 2" xfId="26314"/>
    <cellStyle name="Total 6 3 2 2 2 3" xfId="21201"/>
    <cellStyle name="Total 6 3 2 2 2_Table 2A-1_EFT (Annual)" xfId="9236"/>
    <cellStyle name="Total 6 3 2 2 3" xfId="11684"/>
    <cellStyle name="Total 6 3 2 2 3 2" xfId="23768"/>
    <cellStyle name="Total 6 3 2 2 4" xfId="18655"/>
    <cellStyle name="Total 6 3 2 2_Table 2A-1_EFT (Annual)" xfId="9235"/>
    <cellStyle name="Total 6 3 2 3" xfId="4878"/>
    <cellStyle name="Total 6 3 2 3 2" xfId="13138"/>
    <cellStyle name="Total 6 3 2 3 2 2" xfId="25144"/>
    <cellStyle name="Total 6 3 2 3 3" xfId="20031"/>
    <cellStyle name="Total 6 3 2 3_Table 2A-1_EFT (Annual)" xfId="9237"/>
    <cellStyle name="Total 6 3 2 4" xfId="10482"/>
    <cellStyle name="Total 6 3 2 4 2" xfId="22598"/>
    <cellStyle name="Total 6 3 2 5" xfId="17485"/>
    <cellStyle name="Total 6 3 2_Table 2A-1_EFT (Annual)" xfId="9234"/>
    <cellStyle name="Total 6 3 3" xfId="875"/>
    <cellStyle name="Total 6 3 3 2" xfId="4436"/>
    <cellStyle name="Total 6 3 3 2 2" xfId="12701"/>
    <cellStyle name="Total 6 3 3 2 2 2" xfId="24713"/>
    <cellStyle name="Total 6 3 3 2 3" xfId="19600"/>
    <cellStyle name="Total 6 3 3 2_Table 2A-1_EFT (Annual)" xfId="9239"/>
    <cellStyle name="Total 6 3 3 3" xfId="10048"/>
    <cellStyle name="Total 6 3 3 3 2" xfId="22167"/>
    <cellStyle name="Total 6 3 3 4" xfId="17054"/>
    <cellStyle name="Total 6 3 3_Table 2A-1_EFT (Annual)" xfId="9238"/>
    <cellStyle name="Total 6 3 4" xfId="2056"/>
    <cellStyle name="Total 6 3 4 2" xfId="5617"/>
    <cellStyle name="Total 6 3 4 2 2" xfId="13832"/>
    <cellStyle name="Total 6 3 4 2 2 2" xfId="25820"/>
    <cellStyle name="Total 6 3 4 2 3" xfId="20707"/>
    <cellStyle name="Total 6 3 4 2_Table 2A-1_EFT (Annual)" xfId="9241"/>
    <cellStyle name="Total 6 3 4 3" xfId="11176"/>
    <cellStyle name="Total 6 3 4 3 2" xfId="23274"/>
    <cellStyle name="Total 6 3 4 4" xfId="18161"/>
    <cellStyle name="Total 6 3 4_Table 2A-1_EFT (Annual)" xfId="9240"/>
    <cellStyle name="Total 6 3 5" xfId="3899"/>
    <cellStyle name="Total 6 3 5 2" xfId="12231"/>
    <cellStyle name="Total 6 3 5 2 2" xfId="24256"/>
    <cellStyle name="Total 6 3 5 3" xfId="19143"/>
    <cellStyle name="Total 6 3 5_Table 2A-1_EFT (Annual)" xfId="9242"/>
    <cellStyle name="Total 6 3 6" xfId="9568"/>
    <cellStyle name="Total 6 3 6 2" xfId="21710"/>
    <cellStyle name="Total 6 3 7" xfId="16597"/>
    <cellStyle name="Total 6 3_Table 2A-1_EFT (Annual)" xfId="3599"/>
    <cellStyle name="Total 6 4" xfId="1151"/>
    <cellStyle name="Total 6 4 2" xfId="2421"/>
    <cellStyle name="Total 6 4 2 2" xfId="5982"/>
    <cellStyle name="Total 6 4 2 2 2" xfId="14176"/>
    <cellStyle name="Total 6 4 2 2 2 2" xfId="26148"/>
    <cellStyle name="Total 6 4 2 2 3" xfId="21035"/>
    <cellStyle name="Total 6 4 2 2_Table 2A-1_EFT (Annual)" xfId="9245"/>
    <cellStyle name="Total 6 4 2 3" xfId="11518"/>
    <cellStyle name="Total 6 4 2 3 2" xfId="23602"/>
    <cellStyle name="Total 6 4 2 4" xfId="18489"/>
    <cellStyle name="Total 6 4 2_Table 2A-1_EFT (Annual)" xfId="9244"/>
    <cellStyle name="Total 6 4 3" xfId="4712"/>
    <cellStyle name="Total 6 4 3 2" xfId="12972"/>
    <cellStyle name="Total 6 4 3 2 2" xfId="24978"/>
    <cellStyle name="Total 6 4 3 3" xfId="19865"/>
    <cellStyle name="Total 6 4 3_Table 2A-1_EFT (Annual)" xfId="9246"/>
    <cellStyle name="Total 6 4 4" xfId="10316"/>
    <cellStyle name="Total 6 4 4 2" xfId="22432"/>
    <cellStyle name="Total 6 4 5" xfId="17319"/>
    <cellStyle name="Total 6 4_Table 2A-1_EFT (Annual)" xfId="9243"/>
    <cellStyle name="Total 6 5" xfId="716"/>
    <cellStyle name="Total 6 5 2" xfId="4277"/>
    <cellStyle name="Total 6 5 2 2" xfId="12561"/>
    <cellStyle name="Total 6 5 2 2 2" xfId="24579"/>
    <cellStyle name="Total 6 5 2 3" xfId="19466"/>
    <cellStyle name="Total 6 5 2_Table 2A-1_EFT (Annual)" xfId="9248"/>
    <cellStyle name="Total 6 5 3" xfId="9908"/>
    <cellStyle name="Total 6 5 3 2" xfId="22033"/>
    <cellStyle name="Total 6 5 4" xfId="16920"/>
    <cellStyle name="Total 6 5_Table 2A-1_EFT (Annual)" xfId="9247"/>
    <cellStyle name="Total 6 6" xfId="1809"/>
    <cellStyle name="Total 6 6 2" xfId="5370"/>
    <cellStyle name="Total 6 6 2 2" xfId="13585"/>
    <cellStyle name="Total 6 6 2 2 2" xfId="25573"/>
    <cellStyle name="Total 6 6 2 3" xfId="20460"/>
    <cellStyle name="Total 6 6 2_Table 2A-1_EFT (Annual)" xfId="9250"/>
    <cellStyle name="Total 6 6 3" xfId="10929"/>
    <cellStyle name="Total 6 6 3 2" xfId="23027"/>
    <cellStyle name="Total 6 6 4" xfId="17914"/>
    <cellStyle name="Total 6 6_Table 2A-1_EFT (Annual)" xfId="9249"/>
    <cellStyle name="Total 6 7" xfId="3686"/>
    <cellStyle name="Total 6 7 2" xfId="12059"/>
    <cellStyle name="Total 6 7 2 2" xfId="24090"/>
    <cellStyle name="Total 6 7 3" xfId="18977"/>
    <cellStyle name="Total 6 7_Table 2A-1_EFT (Annual)" xfId="9251"/>
    <cellStyle name="Total 6 8" xfId="9376"/>
    <cellStyle name="Total 6 8 2" xfId="21544"/>
    <cellStyle name="Total 6 9" xfId="16431"/>
    <cellStyle name="Total 6_Table 2A-1_EFT (Annual)" xfId="3597"/>
    <cellStyle name="Total 7" xfId="117"/>
    <cellStyle name="Total 7 2" xfId="510"/>
    <cellStyle name="Total 7 2 2" xfId="1487"/>
    <cellStyle name="Total 7 2 2 2" xfId="2757"/>
    <cellStyle name="Total 7 2 2 2 2" xfId="6318"/>
    <cellStyle name="Total 7 2 2 2 2 2" xfId="14512"/>
    <cellStyle name="Total 7 2 2 2 2 2 2" xfId="26484"/>
    <cellStyle name="Total 7 2 2 2 2 3" xfId="21371"/>
    <cellStyle name="Total 7 2 2 2 2_Table 2A-1_EFT (Annual)" xfId="9254"/>
    <cellStyle name="Total 7 2 2 2 3" xfId="11854"/>
    <cellStyle name="Total 7 2 2 2 3 2" xfId="23938"/>
    <cellStyle name="Total 7 2 2 2 4" xfId="18825"/>
    <cellStyle name="Total 7 2 2 2_Table 2A-1_EFT (Annual)" xfId="9253"/>
    <cellStyle name="Total 7 2 2 3" xfId="5048"/>
    <cellStyle name="Total 7 2 2 3 2" xfId="13308"/>
    <cellStyle name="Total 7 2 2 3 2 2" xfId="25314"/>
    <cellStyle name="Total 7 2 2 3 3" xfId="20201"/>
    <cellStyle name="Total 7 2 2 3_Table 2A-1_EFT (Annual)" xfId="9255"/>
    <cellStyle name="Total 7 2 2 4" xfId="10652"/>
    <cellStyle name="Total 7 2 2 4 2" xfId="22768"/>
    <cellStyle name="Total 7 2 2 5" xfId="17655"/>
    <cellStyle name="Total 7 2 2_Table 2A-1_EFT (Annual)" xfId="9252"/>
    <cellStyle name="Total 7 2 3" xfId="1022"/>
    <cellStyle name="Total 7 2 3 2" xfId="4583"/>
    <cellStyle name="Total 7 2 3 2 2" xfId="12843"/>
    <cellStyle name="Total 7 2 3 2 2 2" xfId="24849"/>
    <cellStyle name="Total 7 2 3 2 3" xfId="19736"/>
    <cellStyle name="Total 7 2 3 2_Table 2A-1_EFT (Annual)" xfId="9257"/>
    <cellStyle name="Total 7 2 3 3" xfId="10187"/>
    <cellStyle name="Total 7 2 3 3 2" xfId="22303"/>
    <cellStyle name="Total 7 2 3 4" xfId="17190"/>
    <cellStyle name="Total 7 2 3_Table 2A-1_EFT (Annual)" xfId="9256"/>
    <cellStyle name="Total 7 2 4" xfId="2226"/>
    <cellStyle name="Total 7 2 4 2" xfId="5787"/>
    <cellStyle name="Total 7 2 4 2 2" xfId="14002"/>
    <cellStyle name="Total 7 2 4 2 2 2" xfId="25990"/>
    <cellStyle name="Total 7 2 4 2 3" xfId="20877"/>
    <cellStyle name="Total 7 2 4 2_Table 2A-1_EFT (Annual)" xfId="9259"/>
    <cellStyle name="Total 7 2 4 3" xfId="11346"/>
    <cellStyle name="Total 7 2 4 3 2" xfId="23444"/>
    <cellStyle name="Total 7 2 4 4" xfId="18331"/>
    <cellStyle name="Total 7 2 4_Table 2A-1_EFT (Annual)" xfId="9258"/>
    <cellStyle name="Total 7 2 5" xfId="4080"/>
    <cellStyle name="Total 7 2 5 2" xfId="12404"/>
    <cellStyle name="Total 7 2 5 2 2" xfId="24426"/>
    <cellStyle name="Total 7 2 5 3" xfId="19313"/>
    <cellStyle name="Total 7 2 5_Table 2A-1_EFT (Annual)" xfId="9260"/>
    <cellStyle name="Total 7 2 6" xfId="9743"/>
    <cellStyle name="Total 7 2 6 2" xfId="21880"/>
    <cellStyle name="Total 7 2 7" xfId="16767"/>
    <cellStyle name="Total 7 2_Table 2A-1_EFT (Annual)" xfId="3601"/>
    <cellStyle name="Total 7 3" xfId="348"/>
    <cellStyle name="Total 7 3 2" xfId="1331"/>
    <cellStyle name="Total 7 3 2 2" xfId="2601"/>
    <cellStyle name="Total 7 3 2 2 2" xfId="6162"/>
    <cellStyle name="Total 7 3 2 2 2 2" xfId="14356"/>
    <cellStyle name="Total 7 3 2 2 2 2 2" xfId="26328"/>
    <cellStyle name="Total 7 3 2 2 2 3" xfId="21215"/>
    <cellStyle name="Total 7 3 2 2 2_Table 2A-1_EFT (Annual)" xfId="9263"/>
    <cellStyle name="Total 7 3 2 2 3" xfId="11698"/>
    <cellStyle name="Total 7 3 2 2 3 2" xfId="23782"/>
    <cellStyle name="Total 7 3 2 2 4" xfId="18669"/>
    <cellStyle name="Total 7 3 2 2_Table 2A-1_EFT (Annual)" xfId="9262"/>
    <cellStyle name="Total 7 3 2 3" xfId="4892"/>
    <cellStyle name="Total 7 3 2 3 2" xfId="13152"/>
    <cellStyle name="Total 7 3 2 3 2 2" xfId="25158"/>
    <cellStyle name="Total 7 3 2 3 3" xfId="20045"/>
    <cellStyle name="Total 7 3 2 3_Table 2A-1_EFT (Annual)" xfId="9264"/>
    <cellStyle name="Total 7 3 2 4" xfId="10496"/>
    <cellStyle name="Total 7 3 2 4 2" xfId="22612"/>
    <cellStyle name="Total 7 3 2 5" xfId="17499"/>
    <cellStyle name="Total 7 3 2_Table 2A-1_EFT (Annual)" xfId="9261"/>
    <cellStyle name="Total 7 3 3" xfId="890"/>
    <cellStyle name="Total 7 3 3 2" xfId="4451"/>
    <cellStyle name="Total 7 3 3 2 2" xfId="12713"/>
    <cellStyle name="Total 7 3 3 2 2 2" xfId="24723"/>
    <cellStyle name="Total 7 3 3 2 3" xfId="19610"/>
    <cellStyle name="Total 7 3 3 2_Table 2A-1_EFT (Annual)" xfId="9266"/>
    <cellStyle name="Total 7 3 3 3" xfId="10060"/>
    <cellStyle name="Total 7 3 3 3 2" xfId="22177"/>
    <cellStyle name="Total 7 3 3 4" xfId="17064"/>
    <cellStyle name="Total 7 3 3_Table 2A-1_EFT (Annual)" xfId="9265"/>
    <cellStyle name="Total 7 3 4" xfId="2070"/>
    <cellStyle name="Total 7 3 4 2" xfId="5631"/>
    <cellStyle name="Total 7 3 4 2 2" xfId="13846"/>
    <cellStyle name="Total 7 3 4 2 2 2" xfId="25834"/>
    <cellStyle name="Total 7 3 4 2 3" xfId="20721"/>
    <cellStyle name="Total 7 3 4 2_Table 2A-1_EFT (Annual)" xfId="9268"/>
    <cellStyle name="Total 7 3 4 3" xfId="11190"/>
    <cellStyle name="Total 7 3 4 3 2" xfId="23288"/>
    <cellStyle name="Total 7 3 4 4" xfId="18175"/>
    <cellStyle name="Total 7 3 4_Table 2A-1_EFT (Annual)" xfId="9267"/>
    <cellStyle name="Total 7 3 5" xfId="3918"/>
    <cellStyle name="Total 7 3 5 2" xfId="12246"/>
    <cellStyle name="Total 7 3 5 2 2" xfId="24270"/>
    <cellStyle name="Total 7 3 5 3" xfId="19157"/>
    <cellStyle name="Total 7 3 5_Table 2A-1_EFT (Annual)" xfId="9269"/>
    <cellStyle name="Total 7 3 6" xfId="9583"/>
    <cellStyle name="Total 7 3 6 2" xfId="21724"/>
    <cellStyle name="Total 7 3 7" xfId="16611"/>
    <cellStyle name="Total 7 3_Table 2A-1_EFT (Annual)" xfId="3602"/>
    <cellStyle name="Total 7 4" xfId="1165"/>
    <cellStyle name="Total 7 4 2" xfId="2435"/>
    <cellStyle name="Total 7 4 2 2" xfId="5996"/>
    <cellStyle name="Total 7 4 2 2 2" xfId="14190"/>
    <cellStyle name="Total 7 4 2 2 2 2" xfId="26162"/>
    <cellStyle name="Total 7 4 2 2 3" xfId="21049"/>
    <cellStyle name="Total 7 4 2 2_Table 2A-1_EFT (Annual)" xfId="9272"/>
    <cellStyle name="Total 7 4 2 3" xfId="11532"/>
    <cellStyle name="Total 7 4 2 3 2" xfId="23616"/>
    <cellStyle name="Total 7 4 2 4" xfId="18503"/>
    <cellStyle name="Total 7 4 2_Table 2A-1_EFT (Annual)" xfId="9271"/>
    <cellStyle name="Total 7 4 3" xfId="4726"/>
    <cellStyle name="Total 7 4 3 2" xfId="12986"/>
    <cellStyle name="Total 7 4 3 2 2" xfId="24992"/>
    <cellStyle name="Total 7 4 3 3" xfId="19879"/>
    <cellStyle name="Total 7 4 3_Table 2A-1_EFT (Annual)" xfId="9273"/>
    <cellStyle name="Total 7 4 4" xfId="10330"/>
    <cellStyle name="Total 7 4 4 2" xfId="22446"/>
    <cellStyle name="Total 7 4 5" xfId="17333"/>
    <cellStyle name="Total 7 4_Table 2A-1_EFT (Annual)" xfId="9270"/>
    <cellStyle name="Total 7 5" xfId="731"/>
    <cellStyle name="Total 7 5 2" xfId="4292"/>
    <cellStyle name="Total 7 5 2 2" xfId="12572"/>
    <cellStyle name="Total 7 5 2 2 2" xfId="24589"/>
    <cellStyle name="Total 7 5 2 3" xfId="19476"/>
    <cellStyle name="Total 7 5 2_Table 2A-1_EFT (Annual)" xfId="9275"/>
    <cellStyle name="Total 7 5 3" xfId="9920"/>
    <cellStyle name="Total 7 5 3 2" xfId="22043"/>
    <cellStyle name="Total 7 5 4" xfId="16930"/>
    <cellStyle name="Total 7 5_Table 2A-1_EFT (Annual)" xfId="9274"/>
    <cellStyle name="Total 7 6" xfId="1867"/>
    <cellStyle name="Total 7 6 2" xfId="5428"/>
    <cellStyle name="Total 7 6 2 2" xfId="13643"/>
    <cellStyle name="Total 7 6 2 2 2" xfId="25631"/>
    <cellStyle name="Total 7 6 2 3" xfId="20518"/>
    <cellStyle name="Total 7 6 2_Table 2A-1_EFT (Annual)" xfId="9277"/>
    <cellStyle name="Total 7 6 3" xfId="10987"/>
    <cellStyle name="Total 7 6 3 2" xfId="23085"/>
    <cellStyle name="Total 7 6 4" xfId="17972"/>
    <cellStyle name="Total 7 6_Table 2A-1_EFT (Annual)" xfId="9276"/>
    <cellStyle name="Total 7 7" xfId="3706"/>
    <cellStyle name="Total 7 7 2" xfId="12074"/>
    <cellStyle name="Total 7 7 2 2" xfId="24104"/>
    <cellStyle name="Total 7 7 3" xfId="18991"/>
    <cellStyle name="Total 7 7_Table 2A-1_EFT (Annual)" xfId="9278"/>
    <cellStyle name="Total 7 8" xfId="9393"/>
    <cellStyle name="Total 7 8 2" xfId="21558"/>
    <cellStyle name="Total 7 9" xfId="16445"/>
    <cellStyle name="Total 7_Table 2A-1_EFT (Annual)" xfId="3600"/>
    <cellStyle name="Total 8" xfId="132"/>
    <cellStyle name="Total 8 2" xfId="525"/>
    <cellStyle name="Total 8 2 2" xfId="1502"/>
    <cellStyle name="Total 8 2 2 2" xfId="2772"/>
    <cellStyle name="Total 8 2 2 2 2" xfId="6333"/>
    <cellStyle name="Total 8 2 2 2 2 2" xfId="14527"/>
    <cellStyle name="Total 8 2 2 2 2 2 2" xfId="26499"/>
    <cellStyle name="Total 8 2 2 2 2 3" xfId="21386"/>
    <cellStyle name="Total 8 2 2 2 2_Table 2A-1_EFT (Annual)" xfId="9281"/>
    <cellStyle name="Total 8 2 2 2 3" xfId="11869"/>
    <cellStyle name="Total 8 2 2 2 3 2" xfId="23953"/>
    <cellStyle name="Total 8 2 2 2 4" xfId="18840"/>
    <cellStyle name="Total 8 2 2 2_Table 2A-1_EFT (Annual)" xfId="9280"/>
    <cellStyle name="Total 8 2 2 3" xfId="5063"/>
    <cellStyle name="Total 8 2 2 3 2" xfId="13323"/>
    <cellStyle name="Total 8 2 2 3 2 2" xfId="25329"/>
    <cellStyle name="Total 8 2 2 3 3" xfId="20216"/>
    <cellStyle name="Total 8 2 2 3_Table 2A-1_EFT (Annual)" xfId="9282"/>
    <cellStyle name="Total 8 2 2 4" xfId="10667"/>
    <cellStyle name="Total 8 2 2 4 2" xfId="22783"/>
    <cellStyle name="Total 8 2 2 5" xfId="17670"/>
    <cellStyle name="Total 8 2 2_Table 2A-1_EFT (Annual)" xfId="9279"/>
    <cellStyle name="Total 8 2 3" xfId="1035"/>
    <cellStyle name="Total 8 2 3 2" xfId="4596"/>
    <cellStyle name="Total 8 2 3 2 2" xfId="12856"/>
    <cellStyle name="Total 8 2 3 2 2 2" xfId="24862"/>
    <cellStyle name="Total 8 2 3 2 3" xfId="19749"/>
    <cellStyle name="Total 8 2 3 2_Table 2A-1_EFT (Annual)" xfId="9284"/>
    <cellStyle name="Total 8 2 3 3" xfId="10200"/>
    <cellStyle name="Total 8 2 3 3 2" xfId="22316"/>
    <cellStyle name="Total 8 2 3 4" xfId="17203"/>
    <cellStyle name="Total 8 2 3_Table 2A-1_EFT (Annual)" xfId="9283"/>
    <cellStyle name="Total 8 2 4" xfId="2241"/>
    <cellStyle name="Total 8 2 4 2" xfId="5802"/>
    <cellStyle name="Total 8 2 4 2 2" xfId="14017"/>
    <cellStyle name="Total 8 2 4 2 2 2" xfId="26005"/>
    <cellStyle name="Total 8 2 4 2 3" xfId="20892"/>
    <cellStyle name="Total 8 2 4 2_Table 2A-1_EFT (Annual)" xfId="9286"/>
    <cellStyle name="Total 8 2 4 3" xfId="11361"/>
    <cellStyle name="Total 8 2 4 3 2" xfId="23459"/>
    <cellStyle name="Total 8 2 4 4" xfId="18346"/>
    <cellStyle name="Total 8 2 4_Table 2A-1_EFT (Annual)" xfId="9285"/>
    <cellStyle name="Total 8 2 5" xfId="4095"/>
    <cellStyle name="Total 8 2 5 2" xfId="12419"/>
    <cellStyle name="Total 8 2 5 2 2" xfId="24441"/>
    <cellStyle name="Total 8 2 5 3" xfId="19328"/>
    <cellStyle name="Total 8 2 5_Table 2A-1_EFT (Annual)" xfId="9287"/>
    <cellStyle name="Total 8 2 6" xfId="9758"/>
    <cellStyle name="Total 8 2 6 2" xfId="21895"/>
    <cellStyle name="Total 8 2 7" xfId="16782"/>
    <cellStyle name="Total 8 2_Table 2A-1_EFT (Annual)" xfId="3604"/>
    <cellStyle name="Total 8 3" xfId="363"/>
    <cellStyle name="Total 8 3 2" xfId="1346"/>
    <cellStyle name="Total 8 3 2 2" xfId="2616"/>
    <cellStyle name="Total 8 3 2 2 2" xfId="6177"/>
    <cellStyle name="Total 8 3 2 2 2 2" xfId="14371"/>
    <cellStyle name="Total 8 3 2 2 2 2 2" xfId="26343"/>
    <cellStyle name="Total 8 3 2 2 2 3" xfId="21230"/>
    <cellStyle name="Total 8 3 2 2 2_Table 2A-1_EFT (Annual)" xfId="9290"/>
    <cellStyle name="Total 8 3 2 2 3" xfId="11713"/>
    <cellStyle name="Total 8 3 2 2 3 2" xfId="23797"/>
    <cellStyle name="Total 8 3 2 2 4" xfId="18684"/>
    <cellStyle name="Total 8 3 2 2_Table 2A-1_EFT (Annual)" xfId="9289"/>
    <cellStyle name="Total 8 3 2 3" xfId="4907"/>
    <cellStyle name="Total 8 3 2 3 2" xfId="13167"/>
    <cellStyle name="Total 8 3 2 3 2 2" xfId="25173"/>
    <cellStyle name="Total 8 3 2 3 3" xfId="20060"/>
    <cellStyle name="Total 8 3 2 3_Table 2A-1_EFT (Annual)" xfId="9291"/>
    <cellStyle name="Total 8 3 2 4" xfId="10511"/>
    <cellStyle name="Total 8 3 2 4 2" xfId="22627"/>
    <cellStyle name="Total 8 3 2 5" xfId="17514"/>
    <cellStyle name="Total 8 3 2_Table 2A-1_EFT (Annual)" xfId="9288"/>
    <cellStyle name="Total 8 3 3" xfId="903"/>
    <cellStyle name="Total 8 3 3 2" xfId="4464"/>
    <cellStyle name="Total 8 3 3 2 2" xfId="12726"/>
    <cellStyle name="Total 8 3 3 2 2 2" xfId="24736"/>
    <cellStyle name="Total 8 3 3 2 3" xfId="19623"/>
    <cellStyle name="Total 8 3 3 2_Table 2A-1_EFT (Annual)" xfId="9293"/>
    <cellStyle name="Total 8 3 3 3" xfId="10073"/>
    <cellStyle name="Total 8 3 3 3 2" xfId="22190"/>
    <cellStyle name="Total 8 3 3 4" xfId="17077"/>
    <cellStyle name="Total 8 3 3_Table 2A-1_EFT (Annual)" xfId="9292"/>
    <cellStyle name="Total 8 3 4" xfId="2085"/>
    <cellStyle name="Total 8 3 4 2" xfId="5646"/>
    <cellStyle name="Total 8 3 4 2 2" xfId="13861"/>
    <cellStyle name="Total 8 3 4 2 2 2" xfId="25849"/>
    <cellStyle name="Total 8 3 4 2 3" xfId="20736"/>
    <cellStyle name="Total 8 3 4 2_Table 2A-1_EFT (Annual)" xfId="9295"/>
    <cellStyle name="Total 8 3 4 3" xfId="11205"/>
    <cellStyle name="Total 8 3 4 3 2" xfId="23303"/>
    <cellStyle name="Total 8 3 4 4" xfId="18190"/>
    <cellStyle name="Total 8 3 4_Table 2A-1_EFT (Annual)" xfId="9294"/>
    <cellStyle name="Total 8 3 5" xfId="3933"/>
    <cellStyle name="Total 8 3 5 2" xfId="12261"/>
    <cellStyle name="Total 8 3 5 2 2" xfId="24285"/>
    <cellStyle name="Total 8 3 5 3" xfId="19172"/>
    <cellStyle name="Total 8 3 5_Table 2A-1_EFT (Annual)" xfId="9296"/>
    <cellStyle name="Total 8 3 6" xfId="9598"/>
    <cellStyle name="Total 8 3 6 2" xfId="21739"/>
    <cellStyle name="Total 8 3 7" xfId="16626"/>
    <cellStyle name="Total 8 3_Table 2A-1_EFT (Annual)" xfId="3605"/>
    <cellStyle name="Total 8 4" xfId="1180"/>
    <cellStyle name="Total 8 4 2" xfId="2450"/>
    <cellStyle name="Total 8 4 2 2" xfId="6011"/>
    <cellStyle name="Total 8 4 2 2 2" xfId="14205"/>
    <cellStyle name="Total 8 4 2 2 2 2" xfId="26177"/>
    <cellStyle name="Total 8 4 2 2 3" xfId="21064"/>
    <cellStyle name="Total 8 4 2 2_Table 2A-1_EFT (Annual)" xfId="9299"/>
    <cellStyle name="Total 8 4 2 3" xfId="11547"/>
    <cellStyle name="Total 8 4 2 3 2" xfId="23631"/>
    <cellStyle name="Total 8 4 2 4" xfId="18518"/>
    <cellStyle name="Total 8 4 2_Table 2A-1_EFT (Annual)" xfId="9298"/>
    <cellStyle name="Total 8 4 3" xfId="4741"/>
    <cellStyle name="Total 8 4 3 2" xfId="13001"/>
    <cellStyle name="Total 8 4 3 2 2" xfId="25007"/>
    <cellStyle name="Total 8 4 3 3" xfId="19894"/>
    <cellStyle name="Total 8 4 3_Table 2A-1_EFT (Annual)" xfId="9300"/>
    <cellStyle name="Total 8 4 4" xfId="10345"/>
    <cellStyle name="Total 8 4 4 2" xfId="22461"/>
    <cellStyle name="Total 8 4 5" xfId="17348"/>
    <cellStyle name="Total 8 4_Table 2A-1_EFT (Annual)" xfId="9297"/>
    <cellStyle name="Total 8 5" xfId="744"/>
    <cellStyle name="Total 8 5 2" xfId="4305"/>
    <cellStyle name="Total 8 5 2 2" xfId="12585"/>
    <cellStyle name="Total 8 5 2 2 2" xfId="24602"/>
    <cellStyle name="Total 8 5 2 3" xfId="19489"/>
    <cellStyle name="Total 8 5 2_Table 2A-1_EFT (Annual)" xfId="9302"/>
    <cellStyle name="Total 8 5 3" xfId="9933"/>
    <cellStyle name="Total 8 5 3 2" xfId="22056"/>
    <cellStyle name="Total 8 5 4" xfId="16943"/>
    <cellStyle name="Total 8 5_Table 2A-1_EFT (Annual)" xfId="9301"/>
    <cellStyle name="Total 8 6" xfId="1792"/>
    <cellStyle name="Total 8 6 2" xfId="5353"/>
    <cellStyle name="Total 8 6 2 2" xfId="13568"/>
    <cellStyle name="Total 8 6 2 2 2" xfId="25556"/>
    <cellStyle name="Total 8 6 2 3" xfId="20443"/>
    <cellStyle name="Total 8 6 2_Table 2A-1_EFT (Annual)" xfId="9304"/>
    <cellStyle name="Total 8 6 3" xfId="10912"/>
    <cellStyle name="Total 8 6 3 2" xfId="23010"/>
    <cellStyle name="Total 8 6 4" xfId="17897"/>
    <cellStyle name="Total 8 6_Table 2A-1_EFT (Annual)" xfId="9303"/>
    <cellStyle name="Total 8 7" xfId="3721"/>
    <cellStyle name="Total 8 7 2" xfId="12089"/>
    <cellStyle name="Total 8 7 2 2" xfId="24119"/>
    <cellStyle name="Total 8 7 3" xfId="19006"/>
    <cellStyle name="Total 8 7_Table 2A-1_EFT (Annual)" xfId="9305"/>
    <cellStyle name="Total 8 8" xfId="9408"/>
    <cellStyle name="Total 8 8 2" xfId="21573"/>
    <cellStyle name="Total 8 9" xfId="16460"/>
    <cellStyle name="Total 8_Table 2A-1_EFT (Annual)" xfId="3603"/>
    <cellStyle name="Total 9" xfId="121"/>
    <cellStyle name="Total 9 2" xfId="514"/>
    <cellStyle name="Total 9 2 2" xfId="1491"/>
    <cellStyle name="Total 9 2 2 2" xfId="2761"/>
    <cellStyle name="Total 9 2 2 2 2" xfId="6322"/>
    <cellStyle name="Total 9 2 2 2 2 2" xfId="14516"/>
    <cellStyle name="Total 9 2 2 2 2 2 2" xfId="26488"/>
    <cellStyle name="Total 9 2 2 2 2 3" xfId="21375"/>
    <cellStyle name="Total 9 2 2 2 2_Table 2A-1_EFT (Annual)" xfId="9308"/>
    <cellStyle name="Total 9 2 2 2 3" xfId="11858"/>
    <cellStyle name="Total 9 2 2 2 3 2" xfId="23942"/>
    <cellStyle name="Total 9 2 2 2 4" xfId="18829"/>
    <cellStyle name="Total 9 2 2 2_Table 2A-1_EFT (Annual)" xfId="9307"/>
    <cellStyle name="Total 9 2 2 3" xfId="5052"/>
    <cellStyle name="Total 9 2 2 3 2" xfId="13312"/>
    <cellStyle name="Total 9 2 2 3 2 2" xfId="25318"/>
    <cellStyle name="Total 9 2 2 3 3" xfId="20205"/>
    <cellStyle name="Total 9 2 2 3_Table 2A-1_EFT (Annual)" xfId="9309"/>
    <cellStyle name="Total 9 2 2 4" xfId="10656"/>
    <cellStyle name="Total 9 2 2 4 2" xfId="22772"/>
    <cellStyle name="Total 9 2 2 5" xfId="17659"/>
    <cellStyle name="Total 9 2 2_Table 2A-1_EFT (Annual)" xfId="9306"/>
    <cellStyle name="Total 9 2 3" xfId="1025"/>
    <cellStyle name="Total 9 2 3 2" xfId="4586"/>
    <cellStyle name="Total 9 2 3 2 2" xfId="12846"/>
    <cellStyle name="Total 9 2 3 2 2 2" xfId="24852"/>
    <cellStyle name="Total 9 2 3 2 3" xfId="19739"/>
    <cellStyle name="Total 9 2 3 2_Table 2A-1_EFT (Annual)" xfId="9311"/>
    <cellStyle name="Total 9 2 3 3" xfId="10190"/>
    <cellStyle name="Total 9 2 3 3 2" xfId="22306"/>
    <cellStyle name="Total 9 2 3 4" xfId="17193"/>
    <cellStyle name="Total 9 2 3_Table 2A-1_EFT (Annual)" xfId="9310"/>
    <cellStyle name="Total 9 2 4" xfId="2230"/>
    <cellStyle name="Total 9 2 4 2" xfId="5791"/>
    <cellStyle name="Total 9 2 4 2 2" xfId="14006"/>
    <cellStyle name="Total 9 2 4 2 2 2" xfId="25994"/>
    <cellStyle name="Total 9 2 4 2 3" xfId="20881"/>
    <cellStyle name="Total 9 2 4 2_Table 2A-1_EFT (Annual)" xfId="9313"/>
    <cellStyle name="Total 9 2 4 3" xfId="11350"/>
    <cellStyle name="Total 9 2 4 3 2" xfId="23448"/>
    <cellStyle name="Total 9 2 4 4" xfId="18335"/>
    <cellStyle name="Total 9 2 4_Table 2A-1_EFT (Annual)" xfId="9312"/>
    <cellStyle name="Total 9 2 5" xfId="4084"/>
    <cellStyle name="Total 9 2 5 2" xfId="12408"/>
    <cellStyle name="Total 9 2 5 2 2" xfId="24430"/>
    <cellStyle name="Total 9 2 5 3" xfId="19317"/>
    <cellStyle name="Total 9 2 5_Table 2A-1_EFT (Annual)" xfId="9314"/>
    <cellStyle name="Total 9 2 6" xfId="9747"/>
    <cellStyle name="Total 9 2 6 2" xfId="21884"/>
    <cellStyle name="Total 9 2 7" xfId="16771"/>
    <cellStyle name="Total 9 2_Table 2A-1_EFT (Annual)" xfId="3607"/>
    <cellStyle name="Total 9 3" xfId="352"/>
    <cellStyle name="Total 9 3 2" xfId="1335"/>
    <cellStyle name="Total 9 3 2 2" xfId="2605"/>
    <cellStyle name="Total 9 3 2 2 2" xfId="6166"/>
    <cellStyle name="Total 9 3 2 2 2 2" xfId="14360"/>
    <cellStyle name="Total 9 3 2 2 2 2 2" xfId="26332"/>
    <cellStyle name="Total 9 3 2 2 2 3" xfId="21219"/>
    <cellStyle name="Total 9 3 2 2 2_Table 2A-1_EFT (Annual)" xfId="9317"/>
    <cellStyle name="Total 9 3 2 2 3" xfId="11702"/>
    <cellStyle name="Total 9 3 2 2 3 2" xfId="23786"/>
    <cellStyle name="Total 9 3 2 2 4" xfId="18673"/>
    <cellStyle name="Total 9 3 2 2_Table 2A-1_EFT (Annual)" xfId="9316"/>
    <cellStyle name="Total 9 3 2 3" xfId="4896"/>
    <cellStyle name="Total 9 3 2 3 2" xfId="13156"/>
    <cellStyle name="Total 9 3 2 3 2 2" xfId="25162"/>
    <cellStyle name="Total 9 3 2 3 3" xfId="20049"/>
    <cellStyle name="Total 9 3 2 3_Table 2A-1_EFT (Annual)" xfId="9318"/>
    <cellStyle name="Total 9 3 2 4" xfId="10500"/>
    <cellStyle name="Total 9 3 2 4 2" xfId="22616"/>
    <cellStyle name="Total 9 3 2 5" xfId="17503"/>
    <cellStyle name="Total 9 3 2_Table 2A-1_EFT (Annual)" xfId="9315"/>
    <cellStyle name="Total 9 3 3" xfId="893"/>
    <cellStyle name="Total 9 3 3 2" xfId="4454"/>
    <cellStyle name="Total 9 3 3 2 2" xfId="12716"/>
    <cellStyle name="Total 9 3 3 2 2 2" xfId="24726"/>
    <cellStyle name="Total 9 3 3 2 3" xfId="19613"/>
    <cellStyle name="Total 9 3 3 2_Table 2A-1_EFT (Annual)" xfId="9320"/>
    <cellStyle name="Total 9 3 3 3" xfId="10063"/>
    <cellStyle name="Total 9 3 3 3 2" xfId="22180"/>
    <cellStyle name="Total 9 3 3 4" xfId="17067"/>
    <cellStyle name="Total 9 3 3_Table 2A-1_EFT (Annual)" xfId="9319"/>
    <cellStyle name="Total 9 3 4" xfId="2074"/>
    <cellStyle name="Total 9 3 4 2" xfId="5635"/>
    <cellStyle name="Total 9 3 4 2 2" xfId="13850"/>
    <cellStyle name="Total 9 3 4 2 2 2" xfId="25838"/>
    <cellStyle name="Total 9 3 4 2 3" xfId="20725"/>
    <cellStyle name="Total 9 3 4 2_Table 2A-1_EFT (Annual)" xfId="9322"/>
    <cellStyle name="Total 9 3 4 3" xfId="11194"/>
    <cellStyle name="Total 9 3 4 3 2" xfId="23292"/>
    <cellStyle name="Total 9 3 4 4" xfId="18179"/>
    <cellStyle name="Total 9 3 4_Table 2A-1_EFT (Annual)" xfId="9321"/>
    <cellStyle name="Total 9 3 5" xfId="3922"/>
    <cellStyle name="Total 9 3 5 2" xfId="12250"/>
    <cellStyle name="Total 9 3 5 2 2" xfId="24274"/>
    <cellStyle name="Total 9 3 5 3" xfId="19161"/>
    <cellStyle name="Total 9 3 5_Table 2A-1_EFT (Annual)" xfId="9323"/>
    <cellStyle name="Total 9 3 6" xfId="9587"/>
    <cellStyle name="Total 9 3 6 2" xfId="21728"/>
    <cellStyle name="Total 9 3 7" xfId="16615"/>
    <cellStyle name="Total 9 3_Table 2A-1_EFT (Annual)" xfId="3608"/>
    <cellStyle name="Total 9 4" xfId="1169"/>
    <cellStyle name="Total 9 4 2" xfId="2439"/>
    <cellStyle name="Total 9 4 2 2" xfId="6000"/>
    <cellStyle name="Total 9 4 2 2 2" xfId="14194"/>
    <cellStyle name="Total 9 4 2 2 2 2" xfId="26166"/>
    <cellStyle name="Total 9 4 2 2 3" xfId="21053"/>
    <cellStyle name="Total 9 4 2 2_Table 2A-1_EFT (Annual)" xfId="9326"/>
    <cellStyle name="Total 9 4 2 3" xfId="11536"/>
    <cellStyle name="Total 9 4 2 3 2" xfId="23620"/>
    <cellStyle name="Total 9 4 2 4" xfId="18507"/>
    <cellStyle name="Total 9 4 2_Table 2A-1_EFT (Annual)" xfId="9325"/>
    <cellStyle name="Total 9 4 3" xfId="4730"/>
    <cellStyle name="Total 9 4 3 2" xfId="12990"/>
    <cellStyle name="Total 9 4 3 2 2" xfId="24996"/>
    <cellStyle name="Total 9 4 3 3" xfId="19883"/>
    <cellStyle name="Total 9 4 3_Table 2A-1_EFT (Annual)" xfId="9327"/>
    <cellStyle name="Total 9 4 4" xfId="10334"/>
    <cellStyle name="Total 9 4 4 2" xfId="22450"/>
    <cellStyle name="Total 9 4 5" xfId="17337"/>
    <cellStyle name="Total 9 4_Table 2A-1_EFT (Annual)" xfId="9324"/>
    <cellStyle name="Total 9 5" xfId="734"/>
    <cellStyle name="Total 9 5 2" xfId="4295"/>
    <cellStyle name="Total 9 5 2 2" xfId="12575"/>
    <cellStyle name="Total 9 5 2 2 2" xfId="24592"/>
    <cellStyle name="Total 9 5 2 3" xfId="19479"/>
    <cellStyle name="Total 9 5 2_Table 2A-1_EFT (Annual)" xfId="9329"/>
    <cellStyle name="Total 9 5 3" xfId="9923"/>
    <cellStyle name="Total 9 5 3 2" xfId="22046"/>
    <cellStyle name="Total 9 5 4" xfId="16933"/>
    <cellStyle name="Total 9 5_Table 2A-1_EFT (Annual)" xfId="9328"/>
    <cellStyle name="Total 9 6" xfId="1865"/>
    <cellStyle name="Total 9 6 2" xfId="5426"/>
    <cellStyle name="Total 9 6 2 2" xfId="13641"/>
    <cellStyle name="Total 9 6 2 2 2" xfId="25629"/>
    <cellStyle name="Total 9 6 2 3" xfId="20516"/>
    <cellStyle name="Total 9 6 2_Table 2A-1_EFT (Annual)" xfId="9331"/>
    <cellStyle name="Total 9 6 3" xfId="10985"/>
    <cellStyle name="Total 9 6 3 2" xfId="23083"/>
    <cellStyle name="Total 9 6 4" xfId="17970"/>
    <cellStyle name="Total 9 6_Table 2A-1_EFT (Annual)" xfId="9330"/>
    <cellStyle name="Total 9 7" xfId="3710"/>
    <cellStyle name="Total 9 7 2" xfId="12078"/>
    <cellStyle name="Total 9 7 2 2" xfId="24108"/>
    <cellStyle name="Total 9 7 3" xfId="18995"/>
    <cellStyle name="Total 9 7_Table 2A-1_EFT (Annual)" xfId="9332"/>
    <cellStyle name="Total 9 8" xfId="9397"/>
    <cellStyle name="Total 9 8 2" xfId="21562"/>
    <cellStyle name="Total 9 9" xfId="16449"/>
    <cellStyle name="Total 9_Table 2A-1_EFT (Annual)" xfId="3606"/>
    <cellStyle name="Warning Text" xfId="52" builtinId="11" customBuiltin="1"/>
    <cellStyle name="Warning Text 2" xfId="298"/>
    <cellStyle name="Warning Text 3" xfId="702"/>
    <cellStyle name="Warning Text 4" xfId="16016"/>
  </cellStyles>
  <dxfs count="0"/>
  <tableStyles count="0" defaultTableStyle="TableStyleMedium9" defaultPivotStyle="PivotStyleLight16"/>
  <colors>
    <mruColors>
      <color rgb="FFCCFFCC"/>
      <color rgb="FFFFFF99"/>
      <color rgb="FFFFFFCC"/>
      <color rgb="FFFF99CC"/>
      <color rgb="FF000066"/>
      <color rgb="FFB7DEE8"/>
      <color rgb="FF9999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35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3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39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Relationship Id="rId34" Type="http://schemas.openxmlformats.org/officeDocument/2006/relationships/externalLink" Target="externalLinks/externalLink3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Prior%20Year%20Adjusted%20Budget%20Letter/FY2012-13%20Adjusted%20BL_CAFR,%20Base%20and%20October%20midyear/Summary%20of%20Audit%20Adjustments%20for%2013-14%20MFP_state%20and%20loc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1-2012/Budget%20Letters/July/FY2011-12%20MFP%20Budget%20Letter_July%202011_email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2-2013/Budget%20Letters/July%202012/FY2012-13%20MFP%20Budget%20Letter_July%202012%20-%20Fina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MFP_Funded_Membership_Feb_1_2013_Other_Funded_Membership_by_School_Location_or_Student_Residenc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S01\doe\mf\EFS\MFPAdm\MFP%20Budget%20Letter\2009-2010\Final%20Budget%20Letter\July%202009\FY2009-10%20MFP%20BUDGET%20LETTER_JULY%202009_Revised%20RSD%20&amp;%20OPSB%20&amp;%20EB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EDFIN_AC/Charters/2013-14/Per%20Pupil%20Calculations/Final%20Charter%20Per%20Pupil%20Amount/FY2013-14%20Final%20Charter%20Per%20Pupil%20Amounts_March%20201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Prior%20Year%20Adjusted%20Budget%20Letter/FY2012-13%20Adjusted%20BL_CAFR,%20Base%20and%20October%20midyear/Revised_Summary%20of%20Audit%20Adjs%20for%2013-14%20MFP_state%20and%20local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RSD%20Allocations%20and%20Differentiated%20Funding/July%202013/July%202013_RSD%20Orleans%20Allocation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RSD%20Allocations%20and%20Differentiated%20Funding/August%202013_Forward%20Funding/August%202013_RSD%20Orleans%20Allocation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RSD%20Allocations%20and%20Differentiated%20Funding/September%202013_Forward%20Funding/September%202013_RSD%20Orleans%20Allocation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RSD%20Allocations%20and%20Differentiated%20Funding/December%202013_Significant%20Decreases/December%202013_RSD%20Orleans%20Allocat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Prior%20Year%20Adjusted%20Budget%20Letter/FY2012-13%20Adjusted%20BL_CAFR,%20Base%20and%20October%20midyear/Revised_Summary%20of%20Audit%20Adjs%20for%2013-14%20MFP_state%20and%20local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RSD%20Allocations%20and%20Differentiated%20Funding/January%202014_Decrease%20RSD%20Operated%20again/January%202014_RSD%20Orleans%20Allocation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RSD%20Allocations%20and%20Differentiated%20Funding/February_Forward%20Funding_Crescent%20Leadership%20Academy/February%202014_RSD%20Orleans%20Allocation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Task%20Force/2013-2014/SIMULATIONS/To%20BESE%20March%202014/MFP%20Based%20on%20projected%202-1-14%20counts/PROJECTED%20FY2014-15%20MFP%20BUDGET%20LETTER_to%20BESE_FINAL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RSD_NO_by_Site_Feb_1_2013_MFP_Membership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KIPP_398_by_Site_and_Grade_Feb_1_2013_MFP_Membership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RSD_396_by_Site_Feb_1_2013_MFP_Membership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September%202013_Forward%20Funding+Decrease%20RSD/FY2013-14%20MFP%20Budget%20Letter-%20September%20201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August%202013_FATs%20and%20Forward%20Funding/FY2013-14%20MFP%20Budget%20Letter-%20August%20201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September%202013_Forward%20Funding+Decrease%20RSD/FY2013-14%20MFP%20-%20RSD%20LA%20-%20September%20201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December%202013_Significant%20Decreases/Estimate%20for%20RSD%20LA%20for%20Decemb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Mid-Year%20Adjustments_October%20and%20February/FY2013-14%20Midyear%20Adjustments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January%202014_more%20Decreases/RSD%20LA_January%20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February%202014/FY2013-14%20MFP%20BUDGET%20LETTER-%20February%20201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Prior%20Year%20Adjusted%20Budget%20Letter/FY2012-13%20Adjusted%20BL_CAFR,%20Base%20and%20October%20midyear/Revised%2012-13%20OCTOBER%20MIDYEAR%20Adjustments%20-%20May%202013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Studies/BESE%202012-13_FY%202013-14%20MFP/Budget%20Letter%20Simulations_including%20PDFs%20to%20Districts/FY2013-14%20MFP%20Budget%20Letter%20Simulation_July%202012%20with%2011-12%20prelim%20revenues_updated%20T7%20and%20est%202.1%20count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Prior%20Year%20Adjusted%20Budget%20Letter/FY2012-13%20Adjusted%20BL_CAFR,%20Base%20and%20October%20midyear/Revised%20FY2012-13%20MFP%20-%20May%202013_CAFR%20Adj%20and%20Base%20Counts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Prior%20Year%20Adjusted%20Budget%20Letter/FY2011-12%20Adjusted%20BL_February%20midyear%20only/February%202012%20Midyear%20Adjustment_FY2011-12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December%202013_Significant%20Decreases/FY2013-14%20MFP%20BUDGET%20LETTER-%20December%20201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Mid-Year%20Adjustments_October%20and%20February/FY2013-14%20Midyear%20Adjustments_April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Student%20Data/OJJ/FINAL%2012-13%20ADM%20for%20OJJ_Summary%20only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\EFS\MFPAdm\MFP%20Budget%20Letter\2012-2013_being%20developed\Prior%20Year%20Adjusted%20Budget%20Letters\FY2011-12%20Adjusted%20BL_CAFR,%20Base%20and%20October%20midyear\October%20Midyear%20Adjustment_FY2011-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July%202013/FY2013-14%20MFP%20Budget%20Letter-%20July%202013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SSEEP_%20Feb%202013%20Multi-Stats_5_9_MFP%20Funded%20and%20At-Risk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/Budget%20Letter/January%202014_more%20Decreases/FY2013-14%20MFP%20BUDGET%20LETTER-%20January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IS/February%202013/February%202013/MFP_At_Risk_Funded_Membership_Feb_1_2013_Other_Funded_At_Risk_by%20Residenc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CTE%20Data/MS5627_CTE%20Report_MFP%20Layou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ER%20DATA/SER%20DATA%20-%20Old%20Policy%20format/MS5626_V116_SERSwdAndGT_MFP%20Format_04-04-13%20(with%20babies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mf/EFS/MFPAdm/MFP%20Budget%20Letter/2013-2014_tax%20and%20student%20data/Student%20Data/SER%20DATA/SER%20DATA%20-%20Old%20Policy%20format/MS5639_V124_SER%20GT%20by%20grade_MFP%20For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>
        <row r="7">
          <cell r="C7">
            <v>0</v>
          </cell>
        </row>
        <row r="8">
          <cell r="C8">
            <v>10338.090149683587</v>
          </cell>
        </row>
        <row r="9">
          <cell r="C9">
            <v>0</v>
          </cell>
        </row>
        <row r="10">
          <cell r="C10">
            <v>0</v>
          </cell>
        </row>
        <row r="11">
          <cell r="C11">
            <v>-2718.3215289424334</v>
          </cell>
        </row>
        <row r="12">
          <cell r="C12">
            <v>-3090.6922071054432</v>
          </cell>
        </row>
        <row r="13">
          <cell r="C13">
            <v>-1148.4454043616533</v>
          </cell>
        </row>
        <row r="14">
          <cell r="C14">
            <v>0</v>
          </cell>
        </row>
        <row r="15">
          <cell r="C15">
            <v>-15389.013847659691</v>
          </cell>
        </row>
        <row r="16">
          <cell r="C16">
            <v>-41821.566594872507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3362.7373720844844</v>
          </cell>
        </row>
        <row r="20">
          <cell r="C20">
            <v>-3279.4790639259299</v>
          </cell>
        </row>
        <row r="21">
          <cell r="C21">
            <v>0</v>
          </cell>
        </row>
        <row r="22">
          <cell r="C22">
            <v>3299.8885375240538</v>
          </cell>
        </row>
        <row r="23">
          <cell r="C23">
            <v>-120014.25804068119</v>
          </cell>
        </row>
        <row r="24">
          <cell r="C24">
            <v>9922.943186610486</v>
          </cell>
        </row>
        <row r="25">
          <cell r="C25">
            <v>3054.7964737814182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-2758.9448518506833</v>
          </cell>
        </row>
        <row r="30">
          <cell r="C30">
            <v>0</v>
          </cell>
        </row>
        <row r="31">
          <cell r="C31">
            <v>0</v>
          </cell>
        </row>
        <row r="32">
          <cell r="C32">
            <v>-11961.53370293905</v>
          </cell>
        </row>
        <row r="33">
          <cell r="C33">
            <v>0</v>
          </cell>
        </row>
        <row r="34">
          <cell r="C34">
            <v>83265.783342431183</v>
          </cell>
        </row>
        <row r="35">
          <cell r="C35">
            <v>0</v>
          </cell>
        </row>
        <row r="36">
          <cell r="C36">
            <v>0</v>
          </cell>
        </row>
        <row r="37">
          <cell r="C37">
            <v>2426.8569762554553</v>
          </cell>
        </row>
        <row r="38">
          <cell r="C38">
            <v>0</v>
          </cell>
        </row>
        <row r="39">
          <cell r="C39">
            <v>-22324.016662026203</v>
          </cell>
        </row>
        <row r="40">
          <cell r="C40">
            <v>-3204.4489837342553</v>
          </cell>
        </row>
        <row r="41">
          <cell r="C41">
            <v>-2751.2730480111859</v>
          </cell>
        </row>
        <row r="42">
          <cell r="C42">
            <v>1989.6294367055889</v>
          </cell>
        </row>
        <row r="43">
          <cell r="C43">
            <v>6125.6994180640613</v>
          </cell>
        </row>
        <row r="44">
          <cell r="C44">
            <v>4839.7174128218885</v>
          </cell>
        </row>
        <row r="45">
          <cell r="C45">
            <v>0</v>
          </cell>
        </row>
        <row r="46">
          <cell r="C46">
            <v>-49491.345815212408</v>
          </cell>
        </row>
        <row r="47">
          <cell r="C47">
            <v>0</v>
          </cell>
        </row>
        <row r="48">
          <cell r="C48">
            <v>-6035.3656550306769</v>
          </cell>
        </row>
        <row r="49">
          <cell r="C49">
            <v>0</v>
          </cell>
        </row>
        <row r="50">
          <cell r="C50">
            <v>0</v>
          </cell>
        </row>
        <row r="51">
          <cell r="C51">
            <v>0</v>
          </cell>
        </row>
        <row r="52">
          <cell r="C52">
            <v>-6530.1710099800548</v>
          </cell>
        </row>
        <row r="53">
          <cell r="C53">
            <v>0</v>
          </cell>
        </row>
        <row r="54">
          <cell r="C54">
            <v>0</v>
          </cell>
        </row>
        <row r="55">
          <cell r="C55">
            <v>-2722.1213310343373</v>
          </cell>
        </row>
        <row r="56">
          <cell r="C56">
            <v>8551.242432594765</v>
          </cell>
        </row>
        <row r="57">
          <cell r="C57">
            <v>-23603.564440792776</v>
          </cell>
        </row>
        <row r="58">
          <cell r="C58">
            <v>-33867.362356248894</v>
          </cell>
        </row>
        <row r="59">
          <cell r="C59">
            <v>2717.5270563218037</v>
          </cell>
        </row>
        <row r="60">
          <cell r="C60">
            <v>0</v>
          </cell>
        </row>
        <row r="61">
          <cell r="C61">
            <v>0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-2753.9485829962941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-3224.822370386988</v>
          </cell>
        </row>
        <row r="71">
          <cell r="C71">
            <v>10676.329014573741</v>
          </cell>
        </row>
        <row r="72">
          <cell r="C72">
            <v>0</v>
          </cell>
        </row>
        <row r="73">
          <cell r="C73">
            <v>0</v>
          </cell>
        </row>
        <row r="74">
          <cell r="C74">
            <v>-3327.7966920532344</v>
          </cell>
        </row>
        <row r="75">
          <cell r="C75">
            <v>0</v>
          </cell>
        </row>
        <row r="126">
          <cell r="C126">
            <v>3987.1779009796828</v>
          </cell>
          <cell r="H126">
            <v>0</v>
          </cell>
          <cell r="K126">
            <v>4648</v>
          </cell>
          <cell r="P126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State Summary"/>
      <sheetName val="Table 2 Distributions &amp; Adjust"/>
      <sheetName val="Table 2A EFTs"/>
      <sheetName val="Table 3 Levels 1&amp;2"/>
      <sheetName val="Table 4 Level 3"/>
      <sheetName val="Table 4A Stipends"/>
      <sheetName val="Table 5A1 Labs NOCCA LSMSA"/>
      <sheetName val="Table 5B1_RSD_Orleans"/>
      <sheetName val="Table 5B2_RSD_LA"/>
      <sheetName val="Table 5C1 - Type 2s"/>
      <sheetName val="Table 5C2 - LA Virtual Admy"/>
      <sheetName val="Table 5C3 - LA Connections EBR"/>
      <sheetName val="Table 5D - Legacy Type 2"/>
      <sheetName val="Table 5E_OJJ"/>
      <sheetName val="Table 6 (Local Deduct Calc.)"/>
      <sheetName val="Table 7 Local Revenue"/>
      <sheetName val="Table 8   2-1-10 Membership"/>
    </sheetNames>
    <sheetDataSet>
      <sheetData sheetId="0"/>
      <sheetData sheetId="1"/>
      <sheetData sheetId="2"/>
      <sheetData sheetId="3"/>
      <sheetData sheetId="4">
        <row r="6">
          <cell r="F6">
            <v>0</v>
          </cell>
          <cell r="H6">
            <v>0</v>
          </cell>
        </row>
      </sheetData>
      <sheetData sheetId="5"/>
      <sheetData sheetId="6">
        <row r="18">
          <cell r="B18">
            <v>321</v>
          </cell>
        </row>
      </sheetData>
      <sheetData sheetId="7"/>
      <sheetData sheetId="8"/>
      <sheetData sheetId="9">
        <row r="60">
          <cell r="B60">
            <v>75</v>
          </cell>
        </row>
      </sheetData>
      <sheetData sheetId="10">
        <row r="77">
          <cell r="C77">
            <v>1100</v>
          </cell>
        </row>
      </sheetData>
      <sheetData sheetId="11">
        <row r="77">
          <cell r="C77">
            <v>600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3A-CityParish LEA "/>
      <sheetName val="Table 4 Level 3"/>
      <sheetName val="Table 4A Stipends"/>
      <sheetName val="Table 4B Rewards"/>
      <sheetName val="Table 5A1 Labs "/>
      <sheetName val="Table 5A2 LSMSA"/>
      <sheetName val="Table 5A3 NOCCA"/>
      <sheetName val="Table 5A4_LSDVI"/>
      <sheetName val="Table 5A5_SSD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2 - LA Virtual Admy"/>
      <sheetName val="Table 5C3 - LA Connections EBR"/>
      <sheetName val="Table 5D1 - New Vision"/>
      <sheetName val="Table 5D2 - Glencoe"/>
      <sheetName val="Table 5D3 - International"/>
      <sheetName val="Table 5D4 - Avoyelles"/>
      <sheetName val="Table 5D5 - Delhi"/>
      <sheetName val="Table 5D6 - Milestone"/>
      <sheetName val="Table 5D7 - Max"/>
      <sheetName val="Table 5D8 - Belle Chasse"/>
      <sheetName val="Table 5E_OJJ"/>
      <sheetName val="Table 5F Scholarships"/>
      <sheetName val="Table 6 (Local Deduct Calc.)"/>
      <sheetName val="Table 7 Local Revenue"/>
      <sheetName val="Table 8 2.1.12 MFP Funded"/>
      <sheetName val="2-1-12 MFP Funded by site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C8">
            <v>9351</v>
          </cell>
        </row>
      </sheetData>
      <sheetData sheetId="7"/>
      <sheetData sheetId="8">
        <row r="7">
          <cell r="F7">
            <v>0</v>
          </cell>
          <cell r="H7">
            <v>0</v>
          </cell>
        </row>
        <row r="8">
          <cell r="F8">
            <v>0</v>
          </cell>
          <cell r="H8">
            <v>0</v>
          </cell>
        </row>
        <row r="9">
          <cell r="F9">
            <v>0</v>
          </cell>
          <cell r="H9">
            <v>0</v>
          </cell>
        </row>
        <row r="10">
          <cell r="F10">
            <v>0</v>
          </cell>
          <cell r="H10">
            <v>0</v>
          </cell>
        </row>
        <row r="11">
          <cell r="F11">
            <v>0</v>
          </cell>
          <cell r="H11">
            <v>0</v>
          </cell>
        </row>
        <row r="12">
          <cell r="F12">
            <v>0</v>
          </cell>
          <cell r="H12">
            <v>0</v>
          </cell>
        </row>
        <row r="13">
          <cell r="F13">
            <v>0</v>
          </cell>
          <cell r="H13">
            <v>0</v>
          </cell>
        </row>
        <row r="14">
          <cell r="F14">
            <v>0</v>
          </cell>
          <cell r="H14">
            <v>0</v>
          </cell>
        </row>
        <row r="15">
          <cell r="F15">
            <v>0</v>
          </cell>
          <cell r="H15">
            <v>0</v>
          </cell>
        </row>
        <row r="16">
          <cell r="F16">
            <v>0</v>
          </cell>
          <cell r="H16">
            <v>0</v>
          </cell>
        </row>
        <row r="17">
          <cell r="F17">
            <v>0</v>
          </cell>
          <cell r="H17">
            <v>0</v>
          </cell>
        </row>
        <row r="18">
          <cell r="F18">
            <v>0</v>
          </cell>
          <cell r="H18">
            <v>0</v>
          </cell>
        </row>
        <row r="19">
          <cell r="F19">
            <v>0</v>
          </cell>
          <cell r="H19">
            <v>0</v>
          </cell>
        </row>
        <row r="20">
          <cell r="F20">
            <v>-112210</v>
          </cell>
          <cell r="H20">
            <v>-22442</v>
          </cell>
        </row>
        <row r="21">
          <cell r="F21">
            <v>0</v>
          </cell>
          <cell r="H21">
            <v>0</v>
          </cell>
        </row>
        <row r="22">
          <cell r="F22">
            <v>-6007410</v>
          </cell>
          <cell r="H22">
            <v>-1201482</v>
          </cell>
        </row>
        <row r="23">
          <cell r="F23">
            <v>0</v>
          </cell>
          <cell r="H23">
            <v>0</v>
          </cell>
        </row>
        <row r="24">
          <cell r="F24">
            <v>0</v>
          </cell>
          <cell r="H24">
            <v>0</v>
          </cell>
        </row>
        <row r="25">
          <cell r="F25">
            <v>-87810</v>
          </cell>
          <cell r="H25">
            <v>-17562</v>
          </cell>
        </row>
        <row r="26">
          <cell r="F26">
            <v>0</v>
          </cell>
          <cell r="H26">
            <v>0</v>
          </cell>
        </row>
        <row r="27">
          <cell r="F27">
            <v>0</v>
          </cell>
          <cell r="H27">
            <v>0</v>
          </cell>
        </row>
        <row r="28">
          <cell r="F28">
            <v>0</v>
          </cell>
          <cell r="H28">
            <v>0</v>
          </cell>
        </row>
        <row r="29">
          <cell r="F29">
            <v>-383602</v>
          </cell>
          <cell r="H29">
            <v>-76720</v>
          </cell>
        </row>
        <row r="30">
          <cell r="F30">
            <v>0</v>
          </cell>
          <cell r="H30">
            <v>0</v>
          </cell>
        </row>
        <row r="31">
          <cell r="F31">
            <v>-4244622</v>
          </cell>
          <cell r="H31">
            <v>-848924</v>
          </cell>
        </row>
        <row r="32">
          <cell r="F32">
            <v>0</v>
          </cell>
          <cell r="H32">
            <v>0</v>
          </cell>
        </row>
        <row r="33">
          <cell r="F33">
            <v>0</v>
          </cell>
          <cell r="H33">
            <v>0</v>
          </cell>
        </row>
        <row r="34">
          <cell r="F34">
            <v>0</v>
          </cell>
          <cell r="H34">
            <v>0</v>
          </cell>
        </row>
        <row r="35">
          <cell r="F35">
            <v>0</v>
          </cell>
          <cell r="H35">
            <v>0</v>
          </cell>
        </row>
        <row r="36">
          <cell r="F36">
            <v>0</v>
          </cell>
          <cell r="H36">
            <v>0</v>
          </cell>
        </row>
        <row r="37">
          <cell r="F37">
            <v>0</v>
          </cell>
          <cell r="H37">
            <v>0</v>
          </cell>
        </row>
        <row r="38">
          <cell r="F38">
            <v>0</v>
          </cell>
          <cell r="H38">
            <v>0</v>
          </cell>
        </row>
        <row r="39">
          <cell r="F39">
            <v>0</v>
          </cell>
          <cell r="H39">
            <v>0</v>
          </cell>
        </row>
        <row r="40">
          <cell r="F40">
            <v>0</v>
          </cell>
          <cell r="H40">
            <v>0</v>
          </cell>
        </row>
        <row r="41">
          <cell r="F41">
            <v>0</v>
          </cell>
          <cell r="H41">
            <v>0</v>
          </cell>
        </row>
        <row r="42">
          <cell r="F42">
            <v>0</v>
          </cell>
          <cell r="H42">
            <v>0</v>
          </cell>
        </row>
        <row r="43">
          <cell r="F43">
            <v>-2064840</v>
          </cell>
          <cell r="H43">
            <v>-412968</v>
          </cell>
        </row>
        <row r="44">
          <cell r="F44">
            <v>0</v>
          </cell>
          <cell r="H44">
            <v>0</v>
          </cell>
        </row>
        <row r="45">
          <cell r="F45">
            <v>0</v>
          </cell>
          <cell r="H45">
            <v>0</v>
          </cell>
        </row>
        <row r="46">
          <cell r="F46">
            <v>0</v>
          </cell>
          <cell r="H46">
            <v>0</v>
          </cell>
        </row>
        <row r="47">
          <cell r="F47">
            <v>0</v>
          </cell>
          <cell r="H47">
            <v>0</v>
          </cell>
        </row>
        <row r="48">
          <cell r="F48">
            <v>0</v>
          </cell>
          <cell r="H48">
            <v>0</v>
          </cell>
        </row>
        <row r="49">
          <cell r="F49">
            <v>0</v>
          </cell>
          <cell r="H49">
            <v>0</v>
          </cell>
        </row>
        <row r="50">
          <cell r="F50">
            <v>-3947911</v>
          </cell>
          <cell r="H50">
            <v>-537733</v>
          </cell>
        </row>
        <row r="51">
          <cell r="F51">
            <v>0</v>
          </cell>
          <cell r="H51">
            <v>0</v>
          </cell>
        </row>
        <row r="52">
          <cell r="F52">
            <v>-395225</v>
          </cell>
          <cell r="H52">
            <v>-79045</v>
          </cell>
        </row>
        <row r="53">
          <cell r="F53">
            <v>0</v>
          </cell>
          <cell r="H53">
            <v>0</v>
          </cell>
        </row>
        <row r="54">
          <cell r="F54">
            <v>0</v>
          </cell>
          <cell r="H54">
            <v>0</v>
          </cell>
        </row>
        <row r="55">
          <cell r="F55">
            <v>0</v>
          </cell>
          <cell r="H55">
            <v>0</v>
          </cell>
        </row>
        <row r="56">
          <cell r="F56">
            <v>0</v>
          </cell>
          <cell r="H56">
            <v>0</v>
          </cell>
        </row>
        <row r="57">
          <cell r="F57">
            <v>0</v>
          </cell>
          <cell r="H57">
            <v>0</v>
          </cell>
        </row>
        <row r="58">
          <cell r="F58">
            <v>0</v>
          </cell>
          <cell r="H58">
            <v>0</v>
          </cell>
        </row>
        <row r="59">
          <cell r="F59">
            <v>0</v>
          </cell>
          <cell r="H59">
            <v>0</v>
          </cell>
        </row>
        <row r="60">
          <cell r="F60">
            <v>0</v>
          </cell>
          <cell r="H60">
            <v>0</v>
          </cell>
        </row>
        <row r="61">
          <cell r="F61">
            <v>0</v>
          </cell>
          <cell r="H61">
            <v>0</v>
          </cell>
        </row>
        <row r="62">
          <cell r="F62">
            <v>0</v>
          </cell>
          <cell r="H62">
            <v>0</v>
          </cell>
        </row>
        <row r="63">
          <cell r="F63">
            <v>0</v>
          </cell>
          <cell r="H63">
            <v>0</v>
          </cell>
        </row>
        <row r="64">
          <cell r="F64">
            <v>0</v>
          </cell>
          <cell r="H64">
            <v>0</v>
          </cell>
        </row>
        <row r="65">
          <cell r="F65">
            <v>0</v>
          </cell>
          <cell r="H65">
            <v>0</v>
          </cell>
        </row>
        <row r="66">
          <cell r="F66">
            <v>0</v>
          </cell>
          <cell r="H66">
            <v>0</v>
          </cell>
        </row>
        <row r="67">
          <cell r="F67">
            <v>0</v>
          </cell>
          <cell r="H67">
            <v>0</v>
          </cell>
        </row>
        <row r="68">
          <cell r="F68">
            <v>-2614100</v>
          </cell>
          <cell r="H68">
            <v>-522820</v>
          </cell>
        </row>
        <row r="69">
          <cell r="F69">
            <v>0</v>
          </cell>
          <cell r="H69">
            <v>0</v>
          </cell>
        </row>
        <row r="70">
          <cell r="F70">
            <v>0</v>
          </cell>
          <cell r="H70">
            <v>0</v>
          </cell>
        </row>
        <row r="71">
          <cell r="F71">
            <v>0</v>
          </cell>
          <cell r="H71">
            <v>0</v>
          </cell>
        </row>
        <row r="72">
          <cell r="F72">
            <v>0</v>
          </cell>
          <cell r="H72">
            <v>0</v>
          </cell>
        </row>
        <row r="73">
          <cell r="F73">
            <v>0</v>
          </cell>
          <cell r="H73">
            <v>0</v>
          </cell>
        </row>
        <row r="74">
          <cell r="F74">
            <v>0</v>
          </cell>
          <cell r="H74">
            <v>0</v>
          </cell>
        </row>
      </sheetData>
      <sheetData sheetId="9"/>
      <sheetData sheetId="10"/>
      <sheetData sheetId="11">
        <row r="8">
          <cell r="B8">
            <v>1359</v>
          </cell>
        </row>
      </sheetData>
      <sheetData sheetId="12">
        <row r="77">
          <cell r="C77">
            <v>294.99442900000003</v>
          </cell>
        </row>
      </sheetData>
      <sheetData sheetId="13">
        <row r="76">
          <cell r="C76">
            <v>112</v>
          </cell>
        </row>
      </sheetData>
      <sheetData sheetId="14">
        <row r="7">
          <cell r="C7">
            <v>3</v>
          </cell>
        </row>
      </sheetData>
      <sheetData sheetId="15">
        <row r="7">
          <cell r="C7">
            <v>2</v>
          </cell>
        </row>
      </sheetData>
      <sheetData sheetId="16">
        <row r="12">
          <cell r="C12">
            <v>340</v>
          </cell>
        </row>
      </sheetData>
      <sheetData sheetId="17">
        <row r="10">
          <cell r="C10">
            <v>326</v>
          </cell>
        </row>
      </sheetData>
      <sheetData sheetId="18">
        <row r="7">
          <cell r="C7">
            <v>0</v>
          </cell>
        </row>
      </sheetData>
      <sheetData sheetId="19">
        <row r="7">
          <cell r="C7">
            <v>0</v>
          </cell>
        </row>
      </sheetData>
      <sheetData sheetId="20">
        <row r="7">
          <cell r="C7">
            <v>0</v>
          </cell>
        </row>
      </sheetData>
      <sheetData sheetId="21">
        <row r="7">
          <cell r="C7">
            <v>0</v>
          </cell>
        </row>
      </sheetData>
      <sheetData sheetId="22">
        <row r="7">
          <cell r="C7">
            <v>0</v>
          </cell>
        </row>
      </sheetData>
      <sheetData sheetId="23">
        <row r="7">
          <cell r="C7">
            <v>0</v>
          </cell>
        </row>
      </sheetData>
      <sheetData sheetId="24">
        <row r="76">
          <cell r="C76">
            <v>180</v>
          </cell>
        </row>
      </sheetData>
      <sheetData sheetId="25">
        <row r="76">
          <cell r="C76">
            <v>450</v>
          </cell>
        </row>
      </sheetData>
      <sheetData sheetId="26">
        <row r="4">
          <cell r="C4">
            <v>23</v>
          </cell>
        </row>
      </sheetData>
      <sheetData sheetId="27">
        <row r="4">
          <cell r="C4">
            <v>10</v>
          </cell>
        </row>
      </sheetData>
      <sheetData sheetId="28">
        <row r="7">
          <cell r="C7">
            <v>0</v>
          </cell>
        </row>
      </sheetData>
      <sheetData sheetId="29">
        <row r="7">
          <cell r="C7">
            <v>0</v>
          </cell>
        </row>
      </sheetData>
      <sheetData sheetId="30">
        <row r="7">
          <cell r="C7">
            <v>0</v>
          </cell>
        </row>
      </sheetData>
      <sheetData sheetId="31">
        <row r="7">
          <cell r="C7">
            <v>0</v>
          </cell>
        </row>
      </sheetData>
      <sheetData sheetId="32">
        <row r="7">
          <cell r="C7">
            <v>0</v>
          </cell>
        </row>
      </sheetData>
      <sheetData sheetId="33">
        <row r="7">
          <cell r="C7">
            <v>0</v>
          </cell>
        </row>
      </sheetData>
      <sheetData sheetId="34">
        <row r="7">
          <cell r="C7">
            <v>0</v>
          </cell>
        </row>
      </sheetData>
      <sheetData sheetId="35">
        <row r="7">
          <cell r="E7">
            <v>0</v>
          </cell>
        </row>
      </sheetData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-Reformatted"/>
      <sheetName val="ALL"/>
      <sheetName val="SSD"/>
      <sheetName val="LSDVI"/>
      <sheetName val="OJJ"/>
      <sheetName val="Raw Data"/>
    </sheetNames>
    <sheetDataSet>
      <sheetData sheetId="0">
        <row r="14">
          <cell r="D14">
            <v>508</v>
          </cell>
          <cell r="F14">
            <v>147</v>
          </cell>
        </row>
        <row r="22">
          <cell r="D22">
            <v>497</v>
          </cell>
        </row>
        <row r="44">
          <cell r="F44">
            <v>231</v>
          </cell>
        </row>
        <row r="51">
          <cell r="F51">
            <v>316</v>
          </cell>
        </row>
        <row r="77">
          <cell r="AF77">
            <v>1376</v>
          </cell>
          <cell r="AG77">
            <v>391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1"/>
      <sheetName val="Table 1 State Summary"/>
      <sheetName val="Table 2 Distributions &amp; Adjust"/>
      <sheetName val="Table 3 Levels 1&amp;2"/>
      <sheetName val="Table 4 Level 3"/>
      <sheetName val="Table 4A Stipends"/>
      <sheetName val="Table 5A Lab Schools"/>
      <sheetName val="Table 5B1_RSD_Orleans"/>
      <sheetName val="Table 5B2_RSD_LA"/>
      <sheetName val="Table 5C_Type 2"/>
      <sheetName val="Table 6 (Local Deduct Calc.)"/>
      <sheetName val="Table 7 Local Revenue"/>
      <sheetName val="Table 8 Membership, 2.1.09"/>
      <sheetName val="Table 3A Cert Pay Req"/>
    </sheetNames>
    <sheetDataSet>
      <sheetData sheetId="0"/>
      <sheetData sheetId="1"/>
      <sheetData sheetId="2"/>
      <sheetData sheetId="3"/>
      <sheetData sheetId="4" refreshError="1"/>
      <sheetData sheetId="5" refreshError="1">
        <row r="6">
          <cell r="C6">
            <v>364.58000000000004</v>
          </cell>
        </row>
        <row r="75">
          <cell r="C75">
            <v>303.87</v>
          </cell>
        </row>
      </sheetData>
      <sheetData sheetId="6"/>
      <sheetData sheetId="7" refreshError="1">
        <row r="8">
          <cell r="B8">
            <v>1344</v>
          </cell>
          <cell r="G8">
            <v>196</v>
          </cell>
          <cell r="K8">
            <v>23</v>
          </cell>
        </row>
        <row r="9">
          <cell r="G9">
            <v>217</v>
          </cell>
          <cell r="K9">
            <v>59</v>
          </cell>
        </row>
        <row r="17">
          <cell r="D17">
            <v>83.101858736059484</v>
          </cell>
        </row>
        <row r="18">
          <cell r="D18">
            <v>120.02832861189802</v>
          </cell>
        </row>
      </sheetData>
      <sheetData sheetId="8">
        <row r="6">
          <cell r="C6">
            <v>9827</v>
          </cell>
        </row>
      </sheetData>
      <sheetData sheetId="9" refreshError="1"/>
      <sheetData sheetId="10" refreshError="1"/>
      <sheetData sheetId="11"/>
      <sheetData sheetId="12" refreshError="1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FY2013-14 Final"/>
      <sheetName val="Detail Calculation exclude debt"/>
      <sheetName val="Detail Calculation for debt"/>
      <sheetName val="Detail"/>
      <sheetName val="2.1.13 SIS"/>
      <sheetName val="10.1.13 SIS"/>
      <sheetName val="AFR Revenues"/>
      <sheetName val="AFR Expenditures"/>
      <sheetName val="Sheet1"/>
    </sheetNames>
    <sheetDataSet>
      <sheetData sheetId="0"/>
      <sheetData sheetId="1">
        <row r="8">
          <cell r="K8">
            <v>2180</v>
          </cell>
        </row>
        <row r="9">
          <cell r="K9">
            <v>2759</v>
          </cell>
        </row>
        <row r="10">
          <cell r="K10">
            <v>5538</v>
          </cell>
        </row>
        <row r="11">
          <cell r="K11">
            <v>3507</v>
          </cell>
        </row>
        <row r="12">
          <cell r="K12">
            <v>2086</v>
          </cell>
          <cell r="L12">
            <v>7072.8166927080074</v>
          </cell>
        </row>
        <row r="13">
          <cell r="K13">
            <v>3683</v>
          </cell>
        </row>
        <row r="14">
          <cell r="K14">
            <v>11801</v>
          </cell>
        </row>
        <row r="15">
          <cell r="K15">
            <v>3988</v>
          </cell>
        </row>
        <row r="16">
          <cell r="D16">
            <v>3988</v>
          </cell>
          <cell r="K16">
            <v>4677</v>
          </cell>
        </row>
        <row r="17">
          <cell r="K17">
            <v>4502</v>
          </cell>
        </row>
        <row r="18">
          <cell r="K18">
            <v>3776</v>
          </cell>
        </row>
        <row r="19">
          <cell r="K19">
            <v>13312</v>
          </cell>
        </row>
        <row r="20">
          <cell r="K20">
            <v>2671</v>
          </cell>
        </row>
        <row r="21">
          <cell r="K21">
            <v>4439</v>
          </cell>
        </row>
        <row r="22">
          <cell r="K22">
            <v>2800</v>
          </cell>
        </row>
        <row r="23">
          <cell r="K23">
            <v>12312</v>
          </cell>
        </row>
        <row r="24">
          <cell r="D24">
            <v>5968</v>
          </cell>
          <cell r="K24">
            <v>6866</v>
          </cell>
        </row>
        <row r="25">
          <cell r="K25">
            <v>3071</v>
          </cell>
        </row>
        <row r="26">
          <cell r="K26">
            <v>2566</v>
          </cell>
        </row>
        <row r="27">
          <cell r="K27">
            <v>2621</v>
          </cell>
        </row>
        <row r="28">
          <cell r="K28">
            <v>2445</v>
          </cell>
        </row>
        <row r="29">
          <cell r="K29">
            <v>1519</v>
          </cell>
        </row>
        <row r="30">
          <cell r="K30">
            <v>3365</v>
          </cell>
        </row>
        <row r="31">
          <cell r="K31">
            <v>10907</v>
          </cell>
        </row>
        <row r="32">
          <cell r="K32">
            <v>5156</v>
          </cell>
        </row>
        <row r="33">
          <cell r="K33">
            <v>5344</v>
          </cell>
        </row>
        <row r="34">
          <cell r="K34">
            <v>3271</v>
          </cell>
        </row>
        <row r="35">
          <cell r="K35">
            <v>5647</v>
          </cell>
        </row>
        <row r="36">
          <cell r="K36">
            <v>4826</v>
          </cell>
          <cell r="L36">
            <v>8778.5586133052639</v>
          </cell>
        </row>
        <row r="37">
          <cell r="K37">
            <v>4193</v>
          </cell>
        </row>
        <row r="38">
          <cell r="K38">
            <v>4901</v>
          </cell>
        </row>
        <row r="39">
          <cell r="K39">
            <v>2074</v>
          </cell>
        </row>
        <row r="40">
          <cell r="K40">
            <v>3501</v>
          </cell>
        </row>
        <row r="41">
          <cell r="K41">
            <v>2772</v>
          </cell>
        </row>
        <row r="42">
          <cell r="K42">
            <v>3140</v>
          </cell>
        </row>
        <row r="43">
          <cell r="D43">
            <v>4668</v>
          </cell>
          <cell r="E43">
            <v>8188.4894337711748</v>
          </cell>
          <cell r="K43">
            <v>5433</v>
          </cell>
          <cell r="L43">
            <v>8953.4894337711739</v>
          </cell>
        </row>
        <row r="44">
          <cell r="K44">
            <v>3310</v>
          </cell>
        </row>
        <row r="45">
          <cell r="K45">
            <v>12521</v>
          </cell>
          <cell r="L45">
            <v>14713.754527559055</v>
          </cell>
        </row>
        <row r="46">
          <cell r="D46">
            <v>4275</v>
          </cell>
          <cell r="K46">
            <v>4436</v>
          </cell>
        </row>
        <row r="47">
          <cell r="K47">
            <v>3019</v>
          </cell>
        </row>
        <row r="48">
          <cell r="K48">
            <v>8964</v>
          </cell>
        </row>
        <row r="49">
          <cell r="K49">
            <v>3535</v>
          </cell>
          <cell r="L49">
            <v>8622.4730460987812</v>
          </cell>
        </row>
        <row r="50">
          <cell r="K50">
            <v>3593</v>
          </cell>
        </row>
        <row r="51">
          <cell r="K51">
            <v>4323</v>
          </cell>
        </row>
        <row r="52">
          <cell r="K52">
            <v>12792</v>
          </cell>
        </row>
        <row r="53">
          <cell r="D53">
            <v>1414</v>
          </cell>
          <cell r="K53">
            <v>2423</v>
          </cell>
        </row>
        <row r="54">
          <cell r="K54">
            <v>12963</v>
          </cell>
        </row>
        <row r="55">
          <cell r="K55">
            <v>6585</v>
          </cell>
        </row>
        <row r="56">
          <cell r="K56">
            <v>2402</v>
          </cell>
        </row>
        <row r="57">
          <cell r="K57">
            <v>3143</v>
          </cell>
        </row>
        <row r="58">
          <cell r="K58">
            <v>4370</v>
          </cell>
          <cell r="L58">
            <v>8616.0339872793593</v>
          </cell>
        </row>
        <row r="59">
          <cell r="K59">
            <v>5143</v>
          </cell>
        </row>
        <row r="60">
          <cell r="K60">
            <v>2109</v>
          </cell>
        </row>
        <row r="61">
          <cell r="K61">
            <v>3760</v>
          </cell>
        </row>
        <row r="62">
          <cell r="K62">
            <v>3359</v>
          </cell>
        </row>
        <row r="63">
          <cell r="K63">
            <v>2853</v>
          </cell>
        </row>
        <row r="64">
          <cell r="K64">
            <v>3178</v>
          </cell>
        </row>
        <row r="65">
          <cell r="K65">
            <v>2127</v>
          </cell>
        </row>
        <row r="66">
          <cell r="K66">
            <v>1729</v>
          </cell>
        </row>
        <row r="67">
          <cell r="K67">
            <v>3801</v>
          </cell>
        </row>
        <row r="68">
          <cell r="K68">
            <v>6597</v>
          </cell>
        </row>
        <row r="69">
          <cell r="K69">
            <v>1998</v>
          </cell>
        </row>
        <row r="70">
          <cell r="K70">
            <v>7391</v>
          </cell>
        </row>
        <row r="71">
          <cell r="K71">
            <v>2902</v>
          </cell>
        </row>
        <row r="72">
          <cell r="K72">
            <v>4823</v>
          </cell>
          <cell r="L72">
            <v>9402.2772303106685</v>
          </cell>
        </row>
        <row r="73">
          <cell r="K73">
            <v>3524</v>
          </cell>
        </row>
        <row r="74">
          <cell r="K74">
            <v>5007</v>
          </cell>
        </row>
        <row r="75">
          <cell r="K75">
            <v>2927</v>
          </cell>
        </row>
        <row r="76">
          <cell r="K76">
            <v>3404</v>
          </cell>
        </row>
        <row r="77">
          <cell r="K77">
            <v>4626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>
        <row r="149">
          <cell r="Q149">
            <v>-73370.5</v>
          </cell>
        </row>
        <row r="150">
          <cell r="I150">
            <v>-25753.519844584098</v>
          </cell>
          <cell r="Q150">
            <v>-1243</v>
          </cell>
        </row>
        <row r="151">
          <cell r="I151">
            <v>-21573.363555057345</v>
          </cell>
          <cell r="Q151">
            <v>-13779.5</v>
          </cell>
        </row>
        <row r="152">
          <cell r="I152">
            <v>-62288.211523809267</v>
          </cell>
          <cell r="Q152">
            <v>-68280</v>
          </cell>
        </row>
        <row r="153">
          <cell r="I153">
            <v>-33577.616866203491</v>
          </cell>
          <cell r="Q153">
            <v>-45904</v>
          </cell>
        </row>
        <row r="154">
          <cell r="I154">
            <v>0</v>
          </cell>
          <cell r="Q154">
            <v>0</v>
          </cell>
        </row>
        <row r="155">
          <cell r="I155">
            <v>-4197.2021082754363</v>
          </cell>
          <cell r="Q155">
            <v>-5738</v>
          </cell>
        </row>
        <row r="156">
          <cell r="I156">
            <v>-8944.4957671786251</v>
          </cell>
          <cell r="Q156">
            <v>-8370</v>
          </cell>
        </row>
        <row r="157">
          <cell r="I157">
            <v>-4197.2021082754363</v>
          </cell>
          <cell r="Q157">
            <v>-5738</v>
          </cell>
        </row>
        <row r="158">
          <cell r="I158">
            <v>-4197.2021082754363</v>
          </cell>
          <cell r="Q158">
            <v>-5738</v>
          </cell>
        </row>
        <row r="159">
          <cell r="I159">
            <v>-8394.4042165508727</v>
          </cell>
          <cell r="Q159">
            <v>-11476</v>
          </cell>
        </row>
        <row r="162">
          <cell r="Q162">
            <v>0</v>
          </cell>
        </row>
        <row r="163">
          <cell r="Q163">
            <v>0</v>
          </cell>
        </row>
        <row r="164">
          <cell r="Q164">
            <v>-12602</v>
          </cell>
        </row>
        <row r="165">
          <cell r="Q165">
            <v>-10493.5</v>
          </cell>
        </row>
        <row r="166">
          <cell r="Q166">
            <v>0</v>
          </cell>
        </row>
        <row r="167">
          <cell r="Q167">
            <v>0</v>
          </cell>
        </row>
        <row r="168">
          <cell r="Q168">
            <v>-113292</v>
          </cell>
        </row>
        <row r="169">
          <cell r="Q169">
            <v>-27298.5</v>
          </cell>
        </row>
        <row r="171">
          <cell r="Q171">
            <v>-2789.5</v>
          </cell>
        </row>
        <row r="172">
          <cell r="Q172">
            <v>0</v>
          </cell>
        </row>
        <row r="174">
          <cell r="Q174">
            <v>6304.5</v>
          </cell>
        </row>
        <row r="175">
          <cell r="Q175">
            <v>2101.5</v>
          </cell>
        </row>
        <row r="176">
          <cell r="Q176">
            <v>0</v>
          </cell>
        </row>
        <row r="177">
          <cell r="Q177">
            <v>2115.5</v>
          </cell>
        </row>
        <row r="178">
          <cell r="Q178">
            <v>-6304.5</v>
          </cell>
        </row>
        <row r="180">
          <cell r="Q180">
            <v>0</v>
          </cell>
        </row>
        <row r="186">
          <cell r="Q186">
            <v>-8399</v>
          </cell>
        </row>
        <row r="190">
          <cell r="Q190">
            <v>-10493.5</v>
          </cell>
        </row>
        <row r="191">
          <cell r="Q191">
            <v>0</v>
          </cell>
        </row>
        <row r="193">
          <cell r="Q193">
            <v>4203</v>
          </cell>
        </row>
        <row r="194">
          <cell r="Q194">
            <v>0</v>
          </cell>
        </row>
        <row r="195">
          <cell r="Q195">
            <v>0</v>
          </cell>
        </row>
        <row r="197">
          <cell r="Q197">
            <v>4203</v>
          </cell>
        </row>
        <row r="198">
          <cell r="Q198">
            <v>2101.5</v>
          </cell>
        </row>
        <row r="199">
          <cell r="Q199">
            <v>2101.5</v>
          </cell>
        </row>
        <row r="200">
          <cell r="Q200">
            <v>0</v>
          </cell>
        </row>
        <row r="201">
          <cell r="Q201">
            <v>-6297.5</v>
          </cell>
        </row>
        <row r="202">
          <cell r="Q202">
            <v>-4189</v>
          </cell>
        </row>
        <row r="203">
          <cell r="Q203">
            <v>-37743</v>
          </cell>
        </row>
        <row r="204">
          <cell r="Q204">
            <v>-20966</v>
          </cell>
        </row>
        <row r="205">
          <cell r="Q205">
            <v>-94427.5</v>
          </cell>
        </row>
        <row r="206">
          <cell r="Q206">
            <v>21</v>
          </cell>
        </row>
        <row r="207">
          <cell r="Q207">
            <v>0</v>
          </cell>
        </row>
        <row r="208">
          <cell r="Q208">
            <v>0</v>
          </cell>
        </row>
        <row r="209">
          <cell r="Q209">
            <v>6304.5</v>
          </cell>
        </row>
        <row r="210">
          <cell r="Q210">
            <v>6304.5</v>
          </cell>
        </row>
        <row r="211">
          <cell r="Q211">
            <v>0</v>
          </cell>
        </row>
        <row r="212">
          <cell r="Q212">
            <v>10507.5</v>
          </cell>
        </row>
        <row r="213">
          <cell r="Q213">
            <v>4203</v>
          </cell>
        </row>
        <row r="214">
          <cell r="Q214">
            <v>0</v>
          </cell>
        </row>
        <row r="215">
          <cell r="Q215">
            <v>-2101.5</v>
          </cell>
        </row>
        <row r="216">
          <cell r="Q216">
            <v>14</v>
          </cell>
        </row>
        <row r="217">
          <cell r="Q217">
            <v>0</v>
          </cell>
        </row>
        <row r="218">
          <cell r="Q218">
            <v>0</v>
          </cell>
        </row>
        <row r="221">
          <cell r="I221">
            <v>-34110.218011362987</v>
          </cell>
          <cell r="Q221">
            <v>0</v>
          </cell>
        </row>
        <row r="224">
          <cell r="I224">
            <v>7694.5069238298493</v>
          </cell>
          <cell r="Q224">
            <v>5860.5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ble 5B1_RSD_Orleans"/>
    </sheetNames>
    <sheetDataSet>
      <sheetData sheetId="0"/>
      <sheetData sheetId="1">
        <row r="7">
          <cell r="Y7">
            <v>1103544.7112499999</v>
          </cell>
        </row>
        <row r="10">
          <cell r="Y10">
            <v>151855.57333333333</v>
          </cell>
        </row>
        <row r="11">
          <cell r="Y11">
            <v>173985.28</v>
          </cell>
        </row>
        <row r="12">
          <cell r="Y12">
            <v>250007.54</v>
          </cell>
        </row>
        <row r="13">
          <cell r="Y13">
            <v>156322.76833333334</v>
          </cell>
        </row>
        <row r="14">
          <cell r="Y14">
            <v>69318.34</v>
          </cell>
        </row>
        <row r="15">
          <cell r="Y15">
            <v>72428.778333333335</v>
          </cell>
        </row>
        <row r="16">
          <cell r="Y16">
            <v>134402.09333333335</v>
          </cell>
        </row>
        <row r="17">
          <cell r="Y17">
            <v>199944.85833333331</v>
          </cell>
        </row>
        <row r="18">
          <cell r="Y18">
            <v>175511.46666666667</v>
          </cell>
        </row>
        <row r="19">
          <cell r="Y19">
            <v>199548.90666666665</v>
          </cell>
        </row>
        <row r="20">
          <cell r="Y20">
            <v>53533.69</v>
          </cell>
        </row>
        <row r="21">
          <cell r="Y21">
            <v>149947.84</v>
          </cell>
        </row>
        <row r="22">
          <cell r="Y22">
            <v>116419.26333333332</v>
          </cell>
        </row>
        <row r="23">
          <cell r="Y23">
            <v>248912.255</v>
          </cell>
        </row>
        <row r="24">
          <cell r="Y24">
            <v>250088.19166666665</v>
          </cell>
        </row>
        <row r="25">
          <cell r="Y25">
            <v>243808.31999999998</v>
          </cell>
        </row>
        <row r="26">
          <cell r="Y26">
            <v>71907.065000000002</v>
          </cell>
        </row>
        <row r="27">
          <cell r="Y27">
            <v>68153.025000000009</v>
          </cell>
        </row>
        <row r="28">
          <cell r="Y28">
            <v>312105.17333333334</v>
          </cell>
        </row>
        <row r="29">
          <cell r="Y29">
            <v>152237.12</v>
          </cell>
        </row>
        <row r="30">
          <cell r="Y30">
            <v>151855.57333333333</v>
          </cell>
        </row>
        <row r="31">
          <cell r="Y31">
            <v>153381.76000000001</v>
          </cell>
        </row>
        <row r="32">
          <cell r="Y32">
            <v>145369.28</v>
          </cell>
        </row>
        <row r="33">
          <cell r="Y33">
            <v>152300.29666666666</v>
          </cell>
        </row>
        <row r="34">
          <cell r="Y34">
            <v>40062.400000000001</v>
          </cell>
        </row>
        <row r="35">
          <cell r="Y35">
            <v>38154.666666666664</v>
          </cell>
        </row>
        <row r="36">
          <cell r="Y36">
            <v>151744.20833333334</v>
          </cell>
        </row>
        <row r="37">
          <cell r="Y37">
            <v>134304.42666666667</v>
          </cell>
        </row>
        <row r="38">
          <cell r="Y38">
            <v>188102.50666666668</v>
          </cell>
        </row>
        <row r="39">
          <cell r="Y39">
            <v>143461.54666666666</v>
          </cell>
        </row>
        <row r="40">
          <cell r="Y40">
            <v>232330.62333333332</v>
          </cell>
        </row>
        <row r="41">
          <cell r="Y41">
            <v>264831.60666666663</v>
          </cell>
        </row>
        <row r="42">
          <cell r="Y42">
            <v>264793.38666666666</v>
          </cell>
        </row>
        <row r="43">
          <cell r="Y43">
            <v>132396.69333333333</v>
          </cell>
        </row>
        <row r="44">
          <cell r="Y44">
            <v>162507.58333333334</v>
          </cell>
        </row>
        <row r="45">
          <cell r="Y45">
            <v>338225.47166666668</v>
          </cell>
        </row>
        <row r="46">
          <cell r="Y46">
            <v>177975.87166666667</v>
          </cell>
        </row>
        <row r="47">
          <cell r="Y47">
            <v>169406.72</v>
          </cell>
        </row>
        <row r="48">
          <cell r="Y48">
            <v>256256.11499999999</v>
          </cell>
        </row>
        <row r="49">
          <cell r="Y49">
            <v>230868.19666666666</v>
          </cell>
        </row>
        <row r="50">
          <cell r="Y50">
            <v>238755.33666666667</v>
          </cell>
        </row>
        <row r="51">
          <cell r="Y51">
            <v>179487.5</v>
          </cell>
        </row>
        <row r="52">
          <cell r="Y52">
            <v>327510.5616666667</v>
          </cell>
        </row>
        <row r="53">
          <cell r="Y53">
            <v>99585.43</v>
          </cell>
        </row>
        <row r="54">
          <cell r="Y54">
            <v>184287.04</v>
          </cell>
        </row>
        <row r="55">
          <cell r="Y55">
            <v>230072.64</v>
          </cell>
        </row>
        <row r="56">
          <cell r="Y56">
            <v>291645.48166666663</v>
          </cell>
        </row>
        <row r="57">
          <cell r="Y57">
            <v>155051.77499999999</v>
          </cell>
        </row>
        <row r="58">
          <cell r="Y58">
            <v>195733.43999999997</v>
          </cell>
        </row>
        <row r="59">
          <cell r="Y59">
            <v>131746.13166666668</v>
          </cell>
        </row>
        <row r="60">
          <cell r="Y60">
            <v>196465.23666666666</v>
          </cell>
        </row>
        <row r="61">
          <cell r="Y61">
            <v>193825.70666666667</v>
          </cell>
        </row>
        <row r="62">
          <cell r="Y62">
            <v>184875.00833333333</v>
          </cell>
        </row>
        <row r="63">
          <cell r="Y63">
            <v>150330.55333333332</v>
          </cell>
        </row>
        <row r="64">
          <cell r="Y64">
            <v>180090.02666666664</v>
          </cell>
        </row>
        <row r="65">
          <cell r="Y65">
            <v>246097.6</v>
          </cell>
        </row>
        <row r="66">
          <cell r="Y66">
            <v>238848.21333333335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ble 5B1_RSD_Orleans"/>
    </sheetNames>
    <sheetDataSet>
      <sheetData sheetId="0"/>
      <sheetData sheetId="1">
        <row r="7">
          <cell r="AK7">
            <v>1108273.9088636364</v>
          </cell>
        </row>
        <row r="10">
          <cell r="AK10">
            <v>151855.53454545455</v>
          </cell>
        </row>
        <row r="11">
          <cell r="AK11">
            <v>173985.30545454545</v>
          </cell>
        </row>
        <row r="12">
          <cell r="AK12">
            <v>250007.49818181817</v>
          </cell>
        </row>
        <row r="13">
          <cell r="AK13">
            <v>156322.74727272728</v>
          </cell>
        </row>
        <row r="14">
          <cell r="AK14">
            <v>69318.370909090911</v>
          </cell>
        </row>
        <row r="15">
          <cell r="AK15">
            <v>72428.758181818179</v>
          </cell>
        </row>
        <row r="16">
          <cell r="AK16">
            <v>134402.10181818184</v>
          </cell>
        </row>
        <row r="17">
          <cell r="AK17">
            <v>199944.84545454543</v>
          </cell>
        </row>
        <row r="18">
          <cell r="AK18">
            <v>136801.86545454545</v>
          </cell>
        </row>
        <row r="19">
          <cell r="AK19">
            <v>199548.89818181816</v>
          </cell>
        </row>
        <row r="20">
          <cell r="AK20">
            <v>65652.252727272731</v>
          </cell>
        </row>
        <row r="21">
          <cell r="AK21">
            <v>149947.82545454547</v>
          </cell>
        </row>
        <row r="22">
          <cell r="AK22">
            <v>158107.24</v>
          </cell>
        </row>
        <row r="23">
          <cell r="AK23">
            <v>248912.2781818182</v>
          </cell>
        </row>
        <row r="24">
          <cell r="AK24">
            <v>250088.20909090908</v>
          </cell>
        </row>
        <row r="25">
          <cell r="AK25">
            <v>243808.34909090909</v>
          </cell>
        </row>
        <row r="26">
          <cell r="AK26">
            <v>71907.070909090908</v>
          </cell>
        </row>
        <row r="27">
          <cell r="AK27">
            <v>68153.027272727282</v>
          </cell>
        </row>
        <row r="28">
          <cell r="AK28">
            <v>312105.18909090909</v>
          </cell>
        </row>
        <row r="29">
          <cell r="AK29">
            <v>152237.13090909089</v>
          </cell>
        </row>
        <row r="30">
          <cell r="AK30">
            <v>151855.53454545455</v>
          </cell>
        </row>
        <row r="31">
          <cell r="AK31">
            <v>153381.73818181819</v>
          </cell>
        </row>
        <row r="32">
          <cell r="AK32">
            <v>174089.36363636365</v>
          </cell>
        </row>
        <row r="33">
          <cell r="AK33">
            <v>152300.32363636364</v>
          </cell>
        </row>
        <row r="34">
          <cell r="AK34">
            <v>79604.545454545456</v>
          </cell>
        </row>
        <row r="35">
          <cell r="AK35">
            <v>79777.909090909088</v>
          </cell>
        </row>
        <row r="36">
          <cell r="AK36">
            <v>151744.22727272726</v>
          </cell>
        </row>
        <row r="37">
          <cell r="AK37">
            <v>134304.46545454545</v>
          </cell>
        </row>
        <row r="38">
          <cell r="AK38">
            <v>188102.46181818182</v>
          </cell>
        </row>
        <row r="39">
          <cell r="AK39">
            <v>143461.50545454546</v>
          </cell>
        </row>
        <row r="40">
          <cell r="AK40">
            <v>232330.58909090908</v>
          </cell>
        </row>
        <row r="41">
          <cell r="AK41">
            <v>264831.57090909086</v>
          </cell>
        </row>
        <row r="42">
          <cell r="AK42">
            <v>264793.42181818181</v>
          </cell>
        </row>
        <row r="43">
          <cell r="AK43">
            <v>132396.66545454547</v>
          </cell>
        </row>
        <row r="44">
          <cell r="AK44">
            <v>162507.54545454544</v>
          </cell>
        </row>
        <row r="45">
          <cell r="AK45">
            <v>338225.51454545459</v>
          </cell>
        </row>
        <row r="46">
          <cell r="AK46">
            <v>177975.86</v>
          </cell>
        </row>
        <row r="47">
          <cell r="AK47">
            <v>169406.69454545455</v>
          </cell>
        </row>
        <row r="48">
          <cell r="AK48">
            <v>256256.12545454546</v>
          </cell>
        </row>
        <row r="49">
          <cell r="AK49">
            <v>230868.21454545454</v>
          </cell>
        </row>
        <row r="50">
          <cell r="AK50">
            <v>238755.36727272728</v>
          </cell>
        </row>
        <row r="51">
          <cell r="AK51">
            <v>179487.45454545456</v>
          </cell>
        </row>
        <row r="52">
          <cell r="AK52">
            <v>327510.52181818185</v>
          </cell>
        </row>
        <row r="53">
          <cell r="AK53">
            <v>99585.469090909086</v>
          </cell>
        </row>
        <row r="54">
          <cell r="AK54">
            <v>184287.04363636364</v>
          </cell>
        </row>
        <row r="55">
          <cell r="AK55">
            <v>261290.06181818183</v>
          </cell>
        </row>
        <row r="56">
          <cell r="AK56">
            <v>304132.50727272726</v>
          </cell>
        </row>
        <row r="57">
          <cell r="AK57">
            <v>155051.75454545455</v>
          </cell>
        </row>
        <row r="58">
          <cell r="AK58">
            <v>195733.47999999998</v>
          </cell>
        </row>
        <row r="59">
          <cell r="AK59">
            <v>185440.16545454544</v>
          </cell>
        </row>
        <row r="60">
          <cell r="AK60">
            <v>238920.99636363637</v>
          </cell>
        </row>
        <row r="61">
          <cell r="AK61">
            <v>193825.68</v>
          </cell>
        </row>
        <row r="62">
          <cell r="AK62">
            <v>184875.00909090909</v>
          </cell>
        </row>
        <row r="63">
          <cell r="AK63">
            <v>150330.51272727273</v>
          </cell>
        </row>
        <row r="64">
          <cell r="AK64">
            <v>180090.02909090908</v>
          </cell>
        </row>
        <row r="65">
          <cell r="AK65">
            <v>246097.56363636366</v>
          </cell>
        </row>
        <row r="66">
          <cell r="AK66">
            <v>238848.23272727273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ble 5B1_RSD_Orleans"/>
    </sheetNames>
    <sheetDataSet>
      <sheetData sheetId="0"/>
      <sheetData sheetId="1">
        <row r="7">
          <cell r="AK7">
            <v>548277.43950000009</v>
          </cell>
        </row>
        <row r="10">
          <cell r="AK10">
            <v>151855.48799999998</v>
          </cell>
        </row>
        <row r="11">
          <cell r="AK11">
            <v>173985.33600000001</v>
          </cell>
        </row>
        <row r="12">
          <cell r="AK12">
            <v>250007.54800000001</v>
          </cell>
        </row>
        <row r="13">
          <cell r="AK13">
            <v>156322.72200000001</v>
          </cell>
        </row>
        <row r="14">
          <cell r="AK14">
            <v>69318.407999999996</v>
          </cell>
        </row>
        <row r="15">
          <cell r="AK15">
            <v>72428.733999999997</v>
          </cell>
        </row>
        <row r="16">
          <cell r="AK16">
            <v>134402.11200000002</v>
          </cell>
        </row>
        <row r="17">
          <cell r="AK17">
            <v>199944.83</v>
          </cell>
        </row>
        <row r="18">
          <cell r="AK18">
            <v>128560.44399999999</v>
          </cell>
        </row>
        <row r="19">
          <cell r="AK19">
            <v>199548.88799999998</v>
          </cell>
        </row>
        <row r="20">
          <cell r="AK20">
            <v>76849.856</v>
          </cell>
        </row>
        <row r="21">
          <cell r="AK21">
            <v>149947.80800000002</v>
          </cell>
        </row>
        <row r="22">
          <cell r="AK22">
            <v>160240.136</v>
          </cell>
        </row>
        <row r="23">
          <cell r="AK23">
            <v>248912.30600000001</v>
          </cell>
        </row>
        <row r="24">
          <cell r="AK24">
            <v>250088.22999999998</v>
          </cell>
        </row>
        <row r="25">
          <cell r="AK25">
            <v>243808.38399999999</v>
          </cell>
        </row>
        <row r="26">
          <cell r="AK26">
            <v>71907.078000000009</v>
          </cell>
        </row>
        <row r="27">
          <cell r="AK27">
            <v>68153.03</v>
          </cell>
        </row>
        <row r="28">
          <cell r="AK28">
            <v>312105.20799999998</v>
          </cell>
        </row>
        <row r="29">
          <cell r="AK29">
            <v>152237.144</v>
          </cell>
        </row>
        <row r="30">
          <cell r="AK30">
            <v>151855.48799999998</v>
          </cell>
        </row>
        <row r="31">
          <cell r="AK31">
            <v>153381.712</v>
          </cell>
        </row>
        <row r="32">
          <cell r="AK32">
            <v>189656.50400000002</v>
          </cell>
        </row>
        <row r="33">
          <cell r="AK33">
            <v>152300.356</v>
          </cell>
        </row>
        <row r="34">
          <cell r="AK34">
            <v>90135.187999999995</v>
          </cell>
        </row>
        <row r="35">
          <cell r="AK35">
            <v>80693.611999999994</v>
          </cell>
        </row>
        <row r="36">
          <cell r="AK36">
            <v>151744.25</v>
          </cell>
        </row>
        <row r="37">
          <cell r="AK37">
            <v>134304.51200000002</v>
          </cell>
        </row>
        <row r="38">
          <cell r="AK38">
            <v>188102.508</v>
          </cell>
        </row>
        <row r="39">
          <cell r="AK39">
            <v>143461.45600000001</v>
          </cell>
        </row>
        <row r="40">
          <cell r="AK40">
            <v>232330.54800000001</v>
          </cell>
        </row>
        <row r="41">
          <cell r="AK41">
            <v>264831.52799999999</v>
          </cell>
        </row>
        <row r="42">
          <cell r="AK42">
            <v>264793.46400000004</v>
          </cell>
        </row>
        <row r="43">
          <cell r="AK43">
            <v>132396.63200000001</v>
          </cell>
        </row>
        <row r="44">
          <cell r="AK44">
            <v>162507.5</v>
          </cell>
        </row>
        <row r="45">
          <cell r="AK45">
            <v>338225.46600000001</v>
          </cell>
        </row>
        <row r="46">
          <cell r="AK46">
            <v>177975.84599999999</v>
          </cell>
        </row>
        <row r="47">
          <cell r="AK47">
            <v>169406.66399999999</v>
          </cell>
        </row>
        <row r="48">
          <cell r="AK48">
            <v>256256.13799999998</v>
          </cell>
        </row>
        <row r="49">
          <cell r="AK49">
            <v>230868.23599999998</v>
          </cell>
        </row>
        <row r="50">
          <cell r="AK50">
            <v>238755.40400000001</v>
          </cell>
        </row>
        <row r="51">
          <cell r="AK51">
            <v>179487.5</v>
          </cell>
        </row>
        <row r="52">
          <cell r="AK52">
            <v>327510.47400000005</v>
          </cell>
        </row>
        <row r="53">
          <cell r="AK53">
            <v>99585.515999999989</v>
          </cell>
        </row>
        <row r="54">
          <cell r="AK54">
            <v>184287.04800000001</v>
          </cell>
        </row>
        <row r="55">
          <cell r="AK55">
            <v>275025.74800000002</v>
          </cell>
        </row>
        <row r="56">
          <cell r="AK56">
            <v>325193.83399999997</v>
          </cell>
        </row>
        <row r="57">
          <cell r="AK57">
            <v>155051.73000000001</v>
          </cell>
        </row>
        <row r="58">
          <cell r="AK58">
            <v>195733.52799999999</v>
          </cell>
        </row>
        <row r="59">
          <cell r="AK59">
            <v>158426.67800000001</v>
          </cell>
        </row>
        <row r="60">
          <cell r="AK60">
            <v>313551.52400000003</v>
          </cell>
        </row>
        <row r="61">
          <cell r="AK61">
            <v>193825.64799999999</v>
          </cell>
        </row>
        <row r="62">
          <cell r="AK62">
            <v>184875.01</v>
          </cell>
        </row>
        <row r="63">
          <cell r="AK63">
            <v>150330.46399999998</v>
          </cell>
        </row>
        <row r="64">
          <cell r="AK64">
            <v>180090.03199999998</v>
          </cell>
        </row>
        <row r="65">
          <cell r="AK65">
            <v>246097.52000000002</v>
          </cell>
        </row>
        <row r="66">
          <cell r="AK66">
            <v>238848.25599999999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ble 5B1_RSD_Orleans"/>
    </sheetNames>
    <sheetDataSet>
      <sheetData sheetId="0"/>
      <sheetData sheetId="1">
        <row r="7">
          <cell r="W7">
            <v>518972</v>
          </cell>
          <cell r="AK7">
            <v>545781.43700000003</v>
          </cell>
        </row>
        <row r="10">
          <cell r="AK10">
            <v>151855.48799999998</v>
          </cell>
        </row>
        <row r="11">
          <cell r="AK11">
            <v>173985.33599999998</v>
          </cell>
        </row>
        <row r="12">
          <cell r="AK12">
            <v>250007.54799999998</v>
          </cell>
        </row>
        <row r="13">
          <cell r="AK13">
            <v>156322.72200000001</v>
          </cell>
        </row>
        <row r="14">
          <cell r="AK14">
            <v>69318.407999999996</v>
          </cell>
        </row>
        <row r="15">
          <cell r="AK15">
            <v>72428.733999999997</v>
          </cell>
        </row>
        <row r="16">
          <cell r="AK16">
            <v>134402.11199999999</v>
          </cell>
        </row>
        <row r="17">
          <cell r="AK17">
            <v>199944.83</v>
          </cell>
        </row>
        <row r="18">
          <cell r="AK18">
            <v>128560.444</v>
          </cell>
        </row>
        <row r="19">
          <cell r="AK19">
            <v>199548.88800000001</v>
          </cell>
        </row>
        <row r="20">
          <cell r="AK20">
            <v>76849.856000000014</v>
          </cell>
        </row>
        <row r="21">
          <cell r="AK21">
            <v>149947.80799999999</v>
          </cell>
        </row>
        <row r="22">
          <cell r="AK22">
            <v>160240.136</v>
          </cell>
        </row>
        <row r="23">
          <cell r="AK23">
            <v>248912.30600000001</v>
          </cell>
        </row>
        <row r="24">
          <cell r="AK24">
            <v>250088.22999999998</v>
          </cell>
        </row>
        <row r="25">
          <cell r="AK25">
            <v>243808.38399999999</v>
          </cell>
        </row>
        <row r="26">
          <cell r="AK26">
            <v>71907.077999999994</v>
          </cell>
        </row>
        <row r="27">
          <cell r="AK27">
            <v>68153.030000000013</v>
          </cell>
        </row>
        <row r="28">
          <cell r="AK28">
            <v>312105.20800000004</v>
          </cell>
        </row>
        <row r="29">
          <cell r="AK29">
            <v>152237.144</v>
          </cell>
        </row>
        <row r="30">
          <cell r="AK30">
            <v>151855.48799999998</v>
          </cell>
        </row>
        <row r="31">
          <cell r="AK31">
            <v>153381.71200000003</v>
          </cell>
        </row>
        <row r="32">
          <cell r="AK32">
            <v>189656.50399999999</v>
          </cell>
        </row>
        <row r="33">
          <cell r="AK33">
            <v>152300.356</v>
          </cell>
        </row>
        <row r="34">
          <cell r="AK34">
            <v>90135.187999999995</v>
          </cell>
        </row>
        <row r="35">
          <cell r="AK35">
            <v>80693.611999999994</v>
          </cell>
        </row>
        <row r="36">
          <cell r="AK36">
            <v>102688.25</v>
          </cell>
        </row>
        <row r="37">
          <cell r="AK37">
            <v>134304.51200000002</v>
          </cell>
        </row>
        <row r="38">
          <cell r="AK38">
            <v>188102.508</v>
          </cell>
        </row>
        <row r="39">
          <cell r="AK39">
            <v>127109.45600000001</v>
          </cell>
        </row>
        <row r="40">
          <cell r="AK40">
            <v>232330.54799999998</v>
          </cell>
        </row>
        <row r="41">
          <cell r="AK41">
            <v>215318.42800000001</v>
          </cell>
        </row>
        <row r="42">
          <cell r="AK42">
            <v>264793.46400000004</v>
          </cell>
        </row>
        <row r="43">
          <cell r="AK43">
            <v>132396.63200000001</v>
          </cell>
        </row>
        <row r="44">
          <cell r="AK44">
            <v>162507.5</v>
          </cell>
        </row>
        <row r="45">
          <cell r="AK45">
            <v>338225.46600000001</v>
          </cell>
        </row>
        <row r="46">
          <cell r="AK46">
            <v>177975.84599999999</v>
          </cell>
        </row>
        <row r="47">
          <cell r="AK47">
            <v>169406.66400000002</v>
          </cell>
        </row>
        <row r="48">
          <cell r="AK48">
            <v>256256.13800000001</v>
          </cell>
        </row>
        <row r="49">
          <cell r="AK49">
            <v>230868.236</v>
          </cell>
        </row>
        <row r="50">
          <cell r="AK50">
            <v>238755.40400000001</v>
          </cell>
        </row>
        <row r="51">
          <cell r="AK51">
            <v>179487.5</v>
          </cell>
        </row>
        <row r="52">
          <cell r="AK52">
            <v>327510.47399999999</v>
          </cell>
        </row>
        <row r="53">
          <cell r="AK53">
            <v>74730.47600000001</v>
          </cell>
        </row>
        <row r="54">
          <cell r="AK54">
            <v>184287.04799999998</v>
          </cell>
        </row>
        <row r="55">
          <cell r="AK55">
            <v>275025.74800000002</v>
          </cell>
        </row>
        <row r="56">
          <cell r="AK56">
            <v>325193.83399999997</v>
          </cell>
        </row>
        <row r="57">
          <cell r="AK57">
            <v>155051.72999999998</v>
          </cell>
        </row>
        <row r="58">
          <cell r="AK58">
            <v>195733.52799999996</v>
          </cell>
        </row>
        <row r="59">
          <cell r="AK59">
            <v>158426.67800000001</v>
          </cell>
        </row>
        <row r="60">
          <cell r="AK60">
            <v>313551.52400000003</v>
          </cell>
        </row>
        <row r="61">
          <cell r="AK61">
            <v>193825.64800000002</v>
          </cell>
        </row>
        <row r="62">
          <cell r="AK62">
            <v>184875.01</v>
          </cell>
        </row>
        <row r="63">
          <cell r="AK63">
            <v>150330.46399999998</v>
          </cell>
        </row>
        <row r="64">
          <cell r="AK64">
            <v>180090.03199999998</v>
          </cell>
        </row>
        <row r="65">
          <cell r="AK65">
            <v>246097.52000000002</v>
          </cell>
        </row>
        <row r="66">
          <cell r="AK66">
            <v>238848.25600000002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ed Amounts"/>
    </sheetNames>
    <sheetDataSet>
      <sheetData sheetId="0" refreshError="1">
        <row r="7">
          <cell r="H7">
            <v>0</v>
          </cell>
        </row>
        <row r="8">
          <cell r="H8">
            <v>-10424.079088565875</v>
          </cell>
        </row>
        <row r="9">
          <cell r="H9">
            <v>0</v>
          </cell>
        </row>
        <row r="10">
          <cell r="H10">
            <v>26832.697836016825</v>
          </cell>
        </row>
        <row r="11">
          <cell r="H11">
            <v>-15433.970269679656</v>
          </cell>
        </row>
        <row r="12">
          <cell r="H12">
            <v>-559520.47628364025</v>
          </cell>
        </row>
        <row r="13">
          <cell r="H13">
            <v>231.94927088567511</v>
          </cell>
        </row>
        <row r="14">
          <cell r="H14">
            <v>278.403015368458</v>
          </cell>
        </row>
        <row r="15">
          <cell r="H15">
            <v>-271285.20897772937</v>
          </cell>
        </row>
        <row r="16">
          <cell r="H16">
            <v>-69465.223290625945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-2080.2769246181197</v>
          </cell>
        </row>
        <row r="20">
          <cell r="H20">
            <v>1294.3388056557724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-130002.43251403188</v>
          </cell>
        </row>
        <row r="24">
          <cell r="H24">
            <v>8237.5986609904867</v>
          </cell>
        </row>
        <row r="25">
          <cell r="H25">
            <v>-14679.077750957269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-577422.02464747627</v>
          </cell>
        </row>
        <row r="33">
          <cell r="H33">
            <v>0</v>
          </cell>
        </row>
        <row r="34">
          <cell r="H34">
            <v>-102711.67592119289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-5016.8919954006033</v>
          </cell>
        </row>
        <row r="38">
          <cell r="H38">
            <v>0</v>
          </cell>
        </row>
        <row r="39">
          <cell r="H39">
            <v>-31461.550738993945</v>
          </cell>
        </row>
        <row r="40">
          <cell r="H40">
            <v>1196.099079508449</v>
          </cell>
        </row>
        <row r="41">
          <cell r="H41">
            <v>1367.8040450900012</v>
          </cell>
        </row>
        <row r="42">
          <cell r="H42">
            <v>-6279.6590136872237</v>
          </cell>
        </row>
        <row r="43">
          <cell r="H43">
            <v>-121804.72470372164</v>
          </cell>
        </row>
        <row r="44">
          <cell r="H44">
            <v>-54853.560227771537</v>
          </cell>
        </row>
        <row r="45">
          <cell r="H45">
            <v>0</v>
          </cell>
        </row>
        <row r="46">
          <cell r="H46">
            <v>-84977.022217588383</v>
          </cell>
        </row>
        <row r="47">
          <cell r="H47">
            <v>0</v>
          </cell>
        </row>
        <row r="48">
          <cell r="H48">
            <v>-13872.030784933289</v>
          </cell>
        </row>
        <row r="49">
          <cell r="H49">
            <v>0</v>
          </cell>
        </row>
        <row r="50">
          <cell r="H50">
            <v>-4786.1910925032571</v>
          </cell>
        </row>
        <row r="51">
          <cell r="H51">
            <v>0</v>
          </cell>
        </row>
        <row r="52">
          <cell r="H52">
            <v>-74734.707051841833</v>
          </cell>
        </row>
        <row r="53">
          <cell r="H53">
            <v>-1082.6890644338462</v>
          </cell>
        </row>
        <row r="54">
          <cell r="H54">
            <v>-8522.8441841659442</v>
          </cell>
        </row>
        <row r="55">
          <cell r="H55">
            <v>77514.951193095912</v>
          </cell>
        </row>
        <row r="56">
          <cell r="H56">
            <v>3997.1285109119672</v>
          </cell>
        </row>
        <row r="57">
          <cell r="H57">
            <v>2736.5598630378809</v>
          </cell>
        </row>
        <row r="58">
          <cell r="H58">
            <v>-149518.07778132393</v>
          </cell>
        </row>
        <row r="59">
          <cell r="H59">
            <v>535.09967560998848</v>
          </cell>
        </row>
        <row r="60">
          <cell r="H60">
            <v>0</v>
          </cell>
        </row>
        <row r="61">
          <cell r="H61">
            <v>-19024.122282890603</v>
          </cell>
        </row>
        <row r="62">
          <cell r="H62">
            <v>0</v>
          </cell>
        </row>
        <row r="63">
          <cell r="H63">
            <v>0</v>
          </cell>
        </row>
        <row r="64">
          <cell r="H64">
            <v>-8216.5165012490943</v>
          </cell>
        </row>
        <row r="65">
          <cell r="H65">
            <v>0</v>
          </cell>
        </row>
        <row r="66">
          <cell r="H66">
            <v>-4544.1652770033907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-3573.7704120406524</v>
          </cell>
        </row>
        <row r="71">
          <cell r="H71">
            <v>0</v>
          </cell>
        </row>
        <row r="72">
          <cell r="H72">
            <v>-5196.0756379680797</v>
          </cell>
        </row>
        <row r="73">
          <cell r="H73">
            <v>0</v>
          </cell>
        </row>
        <row r="74">
          <cell r="H74">
            <v>45117.573358364345</v>
          </cell>
        </row>
        <row r="75">
          <cell r="H75">
            <v>351</v>
          </cell>
        </row>
        <row r="79">
          <cell r="I79">
            <v>2515.1664215795245</v>
          </cell>
        </row>
        <row r="92">
          <cell r="I92">
            <v>-4508.0545995861094</v>
          </cell>
        </row>
        <row r="149">
          <cell r="I149">
            <v>-322157.92574859853</v>
          </cell>
        </row>
        <row r="162">
          <cell r="I162">
            <v>0</v>
          </cell>
        </row>
        <row r="163">
          <cell r="I163">
            <v>-14065.621132128788</v>
          </cell>
        </row>
        <row r="164">
          <cell r="I164">
            <v>-14946.984579716975</v>
          </cell>
        </row>
        <row r="165">
          <cell r="I165">
            <v>-9433.2933428891047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-113097.28260242619</v>
          </cell>
        </row>
        <row r="169">
          <cell r="I169">
            <v>-31062.573315865986</v>
          </cell>
        </row>
        <row r="170">
          <cell r="I170">
            <v>0</v>
          </cell>
        </row>
        <row r="171">
          <cell r="I171">
            <v>-1055.7168538204842</v>
          </cell>
        </row>
        <row r="172">
          <cell r="I172">
            <v>0</v>
          </cell>
        </row>
        <row r="174">
          <cell r="I174">
            <v>2908.2904948400173</v>
          </cell>
        </row>
        <row r="175">
          <cell r="I175">
            <v>-1517.3749542244705</v>
          </cell>
        </row>
        <row r="176">
          <cell r="I176">
            <v>0</v>
          </cell>
        </row>
        <row r="177">
          <cell r="I177">
            <v>210.84242529510993</v>
          </cell>
        </row>
        <row r="178">
          <cell r="I178">
            <v>-4198.5679285379201</v>
          </cell>
        </row>
        <row r="180">
          <cell r="I180">
            <v>0</v>
          </cell>
        </row>
        <row r="185">
          <cell r="I185">
            <v>0</v>
          </cell>
        </row>
        <row r="186">
          <cell r="I186">
            <v>-24145.178855639864</v>
          </cell>
        </row>
        <row r="190">
          <cell r="I190">
            <v>-13786.843486509482</v>
          </cell>
        </row>
        <row r="191">
          <cell r="I191">
            <v>-3516.4052830321971</v>
          </cell>
        </row>
        <row r="193">
          <cell r="I193">
            <v>3960.2403711526622</v>
          </cell>
        </row>
        <row r="195">
          <cell r="I195">
            <v>0</v>
          </cell>
        </row>
        <row r="197">
          <cell r="I197">
            <v>-13026.842935677982</v>
          </cell>
        </row>
        <row r="198">
          <cell r="I198">
            <v>2014.4652695225413</v>
          </cell>
        </row>
        <row r="199">
          <cell r="I199">
            <v>1947.4588755535794</v>
          </cell>
        </row>
        <row r="200">
          <cell r="I200">
            <v>0</v>
          </cell>
        </row>
        <row r="201">
          <cell r="I201">
            <v>-19208.648799330509</v>
          </cell>
        </row>
        <row r="202">
          <cell r="I202">
            <v>-3892.7998885716588</v>
          </cell>
        </row>
        <row r="203">
          <cell r="I203">
            <v>-38409.203719952857</v>
          </cell>
        </row>
        <row r="204">
          <cell r="I204">
            <v>-24019.310514481713</v>
          </cell>
        </row>
        <row r="205">
          <cell r="I205">
            <v>-103721.21890892257</v>
          </cell>
        </row>
        <row r="206">
          <cell r="I206">
            <v>-17927.028628168486</v>
          </cell>
        </row>
        <row r="207">
          <cell r="I207">
            <v>0</v>
          </cell>
        </row>
        <row r="208">
          <cell r="I208">
            <v>-8439.5432957393314</v>
          </cell>
        </row>
        <row r="209">
          <cell r="I209">
            <v>5965.2293969065395</v>
          </cell>
        </row>
        <row r="210">
          <cell r="I210">
            <v>-1265.9733586273378</v>
          </cell>
        </row>
        <row r="211">
          <cell r="I211">
            <v>0</v>
          </cell>
        </row>
        <row r="212">
          <cell r="I212">
            <v>430.97853243066493</v>
          </cell>
        </row>
        <row r="213">
          <cell r="I213">
            <v>3998.0606576154573</v>
          </cell>
        </row>
        <row r="214">
          <cell r="I214">
            <v>-3516.4052830321971</v>
          </cell>
        </row>
        <row r="215">
          <cell r="I215">
            <v>-15666.0156532652</v>
          </cell>
        </row>
        <row r="216">
          <cell r="I216">
            <v>-1360.5831120636303</v>
          </cell>
        </row>
        <row r="217">
          <cell r="I217">
            <v>-3516.4052830321971</v>
          </cell>
        </row>
        <row r="218">
          <cell r="I218">
            <v>0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ble 5B1_RSD_Orleans"/>
    </sheetNames>
    <sheetDataSet>
      <sheetData sheetId="0"/>
      <sheetData sheetId="1">
        <row r="7">
          <cell r="AK7">
            <v>378368.10366666672</v>
          </cell>
        </row>
        <row r="10">
          <cell r="AK10">
            <v>151855.48799999998</v>
          </cell>
        </row>
        <row r="11">
          <cell r="AK11">
            <v>173985.33600000001</v>
          </cell>
        </row>
        <row r="12">
          <cell r="AK12">
            <v>250007.54799999998</v>
          </cell>
        </row>
        <row r="13">
          <cell r="AK13">
            <v>156322.72199999998</v>
          </cell>
        </row>
        <row r="14">
          <cell r="AK14">
            <v>69318.407999999996</v>
          </cell>
        </row>
        <row r="15">
          <cell r="AK15">
            <v>72428.733999999997</v>
          </cell>
        </row>
        <row r="16">
          <cell r="AK16">
            <v>134402.11199999999</v>
          </cell>
        </row>
        <row r="17">
          <cell r="AK17">
            <v>199944.82999999996</v>
          </cell>
        </row>
        <row r="18">
          <cell r="AK18">
            <v>128560.444</v>
          </cell>
        </row>
        <row r="19">
          <cell r="AK19">
            <v>199548.88800000001</v>
          </cell>
        </row>
        <row r="20">
          <cell r="AK20">
            <v>76849.856000000014</v>
          </cell>
        </row>
        <row r="21">
          <cell r="AK21">
            <v>149947.80799999999</v>
          </cell>
        </row>
        <row r="22">
          <cell r="AK22">
            <v>160240.13600000003</v>
          </cell>
        </row>
        <row r="23">
          <cell r="AK23">
            <v>248912.30599999998</v>
          </cell>
        </row>
        <row r="24">
          <cell r="AK24">
            <v>250088.22999999998</v>
          </cell>
        </row>
        <row r="25">
          <cell r="AK25">
            <v>243808.38399999996</v>
          </cell>
        </row>
        <row r="26">
          <cell r="AK26">
            <v>71907.077999999994</v>
          </cell>
        </row>
        <row r="27">
          <cell r="AK27">
            <v>68153.030000000013</v>
          </cell>
        </row>
        <row r="28">
          <cell r="AK28">
            <v>312105.20800000004</v>
          </cell>
        </row>
        <row r="29">
          <cell r="AK29">
            <v>152237.144</v>
          </cell>
        </row>
        <row r="30">
          <cell r="AK30">
            <v>151855.48799999998</v>
          </cell>
        </row>
        <row r="31">
          <cell r="AK31">
            <v>153381.71200000003</v>
          </cell>
        </row>
        <row r="32">
          <cell r="AK32">
            <v>189656.50399999999</v>
          </cell>
        </row>
        <row r="33">
          <cell r="AK33">
            <v>152300.356</v>
          </cell>
        </row>
        <row r="34">
          <cell r="AK34">
            <v>90135.188000000009</v>
          </cell>
        </row>
        <row r="35">
          <cell r="AK35">
            <v>80693.612000000008</v>
          </cell>
        </row>
        <row r="36">
          <cell r="AK36">
            <v>102688.25</v>
          </cell>
        </row>
        <row r="37">
          <cell r="AK37">
            <v>134304.51200000002</v>
          </cell>
        </row>
        <row r="38">
          <cell r="AK38">
            <v>188102.50800000003</v>
          </cell>
        </row>
        <row r="39">
          <cell r="AK39">
            <v>127109.45600000001</v>
          </cell>
        </row>
        <row r="40">
          <cell r="AK40">
            <v>232330.54799999998</v>
          </cell>
        </row>
        <row r="41">
          <cell r="AK41">
            <v>215318.42799999999</v>
          </cell>
        </row>
        <row r="42">
          <cell r="AK42">
            <v>264793.46399999998</v>
          </cell>
        </row>
        <row r="43">
          <cell r="AK43">
            <v>132396.63200000001</v>
          </cell>
        </row>
        <row r="44">
          <cell r="AK44">
            <v>162507.5</v>
          </cell>
        </row>
        <row r="45">
          <cell r="AK45">
            <v>338225.46600000001</v>
          </cell>
        </row>
        <row r="46">
          <cell r="AK46">
            <v>177975.84600000002</v>
          </cell>
        </row>
        <row r="47">
          <cell r="AK47">
            <v>169406.66399999999</v>
          </cell>
        </row>
        <row r="48">
          <cell r="AK48">
            <v>256256.13800000001</v>
          </cell>
        </row>
        <row r="49">
          <cell r="AK49">
            <v>230868.236</v>
          </cell>
        </row>
        <row r="50">
          <cell r="AK50">
            <v>238755.40399999998</v>
          </cell>
        </row>
        <row r="51">
          <cell r="AK51">
            <v>179487.5</v>
          </cell>
        </row>
        <row r="52">
          <cell r="AK52">
            <v>327510.47399999999</v>
          </cell>
        </row>
        <row r="53">
          <cell r="AK53">
            <v>74730.47600000001</v>
          </cell>
        </row>
        <row r="54">
          <cell r="AK54">
            <v>184287.04799999998</v>
          </cell>
        </row>
        <row r="55">
          <cell r="AK55">
            <v>275025.74799999996</v>
          </cell>
        </row>
        <row r="56">
          <cell r="AK56">
            <v>325193.83399999997</v>
          </cell>
        </row>
        <row r="57">
          <cell r="AK57">
            <v>155051.73000000001</v>
          </cell>
        </row>
        <row r="58">
          <cell r="AK58">
            <v>195733.52799999996</v>
          </cell>
        </row>
        <row r="59">
          <cell r="AK59">
            <v>158426.67799999999</v>
          </cell>
        </row>
        <row r="60">
          <cell r="AK60">
            <v>313551.52400000003</v>
          </cell>
        </row>
        <row r="61">
          <cell r="AK61">
            <v>193825.64800000002</v>
          </cell>
        </row>
        <row r="62">
          <cell r="AK62">
            <v>184875.01</v>
          </cell>
        </row>
        <row r="63">
          <cell r="AK63">
            <v>150330.46400000001</v>
          </cell>
        </row>
        <row r="64">
          <cell r="AK64">
            <v>180090.03200000001</v>
          </cell>
        </row>
        <row r="65">
          <cell r="AK65">
            <v>246097.52000000002</v>
          </cell>
        </row>
        <row r="66">
          <cell r="AK66">
            <v>238848.25600000002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able 5B1_RSD_Orleans"/>
    </sheetNames>
    <sheetDataSet>
      <sheetData sheetId="0"/>
      <sheetData sheetId="1">
        <row r="7">
          <cell r="AK7">
            <v>379586.88766666671</v>
          </cell>
        </row>
        <row r="10">
          <cell r="AK10">
            <v>151855.48799999998</v>
          </cell>
        </row>
        <row r="11">
          <cell r="AK11">
            <v>173985.33599999998</v>
          </cell>
        </row>
        <row r="12">
          <cell r="AK12">
            <v>250007.54800000001</v>
          </cell>
        </row>
        <row r="13">
          <cell r="AK13">
            <v>156322.72199999998</v>
          </cell>
        </row>
        <row r="14">
          <cell r="AK14">
            <v>69318.407999999996</v>
          </cell>
        </row>
        <row r="15">
          <cell r="AK15">
            <v>140680.63800000004</v>
          </cell>
        </row>
        <row r="16">
          <cell r="AK16">
            <v>134402.11200000002</v>
          </cell>
        </row>
        <row r="17">
          <cell r="AK17">
            <v>199944.83</v>
          </cell>
        </row>
        <row r="18">
          <cell r="AK18">
            <v>128560.44399999999</v>
          </cell>
        </row>
        <row r="19">
          <cell r="AK19">
            <v>199548.88799999998</v>
          </cell>
        </row>
        <row r="20">
          <cell r="AK20">
            <v>76849.856</v>
          </cell>
        </row>
        <row r="21">
          <cell r="AK21">
            <v>149947.80800000002</v>
          </cell>
        </row>
        <row r="22">
          <cell r="AK22">
            <v>160240.13600000003</v>
          </cell>
        </row>
        <row r="23">
          <cell r="AK23">
            <v>248912.30599999995</v>
          </cell>
        </row>
        <row r="24">
          <cell r="AK24">
            <v>250088.22999999998</v>
          </cell>
        </row>
        <row r="25">
          <cell r="AK25">
            <v>243808.38399999999</v>
          </cell>
        </row>
        <row r="26">
          <cell r="AK26">
            <v>71907.078000000009</v>
          </cell>
        </row>
        <row r="27">
          <cell r="AK27">
            <v>68153.03</v>
          </cell>
        </row>
        <row r="28">
          <cell r="AK28">
            <v>312105.20799999998</v>
          </cell>
        </row>
        <row r="29">
          <cell r="AK29">
            <v>152237.144</v>
          </cell>
        </row>
        <row r="30">
          <cell r="AK30">
            <v>151855.48799999998</v>
          </cell>
        </row>
        <row r="31">
          <cell r="AK31">
            <v>153381.712</v>
          </cell>
        </row>
        <row r="32">
          <cell r="AK32">
            <v>189656.50400000002</v>
          </cell>
        </row>
        <row r="33">
          <cell r="AK33">
            <v>152300.356</v>
          </cell>
        </row>
        <row r="34">
          <cell r="AK34">
            <v>90135.188000000009</v>
          </cell>
        </row>
        <row r="35">
          <cell r="AK35">
            <v>80693.611999999994</v>
          </cell>
        </row>
        <row r="36">
          <cell r="AK36">
            <v>102688.25</v>
          </cell>
        </row>
        <row r="37">
          <cell r="AK37">
            <v>134304.51200000002</v>
          </cell>
        </row>
        <row r="38">
          <cell r="AK38">
            <v>188102.508</v>
          </cell>
        </row>
        <row r="39">
          <cell r="AK39">
            <v>127109.45600000001</v>
          </cell>
        </row>
        <row r="40">
          <cell r="AK40">
            <v>232330.54800000001</v>
          </cell>
        </row>
        <row r="41">
          <cell r="AK41">
            <v>215318.42799999999</v>
          </cell>
        </row>
        <row r="42">
          <cell r="AK42">
            <v>264793.46400000004</v>
          </cell>
        </row>
        <row r="43">
          <cell r="AK43">
            <v>132396.63200000001</v>
          </cell>
        </row>
        <row r="44">
          <cell r="AK44">
            <v>162507.5</v>
          </cell>
        </row>
        <row r="45">
          <cell r="AK45">
            <v>338225.46600000001</v>
          </cell>
        </row>
        <row r="46">
          <cell r="AK46">
            <v>177975.84599999999</v>
          </cell>
        </row>
        <row r="47">
          <cell r="AK47">
            <v>169406.66400000002</v>
          </cell>
        </row>
        <row r="48">
          <cell r="AK48">
            <v>256256.13799999998</v>
          </cell>
        </row>
        <row r="49">
          <cell r="AK49">
            <v>230868.23599999998</v>
          </cell>
        </row>
        <row r="50">
          <cell r="AK50">
            <v>238755.40400000001</v>
          </cell>
        </row>
        <row r="51">
          <cell r="AK51">
            <v>179487.5</v>
          </cell>
        </row>
        <row r="52">
          <cell r="AK52">
            <v>327510.47400000005</v>
          </cell>
        </row>
        <row r="53">
          <cell r="AK53">
            <v>74730.475999999995</v>
          </cell>
        </row>
        <row r="54">
          <cell r="AK54">
            <v>184287.04800000001</v>
          </cell>
        </row>
        <row r="55">
          <cell r="AK55">
            <v>275025.74800000002</v>
          </cell>
        </row>
        <row r="56">
          <cell r="AK56">
            <v>325193.83399999997</v>
          </cell>
        </row>
        <row r="57">
          <cell r="AK57">
            <v>155051.72999999998</v>
          </cell>
        </row>
        <row r="58">
          <cell r="AK58">
            <v>195733.52799999999</v>
          </cell>
        </row>
        <row r="59">
          <cell r="AK59">
            <v>158426.67799999999</v>
          </cell>
        </row>
        <row r="60">
          <cell r="AK60">
            <v>313551.52400000003</v>
          </cell>
        </row>
        <row r="61">
          <cell r="AK61">
            <v>193825.64799999999</v>
          </cell>
        </row>
        <row r="62">
          <cell r="AK62">
            <v>184875.01</v>
          </cell>
        </row>
        <row r="63">
          <cell r="AK63">
            <v>150330.46400000001</v>
          </cell>
        </row>
        <row r="64">
          <cell r="AK64">
            <v>180090.03200000004</v>
          </cell>
        </row>
        <row r="65">
          <cell r="AK65">
            <v>246097.52000000002</v>
          </cell>
        </row>
        <row r="66">
          <cell r="AK66">
            <v>238848.25599999999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mparison Type 2"/>
      <sheetName val="Comparison Other"/>
      <sheetName val="Comparison City-Parish w $69"/>
      <sheetName val="Comparison City-Parish"/>
      <sheetName val="Diff w. $69M and w.o. $69M"/>
      <sheetName val="Factors"/>
      <sheetName val="Table 1 State Summary"/>
      <sheetName val="T1 V2"/>
      <sheetName val="T1-Original"/>
      <sheetName val="Table 2_State Distrib and Adjs"/>
      <sheetName val="Table 2A-1_EFT (Annual)"/>
      <sheetName val="Table 2A-2 EFT (Monthly)"/>
      <sheetName val="Table 3 Levels 1&amp;2"/>
      <sheetName val="Table 3A Level 3"/>
      <sheetName val="Table 4 Level 4"/>
      <sheetName val="Table 5A1_Labs"/>
      <sheetName val="Table 5A2- Legacy Type 2"/>
      <sheetName val="Table 5A3_OJJ"/>
      <sheetName val="Table 5A4_NOCCA"/>
      <sheetName val="Table 5A5_LSMSA"/>
      <sheetName val="Table 5A6_SSD"/>
      <sheetName val="Table 5A7_LSDVI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1O-Impact"/>
      <sheetName val="Table 5C1P-Vision"/>
      <sheetName val="Table 5C1Q-Advantage"/>
      <sheetName val="Table 5C1R-Iberville"/>
      <sheetName val="Table 5C1S-L.C. Coll Prep"/>
      <sheetName val="Table 5C1T-Northeast"/>
      <sheetName val="Table 5C1U-Acadiana Ren"/>
      <sheetName val="Table 5C1V-Laf Ren"/>
      <sheetName val="Table 5C1W-Laf North"/>
      <sheetName val="Table 5C2 - LA Virtual Admy"/>
      <sheetName val="Table 5C3 - LA Connections EBR"/>
      <sheetName val="Table 6 (Local Deduct Calc.)"/>
      <sheetName val="Table 7 Local Revenue"/>
      <sheetName val="Projected 2-1-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7">
          <cell r="B137">
            <v>300001</v>
          </cell>
          <cell r="C137" t="str">
            <v>Pierre A. Capdau Learning Acdmy (New Beg.)</v>
          </cell>
        </row>
        <row r="138">
          <cell r="B138">
            <v>300002</v>
          </cell>
          <cell r="C138" t="str">
            <v>Medard H. Nelson Elem (New Beg.)</v>
          </cell>
        </row>
        <row r="139">
          <cell r="B139">
            <v>300003</v>
          </cell>
          <cell r="C139" t="str">
            <v>Lake Area New Tech Early College (New Beg.)</v>
          </cell>
        </row>
        <row r="140">
          <cell r="B140">
            <v>300004</v>
          </cell>
          <cell r="C140" t="str">
            <v>Gentilly Terrace Elem (New Beg.)</v>
          </cell>
        </row>
        <row r="141">
          <cell r="B141">
            <v>360001</v>
          </cell>
          <cell r="C141" t="str">
            <v>The NET Charter School (Educators for Qual Alt)
Not in a District Building</v>
          </cell>
        </row>
        <row r="142">
          <cell r="B142">
            <v>361001</v>
          </cell>
          <cell r="C142" t="str">
            <v>Crescent Leadership Acdmy (Crescent Ldrsp Acdmy.)
Not in a District Building</v>
          </cell>
        </row>
        <row r="143">
          <cell r="B143">
            <v>362001</v>
          </cell>
          <cell r="C143" t="str">
            <v>John McDonogh H.S. (Future Is Now)</v>
          </cell>
        </row>
        <row r="144">
          <cell r="B144">
            <v>363001</v>
          </cell>
          <cell r="C144" t="str">
            <v>Harriet Tubman Charter School (Crescent City)</v>
          </cell>
        </row>
        <row r="145">
          <cell r="B145">
            <v>363002</v>
          </cell>
          <cell r="C145" t="str">
            <v>Paul Habans Elem (Crescent City Schools)</v>
          </cell>
        </row>
        <row r="146">
          <cell r="B146">
            <v>364001</v>
          </cell>
          <cell r="C146" t="str">
            <v>Fannie C. Williams Charter School (Comm Leaders)</v>
          </cell>
        </row>
        <row r="147">
          <cell r="B147">
            <v>366001</v>
          </cell>
          <cell r="C147" t="str">
            <v>Lagniappe Academies of N.O. (Lagniappe Academies)
Not in a District Building</v>
          </cell>
        </row>
        <row r="148">
          <cell r="B148">
            <v>367001</v>
          </cell>
          <cell r="C148" t="str">
            <v>Edgar P. Harney Spirit of Excellence Acdmy (Spirit of Excel)</v>
          </cell>
        </row>
        <row r="149">
          <cell r="B149">
            <v>368001</v>
          </cell>
          <cell r="C149" t="str">
            <v>Morris Jeff Community School (Morris Jeff Comm. School)
Not in a District Building</v>
          </cell>
        </row>
        <row r="150">
          <cell r="B150">
            <v>369001</v>
          </cell>
          <cell r="C150" t="str">
            <v>ReNEW Cultural Arts Acdmy. (ReNEW)</v>
          </cell>
        </row>
        <row r="151">
          <cell r="B151">
            <v>369002</v>
          </cell>
          <cell r="C151" t="str">
            <v>ReNEW SciTech Acdmy. (ReNEW)</v>
          </cell>
        </row>
        <row r="152">
          <cell r="B152">
            <v>369003</v>
          </cell>
          <cell r="C152" t="str">
            <v>ReNEW Delores T. Aaron Elem (ReNEW)</v>
          </cell>
        </row>
        <row r="153">
          <cell r="B153">
            <v>369004</v>
          </cell>
          <cell r="C153" t="str">
            <v>ReNEW Accelerated High School (ReNEW)</v>
          </cell>
        </row>
        <row r="154">
          <cell r="B154">
            <v>369005</v>
          </cell>
          <cell r="C154" t="str">
            <v>ReNEW Accelerated High, West Bank (ReNEW)</v>
          </cell>
        </row>
        <row r="155">
          <cell r="B155">
            <v>369006</v>
          </cell>
          <cell r="C155" t="str">
            <v>ReNEW Schaumburg Elem (ReNEW)</v>
          </cell>
        </row>
        <row r="156">
          <cell r="B156">
            <v>373001</v>
          </cell>
          <cell r="C156" t="str">
            <v>Arise Academy (Arise Academy)</v>
          </cell>
        </row>
        <row r="157">
          <cell r="B157">
            <v>373002</v>
          </cell>
          <cell r="C157" t="str">
            <v>Mildred Osborne Elem (Arise Academy)</v>
          </cell>
        </row>
        <row r="158">
          <cell r="B158">
            <v>374001</v>
          </cell>
          <cell r="C158" t="str">
            <v>Success Preparatory Academy (Success Prep)</v>
          </cell>
        </row>
        <row r="159">
          <cell r="B159">
            <v>381001</v>
          </cell>
          <cell r="C159" t="str">
            <v>Akili Academy of N.O. (Crescent City Schools)</v>
          </cell>
        </row>
        <row r="160">
          <cell r="B160">
            <v>382001</v>
          </cell>
          <cell r="C160" t="str">
            <v>Sci Academy (Collegiate Academies)</v>
          </cell>
        </row>
        <row r="161">
          <cell r="B161">
            <v>382002</v>
          </cell>
          <cell r="C161" t="str">
            <v>G.W. Carver Collegiate Acdmy (Collegiate Academies)</v>
          </cell>
        </row>
        <row r="162">
          <cell r="B162">
            <v>382003</v>
          </cell>
          <cell r="C162" t="str">
            <v>G.W. Carver Prep Acdmy (Collegiate Academies)</v>
          </cell>
        </row>
        <row r="163">
          <cell r="B163">
            <v>384001</v>
          </cell>
          <cell r="C163" t="str">
            <v>Miller McCoy Academy (Miller McCoy Academy)</v>
          </cell>
        </row>
        <row r="164">
          <cell r="B164">
            <v>385001</v>
          </cell>
          <cell r="C164" t="str">
            <v>Sylvanie Williams College Prep (N.O. College Prep)</v>
          </cell>
        </row>
        <row r="165">
          <cell r="B165">
            <v>385002</v>
          </cell>
          <cell r="C165" t="str">
            <v>Cohen College Prep (N.O. College Prep)</v>
          </cell>
        </row>
        <row r="166">
          <cell r="B166">
            <v>385003</v>
          </cell>
          <cell r="C166" t="str">
            <v>Crocker Prep (N.O. College Prep)</v>
          </cell>
        </row>
        <row r="167">
          <cell r="B167">
            <v>388001</v>
          </cell>
          <cell r="C167" t="str">
            <v>Andrew H. Wilson Charter (Broadmoor)</v>
          </cell>
        </row>
        <row r="168">
          <cell r="B168">
            <v>390001</v>
          </cell>
          <cell r="C168" t="str">
            <v>James M. Singleton Charter (Dryades YMCA)
Not in a District Building</v>
          </cell>
        </row>
        <row r="169">
          <cell r="B169">
            <v>391001</v>
          </cell>
          <cell r="C169" t="str">
            <v>Dr. MLK, Jr Charter for Sci &amp; Tech (Friends of King)</v>
          </cell>
        </row>
        <row r="170">
          <cell r="B170">
            <v>391002</v>
          </cell>
          <cell r="C170" t="str">
            <v>Joseph A. Craig (Friends of King)</v>
          </cell>
        </row>
        <row r="171">
          <cell r="B171">
            <v>392001</v>
          </cell>
          <cell r="C171" t="str">
            <v>McDonogh #28 City Park Acdmy (N.O. Charter Schls Fndtn)</v>
          </cell>
        </row>
        <row r="172">
          <cell r="B172">
            <v>393001</v>
          </cell>
          <cell r="C172" t="str">
            <v>Lafayette Academy (Choice Foundation)</v>
          </cell>
        </row>
        <row r="173">
          <cell r="B173">
            <v>393002</v>
          </cell>
          <cell r="C173" t="str">
            <v>Esperanza Charter (Choice Foundation)</v>
          </cell>
        </row>
        <row r="174">
          <cell r="B174">
            <v>393003</v>
          </cell>
          <cell r="C174" t="str">
            <v>McDonogh #42 Elem Charter (Choice Foundation)</v>
          </cell>
        </row>
        <row r="175">
          <cell r="B175">
            <v>395001</v>
          </cell>
          <cell r="C175" t="str">
            <v>Martin Behrman (ACSA)</v>
          </cell>
        </row>
        <row r="176">
          <cell r="B176">
            <v>395002</v>
          </cell>
          <cell r="C176" t="str">
            <v>Dwight D. Eisenhower (ACSA )</v>
          </cell>
        </row>
        <row r="177">
          <cell r="B177">
            <v>395003</v>
          </cell>
          <cell r="C177" t="str">
            <v>William J. Fischer (ACSA )</v>
          </cell>
        </row>
        <row r="178">
          <cell r="B178">
            <v>395004</v>
          </cell>
          <cell r="C178" t="str">
            <v>McDonogh #32 Elem (ACSA)</v>
          </cell>
        </row>
        <row r="179">
          <cell r="B179">
            <v>395005</v>
          </cell>
          <cell r="C179" t="str">
            <v>LB Landry-OP Walker College &amp; Career Prep (ACSA)</v>
          </cell>
        </row>
        <row r="180">
          <cell r="B180">
            <v>395007</v>
          </cell>
          <cell r="C180" t="str">
            <v>Algiers Trechnology Acdmy (ACSA)</v>
          </cell>
        </row>
        <row r="181">
          <cell r="B181">
            <v>397001</v>
          </cell>
          <cell r="C181" t="str">
            <v>Sophie B. Wright Learning Acdmy (Inst. of Academic Excel.)</v>
          </cell>
        </row>
        <row r="182">
          <cell r="B182">
            <v>398001</v>
          </cell>
          <cell r="C182" t="str">
            <v>KIPP Believe College Prep (KIPP N.O.)</v>
          </cell>
        </row>
        <row r="183">
          <cell r="B183">
            <v>398002</v>
          </cell>
          <cell r="C183" t="str">
            <v>KIPP Believe Primary (KIPP N.O.)</v>
          </cell>
        </row>
        <row r="184">
          <cell r="B184">
            <v>398003</v>
          </cell>
          <cell r="C184" t="str">
            <v>KIPP Central City Acdmy (KIPP N.O.)</v>
          </cell>
        </row>
        <row r="185">
          <cell r="B185">
            <v>398004</v>
          </cell>
          <cell r="C185" t="str">
            <v>Kipp Central City Primary (KIPP N.O.)</v>
          </cell>
        </row>
        <row r="186">
          <cell r="B186">
            <v>398005</v>
          </cell>
          <cell r="C186" t="str">
            <v>KIPP Renaissance High (KIPP N.O.)</v>
          </cell>
        </row>
        <row r="187">
          <cell r="B187">
            <v>398006</v>
          </cell>
          <cell r="C187" t="str">
            <v>Kipp N.O. Leadership Acdmy (KIPP N.O.)</v>
          </cell>
        </row>
        <row r="188">
          <cell r="B188">
            <v>399001</v>
          </cell>
          <cell r="C188" t="str">
            <v>S.J. Green Charter (Firstline Schools)</v>
          </cell>
        </row>
        <row r="189">
          <cell r="B189">
            <v>399002</v>
          </cell>
          <cell r="C189" t="str">
            <v>Arthur Ashe Charter (Firstline Schools)</v>
          </cell>
        </row>
        <row r="190">
          <cell r="B190">
            <v>399003</v>
          </cell>
          <cell r="C190" t="str">
            <v>Joseph Clark High (Firstline Schools)</v>
          </cell>
        </row>
        <row r="191">
          <cell r="B191">
            <v>399004</v>
          </cell>
          <cell r="C191" t="str">
            <v>John Dibert Community (Firstline Schools)</v>
          </cell>
        </row>
        <row r="192">
          <cell r="B192">
            <v>399005</v>
          </cell>
          <cell r="C192" t="str">
            <v>Langston Hughes Acdmy (Firstline Schools)</v>
          </cell>
        </row>
        <row r="193">
          <cell r="B193" t="str">
            <v>3A5001</v>
          </cell>
          <cell r="C193" t="str">
            <v>Mary D. Coghill Accelerated (Better Choice Foundation)</v>
          </cell>
        </row>
        <row r="194">
          <cell r="B194" t="str">
            <v>39800x</v>
          </cell>
          <cell r="C194" t="str">
            <v>KIPP East (KIPP)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D-NO by Site"/>
    </sheetNames>
    <sheetDataSet>
      <sheetData sheetId="0">
        <row r="5">
          <cell r="D5">
            <v>398</v>
          </cell>
        </row>
        <row r="6">
          <cell r="D6">
            <v>456</v>
          </cell>
        </row>
        <row r="7">
          <cell r="D7">
            <v>658</v>
          </cell>
        </row>
        <row r="8">
          <cell r="D8">
            <v>412</v>
          </cell>
        </row>
        <row r="9">
          <cell r="D9">
            <v>156</v>
          </cell>
        </row>
        <row r="10">
          <cell r="D10">
            <v>163</v>
          </cell>
        </row>
        <row r="11">
          <cell r="D11">
            <v>377</v>
          </cell>
        </row>
        <row r="12">
          <cell r="D12">
            <v>530</v>
          </cell>
        </row>
        <row r="13">
          <cell r="D13">
            <v>523</v>
          </cell>
        </row>
        <row r="14">
          <cell r="D14">
            <v>121</v>
          </cell>
        </row>
        <row r="15">
          <cell r="D15">
            <v>393</v>
          </cell>
        </row>
        <row r="16">
          <cell r="D16">
            <v>262</v>
          </cell>
        </row>
        <row r="17">
          <cell r="D17">
            <v>636</v>
          </cell>
        </row>
        <row r="18">
          <cell r="D18">
            <v>655</v>
          </cell>
        </row>
        <row r="19">
          <cell r="D19">
            <v>639</v>
          </cell>
        </row>
        <row r="20">
          <cell r="D20">
            <v>188</v>
          </cell>
        </row>
        <row r="21">
          <cell r="D21">
            <v>180</v>
          </cell>
        </row>
        <row r="23">
          <cell r="D23">
            <v>399</v>
          </cell>
        </row>
        <row r="24">
          <cell r="D24">
            <v>402</v>
          </cell>
        </row>
        <row r="29">
          <cell r="D29">
            <v>381</v>
          </cell>
        </row>
        <row r="30">
          <cell r="D30">
            <v>401</v>
          </cell>
        </row>
        <row r="31">
          <cell r="D31">
            <v>105</v>
          </cell>
        </row>
        <row r="32">
          <cell r="D32">
            <v>100</v>
          </cell>
        </row>
        <row r="33">
          <cell r="D33">
            <v>400</v>
          </cell>
        </row>
        <row r="34">
          <cell r="D34">
            <v>352</v>
          </cell>
        </row>
        <row r="35">
          <cell r="D35">
            <v>493</v>
          </cell>
        </row>
        <row r="36">
          <cell r="D36">
            <v>608</v>
          </cell>
        </row>
        <row r="37">
          <cell r="D37">
            <v>596</v>
          </cell>
        </row>
        <row r="38">
          <cell r="D38">
            <v>694</v>
          </cell>
        </row>
        <row r="39">
          <cell r="D39">
            <v>347</v>
          </cell>
        </row>
        <row r="40">
          <cell r="D40">
            <v>425</v>
          </cell>
        </row>
        <row r="41">
          <cell r="D41">
            <v>886</v>
          </cell>
        </row>
        <row r="42">
          <cell r="D42">
            <v>466</v>
          </cell>
        </row>
        <row r="43">
          <cell r="D43">
            <v>444</v>
          </cell>
        </row>
        <row r="44">
          <cell r="D44">
            <v>673</v>
          </cell>
        </row>
        <row r="45">
          <cell r="D45">
            <v>606</v>
          </cell>
        </row>
        <row r="46">
          <cell r="D46">
            <v>634</v>
          </cell>
        </row>
        <row r="47">
          <cell r="D47">
            <v>475</v>
          </cell>
        </row>
        <row r="48">
          <cell r="D48">
            <v>879</v>
          </cell>
        </row>
        <row r="49">
          <cell r="D49">
            <v>261</v>
          </cell>
        </row>
        <row r="50">
          <cell r="D50">
            <v>483</v>
          </cell>
        </row>
        <row r="51">
          <cell r="D51">
            <v>603</v>
          </cell>
        </row>
        <row r="52">
          <cell r="D52">
            <v>763</v>
          </cell>
        </row>
        <row r="53">
          <cell r="D53">
            <v>405</v>
          </cell>
        </row>
        <row r="55">
          <cell r="D55">
            <v>343</v>
          </cell>
        </row>
        <row r="56">
          <cell r="D56">
            <v>514</v>
          </cell>
        </row>
        <row r="57">
          <cell r="D57">
            <v>508</v>
          </cell>
        </row>
        <row r="58">
          <cell r="D58">
            <v>485</v>
          </cell>
        </row>
        <row r="59">
          <cell r="D59">
            <v>394</v>
          </cell>
        </row>
        <row r="60">
          <cell r="D60">
            <v>472</v>
          </cell>
        </row>
        <row r="61">
          <cell r="D61">
            <v>645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PP by Site &amp; Grade"/>
    </sheetNames>
    <sheetDataSet>
      <sheetData sheetId="0">
        <row r="7">
          <cell r="R7">
            <v>513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D by Site"/>
    </sheetNames>
    <sheetDataSet>
      <sheetData sheetId="0">
        <row r="19">
          <cell r="C19">
            <v>239</v>
          </cell>
        </row>
        <row r="21">
          <cell r="C21">
            <v>332</v>
          </cell>
        </row>
        <row r="22">
          <cell r="C22">
            <v>202</v>
          </cell>
        </row>
        <row r="23">
          <cell r="C23">
            <v>209</v>
          </cell>
        </row>
        <row r="25">
          <cell r="C25">
            <v>266</v>
          </cell>
        </row>
        <row r="26">
          <cell r="C26">
            <v>338</v>
          </cell>
        </row>
        <row r="27">
          <cell r="C27">
            <v>165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/>
      <sheetData sheetId="1"/>
      <sheetData sheetId="2"/>
      <sheetData sheetId="3"/>
      <sheetData sheetId="4"/>
      <sheetData sheetId="5">
        <row r="16">
          <cell r="AL16">
            <v>4395.6154516889328</v>
          </cell>
        </row>
      </sheetData>
      <sheetData sheetId="6"/>
      <sheetData sheetId="7"/>
      <sheetData sheetId="8"/>
      <sheetData sheetId="9"/>
      <sheetData sheetId="10">
        <row r="10">
          <cell r="T10">
            <v>111750</v>
          </cell>
          <cell r="V10">
            <v>51760.99612164819</v>
          </cell>
          <cell r="AJ10">
            <v>74128.5</v>
          </cell>
        </row>
        <row r="11">
          <cell r="V11">
            <v>74610.455540305775</v>
          </cell>
          <cell r="AJ11">
            <v>106787.1</v>
          </cell>
        </row>
        <row r="12">
          <cell r="V12">
            <v>68431.681155456186</v>
          </cell>
          <cell r="AJ12">
            <v>97966.2</v>
          </cell>
        </row>
        <row r="13">
          <cell r="V13">
            <v>89210.166889855129</v>
          </cell>
          <cell r="AJ13">
            <v>127705.8</v>
          </cell>
        </row>
        <row r="14">
          <cell r="V14">
            <v>113486.05135831826</v>
          </cell>
          <cell r="AJ14">
            <v>162450.9</v>
          </cell>
        </row>
        <row r="15">
          <cell r="V15">
            <v>105277.13347810174</v>
          </cell>
          <cell r="AJ15">
            <v>150859</v>
          </cell>
        </row>
        <row r="16">
          <cell r="V16">
            <v>86220.84585281655</v>
          </cell>
          <cell r="AJ16">
            <v>125144</v>
          </cell>
        </row>
        <row r="17">
          <cell r="V17">
            <v>164159.95936159365</v>
          </cell>
        </row>
        <row r="23">
          <cell r="V23">
            <v>68864.122767344379</v>
          </cell>
          <cell r="AJ23">
            <v>65310.8</v>
          </cell>
        </row>
        <row r="28">
          <cell r="V28">
            <v>68368.261276858771</v>
          </cell>
          <cell r="AJ28">
            <v>52605.45</v>
          </cell>
        </row>
        <row r="29">
          <cell r="V29">
            <v>213898.33653238299</v>
          </cell>
        </row>
        <row r="35">
          <cell r="V35">
            <v>163119.75605093193</v>
          </cell>
          <cell r="AJ35">
            <v>41286.1</v>
          </cell>
        </row>
      </sheetData>
      <sheetData sheetId="11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89373.324946232766</v>
          </cell>
          <cell r="AF23">
            <v>146901.27486363635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360.93257463430854</v>
          </cell>
          <cell r="AF30">
            <v>973.65975000000003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-55.236886828471043</v>
          </cell>
          <cell r="AF38">
            <v>-19.124795454545456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650.34070372334486</v>
          </cell>
          <cell r="AF67">
            <v>1141.7369886363635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1404.6955248171605</v>
          </cell>
          <cell r="AF73">
            <v>1294.0960454545454</v>
          </cell>
        </row>
        <row r="74">
          <cell r="T74">
            <v>3346.238647919763</v>
          </cell>
          <cell r="AF74">
            <v>1304.2463636363634</v>
          </cell>
        </row>
        <row r="75">
          <cell r="T75">
            <v>0</v>
          </cell>
          <cell r="AF75">
            <v>0</v>
          </cell>
        </row>
      </sheetData>
      <sheetData sheetId="12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-93.52165146961984</v>
          </cell>
          <cell r="AF20">
            <v>-60.242954545454552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4206.2248140168995</v>
          </cell>
          <cell r="AF37">
            <v>4058.3136363636368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8347.5039360961728</v>
          </cell>
          <cell r="AF43">
            <v>4374.8218977272727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333271.67918834707</v>
          </cell>
          <cell r="AF62">
            <v>165882.14164772729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-269.74381186174452</v>
          </cell>
          <cell r="AF71">
            <v>-249.42487500000001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  <row r="76">
          <cell r="T76">
            <v>-42.191629217413222</v>
          </cell>
        </row>
      </sheetData>
      <sheetData sheetId="13"/>
      <sheetData sheetId="14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70496.870593597967</v>
          </cell>
          <cell r="AF32">
            <v>90422.287878787873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54797.378990907826</v>
          </cell>
          <cell r="AF42">
            <v>69881.854477272718</v>
          </cell>
        </row>
        <row r="43">
          <cell r="T43">
            <v>0</v>
          </cell>
          <cell r="AF43">
            <v>0</v>
          </cell>
        </row>
        <row r="44">
          <cell r="T44">
            <v>2750.1529400402651</v>
          </cell>
          <cell r="AF44">
            <v>9887.2411590909087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356.42551116792276</v>
          </cell>
          <cell r="AF50">
            <v>303.24000000000007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411.46431058173067</v>
          </cell>
          <cell r="AF58">
            <v>354.67472727272724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15">
        <row r="7">
          <cell r="T7">
            <v>0</v>
          </cell>
          <cell r="AH7">
            <v>0</v>
          </cell>
        </row>
        <row r="8">
          <cell r="T8">
            <v>0</v>
          </cell>
          <cell r="AH8">
            <v>0</v>
          </cell>
        </row>
        <row r="9">
          <cell r="T9">
            <v>0</v>
          </cell>
          <cell r="AH9">
            <v>0</v>
          </cell>
        </row>
        <row r="10">
          <cell r="T10">
            <v>0</v>
          </cell>
          <cell r="AH10">
            <v>0</v>
          </cell>
        </row>
        <row r="11">
          <cell r="T11">
            <v>0</v>
          </cell>
          <cell r="AH11">
            <v>0</v>
          </cell>
        </row>
        <row r="12">
          <cell r="T12">
            <v>0</v>
          </cell>
          <cell r="AH12">
            <v>0</v>
          </cell>
        </row>
        <row r="13">
          <cell r="T13">
            <v>0</v>
          </cell>
          <cell r="AH13">
            <v>0</v>
          </cell>
        </row>
        <row r="14">
          <cell r="T14">
            <v>0</v>
          </cell>
          <cell r="AH14">
            <v>0</v>
          </cell>
        </row>
        <row r="15">
          <cell r="T15">
            <v>0</v>
          </cell>
          <cell r="AH15">
            <v>0</v>
          </cell>
        </row>
        <row r="16">
          <cell r="T16">
            <v>0</v>
          </cell>
          <cell r="AH16">
            <v>0</v>
          </cell>
        </row>
        <row r="17">
          <cell r="T17">
            <v>0</v>
          </cell>
          <cell r="AH17">
            <v>0</v>
          </cell>
        </row>
        <row r="18">
          <cell r="T18">
            <v>0</v>
          </cell>
          <cell r="AH18">
            <v>0</v>
          </cell>
        </row>
        <row r="19">
          <cell r="T19">
            <v>0</v>
          </cell>
          <cell r="AH19">
            <v>0</v>
          </cell>
        </row>
        <row r="20">
          <cell r="T20">
            <v>0</v>
          </cell>
          <cell r="AH20">
            <v>0</v>
          </cell>
        </row>
        <row r="21">
          <cell r="T21">
            <v>0</v>
          </cell>
          <cell r="AH21">
            <v>0</v>
          </cell>
        </row>
        <row r="22">
          <cell r="T22">
            <v>0</v>
          </cell>
          <cell r="AH22">
            <v>0</v>
          </cell>
        </row>
        <row r="23">
          <cell r="T23">
            <v>373.11435407556127</v>
          </cell>
          <cell r="AH23">
            <v>613.28113636363628</v>
          </cell>
        </row>
        <row r="24">
          <cell r="T24">
            <v>0</v>
          </cell>
          <cell r="AH24">
            <v>0</v>
          </cell>
        </row>
        <row r="25">
          <cell r="T25">
            <v>0</v>
          </cell>
          <cell r="AH25">
            <v>0</v>
          </cell>
        </row>
        <row r="26">
          <cell r="T26">
            <v>0</v>
          </cell>
          <cell r="AH26">
            <v>0</v>
          </cell>
        </row>
        <row r="27">
          <cell r="T27">
            <v>0</v>
          </cell>
          <cell r="AH27">
            <v>0</v>
          </cell>
        </row>
        <row r="28">
          <cell r="T28">
            <v>0</v>
          </cell>
          <cell r="AH28">
            <v>0</v>
          </cell>
        </row>
        <row r="29">
          <cell r="T29">
            <v>0</v>
          </cell>
          <cell r="AH29">
            <v>0</v>
          </cell>
        </row>
        <row r="30">
          <cell r="T30">
            <v>0</v>
          </cell>
          <cell r="AH30">
            <v>0</v>
          </cell>
        </row>
        <row r="31">
          <cell r="T31">
            <v>0</v>
          </cell>
          <cell r="AH31">
            <v>0</v>
          </cell>
        </row>
        <row r="32">
          <cell r="T32">
            <v>22216.711025814024</v>
          </cell>
          <cell r="AH32">
            <v>28508.398863636365</v>
          </cell>
        </row>
        <row r="33">
          <cell r="T33">
            <v>0</v>
          </cell>
          <cell r="AH33">
            <v>0</v>
          </cell>
        </row>
        <row r="34">
          <cell r="T34">
            <v>0</v>
          </cell>
          <cell r="AH34">
            <v>0</v>
          </cell>
        </row>
        <row r="35">
          <cell r="T35">
            <v>426.88544016109108</v>
          </cell>
          <cell r="AH35">
            <v>431.91750000000002</v>
          </cell>
        </row>
        <row r="36">
          <cell r="T36">
            <v>0</v>
          </cell>
          <cell r="AH36">
            <v>0</v>
          </cell>
        </row>
        <row r="37">
          <cell r="T37">
            <v>0</v>
          </cell>
          <cell r="AH37">
            <v>0</v>
          </cell>
        </row>
        <row r="38">
          <cell r="T38">
            <v>0</v>
          </cell>
          <cell r="AH38">
            <v>0</v>
          </cell>
        </row>
        <row r="39">
          <cell r="T39">
            <v>0</v>
          </cell>
          <cell r="AH39">
            <v>0</v>
          </cell>
        </row>
        <row r="40">
          <cell r="T40">
            <v>0</v>
          </cell>
          <cell r="AH40">
            <v>0</v>
          </cell>
        </row>
        <row r="41">
          <cell r="T41">
            <v>0</v>
          </cell>
          <cell r="AH41">
            <v>0</v>
          </cell>
        </row>
        <row r="42">
          <cell r="T42">
            <v>81106.311243544202</v>
          </cell>
          <cell r="AH42">
            <v>103433.03902272729</v>
          </cell>
        </row>
        <row r="43">
          <cell r="T43">
            <v>0</v>
          </cell>
          <cell r="AH43">
            <v>0</v>
          </cell>
        </row>
        <row r="44">
          <cell r="T44">
            <v>1027.8810822409628</v>
          </cell>
          <cell r="AH44">
            <v>3695.3974431818183</v>
          </cell>
        </row>
        <row r="45">
          <cell r="T45">
            <v>0</v>
          </cell>
          <cell r="AH45">
            <v>0</v>
          </cell>
        </row>
        <row r="46">
          <cell r="T46">
            <v>0</v>
          </cell>
          <cell r="AH46">
            <v>0</v>
          </cell>
        </row>
        <row r="47">
          <cell r="T47">
            <v>0</v>
          </cell>
          <cell r="AH47">
            <v>0</v>
          </cell>
        </row>
        <row r="48">
          <cell r="T48">
            <v>0</v>
          </cell>
          <cell r="AH48">
            <v>0</v>
          </cell>
        </row>
        <row r="49">
          <cell r="T49">
            <v>0</v>
          </cell>
          <cell r="AH49">
            <v>0</v>
          </cell>
        </row>
        <row r="50">
          <cell r="T50">
            <v>1425.7020446716911</v>
          </cell>
          <cell r="AH50">
            <v>1212.9599999999998</v>
          </cell>
        </row>
        <row r="51">
          <cell r="T51">
            <v>512.11335212837378</v>
          </cell>
          <cell r="AH51">
            <v>1961.5837500000002</v>
          </cell>
        </row>
        <row r="52">
          <cell r="T52">
            <v>0</v>
          </cell>
          <cell r="AH52">
            <v>0</v>
          </cell>
        </row>
        <row r="53">
          <cell r="T53">
            <v>0</v>
          </cell>
          <cell r="AH53">
            <v>0</v>
          </cell>
        </row>
        <row r="54">
          <cell r="T54">
            <v>0</v>
          </cell>
          <cell r="AH54">
            <v>0</v>
          </cell>
        </row>
        <row r="55">
          <cell r="T55">
            <v>0</v>
          </cell>
          <cell r="AH55">
            <v>0</v>
          </cell>
        </row>
        <row r="56">
          <cell r="T56">
            <v>0</v>
          </cell>
          <cell r="AH56">
            <v>0</v>
          </cell>
        </row>
        <row r="57">
          <cell r="T57">
            <v>0</v>
          </cell>
          <cell r="AH57">
            <v>0</v>
          </cell>
        </row>
        <row r="58">
          <cell r="T58">
            <v>471.46952254156639</v>
          </cell>
          <cell r="AH58">
            <v>406.39812499999999</v>
          </cell>
        </row>
        <row r="59">
          <cell r="T59">
            <v>0</v>
          </cell>
          <cell r="AH59">
            <v>0</v>
          </cell>
        </row>
        <row r="60">
          <cell r="T60">
            <v>0</v>
          </cell>
          <cell r="AH60">
            <v>0</v>
          </cell>
        </row>
        <row r="61">
          <cell r="T61">
            <v>0</v>
          </cell>
          <cell r="AH61">
            <v>0</v>
          </cell>
        </row>
        <row r="62">
          <cell r="T62">
            <v>0</v>
          </cell>
          <cell r="AH62">
            <v>0</v>
          </cell>
        </row>
        <row r="63">
          <cell r="T63">
            <v>0</v>
          </cell>
          <cell r="AH63">
            <v>0</v>
          </cell>
        </row>
        <row r="64">
          <cell r="T64">
            <v>0</v>
          </cell>
          <cell r="AH64">
            <v>0</v>
          </cell>
        </row>
        <row r="65">
          <cell r="T65">
            <v>0</v>
          </cell>
          <cell r="AH65">
            <v>0</v>
          </cell>
        </row>
        <row r="66">
          <cell r="T66">
            <v>0</v>
          </cell>
          <cell r="AH66">
            <v>0</v>
          </cell>
        </row>
        <row r="67">
          <cell r="T67">
            <v>0</v>
          </cell>
          <cell r="AH67">
            <v>0</v>
          </cell>
        </row>
        <row r="68">
          <cell r="T68">
            <v>0</v>
          </cell>
          <cell r="AH68">
            <v>0</v>
          </cell>
        </row>
        <row r="69">
          <cell r="T69">
            <v>0</v>
          </cell>
          <cell r="AH69">
            <v>0</v>
          </cell>
        </row>
        <row r="70">
          <cell r="T70">
            <v>0</v>
          </cell>
          <cell r="AH70">
            <v>0</v>
          </cell>
        </row>
        <row r="71">
          <cell r="T71">
            <v>0</v>
          </cell>
          <cell r="AH71">
            <v>0</v>
          </cell>
        </row>
        <row r="72">
          <cell r="T72">
            <v>0</v>
          </cell>
          <cell r="AH72">
            <v>0</v>
          </cell>
        </row>
        <row r="73">
          <cell r="T73">
            <v>0</v>
          </cell>
          <cell r="AH73">
            <v>0</v>
          </cell>
        </row>
        <row r="74">
          <cell r="T74">
            <v>0</v>
          </cell>
          <cell r="AH74">
            <v>0</v>
          </cell>
        </row>
        <row r="75">
          <cell r="T75">
            <v>0</v>
          </cell>
          <cell r="AH75">
            <v>0</v>
          </cell>
        </row>
      </sheetData>
      <sheetData sheetId="16"/>
      <sheetData sheetId="17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-29.150950910899212</v>
          </cell>
          <cell r="AF34">
            <v>-40.504545454545458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92593.407276587983</v>
          </cell>
          <cell r="AF55">
            <v>39139.674132575761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18"/>
      <sheetData sheetId="19"/>
      <sheetData sheetId="20"/>
      <sheetData sheetId="21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619.81795239202222</v>
          </cell>
          <cell r="AF24">
            <v>265.24431818181819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156284.54382998653</v>
          </cell>
          <cell r="AF39">
            <v>69174.240068181811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-152.93723627682363</v>
          </cell>
          <cell r="AF48">
            <v>-77.995431818181814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22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4494.10327513833</v>
          </cell>
          <cell r="AF65">
            <v>974.48193181818169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91898.098387756923</v>
          </cell>
          <cell r="AF72">
            <v>44196.270284090904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23"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207949.06667144611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M60">
            <v>0</v>
          </cell>
        </row>
        <row r="61">
          <cell r="M61">
            <v>0</v>
          </cell>
        </row>
        <row r="62">
          <cell r="M62">
            <v>0</v>
          </cell>
        </row>
        <row r="63">
          <cell r="M63">
            <v>0</v>
          </cell>
        </row>
        <row r="64">
          <cell r="M64">
            <v>0</v>
          </cell>
        </row>
        <row r="65">
          <cell r="M65">
            <v>0</v>
          </cell>
        </row>
        <row r="66">
          <cell r="M66">
            <v>0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M73">
            <v>0</v>
          </cell>
        </row>
        <row r="74">
          <cell r="M74">
            <v>3429.3750118432358</v>
          </cell>
        </row>
        <row r="75">
          <cell r="M75">
            <v>0</v>
          </cell>
        </row>
      </sheetData>
      <sheetData sheetId="24"/>
      <sheetData sheetId="25">
        <row r="4">
          <cell r="V4">
            <v>11776</v>
          </cell>
          <cell r="AH4">
            <v>4613</v>
          </cell>
        </row>
        <row r="5">
          <cell r="V5">
            <v>6087</v>
          </cell>
          <cell r="AH5">
            <v>2276</v>
          </cell>
        </row>
        <row r="6">
          <cell r="V6">
            <v>20316</v>
          </cell>
          <cell r="AH6">
            <v>22887</v>
          </cell>
        </row>
        <row r="7">
          <cell r="V7">
            <v>-1532</v>
          </cell>
          <cell r="AH7">
            <v>-748</v>
          </cell>
        </row>
        <row r="8">
          <cell r="V8">
            <v>11891</v>
          </cell>
          <cell r="AH8">
            <v>3676</v>
          </cell>
        </row>
        <row r="9">
          <cell r="V9">
            <v>13705</v>
          </cell>
          <cell r="AH9">
            <v>8591</v>
          </cell>
        </row>
        <row r="10">
          <cell r="V10">
            <v>1021</v>
          </cell>
          <cell r="AH10">
            <v>4077</v>
          </cell>
        </row>
        <row r="11">
          <cell r="V11">
            <v>36013</v>
          </cell>
          <cell r="AH11">
            <v>28112</v>
          </cell>
        </row>
        <row r="12">
          <cell r="V12">
            <v>38429</v>
          </cell>
          <cell r="AH12">
            <v>34689</v>
          </cell>
        </row>
        <row r="13">
          <cell r="V13">
            <v>21928</v>
          </cell>
          <cell r="AH13">
            <v>20253</v>
          </cell>
        </row>
        <row r="14">
          <cell r="V14">
            <v>4235</v>
          </cell>
          <cell r="AH14">
            <v>2037</v>
          </cell>
        </row>
        <row r="15">
          <cell r="V15">
            <v>228</v>
          </cell>
          <cell r="AH15">
            <v>1124</v>
          </cell>
        </row>
        <row r="16">
          <cell r="V16">
            <v>1857</v>
          </cell>
          <cell r="AH16">
            <v>646</v>
          </cell>
        </row>
        <row r="17">
          <cell r="V17">
            <v>1884</v>
          </cell>
          <cell r="AH17">
            <v>1246</v>
          </cell>
        </row>
        <row r="18">
          <cell r="V18">
            <v>9017</v>
          </cell>
          <cell r="AH18">
            <v>3766</v>
          </cell>
        </row>
        <row r="19">
          <cell r="V19">
            <v>2784</v>
          </cell>
          <cell r="AH19">
            <v>15232</v>
          </cell>
        </row>
        <row r="20">
          <cell r="V20">
            <v>45094</v>
          </cell>
          <cell r="AH20">
            <v>73918</v>
          </cell>
        </row>
        <row r="21">
          <cell r="V21">
            <v>1627</v>
          </cell>
          <cell r="AH21">
            <v>696</v>
          </cell>
        </row>
        <row r="22">
          <cell r="V22">
            <v>6720</v>
          </cell>
          <cell r="AH22">
            <v>2765</v>
          </cell>
        </row>
        <row r="23">
          <cell r="V23">
            <v>3951</v>
          </cell>
          <cell r="AH23">
            <v>1581</v>
          </cell>
        </row>
        <row r="24">
          <cell r="V24">
            <v>3932</v>
          </cell>
          <cell r="AH24">
            <v>1387</v>
          </cell>
        </row>
        <row r="25">
          <cell r="V25">
            <v>4939</v>
          </cell>
          <cell r="AH25">
            <v>1060</v>
          </cell>
        </row>
        <row r="26">
          <cell r="V26">
            <v>10080</v>
          </cell>
          <cell r="AH26">
            <v>6144</v>
          </cell>
        </row>
        <row r="27">
          <cell r="V27">
            <v>3063</v>
          </cell>
          <cell r="AH27">
            <v>8165</v>
          </cell>
        </row>
        <row r="28">
          <cell r="V28">
            <v>1671</v>
          </cell>
          <cell r="AH28">
            <v>1774</v>
          </cell>
        </row>
        <row r="29">
          <cell r="V29">
            <v>52955</v>
          </cell>
          <cell r="AH29">
            <v>68244</v>
          </cell>
        </row>
        <row r="30">
          <cell r="V30">
            <v>6846</v>
          </cell>
          <cell r="AH30">
            <v>3432</v>
          </cell>
        </row>
        <row r="31">
          <cell r="V31">
            <v>24301</v>
          </cell>
          <cell r="AH31">
            <v>33719</v>
          </cell>
        </row>
        <row r="32">
          <cell r="V32">
            <v>9287</v>
          </cell>
          <cell r="AH32">
            <v>9329</v>
          </cell>
        </row>
        <row r="33">
          <cell r="V33">
            <v>2845</v>
          </cell>
          <cell r="AH33">
            <v>1444</v>
          </cell>
        </row>
        <row r="34">
          <cell r="V34">
            <v>1536</v>
          </cell>
          <cell r="AH34">
            <v>1483</v>
          </cell>
        </row>
        <row r="35">
          <cell r="V35">
            <v>34544</v>
          </cell>
          <cell r="AH35">
            <v>11938</v>
          </cell>
        </row>
        <row r="36">
          <cell r="V36">
            <v>-456</v>
          </cell>
          <cell r="AH36">
            <v>-289</v>
          </cell>
        </row>
        <row r="37">
          <cell r="V37">
            <v>14591</v>
          </cell>
          <cell r="AH37">
            <v>6180</v>
          </cell>
        </row>
        <row r="38">
          <cell r="V38">
            <v>7625</v>
          </cell>
          <cell r="AH38">
            <v>4845</v>
          </cell>
        </row>
        <row r="39">
          <cell r="V39">
            <v>29104</v>
          </cell>
          <cell r="AH39">
            <v>37447</v>
          </cell>
        </row>
        <row r="40">
          <cell r="V40">
            <v>21789</v>
          </cell>
          <cell r="AH40">
            <v>11379</v>
          </cell>
        </row>
        <row r="41">
          <cell r="V41">
            <v>1401</v>
          </cell>
          <cell r="AH41">
            <v>4923</v>
          </cell>
        </row>
        <row r="42">
          <cell r="V42">
            <v>3535</v>
          </cell>
          <cell r="AH42">
            <v>3389</v>
          </cell>
        </row>
        <row r="43">
          <cell r="V43">
            <v>24590</v>
          </cell>
          <cell r="AH43">
            <v>13157</v>
          </cell>
        </row>
        <row r="44">
          <cell r="V44">
            <v>412</v>
          </cell>
          <cell r="AH44">
            <v>1496</v>
          </cell>
        </row>
        <row r="45">
          <cell r="V45">
            <v>6431</v>
          </cell>
          <cell r="AH45">
            <v>3280</v>
          </cell>
        </row>
        <row r="46">
          <cell r="V46">
            <v>5098</v>
          </cell>
          <cell r="AH46">
            <v>3555</v>
          </cell>
        </row>
        <row r="47">
          <cell r="V47">
            <v>3316</v>
          </cell>
          <cell r="AH47">
            <v>2855</v>
          </cell>
        </row>
        <row r="48">
          <cell r="V48">
            <v>2797</v>
          </cell>
          <cell r="AH48">
            <v>10715</v>
          </cell>
        </row>
        <row r="49">
          <cell r="V49">
            <v>3682</v>
          </cell>
          <cell r="AH49">
            <v>1259</v>
          </cell>
        </row>
        <row r="50">
          <cell r="V50">
            <v>219</v>
          </cell>
          <cell r="AH50">
            <v>1255</v>
          </cell>
        </row>
        <row r="51">
          <cell r="V51">
            <v>11773</v>
          </cell>
          <cell r="AH51">
            <v>14736</v>
          </cell>
        </row>
        <row r="52">
          <cell r="V52">
            <v>34271</v>
          </cell>
          <cell r="AH52">
            <v>14546</v>
          </cell>
        </row>
        <row r="53">
          <cell r="V53">
            <v>8039</v>
          </cell>
          <cell r="AH53">
            <v>4005</v>
          </cell>
        </row>
        <row r="54">
          <cell r="V54">
            <v>3227</v>
          </cell>
          <cell r="AH54">
            <v>2825</v>
          </cell>
        </row>
        <row r="55">
          <cell r="V55">
            <v>44817</v>
          </cell>
          <cell r="AH55">
            <v>38483</v>
          </cell>
        </row>
        <row r="56">
          <cell r="V56">
            <v>38762</v>
          </cell>
          <cell r="AH56">
            <v>14976</v>
          </cell>
        </row>
        <row r="57">
          <cell r="V57">
            <v>0</v>
          </cell>
          <cell r="AH57">
            <v>0</v>
          </cell>
        </row>
        <row r="58">
          <cell r="V58">
            <v>11374</v>
          </cell>
          <cell r="AH58">
            <v>7403</v>
          </cell>
        </row>
        <row r="59">
          <cell r="V59">
            <v>3042</v>
          </cell>
          <cell r="AH59">
            <v>1510</v>
          </cell>
        </row>
        <row r="60">
          <cell r="V60">
            <v>10457</v>
          </cell>
          <cell r="AH60">
            <v>6192</v>
          </cell>
        </row>
        <row r="61">
          <cell r="V61">
            <v>25303</v>
          </cell>
          <cell r="AH61">
            <v>8565</v>
          </cell>
        </row>
        <row r="62">
          <cell r="V62">
            <v>16466</v>
          </cell>
          <cell r="AH62">
            <v>3453</v>
          </cell>
        </row>
        <row r="63">
          <cell r="V63">
            <v>11088</v>
          </cell>
          <cell r="AH63">
            <v>7558</v>
          </cell>
        </row>
        <row r="64">
          <cell r="V64">
            <v>2070</v>
          </cell>
          <cell r="AH64">
            <v>3992</v>
          </cell>
        </row>
        <row r="65">
          <cell r="V65">
            <v>3860</v>
          </cell>
          <cell r="AH65">
            <v>1218</v>
          </cell>
        </row>
        <row r="66">
          <cell r="V66">
            <v>629</v>
          </cell>
          <cell r="AH66">
            <v>843</v>
          </cell>
        </row>
        <row r="67">
          <cell r="V67">
            <v>2202</v>
          </cell>
          <cell r="AH67">
            <v>975</v>
          </cell>
        </row>
        <row r="68">
          <cell r="V68">
            <v>3348</v>
          </cell>
          <cell r="AH68">
            <v>3135</v>
          </cell>
        </row>
        <row r="69">
          <cell r="V69">
            <v>2534</v>
          </cell>
          <cell r="AH69">
            <v>1502</v>
          </cell>
        </row>
        <row r="70">
          <cell r="V70">
            <v>-143</v>
          </cell>
          <cell r="AH70">
            <v>-64</v>
          </cell>
        </row>
        <row r="71">
          <cell r="V71">
            <v>2304</v>
          </cell>
          <cell r="AH71">
            <v>886</v>
          </cell>
        </row>
        <row r="72">
          <cell r="V72">
            <v>6254</v>
          </cell>
          <cell r="AH72">
            <v>3262</v>
          </cell>
        </row>
      </sheetData>
      <sheetData sheetId="26"/>
      <sheetData sheetId="27">
        <row r="10">
          <cell r="R10">
            <v>546066</v>
          </cell>
          <cell r="T10">
            <v>273033</v>
          </cell>
        </row>
        <row r="11">
          <cell r="T11">
            <v>271857</v>
          </cell>
        </row>
        <row r="12">
          <cell r="T12">
            <v>544208</v>
          </cell>
        </row>
        <row r="13">
          <cell r="T13">
            <v>440139</v>
          </cell>
        </row>
        <row r="14">
          <cell r="T14">
            <v>671487</v>
          </cell>
        </row>
        <row r="15">
          <cell r="T15">
            <v>1094762</v>
          </cell>
        </row>
        <row r="16">
          <cell r="T16">
            <v>368044</v>
          </cell>
        </row>
        <row r="17">
          <cell r="T17">
            <v>88058</v>
          </cell>
        </row>
      </sheetData>
      <sheetData sheetId="28"/>
      <sheetData sheetId="29"/>
      <sheetData sheetId="30"/>
      <sheetData sheetId="31">
        <row r="15">
          <cell r="C15">
            <v>40150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7">
          <cell r="AB17">
            <v>239024.66727272727</v>
          </cell>
        </row>
        <row r="29">
          <cell r="AB29">
            <v>163862.85636363635</v>
          </cell>
        </row>
      </sheetData>
      <sheetData sheetId="11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94708.860209513281</v>
          </cell>
          <cell r="AF23">
            <v>155671.19511363635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552.3688682847104</v>
          </cell>
          <cell r="AF38">
            <v>191.24795454545455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650.34070372334486</v>
          </cell>
          <cell r="AF67">
            <v>1141.7369886363638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1969.99982138992</v>
          </cell>
          <cell r="AF73">
            <v>1814.8907954545457</v>
          </cell>
        </row>
        <row r="74">
          <cell r="T74">
            <v>5403.8636550257033</v>
          </cell>
          <cell r="AF74">
            <v>2106.2363636363639</v>
          </cell>
        </row>
        <row r="75">
          <cell r="T75">
            <v>0</v>
          </cell>
          <cell r="AF75">
            <v>0</v>
          </cell>
        </row>
      </sheetData>
      <sheetData sheetId="12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-93.52165146961984</v>
          </cell>
          <cell r="AF20">
            <v>-60.242954545454545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4206.2248140168995</v>
          </cell>
          <cell r="AF37">
            <v>4058.3136363636363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977.1325677704549</v>
          </cell>
          <cell r="AF43">
            <v>512.10289772727276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358333.50694349047</v>
          </cell>
          <cell r="AF62">
            <v>178356.37789772727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1348.7190593087225</v>
          </cell>
          <cell r="AF71">
            <v>1247.1243750000001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  <row r="76">
          <cell r="T76">
            <v>-42.191629217413215</v>
          </cell>
        </row>
      </sheetData>
      <sheetData sheetId="13"/>
      <sheetData sheetId="14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68436.877719611279</v>
          </cell>
          <cell r="AF32">
            <v>87778.912878787873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57776.478672456353</v>
          </cell>
          <cell r="AF42">
            <v>73681.03272727273</v>
          </cell>
        </row>
        <row r="43">
          <cell r="T43">
            <v>0</v>
          </cell>
          <cell r="AF43">
            <v>0</v>
          </cell>
        </row>
        <row r="44">
          <cell r="T44">
            <v>3654.6882924123124</v>
          </cell>
          <cell r="AF44">
            <v>13139.19090909091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891.06377791980674</v>
          </cell>
          <cell r="AF50">
            <v>758.1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1542.9911646814901</v>
          </cell>
          <cell r="AF58">
            <v>1330.0302272727274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15">
        <row r="7">
          <cell r="T7">
            <v>0</v>
          </cell>
          <cell r="AH7">
            <v>0</v>
          </cell>
        </row>
        <row r="8">
          <cell r="T8">
            <v>0</v>
          </cell>
          <cell r="AH8">
            <v>0</v>
          </cell>
        </row>
        <row r="9">
          <cell r="T9">
            <v>0</v>
          </cell>
          <cell r="AH9">
            <v>0</v>
          </cell>
        </row>
        <row r="10">
          <cell r="T10">
            <v>0</v>
          </cell>
          <cell r="AH10">
            <v>0</v>
          </cell>
        </row>
        <row r="11">
          <cell r="T11">
            <v>0</v>
          </cell>
          <cell r="AH11">
            <v>0</v>
          </cell>
        </row>
        <row r="12">
          <cell r="T12">
            <v>0</v>
          </cell>
          <cell r="AH12">
            <v>0</v>
          </cell>
        </row>
        <row r="13">
          <cell r="T13">
            <v>0</v>
          </cell>
          <cell r="AH13">
            <v>0</v>
          </cell>
        </row>
        <row r="14">
          <cell r="T14">
            <v>0</v>
          </cell>
          <cell r="AH14">
            <v>0</v>
          </cell>
        </row>
        <row r="15">
          <cell r="T15">
            <v>0</v>
          </cell>
          <cell r="AH15">
            <v>0</v>
          </cell>
        </row>
        <row r="16">
          <cell r="T16">
            <v>0</v>
          </cell>
          <cell r="AH16">
            <v>0</v>
          </cell>
        </row>
        <row r="17">
          <cell r="T17">
            <v>0</v>
          </cell>
          <cell r="AH17">
            <v>0</v>
          </cell>
        </row>
        <row r="18">
          <cell r="T18">
            <v>0</v>
          </cell>
          <cell r="AH18">
            <v>0</v>
          </cell>
        </row>
        <row r="19">
          <cell r="T19">
            <v>0</v>
          </cell>
          <cell r="AH19">
            <v>0</v>
          </cell>
        </row>
        <row r="20">
          <cell r="T20">
            <v>0</v>
          </cell>
          <cell r="AH20">
            <v>0</v>
          </cell>
        </row>
        <row r="21">
          <cell r="T21">
            <v>0</v>
          </cell>
          <cell r="AH21">
            <v>0</v>
          </cell>
        </row>
        <row r="22">
          <cell r="T22">
            <v>0</v>
          </cell>
          <cell r="AH22">
            <v>0</v>
          </cell>
        </row>
        <row r="23">
          <cell r="T23">
            <v>373.11435407556127</v>
          </cell>
          <cell r="AH23">
            <v>613.28113636363639</v>
          </cell>
        </row>
        <row r="24">
          <cell r="T24">
            <v>0</v>
          </cell>
          <cell r="AH24">
            <v>0</v>
          </cell>
        </row>
        <row r="25">
          <cell r="T25">
            <v>0</v>
          </cell>
          <cell r="AH25">
            <v>0</v>
          </cell>
        </row>
        <row r="26">
          <cell r="T26">
            <v>0</v>
          </cell>
          <cell r="AH26">
            <v>0</v>
          </cell>
        </row>
        <row r="27">
          <cell r="T27">
            <v>0</v>
          </cell>
          <cell r="AH27">
            <v>0</v>
          </cell>
        </row>
        <row r="28">
          <cell r="T28">
            <v>0</v>
          </cell>
          <cell r="AH28">
            <v>0</v>
          </cell>
        </row>
        <row r="29">
          <cell r="T29">
            <v>0</v>
          </cell>
          <cell r="AH29">
            <v>0</v>
          </cell>
        </row>
        <row r="30">
          <cell r="T30">
            <v>0</v>
          </cell>
          <cell r="AH30">
            <v>0</v>
          </cell>
        </row>
        <row r="31">
          <cell r="T31">
            <v>0</v>
          </cell>
          <cell r="AH31">
            <v>0</v>
          </cell>
        </row>
        <row r="32">
          <cell r="T32">
            <v>24688.70247459806</v>
          </cell>
          <cell r="AH32">
            <v>31680.448863636364</v>
          </cell>
        </row>
        <row r="33">
          <cell r="T33">
            <v>0</v>
          </cell>
          <cell r="AH33">
            <v>0</v>
          </cell>
        </row>
        <row r="34">
          <cell r="T34">
            <v>0</v>
          </cell>
          <cell r="AH34">
            <v>0</v>
          </cell>
        </row>
        <row r="35">
          <cell r="T35">
            <v>426.88544016109103</v>
          </cell>
          <cell r="AH35">
            <v>431.91749999999996</v>
          </cell>
        </row>
        <row r="36">
          <cell r="T36">
            <v>0</v>
          </cell>
          <cell r="AH36">
            <v>0</v>
          </cell>
        </row>
        <row r="37">
          <cell r="T37">
            <v>0</v>
          </cell>
          <cell r="AH37">
            <v>0</v>
          </cell>
        </row>
        <row r="38">
          <cell r="T38">
            <v>0</v>
          </cell>
          <cell r="AH38">
            <v>0</v>
          </cell>
        </row>
        <row r="39">
          <cell r="T39">
            <v>0</v>
          </cell>
          <cell r="AH39">
            <v>0</v>
          </cell>
        </row>
        <row r="40">
          <cell r="T40">
            <v>0</v>
          </cell>
          <cell r="AH40">
            <v>0</v>
          </cell>
        </row>
        <row r="41">
          <cell r="T41">
            <v>0</v>
          </cell>
          <cell r="AH41">
            <v>0</v>
          </cell>
        </row>
        <row r="42">
          <cell r="T42">
            <v>81957.482581129516</v>
          </cell>
          <cell r="AH42">
            <v>104518.51852272729</v>
          </cell>
        </row>
        <row r="43">
          <cell r="T43">
            <v>0</v>
          </cell>
          <cell r="AH43">
            <v>0</v>
          </cell>
        </row>
        <row r="44">
          <cell r="T44">
            <v>1027.8810822409628</v>
          </cell>
          <cell r="AH44">
            <v>3695.3974431818187</v>
          </cell>
        </row>
        <row r="45">
          <cell r="T45">
            <v>0</v>
          </cell>
          <cell r="AH45">
            <v>0</v>
          </cell>
        </row>
        <row r="46">
          <cell r="T46">
            <v>0</v>
          </cell>
          <cell r="AH46">
            <v>0</v>
          </cell>
        </row>
        <row r="47">
          <cell r="T47">
            <v>0</v>
          </cell>
          <cell r="AH47">
            <v>0</v>
          </cell>
        </row>
        <row r="48">
          <cell r="T48">
            <v>0</v>
          </cell>
          <cell r="AH48">
            <v>0</v>
          </cell>
        </row>
        <row r="49">
          <cell r="T49">
            <v>0</v>
          </cell>
          <cell r="AH49">
            <v>0</v>
          </cell>
        </row>
        <row r="50">
          <cell r="T50">
            <v>891.06377791980674</v>
          </cell>
          <cell r="AH50">
            <v>758.1</v>
          </cell>
        </row>
        <row r="51">
          <cell r="T51">
            <v>512.11335212837378</v>
          </cell>
          <cell r="AH51">
            <v>1961.58375</v>
          </cell>
        </row>
        <row r="52">
          <cell r="T52">
            <v>0</v>
          </cell>
          <cell r="AH52">
            <v>0</v>
          </cell>
        </row>
        <row r="53">
          <cell r="T53">
            <v>0</v>
          </cell>
          <cell r="AH53">
            <v>0</v>
          </cell>
        </row>
        <row r="54">
          <cell r="T54">
            <v>0</v>
          </cell>
          <cell r="AH54">
            <v>0</v>
          </cell>
        </row>
        <row r="55">
          <cell r="T55">
            <v>0</v>
          </cell>
          <cell r="AH55">
            <v>0</v>
          </cell>
        </row>
        <row r="56">
          <cell r="T56">
            <v>0</v>
          </cell>
          <cell r="AH56">
            <v>0</v>
          </cell>
        </row>
        <row r="57">
          <cell r="T57">
            <v>0</v>
          </cell>
          <cell r="AH57">
            <v>0</v>
          </cell>
        </row>
        <row r="58">
          <cell r="T58">
            <v>471.46952254156639</v>
          </cell>
          <cell r="AH58">
            <v>406.39812500000005</v>
          </cell>
        </row>
        <row r="59">
          <cell r="T59">
            <v>0</v>
          </cell>
          <cell r="AH59">
            <v>0</v>
          </cell>
        </row>
        <row r="60">
          <cell r="T60">
            <v>0</v>
          </cell>
          <cell r="AH60">
            <v>0</v>
          </cell>
        </row>
        <row r="61">
          <cell r="T61">
            <v>0</v>
          </cell>
          <cell r="AH61">
            <v>0</v>
          </cell>
        </row>
        <row r="62">
          <cell r="T62">
            <v>0</v>
          </cell>
          <cell r="AH62">
            <v>0</v>
          </cell>
        </row>
        <row r="63">
          <cell r="T63">
            <v>0</v>
          </cell>
          <cell r="AH63">
            <v>0</v>
          </cell>
        </row>
        <row r="64">
          <cell r="T64">
            <v>0</v>
          </cell>
          <cell r="AH64">
            <v>0</v>
          </cell>
        </row>
        <row r="65">
          <cell r="T65">
            <v>0</v>
          </cell>
          <cell r="AH65">
            <v>0</v>
          </cell>
        </row>
        <row r="66">
          <cell r="T66">
            <v>0</v>
          </cell>
          <cell r="AH66">
            <v>0</v>
          </cell>
        </row>
        <row r="67">
          <cell r="T67">
            <v>0</v>
          </cell>
          <cell r="AH67">
            <v>0</v>
          </cell>
        </row>
        <row r="68">
          <cell r="T68">
            <v>0</v>
          </cell>
          <cell r="AH68">
            <v>0</v>
          </cell>
        </row>
        <row r="69">
          <cell r="T69">
            <v>0</v>
          </cell>
          <cell r="AH69">
            <v>0</v>
          </cell>
        </row>
        <row r="70">
          <cell r="T70">
            <v>0</v>
          </cell>
          <cell r="AH70">
            <v>0</v>
          </cell>
        </row>
        <row r="71">
          <cell r="T71">
            <v>0</v>
          </cell>
          <cell r="AH71">
            <v>0</v>
          </cell>
        </row>
        <row r="72">
          <cell r="T72">
            <v>0</v>
          </cell>
          <cell r="AH72">
            <v>0</v>
          </cell>
        </row>
        <row r="73">
          <cell r="T73">
            <v>0</v>
          </cell>
          <cell r="AH73">
            <v>0</v>
          </cell>
        </row>
        <row r="74">
          <cell r="T74">
            <v>0</v>
          </cell>
          <cell r="AH74">
            <v>0</v>
          </cell>
        </row>
        <row r="75">
          <cell r="T75">
            <v>0</v>
          </cell>
          <cell r="AH75">
            <v>0</v>
          </cell>
        </row>
      </sheetData>
      <sheetData sheetId="16"/>
      <sheetData sheetId="17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-29.150950910899212</v>
          </cell>
          <cell r="AF34">
            <v>-40.504545454545458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110405.55784342717</v>
          </cell>
          <cell r="AF55">
            <v>46667.906382575755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18"/>
      <sheetData sheetId="19"/>
      <sheetData sheetId="20"/>
      <sheetData sheetId="21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619.81795239202211</v>
          </cell>
          <cell r="AF24">
            <v>265.24431818181819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142553.79157081767</v>
          </cell>
          <cell r="AF39">
            <v>63096.77181818182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1529.3723627682361</v>
          </cell>
          <cell r="AF48">
            <v>779.95431818181817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22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0</v>
          </cell>
          <cell r="AF23">
            <v>0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-368.36912091297563</v>
          </cell>
          <cell r="AF65">
            <v>-79.87556818181821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103939.40008004504</v>
          </cell>
          <cell r="AF72">
            <v>49987.256534090913</v>
          </cell>
        </row>
        <row r="73">
          <cell r="T73">
            <v>0</v>
          </cell>
          <cell r="AF73">
            <v>0</v>
          </cell>
        </row>
        <row r="74">
          <cell r="T74">
            <v>0</v>
          </cell>
          <cell r="AF74">
            <v>0</v>
          </cell>
        </row>
        <row r="75">
          <cell r="T75">
            <v>0</v>
          </cell>
          <cell r="AF75">
            <v>0</v>
          </cell>
        </row>
      </sheetData>
      <sheetData sheetId="23"/>
      <sheetData sheetId="24"/>
      <sheetData sheetId="25">
        <row r="4">
          <cell r="V4">
            <v>6468</v>
          </cell>
          <cell r="AH4">
            <v>2473</v>
          </cell>
        </row>
        <row r="5">
          <cell r="V5">
            <v>2934</v>
          </cell>
          <cell r="AH5">
            <v>1097</v>
          </cell>
        </row>
        <row r="6">
          <cell r="V6">
            <v>16866</v>
          </cell>
          <cell r="AH6">
            <v>18986</v>
          </cell>
        </row>
        <row r="7">
          <cell r="V7">
            <v>-2122</v>
          </cell>
          <cell r="AH7">
            <v>-1020</v>
          </cell>
        </row>
        <row r="8">
          <cell r="V8">
            <v>8408</v>
          </cell>
          <cell r="AH8">
            <v>2576</v>
          </cell>
        </row>
        <row r="9">
          <cell r="V9">
            <v>10495</v>
          </cell>
          <cell r="AH9">
            <v>6579</v>
          </cell>
        </row>
        <row r="10">
          <cell r="V10">
            <v>342</v>
          </cell>
          <cell r="AH10">
            <v>1026</v>
          </cell>
        </row>
        <row r="11">
          <cell r="V11">
            <v>22956</v>
          </cell>
          <cell r="AH11">
            <v>17920</v>
          </cell>
        </row>
        <row r="12">
          <cell r="V12">
            <v>32891</v>
          </cell>
          <cell r="AH12">
            <v>29704</v>
          </cell>
        </row>
        <row r="13">
          <cell r="V13">
            <v>19309</v>
          </cell>
          <cell r="AH13">
            <v>17835</v>
          </cell>
        </row>
        <row r="14">
          <cell r="V14">
            <v>4235</v>
          </cell>
          <cell r="AH14">
            <v>2037</v>
          </cell>
        </row>
        <row r="15">
          <cell r="V15">
            <v>228</v>
          </cell>
          <cell r="AH15">
            <v>1124</v>
          </cell>
        </row>
        <row r="16">
          <cell r="V16">
            <v>1228</v>
          </cell>
          <cell r="AH16">
            <v>419</v>
          </cell>
        </row>
        <row r="17">
          <cell r="V17">
            <v>217</v>
          </cell>
          <cell r="AH17">
            <v>172</v>
          </cell>
        </row>
        <row r="18">
          <cell r="V18">
            <v>1374</v>
          </cell>
          <cell r="AH18">
            <v>570</v>
          </cell>
        </row>
        <row r="19">
          <cell r="V19">
            <v>2186</v>
          </cell>
          <cell r="AH19">
            <v>11964</v>
          </cell>
        </row>
        <row r="20">
          <cell r="V20">
            <v>31426</v>
          </cell>
          <cell r="AH20">
            <v>51453</v>
          </cell>
        </row>
        <row r="21">
          <cell r="V21">
            <v>1627</v>
          </cell>
          <cell r="AH21">
            <v>696</v>
          </cell>
        </row>
        <row r="22">
          <cell r="V22">
            <v>5603</v>
          </cell>
          <cell r="AH22">
            <v>2303</v>
          </cell>
        </row>
        <row r="23">
          <cell r="V23">
            <v>3412</v>
          </cell>
          <cell r="AH23">
            <v>1364</v>
          </cell>
        </row>
        <row r="24">
          <cell r="V24">
            <v>1089</v>
          </cell>
          <cell r="AH24">
            <v>371</v>
          </cell>
        </row>
        <row r="25">
          <cell r="V25">
            <v>3736</v>
          </cell>
          <cell r="AH25">
            <v>802</v>
          </cell>
        </row>
        <row r="26">
          <cell r="V26">
            <v>8093</v>
          </cell>
          <cell r="AH26">
            <v>4928</v>
          </cell>
        </row>
        <row r="27">
          <cell r="V27">
            <v>1764</v>
          </cell>
          <cell r="AH27">
            <v>4660</v>
          </cell>
        </row>
        <row r="28">
          <cell r="V28">
            <v>453</v>
          </cell>
          <cell r="AH28">
            <v>470</v>
          </cell>
        </row>
        <row r="29">
          <cell r="V29">
            <v>40719</v>
          </cell>
          <cell r="AH29">
            <v>52542</v>
          </cell>
        </row>
        <row r="30">
          <cell r="V30">
            <v>6273</v>
          </cell>
          <cell r="AH30">
            <v>3141</v>
          </cell>
        </row>
        <row r="31">
          <cell r="V31">
            <v>14258</v>
          </cell>
          <cell r="AH31">
            <v>19765</v>
          </cell>
        </row>
        <row r="32">
          <cell r="V32">
            <v>9287</v>
          </cell>
          <cell r="AH32">
            <v>9329</v>
          </cell>
        </row>
        <row r="33">
          <cell r="V33">
            <v>3989</v>
          </cell>
          <cell r="AH33">
            <v>2025</v>
          </cell>
        </row>
        <row r="34">
          <cell r="V34">
            <v>198</v>
          </cell>
          <cell r="AH34">
            <v>191</v>
          </cell>
        </row>
        <row r="35">
          <cell r="V35">
            <v>19232</v>
          </cell>
          <cell r="AH35">
            <v>6637</v>
          </cell>
        </row>
        <row r="36">
          <cell r="V36">
            <v>-457</v>
          </cell>
          <cell r="AH36">
            <v>-289</v>
          </cell>
        </row>
        <row r="37">
          <cell r="V37">
            <v>10413</v>
          </cell>
          <cell r="AH37">
            <v>4411</v>
          </cell>
        </row>
        <row r="38">
          <cell r="V38">
            <v>7163</v>
          </cell>
          <cell r="AH38">
            <v>4549</v>
          </cell>
        </row>
        <row r="39">
          <cell r="V39">
            <v>24125</v>
          </cell>
          <cell r="AH39">
            <v>31097</v>
          </cell>
        </row>
        <row r="40">
          <cell r="V40">
            <v>17920</v>
          </cell>
          <cell r="AH40">
            <v>9351</v>
          </cell>
        </row>
        <row r="41">
          <cell r="V41">
            <v>858</v>
          </cell>
          <cell r="AH41">
            <v>2971</v>
          </cell>
        </row>
        <row r="42">
          <cell r="V42">
            <v>757</v>
          </cell>
          <cell r="AH42">
            <v>672</v>
          </cell>
        </row>
        <row r="43">
          <cell r="V43">
            <v>16505</v>
          </cell>
          <cell r="AH43">
            <v>8838</v>
          </cell>
        </row>
        <row r="44">
          <cell r="V44">
            <v>187</v>
          </cell>
          <cell r="AH44">
            <v>680</v>
          </cell>
        </row>
        <row r="45">
          <cell r="V45">
            <v>3403</v>
          </cell>
          <cell r="AH45">
            <v>1735</v>
          </cell>
        </row>
        <row r="46">
          <cell r="V46">
            <v>2247</v>
          </cell>
          <cell r="AH46">
            <v>1623</v>
          </cell>
        </row>
        <row r="47">
          <cell r="V47">
            <v>1391</v>
          </cell>
          <cell r="AH47">
            <v>1217</v>
          </cell>
        </row>
        <row r="48">
          <cell r="V48">
            <v>681</v>
          </cell>
          <cell r="AH48">
            <v>2610</v>
          </cell>
        </row>
        <row r="49">
          <cell r="V49">
            <v>1966</v>
          </cell>
          <cell r="AH49">
            <v>680</v>
          </cell>
        </row>
        <row r="50">
          <cell r="V50">
            <v>218</v>
          </cell>
          <cell r="AH50">
            <v>1255</v>
          </cell>
        </row>
        <row r="51">
          <cell r="V51">
            <v>10388</v>
          </cell>
          <cell r="AH51">
            <v>12998</v>
          </cell>
        </row>
        <row r="52">
          <cell r="V52">
            <v>27470</v>
          </cell>
          <cell r="AH52">
            <v>11672</v>
          </cell>
        </row>
        <row r="53">
          <cell r="V53">
            <v>4986</v>
          </cell>
          <cell r="AH53">
            <v>2496</v>
          </cell>
        </row>
        <row r="54">
          <cell r="V54">
            <v>1004</v>
          </cell>
          <cell r="AH54">
            <v>934</v>
          </cell>
        </row>
        <row r="55">
          <cell r="V55">
            <v>33106</v>
          </cell>
          <cell r="AH55">
            <v>28388</v>
          </cell>
        </row>
        <row r="56">
          <cell r="V56">
            <v>30911</v>
          </cell>
          <cell r="AH56">
            <v>11932</v>
          </cell>
        </row>
        <row r="57">
          <cell r="V57">
            <v>0</v>
          </cell>
          <cell r="AH57">
            <v>0</v>
          </cell>
        </row>
        <row r="58">
          <cell r="V58">
            <v>7807</v>
          </cell>
          <cell r="AH58">
            <v>5135</v>
          </cell>
        </row>
        <row r="59">
          <cell r="V59">
            <v>2040</v>
          </cell>
          <cell r="AH59">
            <v>1011</v>
          </cell>
        </row>
        <row r="60">
          <cell r="V60">
            <v>7157</v>
          </cell>
          <cell r="AH60">
            <v>4239</v>
          </cell>
        </row>
        <row r="61">
          <cell r="V61">
            <v>18120</v>
          </cell>
          <cell r="AH61">
            <v>6108</v>
          </cell>
        </row>
        <row r="62">
          <cell r="V62">
            <v>9589</v>
          </cell>
          <cell r="AH62">
            <v>1961</v>
          </cell>
        </row>
        <row r="63">
          <cell r="V63">
            <v>7610</v>
          </cell>
          <cell r="AH63">
            <v>5174</v>
          </cell>
        </row>
        <row r="64">
          <cell r="V64">
            <v>1735</v>
          </cell>
          <cell r="AH64">
            <v>3402</v>
          </cell>
        </row>
        <row r="65">
          <cell r="V65">
            <v>2753</v>
          </cell>
          <cell r="AH65">
            <v>871</v>
          </cell>
        </row>
        <row r="66">
          <cell r="V66">
            <v>-290</v>
          </cell>
          <cell r="AH66">
            <v>-421</v>
          </cell>
        </row>
        <row r="67">
          <cell r="V67">
            <v>1025</v>
          </cell>
          <cell r="AH67">
            <v>454</v>
          </cell>
        </row>
        <row r="68">
          <cell r="V68">
            <v>1406</v>
          </cell>
          <cell r="AH68">
            <v>1339</v>
          </cell>
        </row>
        <row r="69">
          <cell r="V69">
            <v>1897</v>
          </cell>
          <cell r="AH69">
            <v>1195</v>
          </cell>
        </row>
        <row r="70">
          <cell r="V70">
            <v>1383</v>
          </cell>
          <cell r="AH70">
            <v>1342</v>
          </cell>
        </row>
        <row r="71">
          <cell r="V71">
            <v>3538</v>
          </cell>
          <cell r="AH71">
            <v>1368</v>
          </cell>
        </row>
        <row r="72">
          <cell r="V72">
            <v>3430</v>
          </cell>
          <cell r="AH72">
            <v>1797</v>
          </cell>
        </row>
      </sheetData>
      <sheetData sheetId="26"/>
      <sheetData sheetId="27">
        <row r="10">
          <cell r="T10">
            <v>273033</v>
          </cell>
        </row>
        <row r="11">
          <cell r="T11">
            <v>271857</v>
          </cell>
        </row>
        <row r="12">
          <cell r="T12">
            <v>544208</v>
          </cell>
        </row>
        <row r="13">
          <cell r="T13">
            <v>439413</v>
          </cell>
        </row>
        <row r="14">
          <cell r="T14">
            <v>656258</v>
          </cell>
        </row>
        <row r="15">
          <cell r="T15">
            <v>1094762</v>
          </cell>
        </row>
        <row r="16">
          <cell r="T16">
            <v>368044</v>
          </cell>
        </row>
        <row r="17">
          <cell r="T17">
            <v>88058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B2_RSD_LA"/>
    </sheetNames>
    <sheetDataSet>
      <sheetData sheetId="0">
        <row r="17">
          <cell r="AJ17">
            <v>239024.63399999999</v>
          </cell>
        </row>
        <row r="29">
          <cell r="AJ29">
            <v>163862.842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B2_RSD_LA"/>
    </sheetNames>
    <sheetDataSet>
      <sheetData sheetId="0">
        <row r="17">
          <cell r="AJ17">
            <v>239024.63399999999</v>
          </cell>
        </row>
        <row r="29">
          <cell r="AJ29">
            <v>163862.84199999998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year Adjustment Summary"/>
      <sheetName val="October midyear adj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JS Clark Academy"/>
      <sheetName val="Oct midyear Southwest LA Chtr"/>
      <sheetName val="Oct midyear Key Academy"/>
      <sheetName val="Oct midyear Jefferson Chamber"/>
      <sheetName val="Oct midyear Tallulah Charter"/>
      <sheetName val="Oct midyear Northshore Charter"/>
      <sheetName val="Oct midyear B.R. Charter"/>
      <sheetName val="Oct midyear Delta Charter"/>
      <sheetName val="Oct midyear LA Virtual Admy"/>
      <sheetName val="Oct midyear LA Connections"/>
      <sheetName val="Oct midyear SSD"/>
      <sheetName val="Oct midyear LSDVI"/>
      <sheetName val="February midyear adj "/>
      <sheetName val="Feb midyear Madison Prep"/>
      <sheetName val="Feb midyear DArbonne"/>
      <sheetName val="Feb midyear Intl_VIBE "/>
      <sheetName val="Feb midyear NOMMA"/>
      <sheetName val="Feb midyear LFNO "/>
      <sheetName val="Feb midyear Lake Charles Ch"/>
      <sheetName val="Feb midyear JS Clark Academy"/>
      <sheetName val="Feb midyear Southwest LA Ch "/>
      <sheetName val="Feb midyear LA Virtual Admy"/>
      <sheetName val="Feb midyear LA Connections"/>
      <sheetName val="Feb midyear Key Academy"/>
      <sheetName val="Feb midyear Jefferson Chamber"/>
      <sheetName val="Feb midyear Tallulah Charter"/>
      <sheetName val="Feb midyear Northshore Charter"/>
      <sheetName val="Feb midyear B.R. Charter"/>
      <sheetName val="Feb midyear Delta Charter"/>
      <sheetName val="Feb midyear SSD"/>
      <sheetName val="Feb midyear LSDVI"/>
      <sheetName val="2-1-13 ALL"/>
      <sheetName val="10.1.13 ALL"/>
      <sheetName val="10.1.13 RSD Operated by Site"/>
      <sheetName val="10.1.13 Type 5 Charters by Site"/>
      <sheetName val="2.1.14 ALL"/>
      <sheetName val="2.1.14 RSD Operated by Site"/>
      <sheetName val="2.1.14 Type 5 Charters by Site"/>
      <sheetName val="2012 Final Summary 20131029"/>
    </sheetNames>
    <sheetDataSet>
      <sheetData sheetId="0" refreshError="1"/>
      <sheetData sheetId="1">
        <row r="6">
          <cell r="K6">
            <v>1236265.7014996873</v>
          </cell>
        </row>
        <row r="7">
          <cell r="K7">
            <v>175618.78386284594</v>
          </cell>
        </row>
        <row r="8">
          <cell r="K8">
            <v>1959848.7009756274</v>
          </cell>
        </row>
        <row r="9">
          <cell r="K9">
            <v>341809.48638435674</v>
          </cell>
        </row>
        <row r="10">
          <cell r="K10">
            <v>-360277.2350260205</v>
          </cell>
        </row>
        <row r="11">
          <cell r="K11">
            <v>-434953.58885110228</v>
          </cell>
        </row>
        <row r="12">
          <cell r="K12">
            <v>-15138.134162505674</v>
          </cell>
        </row>
        <row r="13">
          <cell r="K13">
            <v>2191671.8366133291</v>
          </cell>
        </row>
        <row r="14">
          <cell r="K14">
            <v>-498616.41881382652</v>
          </cell>
        </row>
        <row r="15">
          <cell r="K15">
            <v>583396.56742790935</v>
          </cell>
        </row>
        <row r="16">
          <cell r="K16">
            <v>211664.9876190738</v>
          </cell>
        </row>
        <row r="17">
          <cell r="K17">
            <v>64335.958936521027</v>
          </cell>
        </row>
        <row r="18">
          <cell r="K18">
            <v>-420213.23182638525</v>
          </cell>
        </row>
        <row r="19">
          <cell r="K19">
            <v>-1181888.6600762182</v>
          </cell>
        </row>
        <row r="20">
          <cell r="K20">
            <v>-1240639.2844314044</v>
          </cell>
        </row>
        <row r="21">
          <cell r="K21">
            <v>-126374.57941865161</v>
          </cell>
        </row>
        <row r="22">
          <cell r="K22">
            <v>-765305.23151739175</v>
          </cell>
        </row>
        <row r="23">
          <cell r="K23">
            <v>-321249.00389641646</v>
          </cell>
        </row>
        <row r="24">
          <cell r="K24">
            <v>-136869.06947935768</v>
          </cell>
        </row>
        <row r="25">
          <cell r="K25">
            <v>252267.7202606645</v>
          </cell>
        </row>
        <row r="26">
          <cell r="K26">
            <v>-304074.74359813955</v>
          </cell>
        </row>
        <row r="27">
          <cell r="K27">
            <v>-489074.69651167601</v>
          </cell>
        </row>
        <row r="28">
          <cell r="K28">
            <v>1201021.2740344687</v>
          </cell>
        </row>
        <row r="29">
          <cell r="K29">
            <v>253286.01728723405</v>
          </cell>
        </row>
        <row r="30">
          <cell r="K30">
            <v>262228.32801390887</v>
          </cell>
        </row>
        <row r="31">
          <cell r="K31">
            <v>4192266.1996922102</v>
          </cell>
        </row>
        <row r="32">
          <cell r="K32">
            <v>216710.31355909869</v>
          </cell>
        </row>
        <row r="33">
          <cell r="K33">
            <v>1122552.7081598602</v>
          </cell>
        </row>
        <row r="34">
          <cell r="K34">
            <v>1242782.2739125898</v>
          </cell>
        </row>
        <row r="35">
          <cell r="K35">
            <v>210402.09453731487</v>
          </cell>
        </row>
        <row r="36">
          <cell r="K36">
            <v>-19879.043159693188</v>
          </cell>
        </row>
        <row r="37">
          <cell r="K37">
            <v>2948182.3105241088</v>
          </cell>
        </row>
        <row r="38">
          <cell r="K38">
            <v>-2142577.8833093396</v>
          </cell>
        </row>
        <row r="39">
          <cell r="K39">
            <v>1063638.8691211985</v>
          </cell>
        </row>
        <row r="40">
          <cell r="K40">
            <v>-30870.72384973372</v>
          </cell>
        </row>
        <row r="41">
          <cell r="K41">
            <v>4850897.6232026611</v>
          </cell>
        </row>
        <row r="42">
          <cell r="K42">
            <v>-332497.95646582177</v>
          </cell>
        </row>
        <row r="43">
          <cell r="K43">
            <v>226700.58956692915</v>
          </cell>
        </row>
        <row r="44">
          <cell r="K44">
            <v>22098.250041170169</v>
          </cell>
        </row>
        <row r="45">
          <cell r="K45">
            <v>1255215.1405182369</v>
          </cell>
        </row>
        <row r="46">
          <cell r="K46">
            <v>105076.49655563429</v>
          </cell>
        </row>
        <row r="47">
          <cell r="K47">
            <v>-865749.96909921209</v>
          </cell>
        </row>
        <row r="48">
          <cell r="K48">
            <v>428688.56625707273</v>
          </cell>
        </row>
        <row r="49">
          <cell r="K49">
            <v>1870563.9608662413</v>
          </cell>
        </row>
        <row r="50">
          <cell r="K50">
            <v>-141429.66978687485</v>
          </cell>
        </row>
        <row r="51">
          <cell r="K51">
            <v>-101963.51858438662</v>
          </cell>
        </row>
        <row r="52">
          <cell r="K52">
            <v>25494.030853355427</v>
          </cell>
        </row>
        <row r="53">
          <cell r="K53">
            <v>-252045.87283111314</v>
          </cell>
        </row>
        <row r="54">
          <cell r="K54">
            <v>649337.91084399063</v>
          </cell>
        </row>
        <row r="55">
          <cell r="K55">
            <v>368364.5088176112</v>
          </cell>
        </row>
        <row r="56">
          <cell r="K56">
            <v>277350.86328764417</v>
          </cell>
        </row>
        <row r="57">
          <cell r="K57">
            <v>1293173.547542582</v>
          </cell>
        </row>
        <row r="58">
          <cell r="K58">
            <v>1934726.0282995705</v>
          </cell>
        </row>
        <row r="59">
          <cell r="K59">
            <v>-124258.51689529618</v>
          </cell>
        </row>
        <row r="60">
          <cell r="K60">
            <v>640637.66808450781</v>
          </cell>
        </row>
        <row r="61">
          <cell r="K61">
            <v>-580658.33172596362</v>
          </cell>
        </row>
        <row r="62">
          <cell r="K62">
            <v>761281.50879317347</v>
          </cell>
        </row>
        <row r="63">
          <cell r="K63">
            <v>240041.34493355779</v>
          </cell>
        </row>
        <row r="64">
          <cell r="K64">
            <v>-619778.07840825769</v>
          </cell>
        </row>
        <row r="65">
          <cell r="K65">
            <v>60884.523453171452</v>
          </cell>
        </row>
        <row r="66">
          <cell r="K66">
            <v>52384.422817074919</v>
          </cell>
        </row>
        <row r="67">
          <cell r="K67">
            <v>30841.265368361048</v>
          </cell>
        </row>
        <row r="68">
          <cell r="K68">
            <v>30714.544522862416</v>
          </cell>
        </row>
        <row r="69">
          <cell r="K69">
            <v>19658.594721601003</v>
          </cell>
        </row>
        <row r="70">
          <cell r="K70">
            <v>-654416.06486759079</v>
          </cell>
        </row>
        <row r="71">
          <cell r="K71">
            <v>-1171643.6852292742</v>
          </cell>
        </row>
        <row r="72">
          <cell r="K72">
            <v>1190114.3085742311</v>
          </cell>
        </row>
        <row r="73">
          <cell r="K73">
            <v>-584454.889236441</v>
          </cell>
        </row>
        <row r="74">
          <cell r="K74">
            <v>679481.49355221505</v>
          </cell>
        </row>
        <row r="77">
          <cell r="K77">
            <v>109159.65671918046</v>
          </cell>
        </row>
        <row r="78">
          <cell r="K78">
            <v>717913.5248188976</v>
          </cell>
        </row>
        <row r="81">
          <cell r="K81">
            <v>116387.3903261675</v>
          </cell>
        </row>
        <row r="83">
          <cell r="K83">
            <v>318800.24306732835</v>
          </cell>
        </row>
        <row r="85">
          <cell r="K85">
            <v>161897.16403513905</v>
          </cell>
        </row>
        <row r="86">
          <cell r="K86">
            <v>55286.625730109838</v>
          </cell>
        </row>
        <row r="89">
          <cell r="K89">
            <v>213050.34318823722</v>
          </cell>
        </row>
        <row r="90">
          <cell r="K90">
            <v>2278224.6509698383</v>
          </cell>
        </row>
        <row r="91">
          <cell r="K91">
            <v>-77513.284738586823</v>
          </cell>
        </row>
        <row r="92">
          <cell r="K92">
            <v>-1178428.9656603429</v>
          </cell>
        </row>
        <row r="93">
          <cell r="K93">
            <v>28313.311269870708</v>
          </cell>
        </row>
        <row r="128">
          <cell r="E128">
            <v>-1418</v>
          </cell>
          <cell r="K128">
            <v>-6122274.3839036813</v>
          </cell>
        </row>
        <row r="129">
          <cell r="E129">
            <v>-24</v>
          </cell>
          <cell r="K129">
            <v>-152945.27787657993</v>
          </cell>
        </row>
        <row r="130">
          <cell r="E130">
            <v>-6</v>
          </cell>
          <cell r="K130">
            <v>-30842.252710133598</v>
          </cell>
        </row>
        <row r="131">
          <cell r="E131">
            <v>-5</v>
          </cell>
          <cell r="K131">
            <v>-20572.721277349243</v>
          </cell>
        </row>
        <row r="132">
          <cell r="E132">
            <v>-75</v>
          </cell>
          <cell r="K132">
            <v>-308590.81916023861</v>
          </cell>
        </row>
        <row r="133">
          <cell r="E133">
            <v>-14</v>
          </cell>
          <cell r="K133">
            <v>-57603.619576577876</v>
          </cell>
        </row>
        <row r="134">
          <cell r="E134">
            <v>-76</v>
          </cell>
          <cell r="K134">
            <v>-312705.36341570847</v>
          </cell>
        </row>
        <row r="135">
          <cell r="E135">
            <v>-46</v>
          </cell>
          <cell r="K135">
            <v>-203303.90037876554</v>
          </cell>
        </row>
        <row r="136">
          <cell r="E136">
            <v>56</v>
          </cell>
          <cell r="K136">
            <v>230414.4783063115</v>
          </cell>
        </row>
        <row r="137">
          <cell r="E137">
            <v>34</v>
          </cell>
          <cell r="K137">
            <v>139894.50468597485</v>
          </cell>
        </row>
        <row r="138">
          <cell r="E138">
            <v>-8</v>
          </cell>
          <cell r="K138">
            <v>-32916.354043758787</v>
          </cell>
        </row>
        <row r="141">
          <cell r="E141">
            <v>-26</v>
          </cell>
          <cell r="K141">
            <v>-111493.49330447416</v>
          </cell>
        </row>
        <row r="142">
          <cell r="E142">
            <v>33</v>
          </cell>
          <cell r="K142">
            <v>140288.24502997851</v>
          </cell>
        </row>
        <row r="143">
          <cell r="E143">
            <v>8</v>
          </cell>
          <cell r="K143">
            <v>34305.690247530511</v>
          </cell>
        </row>
        <row r="144">
          <cell r="E144">
            <v>20</v>
          </cell>
          <cell r="K144">
            <v>85330.459908300225</v>
          </cell>
        </row>
        <row r="145">
          <cell r="E145">
            <v>3</v>
          </cell>
          <cell r="K145">
            <v>12799.568986245033</v>
          </cell>
        </row>
        <row r="146">
          <cell r="E146">
            <v>64</v>
          </cell>
          <cell r="K146">
            <v>273057.4717065607</v>
          </cell>
        </row>
        <row r="147">
          <cell r="E147">
            <v>-66</v>
          </cell>
          <cell r="K147">
            <v>-281590.51769739069</v>
          </cell>
        </row>
        <row r="148">
          <cell r="E148">
            <v>1</v>
          </cell>
          <cell r="K148">
            <v>4266.5229954150109</v>
          </cell>
        </row>
        <row r="149">
          <cell r="E149">
            <v>-122</v>
          </cell>
          <cell r="K149">
            <v>-520515.80544063135</v>
          </cell>
        </row>
        <row r="150">
          <cell r="E150">
            <v>18</v>
          </cell>
          <cell r="K150">
            <v>76797.4139174702</v>
          </cell>
        </row>
        <row r="151">
          <cell r="E151">
            <v>41</v>
          </cell>
          <cell r="K151">
            <v>174927.44281201545</v>
          </cell>
        </row>
        <row r="152">
          <cell r="E152">
            <v>-38</v>
          </cell>
          <cell r="K152">
            <v>-162127.87382577042</v>
          </cell>
        </row>
        <row r="153">
          <cell r="E153">
            <v>100</v>
          </cell>
          <cell r="K153">
            <v>426652.2995415011</v>
          </cell>
        </row>
        <row r="154">
          <cell r="E154">
            <v>-42</v>
          </cell>
          <cell r="K154">
            <v>-179193.96580743045</v>
          </cell>
        </row>
        <row r="155">
          <cell r="E155">
            <v>36</v>
          </cell>
          <cell r="K155">
            <v>153594.8278349404</v>
          </cell>
        </row>
        <row r="156">
          <cell r="E156">
            <v>65</v>
          </cell>
          <cell r="K156">
            <v>277323.99470197572</v>
          </cell>
        </row>
        <row r="157">
          <cell r="E157">
            <v>-17</v>
          </cell>
          <cell r="K157">
            <v>-72530.890922055187</v>
          </cell>
        </row>
        <row r="158">
          <cell r="E158">
            <v>-21</v>
          </cell>
          <cell r="K158">
            <v>-89596.982903715223</v>
          </cell>
        </row>
        <row r="159">
          <cell r="E159">
            <v>-40</v>
          </cell>
          <cell r="K159">
            <v>-170660.91981660045</v>
          </cell>
        </row>
        <row r="160">
          <cell r="E160">
            <v>47</v>
          </cell>
          <cell r="K160">
            <v>200526.58078450552</v>
          </cell>
        </row>
        <row r="161">
          <cell r="E161">
            <v>-19</v>
          </cell>
          <cell r="K161">
            <v>-81063.936912885212</v>
          </cell>
        </row>
        <row r="162">
          <cell r="E162">
            <v>55</v>
          </cell>
          <cell r="K162">
            <v>234658.7647478256</v>
          </cell>
        </row>
        <row r="163">
          <cell r="E163">
            <v>91</v>
          </cell>
          <cell r="K163">
            <v>388037.31605938385</v>
          </cell>
        </row>
        <row r="164">
          <cell r="E164">
            <v>41</v>
          </cell>
          <cell r="K164">
            <v>176465.59208582301</v>
          </cell>
        </row>
        <row r="165">
          <cell r="E165">
            <v>109</v>
          </cell>
          <cell r="K165">
            <v>465051.00650023617</v>
          </cell>
        </row>
        <row r="166">
          <cell r="E166">
            <v>97</v>
          </cell>
          <cell r="K166">
            <v>413852.73055525607</v>
          </cell>
        </row>
        <row r="167">
          <cell r="E167">
            <v>-75</v>
          </cell>
          <cell r="K167">
            <v>-319223.39120630751</v>
          </cell>
        </row>
        <row r="168">
          <cell r="E168">
            <v>-32</v>
          </cell>
          <cell r="K168">
            <v>-132455.8702527706</v>
          </cell>
        </row>
        <row r="169">
          <cell r="E169">
            <v>25</v>
          </cell>
          <cell r="K169">
            <v>106663.07488537527</v>
          </cell>
        </row>
        <row r="170">
          <cell r="E170">
            <v>-100</v>
          </cell>
          <cell r="K170">
            <v>-426652.2995415011</v>
          </cell>
        </row>
        <row r="171">
          <cell r="E171">
            <v>-12</v>
          </cell>
          <cell r="K171">
            <v>-50744.43250742658</v>
          </cell>
        </row>
        <row r="172">
          <cell r="E172">
            <v>-65</v>
          </cell>
          <cell r="K172">
            <v>-271117.71585768647</v>
          </cell>
        </row>
        <row r="173">
          <cell r="E173">
            <v>29</v>
          </cell>
          <cell r="K173">
            <v>123011.41159074033</v>
          </cell>
        </row>
        <row r="174">
          <cell r="E174">
            <v>22</v>
          </cell>
          <cell r="K174">
            <v>93863.505899130236</v>
          </cell>
        </row>
        <row r="175">
          <cell r="E175">
            <v>22</v>
          </cell>
          <cell r="K175">
            <v>90655.531859205177</v>
          </cell>
        </row>
        <row r="176">
          <cell r="E176">
            <v>-4</v>
          </cell>
          <cell r="K176">
            <v>-17189.571507378554</v>
          </cell>
        </row>
        <row r="177">
          <cell r="E177">
            <v>6</v>
          </cell>
          <cell r="K177">
            <v>24980.280533440273</v>
          </cell>
        </row>
        <row r="178">
          <cell r="E178">
            <v>-2</v>
          </cell>
          <cell r="K178">
            <v>-8533.0459908300218</v>
          </cell>
        </row>
        <row r="179">
          <cell r="E179">
            <v>6</v>
          </cell>
          <cell r="K179">
            <v>25193.228247877745</v>
          </cell>
        </row>
        <row r="180">
          <cell r="E180">
            <v>159</v>
          </cell>
          <cell r="K180">
            <v>668978.48319322278</v>
          </cell>
        </row>
        <row r="181">
          <cell r="E181">
            <v>-22</v>
          </cell>
          <cell r="K181">
            <v>-94200.660197410965</v>
          </cell>
        </row>
        <row r="182">
          <cell r="E182">
            <v>69</v>
          </cell>
          <cell r="K182">
            <v>312153.18984214211</v>
          </cell>
        </row>
        <row r="183">
          <cell r="E183">
            <v>294</v>
          </cell>
          <cell r="K183">
            <v>1209088.148820522</v>
          </cell>
        </row>
        <row r="184">
          <cell r="E184">
            <v>-38</v>
          </cell>
          <cell r="K184">
            <v>-168271.07158675292</v>
          </cell>
        </row>
        <row r="185">
          <cell r="E185">
            <v>-13</v>
          </cell>
          <cell r="K185">
            <v>-55408.76993572768</v>
          </cell>
        </row>
        <row r="186">
          <cell r="E186">
            <v>119</v>
          </cell>
          <cell r="K186">
            <v>495568.02943462838</v>
          </cell>
        </row>
        <row r="187">
          <cell r="E187">
            <v>104</v>
          </cell>
          <cell r="K187">
            <v>441509.32131667365</v>
          </cell>
        </row>
        <row r="188">
          <cell r="E188">
            <v>20</v>
          </cell>
          <cell r="K188">
            <v>82260.409521818481</v>
          </cell>
        </row>
        <row r="189">
          <cell r="E189">
            <v>10</v>
          </cell>
          <cell r="K189">
            <v>42618.052232448594</v>
          </cell>
        </row>
        <row r="190">
          <cell r="E190">
            <v>90</v>
          </cell>
          <cell r="K190">
            <v>383987.069587351</v>
          </cell>
        </row>
        <row r="191">
          <cell r="E191">
            <v>271</v>
          </cell>
          <cell r="K191">
            <v>1156227.7317574678</v>
          </cell>
        </row>
        <row r="192">
          <cell r="E192">
            <v>-21</v>
          </cell>
          <cell r="K192">
            <v>-89740.141159162231</v>
          </cell>
        </row>
        <row r="193">
          <cell r="E193">
            <v>108</v>
          </cell>
          <cell r="K193">
            <v>467041.78400080878</v>
          </cell>
        </row>
        <row r="194">
          <cell r="E194">
            <v>1</v>
          </cell>
          <cell r="K194">
            <v>4266.5229954150109</v>
          </cell>
        </row>
        <row r="195">
          <cell r="E195">
            <v>32</v>
          </cell>
          <cell r="K195">
            <v>136528.73585328035</v>
          </cell>
        </row>
        <row r="196">
          <cell r="E196">
            <v>120</v>
          </cell>
          <cell r="K196">
            <v>511982.75944980129</v>
          </cell>
        </row>
        <row r="197">
          <cell r="E197">
            <v>-25</v>
          </cell>
          <cell r="K197">
            <v>-106663.07488537527</v>
          </cell>
        </row>
        <row r="198">
          <cell r="K198">
            <v>6505538.7681770287</v>
          </cell>
        </row>
        <row r="200">
          <cell r="E200">
            <v>69</v>
          </cell>
          <cell r="K200">
            <v>283903.55362741952</v>
          </cell>
        </row>
        <row r="201">
          <cell r="K201">
            <v>283903.55362741952</v>
          </cell>
        </row>
        <row r="203">
          <cell r="E203">
            <v>19</v>
          </cell>
          <cell r="K203">
            <v>97667.133582089722</v>
          </cell>
        </row>
        <row r="204">
          <cell r="K204">
            <v>97667.133582089722</v>
          </cell>
        </row>
      </sheetData>
      <sheetData sheetId="2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57</v>
          </cell>
          <cell r="K23">
            <v>234529.02256178137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1</v>
          </cell>
          <cell r="K30">
            <v>3618.3716755319151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1</v>
          </cell>
          <cell r="K73">
            <v>5667.2109932106241</v>
          </cell>
        </row>
        <row r="74">
          <cell r="E74">
            <v>3</v>
          </cell>
          <cell r="K74">
            <v>20627.819620109683</v>
          </cell>
        </row>
        <row r="75">
          <cell r="E75">
            <v>1</v>
          </cell>
          <cell r="K75">
            <v>6291.495310668658</v>
          </cell>
        </row>
      </sheetData>
      <sheetData sheetId="3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4</v>
          </cell>
          <cell r="K37">
            <v>19879.043159693188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171</v>
          </cell>
          <cell r="K62">
            <v>954736.29543403629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  <row r="76">
          <cell r="E76">
            <v>0</v>
          </cell>
          <cell r="K76">
            <v>0</v>
          </cell>
        </row>
      </sheetData>
      <sheetData sheetId="4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16</v>
          </cell>
          <cell r="K32">
            <v>66084.984428645679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24</v>
          </cell>
          <cell r="K42">
            <v>102396.55188996026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-2</v>
          </cell>
          <cell r="K50">
            <v>-10719.564245651813</v>
          </cell>
        </row>
        <row r="51">
          <cell r="E51">
            <v>-2</v>
          </cell>
          <cell r="K51">
            <v>-5892.9029077864525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-3</v>
          </cell>
          <cell r="K58">
            <v>-17015.441415033973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5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82</v>
          </cell>
          <cell r="K32">
            <v>338685.54519680911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51</v>
          </cell>
          <cell r="K42">
            <v>217592.67276616555</v>
          </cell>
        </row>
        <row r="43">
          <cell r="E43">
            <v>0</v>
          </cell>
          <cell r="K43">
            <v>0</v>
          </cell>
        </row>
        <row r="44">
          <cell r="E44">
            <v>4</v>
          </cell>
          <cell r="K44">
            <v>12090.698110236221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-1</v>
          </cell>
          <cell r="K50">
            <v>-5359.7821228259063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6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21</v>
          </cell>
          <cell r="K32">
            <v>86736.542062597451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1</v>
          </cell>
          <cell r="K35">
            <v>4707.5086133052646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77</v>
          </cell>
          <cell r="K42">
            <v>328522.27064695582</v>
          </cell>
        </row>
        <row r="43">
          <cell r="E43">
            <v>0</v>
          </cell>
          <cell r="K43">
            <v>0</v>
          </cell>
        </row>
        <row r="44">
          <cell r="E44">
            <v>1</v>
          </cell>
          <cell r="K44">
            <v>3022.6745275590552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2</v>
          </cell>
          <cell r="K50">
            <v>10719.564245651813</v>
          </cell>
        </row>
        <row r="51">
          <cell r="E51">
            <v>1</v>
          </cell>
          <cell r="K51">
            <v>2946.4514538932262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7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117</v>
          </cell>
          <cell r="K16">
            <v>568811.65324221156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8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-1</v>
          </cell>
          <cell r="K34">
            <v>-3857.569443848317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29</v>
          </cell>
          <cell r="K55">
            <v>156923.32845396438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9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156</v>
          </cell>
          <cell r="K16">
            <v>758415.53765628207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-8</v>
          </cell>
          <cell r="K33">
            <v>-50990.662013905574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0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-16</v>
          </cell>
          <cell r="K9">
            <v>-76856.811802965778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-1</v>
          </cell>
          <cell r="K23">
            <v>-4114.5442554698484</v>
          </cell>
        </row>
        <row r="24">
          <cell r="E24">
            <v>0</v>
          </cell>
          <cell r="K24">
            <v>0</v>
          </cell>
        </row>
        <row r="25">
          <cell r="E25">
            <v>2</v>
          </cell>
          <cell r="K25">
            <v>12442.642679941608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3</v>
          </cell>
          <cell r="K30">
            <v>10855.115026595746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-1</v>
          </cell>
          <cell r="K38">
            <v>-6091.2857655456792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1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-5</v>
          </cell>
          <cell r="K32">
            <v>-20651.557633951776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-2</v>
          </cell>
          <cell r="K42">
            <v>-8533.0459908300218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-3</v>
          </cell>
          <cell r="K50">
            <v>-16079.34636847772</v>
          </cell>
        </row>
        <row r="51">
          <cell r="E51">
            <v>-2</v>
          </cell>
          <cell r="K51">
            <v>-5892.9029077864525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2</v>
          </cell>
          <cell r="K54">
            <v>10287.586646167883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2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67</v>
          </cell>
          <cell r="K39">
            <v>400985.24631766969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3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-111</v>
          </cell>
          <cell r="K65">
            <v>-772981.64835187199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43</v>
          </cell>
          <cell r="K72">
            <v>305337.44524156844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4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-104</v>
          </cell>
          <cell r="K23">
            <v>-427912.60256886424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-6</v>
          </cell>
          <cell r="K74">
            <v>-41255.639240219367</v>
          </cell>
        </row>
        <row r="75">
          <cell r="E75">
            <v>0</v>
          </cell>
          <cell r="K75">
            <v>0</v>
          </cell>
        </row>
      </sheetData>
      <sheetData sheetId="15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-2</v>
          </cell>
          <cell r="K19">
            <v>-14007.107727546176</v>
          </cell>
        </row>
        <row r="20">
          <cell r="E20">
            <v>0</v>
          </cell>
          <cell r="K20">
            <v>0</v>
          </cell>
        </row>
        <row r="21">
          <cell r="E21">
            <v>-15</v>
          </cell>
          <cell r="K21">
            <v>-91223.476796426796</v>
          </cell>
        </row>
        <row r="22">
          <cell r="E22">
            <v>0</v>
          </cell>
          <cell r="K22">
            <v>0</v>
          </cell>
        </row>
        <row r="23">
          <cell r="E23">
            <v>1</v>
          </cell>
          <cell r="K23">
            <v>4114.5442554698484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2</v>
          </cell>
          <cell r="K27">
            <v>12669.780983255814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1</v>
          </cell>
          <cell r="K41">
            <v>5145.1206416222867</v>
          </cell>
        </row>
        <row r="42">
          <cell r="E42">
            <v>0</v>
          </cell>
          <cell r="K42">
            <v>0</v>
          </cell>
        </row>
        <row r="43">
          <cell r="E43">
            <v>1</v>
          </cell>
          <cell r="K43">
            <v>6157.3695641818849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9</v>
          </cell>
          <cell r="K60">
            <v>62129.258447648092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16">
        <row r="4">
          <cell r="E4">
            <v>4</v>
          </cell>
          <cell r="K4">
            <v>19350.245762603798</v>
          </cell>
        </row>
        <row r="5">
          <cell r="E5">
            <v>2</v>
          </cell>
          <cell r="K5">
            <v>12644.552438124907</v>
          </cell>
        </row>
        <row r="6">
          <cell r="E6">
            <v>12</v>
          </cell>
          <cell r="K6">
            <v>51878.347967001901</v>
          </cell>
        </row>
        <row r="7">
          <cell r="E7">
            <v>-1</v>
          </cell>
          <cell r="K7">
            <v>-5915.9334181907907</v>
          </cell>
        </row>
        <row r="8">
          <cell r="E8">
            <v>9</v>
          </cell>
          <cell r="K8">
            <v>44896.086210934867</v>
          </cell>
        </row>
        <row r="9">
          <cell r="E9">
            <v>12</v>
          </cell>
          <cell r="K9">
            <v>64349.298076601437</v>
          </cell>
        </row>
        <row r="10">
          <cell r="E10">
            <v>3</v>
          </cell>
          <cell r="K10">
            <v>6812.1603731275527</v>
          </cell>
        </row>
        <row r="11">
          <cell r="E11">
            <v>38</v>
          </cell>
          <cell r="K11">
            <v>171522.14373495619</v>
          </cell>
        </row>
        <row r="12">
          <cell r="E12">
            <v>2</v>
          </cell>
          <cell r="K12">
            <v>9252.6758130400794</v>
          </cell>
        </row>
        <row r="13">
          <cell r="E13">
            <v>17</v>
          </cell>
          <cell r="K13">
            <v>74383.062347058454</v>
          </cell>
        </row>
        <row r="14">
          <cell r="E14">
            <v>-5</v>
          </cell>
          <cell r="K14">
            <v>-34017.587295922574</v>
          </cell>
        </row>
        <row r="15">
          <cell r="E15">
            <v>1</v>
          </cell>
          <cell r="K15">
            <v>2517.4940453421268</v>
          </cell>
        </row>
        <row r="16">
          <cell r="E16">
            <v>-3</v>
          </cell>
          <cell r="K16">
            <v>-18909.595432187336</v>
          </cell>
        </row>
        <row r="17">
          <cell r="E17">
            <v>0</v>
          </cell>
          <cell r="K17">
            <v>0</v>
          </cell>
        </row>
        <row r="18">
          <cell r="E18">
            <v>20</v>
          </cell>
          <cell r="K18">
            <v>109468.17215571215</v>
          </cell>
        </row>
        <row r="19">
          <cell r="E19">
            <v>8</v>
          </cell>
          <cell r="K19">
            <v>15963.104768671781</v>
          </cell>
        </row>
        <row r="20">
          <cell r="E20">
            <v>44</v>
          </cell>
          <cell r="K20">
            <v>162935.95251660602</v>
          </cell>
        </row>
        <row r="21">
          <cell r="E21">
            <v>2</v>
          </cell>
          <cell r="K21">
            <v>12303.153340713823</v>
          </cell>
        </row>
        <row r="22">
          <cell r="E22">
            <v>8</v>
          </cell>
          <cell r="K22">
            <v>44793.513647789783</v>
          </cell>
        </row>
        <row r="23">
          <cell r="E23">
            <v>1</v>
          </cell>
          <cell r="K23">
            <v>5405.736862728525</v>
          </cell>
        </row>
        <row r="24">
          <cell r="E24">
            <v>3</v>
          </cell>
          <cell r="K24">
            <v>17104.204327395346</v>
          </cell>
        </row>
        <row r="25">
          <cell r="E25">
            <v>5</v>
          </cell>
          <cell r="K25">
            <v>30148.440195925235</v>
          </cell>
        </row>
        <row r="26">
          <cell r="E26">
            <v>9</v>
          </cell>
          <cell r="K26">
            <v>44830.748016954822</v>
          </cell>
        </row>
        <row r="27">
          <cell r="E27">
            <v>1</v>
          </cell>
          <cell r="K27">
            <v>3256.5345079787235</v>
          </cell>
        </row>
        <row r="28">
          <cell r="E28">
            <v>-3</v>
          </cell>
          <cell r="K28">
            <v>-12207.18078685438</v>
          </cell>
        </row>
        <row r="29">
          <cell r="E29">
            <v>65</v>
          </cell>
          <cell r="K29">
            <v>241623.22431723576</v>
          </cell>
        </row>
        <row r="30">
          <cell r="E30">
            <v>6</v>
          </cell>
          <cell r="K30">
            <v>34418.696859386269</v>
          </cell>
        </row>
        <row r="31">
          <cell r="E31">
            <v>41</v>
          </cell>
          <cell r="K31">
            <v>142344.31247800292</v>
          </cell>
        </row>
        <row r="32">
          <cell r="E32">
            <v>10</v>
          </cell>
          <cell r="K32">
            <v>42367.577519747385</v>
          </cell>
        </row>
        <row r="33">
          <cell r="E33">
            <v>-2</v>
          </cell>
          <cell r="K33">
            <v>-11476.477883853539</v>
          </cell>
        </row>
        <row r="34">
          <cell r="E34">
            <v>1</v>
          </cell>
          <cell r="K34">
            <v>4472.7847109309678</v>
          </cell>
        </row>
        <row r="35">
          <cell r="E35">
            <v>43</v>
          </cell>
          <cell r="K35">
            <v>235732.75912661778</v>
          </cell>
        </row>
        <row r="36">
          <cell r="E36">
            <v>-1</v>
          </cell>
          <cell r="K36">
            <v>-5386.3689803866073</v>
          </cell>
        </row>
        <row r="37">
          <cell r="E37">
            <v>9</v>
          </cell>
          <cell r="K37">
            <v>53846.717749260686</v>
          </cell>
        </row>
        <row r="38">
          <cell r="E38">
            <v>2</v>
          </cell>
          <cell r="K38">
            <v>9261.2171549201157</v>
          </cell>
        </row>
        <row r="39">
          <cell r="E39">
            <v>20</v>
          </cell>
          <cell r="K39">
            <v>76797.4139174702</v>
          </cell>
        </row>
        <row r="40">
          <cell r="E40">
            <v>17</v>
          </cell>
          <cell r="K40">
            <v>94207.75433198284</v>
          </cell>
        </row>
        <row r="41">
          <cell r="E41">
            <v>3</v>
          </cell>
          <cell r="K41">
            <v>8161.2212244094499</v>
          </cell>
        </row>
        <row r="42">
          <cell r="E42">
            <v>3</v>
          </cell>
          <cell r="K42">
            <v>11933.055022231893</v>
          </cell>
        </row>
        <row r="43">
          <cell r="E43">
            <v>27</v>
          </cell>
          <cell r="K43">
            <v>136779.04894436392</v>
          </cell>
        </row>
        <row r="44">
          <cell r="E44">
            <v>0</v>
          </cell>
          <cell r="K44">
            <v>0</v>
          </cell>
        </row>
        <row r="45">
          <cell r="E45">
            <v>-1</v>
          </cell>
          <cell r="K45">
            <v>-5059.5777414889026</v>
          </cell>
        </row>
        <row r="46">
          <cell r="E46">
            <v>7</v>
          </cell>
          <cell r="K46">
            <v>33342.444042216768</v>
          </cell>
        </row>
        <row r="47">
          <cell r="E47">
            <v>8</v>
          </cell>
          <cell r="K47">
            <v>38590.43128434653</v>
          </cell>
        </row>
        <row r="48">
          <cell r="E48">
            <v>8</v>
          </cell>
          <cell r="K48">
            <v>21214.450468031231</v>
          </cell>
        </row>
        <row r="49">
          <cell r="E49">
            <v>-3</v>
          </cell>
          <cell r="K49">
            <v>-17206.34376111524</v>
          </cell>
        </row>
        <row r="50">
          <cell r="E50">
            <v>0</v>
          </cell>
          <cell r="K50">
            <v>0</v>
          </cell>
        </row>
        <row r="51">
          <cell r="E51">
            <v>-1</v>
          </cell>
          <cell r="K51">
            <v>-4629.413990775548</v>
          </cell>
        </row>
        <row r="52">
          <cell r="E52">
            <v>24</v>
          </cell>
          <cell r="K52">
            <v>116880.82395191831</v>
          </cell>
        </row>
        <row r="53">
          <cell r="E53">
            <v>11</v>
          </cell>
          <cell r="K53">
            <v>56104.748266066948</v>
          </cell>
        </row>
        <row r="54">
          <cell r="E54">
            <v>15</v>
          </cell>
          <cell r="K54">
            <v>66861.368828271356</v>
          </cell>
        </row>
        <row r="55">
          <cell r="E55">
            <v>24</v>
          </cell>
          <cell r="K55">
            <v>122511.17818824464</v>
          </cell>
        </row>
        <row r="56">
          <cell r="E56">
            <v>46</v>
          </cell>
          <cell r="K56">
            <v>226264.56941130571</v>
          </cell>
        </row>
        <row r="57">
          <cell r="E57">
            <v>0</v>
          </cell>
          <cell r="K57">
            <v>0</v>
          </cell>
        </row>
        <row r="58">
          <cell r="E58">
            <v>17</v>
          </cell>
          <cell r="K58">
            <v>75982.607144906739</v>
          </cell>
        </row>
        <row r="59">
          <cell r="E59">
            <v>0</v>
          </cell>
          <cell r="K59">
            <v>0</v>
          </cell>
        </row>
        <row r="60">
          <cell r="E60">
            <v>17</v>
          </cell>
          <cell r="K60">
            <v>80328.324720934863</v>
          </cell>
        </row>
        <row r="61">
          <cell r="E61">
            <v>11</v>
          </cell>
          <cell r="K61">
            <v>60933.572175441594</v>
          </cell>
        </row>
        <row r="62">
          <cell r="E62">
            <v>23</v>
          </cell>
          <cell r="K62">
            <v>144150.6317196734</v>
          </cell>
        </row>
        <row r="63">
          <cell r="E63">
            <v>6</v>
          </cell>
          <cell r="K63">
            <v>29888.766058829628</v>
          </cell>
        </row>
        <row r="64">
          <cell r="E64">
            <v>1</v>
          </cell>
          <cell r="K64">
            <v>3367.5700382405307</v>
          </cell>
        </row>
        <row r="65">
          <cell r="E65">
            <v>5</v>
          </cell>
          <cell r="K65">
            <v>27757.138831524939</v>
          </cell>
        </row>
        <row r="66">
          <cell r="E66">
            <v>3</v>
          </cell>
          <cell r="K66">
            <v>13821.545035288091</v>
          </cell>
        </row>
        <row r="67">
          <cell r="E67">
            <v>3</v>
          </cell>
          <cell r="K67">
            <v>17692.735249440902</v>
          </cell>
        </row>
        <row r="68">
          <cell r="E68">
            <v>0</v>
          </cell>
          <cell r="K68">
            <v>0</v>
          </cell>
        </row>
        <row r="69">
          <cell r="E69">
            <v>1</v>
          </cell>
          <cell r="K69">
            <v>6390.7837376142224</v>
          </cell>
        </row>
        <row r="70">
          <cell r="E70">
            <v>1</v>
          </cell>
          <cell r="K70">
            <v>5100.4898938895622</v>
          </cell>
        </row>
        <row r="71">
          <cell r="E71">
            <v>1</v>
          </cell>
          <cell r="K71">
            <v>6188.3458860329056</v>
          </cell>
        </row>
        <row r="72">
          <cell r="E72">
            <v>5</v>
          </cell>
          <cell r="K72">
            <v>28311.728898008958</v>
          </cell>
        </row>
      </sheetData>
      <sheetData sheetId="17">
        <row r="4">
          <cell r="E4">
            <v>1</v>
          </cell>
          <cell r="K4">
            <v>4837.5614406509494</v>
          </cell>
        </row>
        <row r="5">
          <cell r="E5">
            <v>6</v>
          </cell>
          <cell r="K5">
            <v>37933.657314374723</v>
          </cell>
        </row>
        <row r="6">
          <cell r="E6">
            <v>10</v>
          </cell>
          <cell r="K6">
            <v>43231.956639168246</v>
          </cell>
        </row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-12</v>
          </cell>
          <cell r="K9">
            <v>-64349.298076601437</v>
          </cell>
        </row>
        <row r="10">
          <cell r="E10">
            <v>-2</v>
          </cell>
          <cell r="K10">
            <v>-4541.4402487517018</v>
          </cell>
        </row>
        <row r="11">
          <cell r="E11">
            <v>-4</v>
          </cell>
          <cell r="K11">
            <v>-18054.96249841644</v>
          </cell>
        </row>
        <row r="12">
          <cell r="E12">
            <v>8</v>
          </cell>
          <cell r="K12">
            <v>37010.703252160318</v>
          </cell>
        </row>
        <row r="13">
          <cell r="E13">
            <v>-9</v>
          </cell>
          <cell r="K13">
            <v>-39379.268301383883</v>
          </cell>
        </row>
        <row r="14">
          <cell r="E14">
            <v>-1</v>
          </cell>
          <cell r="K14">
            <v>-6803.5174591845152</v>
          </cell>
        </row>
        <row r="15">
          <cell r="E15">
            <v>0</v>
          </cell>
          <cell r="K15">
            <v>0</v>
          </cell>
        </row>
        <row r="16">
          <cell r="E16">
            <v>5</v>
          </cell>
          <cell r="K16">
            <v>31515.992386978898</v>
          </cell>
        </row>
        <row r="17">
          <cell r="E17">
            <v>2</v>
          </cell>
          <cell r="K17">
            <v>11138.217738938183</v>
          </cell>
        </row>
        <row r="18">
          <cell r="E18">
            <v>1</v>
          </cell>
          <cell r="K18">
            <v>5473.4086077856073</v>
          </cell>
        </row>
        <row r="19">
          <cell r="E19">
            <v>1</v>
          </cell>
          <cell r="K19">
            <v>1995.3880960839726</v>
          </cell>
        </row>
        <row r="20">
          <cell r="E20">
            <v>12</v>
          </cell>
          <cell r="K20">
            <v>44437.077959074362</v>
          </cell>
        </row>
        <row r="21">
          <cell r="E21">
            <v>0</v>
          </cell>
          <cell r="K21">
            <v>0</v>
          </cell>
        </row>
        <row r="22">
          <cell r="E22">
            <v>-1</v>
          </cell>
          <cell r="K22">
            <v>-5599.1892059737229</v>
          </cell>
        </row>
        <row r="23">
          <cell r="E23">
            <v>3</v>
          </cell>
          <cell r="K23">
            <v>16217.210588185575</v>
          </cell>
        </row>
        <row r="24">
          <cell r="E24">
            <v>-2</v>
          </cell>
          <cell r="K24">
            <v>-11402.802884930232</v>
          </cell>
        </row>
        <row r="25">
          <cell r="E25">
            <v>5</v>
          </cell>
          <cell r="K25">
            <v>30148.440195925235</v>
          </cell>
        </row>
        <row r="26">
          <cell r="E26">
            <v>5</v>
          </cell>
          <cell r="K26">
            <v>24905.971120530456</v>
          </cell>
        </row>
        <row r="27">
          <cell r="E27">
            <v>0</v>
          </cell>
          <cell r="K27">
            <v>0</v>
          </cell>
        </row>
        <row r="28">
          <cell r="E28">
            <v>-1</v>
          </cell>
          <cell r="K28">
            <v>-4069.0602622847932</v>
          </cell>
        </row>
        <row r="29">
          <cell r="E29">
            <v>5</v>
          </cell>
          <cell r="K29">
            <v>18586.401870556598</v>
          </cell>
        </row>
        <row r="30">
          <cell r="E30">
            <v>-2</v>
          </cell>
          <cell r="K30">
            <v>-11472.898953128755</v>
          </cell>
        </row>
        <row r="31">
          <cell r="E31">
            <v>9</v>
          </cell>
          <cell r="K31">
            <v>31246.312495171369</v>
          </cell>
        </row>
        <row r="32">
          <cell r="E32">
            <v>-5</v>
          </cell>
          <cell r="K32">
            <v>-21183.788759873692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-5</v>
          </cell>
          <cell r="K35">
            <v>-27410.785944955554</v>
          </cell>
        </row>
        <row r="36">
          <cell r="E36">
            <v>-4</v>
          </cell>
          <cell r="K36">
            <v>-21545.475921546429</v>
          </cell>
        </row>
        <row r="37">
          <cell r="E37">
            <v>-3</v>
          </cell>
          <cell r="K37">
            <v>-17948.90591642023</v>
          </cell>
        </row>
        <row r="38">
          <cell r="E38">
            <v>0</v>
          </cell>
          <cell r="K38">
            <v>0</v>
          </cell>
        </row>
        <row r="39">
          <cell r="E39">
            <v>-7</v>
          </cell>
          <cell r="K39">
            <v>-26879.094871114568</v>
          </cell>
        </row>
        <row r="40">
          <cell r="E40">
            <v>9</v>
          </cell>
          <cell r="K40">
            <v>49874.693469873273</v>
          </cell>
        </row>
        <row r="41">
          <cell r="E41">
            <v>0</v>
          </cell>
          <cell r="K41">
            <v>0</v>
          </cell>
        </row>
        <row r="42">
          <cell r="E42">
            <v>5</v>
          </cell>
          <cell r="K42">
            <v>19888.425037053152</v>
          </cell>
        </row>
        <row r="43">
          <cell r="E43">
            <v>7</v>
          </cell>
          <cell r="K43">
            <v>35461.234911501757</v>
          </cell>
        </row>
        <row r="44">
          <cell r="E44">
            <v>-1</v>
          </cell>
          <cell r="K44">
            <v>-2251.6392119064494</v>
          </cell>
        </row>
        <row r="45">
          <cell r="E45">
            <v>0</v>
          </cell>
          <cell r="K45">
            <v>0</v>
          </cell>
        </row>
        <row r="46">
          <cell r="E46">
            <v>-1</v>
          </cell>
          <cell r="K46">
            <v>-4763.2062917452531</v>
          </cell>
        </row>
        <row r="47">
          <cell r="E47">
            <v>-4</v>
          </cell>
          <cell r="K47">
            <v>-19295.215642173265</v>
          </cell>
        </row>
        <row r="48">
          <cell r="E48">
            <v>-9</v>
          </cell>
          <cell r="K48">
            <v>-23866.256776535134</v>
          </cell>
        </row>
        <row r="49">
          <cell r="E49">
            <v>1</v>
          </cell>
          <cell r="K49">
            <v>5735.4479203717474</v>
          </cell>
        </row>
        <row r="50">
          <cell r="E50">
            <v>0</v>
          </cell>
          <cell r="K50">
            <v>0</v>
          </cell>
        </row>
        <row r="51">
          <cell r="E51">
            <v>8</v>
          </cell>
          <cell r="K51">
            <v>37035.311926204384</v>
          </cell>
        </row>
        <row r="52">
          <cell r="E52">
            <v>2</v>
          </cell>
          <cell r="K52">
            <v>9740.0686626598599</v>
          </cell>
        </row>
        <row r="53">
          <cell r="E53">
            <v>-5</v>
          </cell>
          <cell r="K53">
            <v>-25502.158302757703</v>
          </cell>
        </row>
        <row r="54">
          <cell r="E54">
            <v>4</v>
          </cell>
          <cell r="K54">
            <v>17829.698354205695</v>
          </cell>
        </row>
        <row r="55">
          <cell r="E55">
            <v>-11</v>
          </cell>
          <cell r="K55">
            <v>-56150.956669612126</v>
          </cell>
        </row>
        <row r="56">
          <cell r="E56">
            <v>12</v>
          </cell>
          <cell r="K56">
            <v>59025.539846427579</v>
          </cell>
        </row>
        <row r="57">
          <cell r="E57">
            <v>1</v>
          </cell>
          <cell r="K57">
            <v>6212.9258447648099</v>
          </cell>
        </row>
        <row r="58">
          <cell r="E58">
            <v>-7</v>
          </cell>
          <cell r="K58">
            <v>-31286.95588319689</v>
          </cell>
        </row>
        <row r="59">
          <cell r="E59">
            <v>-2</v>
          </cell>
          <cell r="K59">
            <v>-10049.855741410909</v>
          </cell>
        </row>
        <row r="60">
          <cell r="E60">
            <v>1</v>
          </cell>
          <cell r="K60">
            <v>4725.1955718196978</v>
          </cell>
        </row>
        <row r="61">
          <cell r="E61">
            <v>3</v>
          </cell>
          <cell r="K61">
            <v>16618.246956938616</v>
          </cell>
        </row>
        <row r="62">
          <cell r="E62">
            <v>2</v>
          </cell>
          <cell r="K62">
            <v>12534.837540841167</v>
          </cell>
        </row>
        <row r="63">
          <cell r="E63">
            <v>-8</v>
          </cell>
          <cell r="K63">
            <v>-39851.688078439503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-1</v>
          </cell>
          <cell r="K66">
            <v>-4607.1816784293633</v>
          </cell>
        </row>
        <row r="67">
          <cell r="E67">
            <v>1</v>
          </cell>
          <cell r="K67">
            <v>5897.5784164803008</v>
          </cell>
        </row>
        <row r="68">
          <cell r="E68">
            <v>-4</v>
          </cell>
          <cell r="K68">
            <v>-19470.230029118404</v>
          </cell>
        </row>
        <row r="69">
          <cell r="E69">
            <v>-2</v>
          </cell>
          <cell r="K69">
            <v>-12781.567475228445</v>
          </cell>
        </row>
        <row r="70">
          <cell r="E70">
            <v>-3</v>
          </cell>
          <cell r="K70">
            <v>-15301.469681668686</v>
          </cell>
        </row>
        <row r="71">
          <cell r="E71">
            <v>-11</v>
          </cell>
          <cell r="K71">
            <v>-68071.804746361959</v>
          </cell>
        </row>
        <row r="72">
          <cell r="E72">
            <v>-2</v>
          </cell>
          <cell r="K72">
            <v>-11324.691559203584</v>
          </cell>
        </row>
      </sheetData>
      <sheetData sheetId="18" refreshError="1"/>
      <sheetData sheetId="19" refreshError="1"/>
      <sheetData sheetId="20">
        <row r="6">
          <cell r="K6">
            <v>-322504.09604339668</v>
          </cell>
        </row>
        <row r="7">
          <cell r="K7">
            <v>-112396.0216722214</v>
          </cell>
        </row>
        <row r="8">
          <cell r="K8">
            <v>-192142.02950741444</v>
          </cell>
        </row>
        <row r="9">
          <cell r="K9">
            <v>-105172.14965672516</v>
          </cell>
        </row>
        <row r="10">
          <cell r="K10">
            <v>-133025.44062499219</v>
          </cell>
        </row>
        <row r="11">
          <cell r="K11">
            <v>-250247.27029789446</v>
          </cell>
        </row>
        <row r="12">
          <cell r="K12">
            <v>-8830.5782614616419</v>
          </cell>
        </row>
        <row r="13">
          <cell r="K13">
            <v>-230702.29859087674</v>
          </cell>
        </row>
        <row r="14">
          <cell r="K14">
            <v>-447212.66429693718</v>
          </cell>
        </row>
        <row r="15">
          <cell r="K15">
            <v>-199327.16053786903</v>
          </cell>
        </row>
        <row r="16">
          <cell r="K16">
            <v>-26458.123452384225</v>
          </cell>
        </row>
        <row r="17">
          <cell r="K17">
            <v>-25174.94045342127</v>
          </cell>
        </row>
        <row r="18">
          <cell r="K18">
            <v>-45523.10011452507</v>
          </cell>
        </row>
        <row r="19">
          <cell r="K19">
            <v>-12375.797487709091</v>
          </cell>
        </row>
        <row r="20">
          <cell r="K20">
            <v>-127712.86751499752</v>
          </cell>
        </row>
        <row r="21">
          <cell r="K21">
            <v>-35473.566152603962</v>
          </cell>
        </row>
        <row r="22">
          <cell r="K22">
            <v>18515.449149614316</v>
          </cell>
        </row>
        <row r="23">
          <cell r="K23">
            <v>-61515.766703569112</v>
          </cell>
        </row>
        <row r="24">
          <cell r="K24">
            <v>-3110.6606699854019</v>
          </cell>
        </row>
        <row r="25">
          <cell r="K25">
            <v>-255270.90740662478</v>
          </cell>
        </row>
        <row r="26">
          <cell r="K26">
            <v>-50679.123933023257</v>
          </cell>
        </row>
        <row r="27">
          <cell r="K27">
            <v>-13399.306753744548</v>
          </cell>
        </row>
        <row r="28">
          <cell r="K28">
            <v>-334846.94506490947</v>
          </cell>
        </row>
        <row r="29">
          <cell r="K29">
            <v>-9045.9291888297885</v>
          </cell>
        </row>
        <row r="30">
          <cell r="K30">
            <v>20345.301311423966</v>
          </cell>
        </row>
        <row r="31">
          <cell r="K31">
            <v>287056.65111192968</v>
          </cell>
        </row>
        <row r="32">
          <cell r="K32">
            <v>-31869.163758690986</v>
          </cell>
        </row>
        <row r="33">
          <cell r="K33">
            <v>-293175.27773247211</v>
          </cell>
        </row>
        <row r="34">
          <cell r="K34">
            <v>-265974.23665174743</v>
          </cell>
        </row>
        <row r="35">
          <cell r="K35">
            <v>-137080.15250158391</v>
          </cell>
        </row>
        <row r="36">
          <cell r="K36">
            <v>-82001.05303373441</v>
          </cell>
        </row>
        <row r="37">
          <cell r="K37">
            <v>-523850.57583692839</v>
          </cell>
        </row>
        <row r="38">
          <cell r="K38">
            <v>-32916.699324584821</v>
          </cell>
        </row>
        <row r="39">
          <cell r="K39">
            <v>-116335.50131013111</v>
          </cell>
        </row>
        <row r="40">
          <cell r="K40">
            <v>-208377.38598570263</v>
          </cell>
        </row>
        <row r="41">
          <cell r="K41">
            <v>-140174.7999699543</v>
          </cell>
        </row>
        <row r="42">
          <cell r="K42">
            <v>-375599.54341509496</v>
          </cell>
        </row>
        <row r="43">
          <cell r="K43">
            <v>-22670.058956692912</v>
          </cell>
        </row>
        <row r="44">
          <cell r="K44">
            <v>-11049.125020585085</v>
          </cell>
        </row>
        <row r="45">
          <cell r="K45">
            <v>-588206.19813522766</v>
          </cell>
        </row>
        <row r="46">
          <cell r="K46">
            <v>0</v>
          </cell>
        </row>
        <row r="47">
          <cell r="K47">
            <v>-118056.81396807438</v>
          </cell>
        </row>
        <row r="48">
          <cell r="K48">
            <v>7938.6771529087546</v>
          </cell>
        </row>
        <row r="49">
          <cell r="K49">
            <v>-155433.68156195129</v>
          </cell>
        </row>
        <row r="50">
          <cell r="K50">
            <v>-22098.385904199196</v>
          </cell>
        </row>
        <row r="51">
          <cell r="K51">
            <v>-38236.319469144983</v>
          </cell>
        </row>
        <row r="52">
          <cell r="K52">
            <v>1821.0022038111019</v>
          </cell>
        </row>
        <row r="53">
          <cell r="K53">
            <v>84872.589830885045</v>
          </cell>
        </row>
        <row r="54">
          <cell r="K54">
            <v>-459947.68684782664</v>
          </cell>
        </row>
        <row r="55">
          <cell r="K55">
            <v>-113342.92579003422</v>
          </cell>
        </row>
        <row r="56">
          <cell r="K56">
            <v>-443266.11186150275</v>
          </cell>
        </row>
        <row r="57">
          <cell r="K57">
            <v>-280754.78334806056</v>
          </cell>
        </row>
        <row r="58">
          <cell r="K58">
            <v>-352513.64074949804</v>
          </cell>
        </row>
        <row r="59">
          <cell r="K59">
            <v>-51774.382039706747</v>
          </cell>
        </row>
        <row r="60">
          <cell r="K60">
            <v>-255758.44888645079</v>
          </cell>
        </row>
        <row r="61">
          <cell r="K61">
            <v>-58624.158491563634</v>
          </cell>
        </row>
        <row r="62">
          <cell r="K62">
            <v>-212633.80073188638</v>
          </cell>
        </row>
        <row r="63">
          <cell r="K63">
            <v>-436998.34590468212</v>
          </cell>
        </row>
        <row r="64">
          <cell r="K64">
            <v>-94011.28155630875</v>
          </cell>
        </row>
        <row r="65">
          <cell r="K65">
            <v>-146676.3519553676</v>
          </cell>
        </row>
        <row r="66">
          <cell r="K66">
            <v>-28063.083652004421</v>
          </cell>
        </row>
        <row r="67">
          <cell r="K67">
            <v>15420.632684180524</v>
          </cell>
        </row>
        <row r="68">
          <cell r="K68">
            <v>-20476.363015241612</v>
          </cell>
        </row>
        <row r="69">
          <cell r="K69">
            <v>-157268.75777280802</v>
          </cell>
        </row>
        <row r="70">
          <cell r="K70">
            <v>148730.92383354335</v>
          </cell>
        </row>
        <row r="71">
          <cell r="K71">
            <v>-35504.354097856791</v>
          </cell>
        </row>
        <row r="72">
          <cell r="K72">
            <v>-136013.06383705497</v>
          </cell>
        </row>
        <row r="73">
          <cell r="K73">
            <v>-48131.579113589265</v>
          </cell>
        </row>
        <row r="74">
          <cell r="K74">
            <v>22020.233587340303</v>
          </cell>
        </row>
        <row r="77">
          <cell r="K77">
            <v>-9923.6051562891334</v>
          </cell>
        </row>
        <row r="78">
          <cell r="K78">
            <v>139032.54882056115</v>
          </cell>
        </row>
        <row r="81">
          <cell r="K81">
            <v>-50603.213185290217</v>
          </cell>
        </row>
        <row r="83">
          <cell r="K83">
            <v>-5060.3213185290215</v>
          </cell>
        </row>
        <row r="85">
          <cell r="K85">
            <v>-50592.863760980952</v>
          </cell>
        </row>
        <row r="86">
          <cell r="K86">
            <v>-18428.875243369945</v>
          </cell>
        </row>
        <row r="89">
          <cell r="K89">
            <v>-22826.822484453987</v>
          </cell>
        </row>
        <row r="90">
          <cell r="K90">
            <v>-96069.71419752331</v>
          </cell>
        </row>
        <row r="91">
          <cell r="K91">
            <v>-77513.284738586823</v>
          </cell>
        </row>
        <row r="92">
          <cell r="K92">
            <v>48296.269084440282</v>
          </cell>
        </row>
        <row r="93">
          <cell r="K93">
            <v>-28313.311269870708</v>
          </cell>
        </row>
        <row r="128">
          <cell r="E128">
            <v>36</v>
          </cell>
          <cell r="K128">
            <v>77715.753815420496</v>
          </cell>
        </row>
        <row r="129">
          <cell r="E129">
            <v>17</v>
          </cell>
          <cell r="K129">
            <v>54168.119247955394</v>
          </cell>
        </row>
        <row r="130">
          <cell r="E130">
            <v>2</v>
          </cell>
          <cell r="K130">
            <v>5140.375451688933</v>
          </cell>
        </row>
        <row r="131">
          <cell r="E131">
            <v>-5</v>
          </cell>
          <cell r="K131">
            <v>-10286.360638674621</v>
          </cell>
        </row>
        <row r="132">
          <cell r="E132">
            <v>-21</v>
          </cell>
          <cell r="K132">
            <v>-43202.714682433405</v>
          </cell>
        </row>
        <row r="133">
          <cell r="E133">
            <v>-7</v>
          </cell>
          <cell r="K133">
            <v>-14400.904894144469</v>
          </cell>
        </row>
        <row r="134">
          <cell r="E134">
            <v>7</v>
          </cell>
          <cell r="K134">
            <v>14400.904894144469</v>
          </cell>
        </row>
        <row r="135">
          <cell r="E135">
            <v>-3</v>
          </cell>
          <cell r="K135">
            <v>-6629.4750123510503</v>
          </cell>
        </row>
        <row r="136">
          <cell r="E136">
            <v>-17</v>
          </cell>
          <cell r="K136">
            <v>-34973.626171493714</v>
          </cell>
        </row>
        <row r="137">
          <cell r="E137">
            <v>-22</v>
          </cell>
          <cell r="K137">
            <v>-45259.986810168331</v>
          </cell>
        </row>
        <row r="138">
          <cell r="E138">
            <v>-5</v>
          </cell>
          <cell r="K138">
            <v>-10286.360638674621</v>
          </cell>
        </row>
        <row r="141">
          <cell r="E141">
            <v>4</v>
          </cell>
          <cell r="K141">
            <v>8576.4225618826276</v>
          </cell>
        </row>
        <row r="142">
          <cell r="E142">
            <v>3</v>
          </cell>
          <cell r="K142">
            <v>6376.7384104535686</v>
          </cell>
        </row>
        <row r="143">
          <cell r="E143">
            <v>-6</v>
          </cell>
          <cell r="K143">
            <v>-12864.633842823941</v>
          </cell>
        </row>
        <row r="144">
          <cell r="E144">
            <v>15</v>
          </cell>
          <cell r="K144">
            <v>31998.922465612581</v>
          </cell>
        </row>
        <row r="145">
          <cell r="E145">
            <v>-14</v>
          </cell>
          <cell r="K145">
            <v>-29865.660967905074</v>
          </cell>
        </row>
        <row r="146">
          <cell r="E146">
            <v>7</v>
          </cell>
          <cell r="K146">
            <v>14932.830483952537</v>
          </cell>
        </row>
        <row r="147">
          <cell r="E147">
            <v>-9</v>
          </cell>
          <cell r="K147">
            <v>-19199.35347936755</v>
          </cell>
        </row>
        <row r="148">
          <cell r="E148">
            <v>-10</v>
          </cell>
          <cell r="K148">
            <v>-21332.614977075056</v>
          </cell>
        </row>
        <row r="149">
          <cell r="E149">
            <v>31</v>
          </cell>
          <cell r="K149">
            <v>66131.106428932675</v>
          </cell>
        </row>
        <row r="150">
          <cell r="E150">
            <v>7</v>
          </cell>
          <cell r="K150">
            <v>14932.830483952537</v>
          </cell>
        </row>
        <row r="151">
          <cell r="E151">
            <v>2</v>
          </cell>
          <cell r="K151">
            <v>4266.5229954150109</v>
          </cell>
        </row>
        <row r="152">
          <cell r="E152">
            <v>16</v>
          </cell>
          <cell r="K152">
            <v>34132.183963320087</v>
          </cell>
        </row>
        <row r="153">
          <cell r="E153">
            <v>7</v>
          </cell>
          <cell r="K153">
            <v>14932.830483952537</v>
          </cell>
        </row>
        <row r="154">
          <cell r="E154">
            <v>2</v>
          </cell>
          <cell r="K154">
            <v>4266.5229954150109</v>
          </cell>
        </row>
        <row r="155">
          <cell r="E155">
            <v>1</v>
          </cell>
          <cell r="K155">
            <v>2133.2614977075054</v>
          </cell>
        </row>
        <row r="156">
          <cell r="E156">
            <v>4</v>
          </cell>
          <cell r="K156">
            <v>8533.0459908300218</v>
          </cell>
        </row>
        <row r="157">
          <cell r="E157">
            <v>3</v>
          </cell>
          <cell r="K157">
            <v>6399.7844931225163</v>
          </cell>
        </row>
        <row r="158">
          <cell r="E158">
            <v>18</v>
          </cell>
          <cell r="K158">
            <v>38398.7069587351</v>
          </cell>
        </row>
        <row r="159">
          <cell r="E159">
            <v>-1</v>
          </cell>
          <cell r="K159">
            <v>-2133.2614977075054</v>
          </cell>
        </row>
        <row r="160">
          <cell r="E160">
            <v>4</v>
          </cell>
          <cell r="K160">
            <v>8533.0459908300218</v>
          </cell>
        </row>
        <row r="161">
          <cell r="E161">
            <v>0</v>
          </cell>
          <cell r="K161">
            <v>0</v>
          </cell>
        </row>
        <row r="162">
          <cell r="E162">
            <v>10</v>
          </cell>
          <cell r="K162">
            <v>21332.614977075056</v>
          </cell>
        </row>
        <row r="163">
          <cell r="E163">
            <v>10</v>
          </cell>
          <cell r="K163">
            <v>21320.731651614497</v>
          </cell>
        </row>
        <row r="164">
          <cell r="E164">
            <v>-9</v>
          </cell>
          <cell r="K164">
            <v>-19368.174741126917</v>
          </cell>
        </row>
        <row r="165">
          <cell r="E165">
            <v>-12</v>
          </cell>
          <cell r="K165">
            <v>-25599.137972490065</v>
          </cell>
        </row>
        <row r="166">
          <cell r="E166">
            <v>-11</v>
          </cell>
          <cell r="K166">
            <v>-23465.876474782559</v>
          </cell>
        </row>
        <row r="167">
          <cell r="E167">
            <v>1</v>
          </cell>
          <cell r="K167">
            <v>2128.1559413753835</v>
          </cell>
        </row>
        <row r="168">
          <cell r="E168">
            <v>2</v>
          </cell>
          <cell r="K168">
            <v>4139.2459453990814</v>
          </cell>
        </row>
        <row r="169">
          <cell r="E169">
            <v>-25</v>
          </cell>
          <cell r="K169">
            <v>-53331.537442687637</v>
          </cell>
        </row>
        <row r="170">
          <cell r="E170">
            <v>2</v>
          </cell>
          <cell r="K170">
            <v>4266.5229954150109</v>
          </cell>
        </row>
        <row r="171">
          <cell r="E171">
            <v>3</v>
          </cell>
          <cell r="K171">
            <v>6343.0540634283225</v>
          </cell>
        </row>
        <row r="172">
          <cell r="E172">
            <v>-20</v>
          </cell>
          <cell r="K172">
            <v>-41710.417824259457</v>
          </cell>
        </row>
        <row r="173">
          <cell r="E173">
            <v>15</v>
          </cell>
          <cell r="K173">
            <v>31813.296101053533</v>
          </cell>
        </row>
        <row r="174">
          <cell r="E174">
            <v>8</v>
          </cell>
          <cell r="K174">
            <v>17066.091981660044</v>
          </cell>
        </row>
        <row r="175">
          <cell r="E175">
            <v>2</v>
          </cell>
          <cell r="K175">
            <v>4120.7059936002352</v>
          </cell>
        </row>
        <row r="176">
          <cell r="E176">
            <v>-2</v>
          </cell>
          <cell r="K176">
            <v>-4297.3928768446385</v>
          </cell>
        </row>
        <row r="177">
          <cell r="E177">
            <v>12</v>
          </cell>
          <cell r="K177">
            <v>24980.280533440273</v>
          </cell>
        </row>
        <row r="178">
          <cell r="E178">
            <v>-3</v>
          </cell>
          <cell r="K178">
            <v>-6399.7844931225163</v>
          </cell>
        </row>
        <row r="179">
          <cell r="E179">
            <v>7</v>
          </cell>
          <cell r="K179">
            <v>14696.049811262019</v>
          </cell>
        </row>
        <row r="180">
          <cell r="E180">
            <v>13</v>
          </cell>
          <cell r="K180">
            <v>27348.176985886468</v>
          </cell>
        </row>
        <row r="181">
          <cell r="E181">
            <v>4</v>
          </cell>
          <cell r="K181">
            <v>8563.6963815828149</v>
          </cell>
        </row>
        <row r="182">
          <cell r="E182">
            <v>20</v>
          </cell>
          <cell r="K182">
            <v>45239.592730745237</v>
          </cell>
        </row>
        <row r="183">
          <cell r="E183">
            <v>-3</v>
          </cell>
          <cell r="K183">
            <v>-6168.8170858189897</v>
          </cell>
        </row>
        <row r="184">
          <cell r="E184">
            <v>11</v>
          </cell>
          <cell r="K184">
            <v>24355.023519135291</v>
          </cell>
        </row>
        <row r="185">
          <cell r="E185">
            <v>-23</v>
          </cell>
          <cell r="K185">
            <v>-49015.450327759099</v>
          </cell>
        </row>
        <row r="186">
          <cell r="E186">
            <v>-8</v>
          </cell>
          <cell r="K186">
            <v>-16657.748888558937</v>
          </cell>
        </row>
        <row r="187">
          <cell r="E187">
            <v>11</v>
          </cell>
          <cell r="K187">
            <v>23349.050646554853</v>
          </cell>
        </row>
        <row r="188">
          <cell r="E188">
            <v>5</v>
          </cell>
          <cell r="K188">
            <v>10282.55119022731</v>
          </cell>
        </row>
        <row r="189">
          <cell r="E189">
            <v>1</v>
          </cell>
          <cell r="K189">
            <v>2130.9026116224295</v>
          </cell>
        </row>
        <row r="190">
          <cell r="E190">
            <v>-15</v>
          </cell>
          <cell r="K190">
            <v>-31998.922465612581</v>
          </cell>
        </row>
        <row r="191">
          <cell r="E191">
            <v>-15</v>
          </cell>
          <cell r="K191">
            <v>-31998.922465612581</v>
          </cell>
        </row>
        <row r="192">
          <cell r="E192">
            <v>-5</v>
          </cell>
          <cell r="K192">
            <v>-10683.350137995503</v>
          </cell>
        </row>
        <row r="193">
          <cell r="E193">
            <v>-10</v>
          </cell>
          <cell r="K193">
            <v>-21622.304814852258</v>
          </cell>
        </row>
        <row r="194">
          <cell r="E194">
            <v>-16</v>
          </cell>
          <cell r="K194">
            <v>-34132.183963320087</v>
          </cell>
        </row>
        <row r="195">
          <cell r="E195">
            <v>-8</v>
          </cell>
          <cell r="K195">
            <v>-17066.091981660044</v>
          </cell>
        </row>
        <row r="196">
          <cell r="E196">
            <v>12</v>
          </cell>
          <cell r="K196">
            <v>25599.137972490065</v>
          </cell>
        </row>
        <row r="197">
          <cell r="E197">
            <v>-14</v>
          </cell>
          <cell r="K197">
            <v>-29865.660967905074</v>
          </cell>
        </row>
        <row r="198">
          <cell r="K198">
            <v>74842.338548394197</v>
          </cell>
        </row>
        <row r="200">
          <cell r="E200">
            <v>-36</v>
          </cell>
          <cell r="K200">
            <v>-74061.796598457266</v>
          </cell>
        </row>
        <row r="201">
          <cell r="K201">
            <v>-74061.796598457266</v>
          </cell>
        </row>
        <row r="203">
          <cell r="E203">
            <v>-19</v>
          </cell>
          <cell r="K203">
            <v>-48833.566791044861</v>
          </cell>
        </row>
        <row r="204">
          <cell r="K204">
            <v>-48833.566791044861</v>
          </cell>
        </row>
      </sheetData>
      <sheetData sheetId="21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-1</v>
          </cell>
          <cell r="K23">
            <v>-2057.2721277349242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2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-18</v>
          </cell>
          <cell r="K62">
            <v>-50249.278707054546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  <row r="76">
          <cell r="E76">
            <v>0</v>
          </cell>
          <cell r="K76">
            <v>0</v>
          </cell>
        </row>
      </sheetData>
      <sheetData sheetId="23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-4</v>
          </cell>
          <cell r="K32">
            <v>-8260.6230535807099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-11</v>
          </cell>
          <cell r="K42">
            <v>-23465.876474782559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4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-1</v>
          </cell>
          <cell r="K32">
            <v>-2065.1557633951775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3</v>
          </cell>
          <cell r="K42">
            <v>6399.7844931225163</v>
          </cell>
        </row>
        <row r="43">
          <cell r="E43">
            <v>0</v>
          </cell>
          <cell r="K43">
            <v>0</v>
          </cell>
        </row>
        <row r="44">
          <cell r="E44">
            <v>-5</v>
          </cell>
          <cell r="K44">
            <v>-7556.6863188976376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5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1</v>
          </cell>
          <cell r="K32">
            <v>2065.1557633951775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2</v>
          </cell>
          <cell r="K42">
            <v>4266.5229954150109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6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-7</v>
          </cell>
          <cell r="K16">
            <v>-17015.733216647357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7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1</v>
          </cell>
          <cell r="K34">
            <v>1928.7847219241585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-1</v>
          </cell>
          <cell r="K55">
            <v>-2705.5746285166274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8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-8</v>
          </cell>
          <cell r="K16">
            <v>-19446.552247596977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29">
        <row r="4">
          <cell r="E4">
            <v>0</v>
          </cell>
          <cell r="K4">
            <v>0</v>
          </cell>
        </row>
        <row r="5">
          <cell r="E5">
            <v>2</v>
          </cell>
          <cell r="K5">
            <v>6322.2762190624535</v>
          </cell>
        </row>
        <row r="6">
          <cell r="E6">
            <v>1</v>
          </cell>
          <cell r="K6">
            <v>2161.5978319584124</v>
          </cell>
        </row>
        <row r="7">
          <cell r="E7">
            <v>-1</v>
          </cell>
          <cell r="K7">
            <v>-2957.9667090953953</v>
          </cell>
        </row>
        <row r="8">
          <cell r="E8">
            <v>-1</v>
          </cell>
          <cell r="K8">
            <v>-2494.2270117186035</v>
          </cell>
        </row>
        <row r="9">
          <cell r="E9">
            <v>-8</v>
          </cell>
          <cell r="K9">
            <v>-21449.766025533812</v>
          </cell>
        </row>
        <row r="10">
          <cell r="E10">
            <v>-1</v>
          </cell>
          <cell r="K10">
            <v>-1135.3600621879255</v>
          </cell>
        </row>
        <row r="11">
          <cell r="E11">
            <v>-5</v>
          </cell>
          <cell r="K11">
            <v>-11284.351561510275</v>
          </cell>
        </row>
        <row r="12">
          <cell r="E12">
            <v>12</v>
          </cell>
          <cell r="K12">
            <v>27758.02743912024</v>
          </cell>
        </row>
        <row r="13">
          <cell r="E13">
            <v>4</v>
          </cell>
          <cell r="K13">
            <v>8750.9485114186409</v>
          </cell>
        </row>
        <row r="14">
          <cell r="E14">
            <v>2</v>
          </cell>
          <cell r="K14">
            <v>6803.5174591845152</v>
          </cell>
        </row>
        <row r="15">
          <cell r="E15">
            <v>1</v>
          </cell>
          <cell r="K15">
            <v>1258.7470226710634</v>
          </cell>
        </row>
        <row r="16">
          <cell r="E16">
            <v>0</v>
          </cell>
          <cell r="K16">
            <v>0</v>
          </cell>
        </row>
        <row r="17">
          <cell r="E17">
            <v>-1</v>
          </cell>
          <cell r="K17">
            <v>-2784.5544347345458</v>
          </cell>
        </row>
        <row r="18">
          <cell r="E18">
            <v>-2</v>
          </cell>
          <cell r="K18">
            <v>-5473.4086077856073</v>
          </cell>
        </row>
        <row r="19">
          <cell r="E19">
            <v>0</v>
          </cell>
          <cell r="K19">
            <v>0</v>
          </cell>
        </row>
        <row r="20">
          <cell r="E20">
            <v>-9</v>
          </cell>
          <cell r="K20">
            <v>-16663.904234652888</v>
          </cell>
        </row>
        <row r="21">
          <cell r="E21">
            <v>0</v>
          </cell>
          <cell r="K21">
            <v>0</v>
          </cell>
        </row>
        <row r="22">
          <cell r="E22">
            <v>1</v>
          </cell>
          <cell r="K22">
            <v>2799.5946029868614</v>
          </cell>
        </row>
        <row r="23">
          <cell r="E23">
            <v>1</v>
          </cell>
          <cell r="K23">
            <v>2702.8684313642625</v>
          </cell>
        </row>
        <row r="24">
          <cell r="E24">
            <v>0</v>
          </cell>
          <cell r="K24">
            <v>0</v>
          </cell>
        </row>
        <row r="25">
          <cell r="E25">
            <v>1</v>
          </cell>
          <cell r="K25">
            <v>3014.8440195925236</v>
          </cell>
        </row>
        <row r="26">
          <cell r="E26">
            <v>-2</v>
          </cell>
          <cell r="K26">
            <v>-4981.1942241060915</v>
          </cell>
        </row>
        <row r="27">
          <cell r="E27">
            <v>3</v>
          </cell>
          <cell r="K27">
            <v>4884.801761968085</v>
          </cell>
        </row>
        <row r="28">
          <cell r="E28">
            <v>0</v>
          </cell>
          <cell r="K28">
            <v>0</v>
          </cell>
        </row>
        <row r="29">
          <cell r="E29">
            <v>6</v>
          </cell>
          <cell r="K29">
            <v>11151.841122333957</v>
          </cell>
        </row>
        <row r="30">
          <cell r="E30">
            <v>3</v>
          </cell>
          <cell r="K30">
            <v>8604.6742148465673</v>
          </cell>
        </row>
        <row r="31">
          <cell r="E31">
            <v>7</v>
          </cell>
          <cell r="K31">
            <v>12151.343748122199</v>
          </cell>
        </row>
        <row r="32">
          <cell r="E32">
            <v>2</v>
          </cell>
          <cell r="K32">
            <v>4236.7577519747383</v>
          </cell>
        </row>
        <row r="33">
          <cell r="E33">
            <v>3</v>
          </cell>
          <cell r="K33">
            <v>8607.358412890153</v>
          </cell>
        </row>
        <row r="34">
          <cell r="E34">
            <v>2</v>
          </cell>
          <cell r="K34">
            <v>4472.7847109309678</v>
          </cell>
        </row>
        <row r="35">
          <cell r="E35">
            <v>4</v>
          </cell>
          <cell r="K35">
            <v>10964.314377982222</v>
          </cell>
        </row>
        <row r="36">
          <cell r="E36">
            <v>1</v>
          </cell>
          <cell r="K36">
            <v>2693.1844901933036</v>
          </cell>
        </row>
        <row r="37">
          <cell r="E37">
            <v>0</v>
          </cell>
          <cell r="K37">
            <v>0</v>
          </cell>
        </row>
        <row r="38">
          <cell r="E38">
            <v>-2</v>
          </cell>
          <cell r="K38">
            <v>-4630.6085774600579</v>
          </cell>
        </row>
        <row r="39">
          <cell r="E39">
            <v>-7</v>
          </cell>
          <cell r="K39">
            <v>-13439.547435557284</v>
          </cell>
        </row>
        <row r="40">
          <cell r="E40">
            <v>0</v>
          </cell>
          <cell r="K40">
            <v>0</v>
          </cell>
        </row>
        <row r="41">
          <cell r="E41">
            <v>1</v>
          </cell>
          <cell r="K41">
            <v>1360.203537401575</v>
          </cell>
        </row>
        <row r="42">
          <cell r="E42">
            <v>-1</v>
          </cell>
          <cell r="K42">
            <v>-1988.8425037053153</v>
          </cell>
        </row>
        <row r="43">
          <cell r="E43">
            <v>0</v>
          </cell>
          <cell r="K43">
            <v>0</v>
          </cell>
        </row>
        <row r="44">
          <cell r="E44">
            <v>-1</v>
          </cell>
          <cell r="K44">
            <v>-1125.8196059532247</v>
          </cell>
        </row>
        <row r="45">
          <cell r="E45">
            <v>-1</v>
          </cell>
          <cell r="K45">
            <v>-2529.7888707444513</v>
          </cell>
        </row>
        <row r="46">
          <cell r="E46">
            <v>-3</v>
          </cell>
          <cell r="K46">
            <v>-7144.8094376178797</v>
          </cell>
        </row>
        <row r="47">
          <cell r="E47">
            <v>5</v>
          </cell>
          <cell r="K47">
            <v>12059.509776358291</v>
          </cell>
        </row>
        <row r="48">
          <cell r="E48">
            <v>1</v>
          </cell>
          <cell r="K48">
            <v>1325.9031542519519</v>
          </cell>
        </row>
        <row r="49">
          <cell r="E49">
            <v>2</v>
          </cell>
          <cell r="K49">
            <v>5735.4479203717474</v>
          </cell>
        </row>
        <row r="50">
          <cell r="E50">
            <v>0</v>
          </cell>
          <cell r="K50">
            <v>0</v>
          </cell>
        </row>
        <row r="51">
          <cell r="E51">
            <v>-3</v>
          </cell>
          <cell r="K51">
            <v>-6944.1209861633215</v>
          </cell>
        </row>
        <row r="52">
          <cell r="E52">
            <v>-4</v>
          </cell>
          <cell r="K52">
            <v>-9740.0686626598599</v>
          </cell>
        </row>
        <row r="53">
          <cell r="E53">
            <v>3</v>
          </cell>
          <cell r="K53">
            <v>7650.6474908273103</v>
          </cell>
        </row>
        <row r="54">
          <cell r="E54">
            <v>2</v>
          </cell>
          <cell r="K54">
            <v>4457.4245885514238</v>
          </cell>
        </row>
        <row r="55">
          <cell r="E55">
            <v>5</v>
          </cell>
          <cell r="K55">
            <v>12761.581061275483</v>
          </cell>
        </row>
        <row r="56">
          <cell r="E56">
            <v>6</v>
          </cell>
          <cell r="K56">
            <v>14756.384961606895</v>
          </cell>
        </row>
        <row r="57">
          <cell r="E57">
            <v>0</v>
          </cell>
          <cell r="K57">
            <v>0</v>
          </cell>
        </row>
        <row r="58">
          <cell r="E58">
            <v>-1</v>
          </cell>
          <cell r="K58">
            <v>-2234.7825630854923</v>
          </cell>
        </row>
        <row r="59">
          <cell r="E59">
            <v>-1</v>
          </cell>
          <cell r="K59">
            <v>-2512.4639353527273</v>
          </cell>
        </row>
        <row r="60">
          <cell r="E60">
            <v>-4</v>
          </cell>
          <cell r="K60">
            <v>-9450.3911436393955</v>
          </cell>
        </row>
        <row r="61">
          <cell r="E61">
            <v>11</v>
          </cell>
          <cell r="K61">
            <v>30466.786087720797</v>
          </cell>
        </row>
        <row r="62">
          <cell r="E62">
            <v>-12</v>
          </cell>
          <cell r="K62">
            <v>-37604.5126225235</v>
          </cell>
        </row>
        <row r="63">
          <cell r="E63">
            <v>-9</v>
          </cell>
          <cell r="K63">
            <v>-22416.574544122221</v>
          </cell>
        </row>
        <row r="64">
          <cell r="E64">
            <v>-1</v>
          </cell>
          <cell r="K64">
            <v>-1683.7850191202654</v>
          </cell>
        </row>
        <row r="65">
          <cell r="E65">
            <v>4</v>
          </cell>
          <cell r="K65">
            <v>11102.855532609976</v>
          </cell>
        </row>
        <row r="66">
          <cell r="E66">
            <v>0</v>
          </cell>
          <cell r="K66">
            <v>0</v>
          </cell>
        </row>
        <row r="67">
          <cell r="E67">
            <v>1</v>
          </cell>
          <cell r="K67">
            <v>2948.7892082401504</v>
          </cell>
        </row>
        <row r="68">
          <cell r="E68">
            <v>0</v>
          </cell>
          <cell r="K68">
            <v>0</v>
          </cell>
        </row>
        <row r="69">
          <cell r="E69">
            <v>11</v>
          </cell>
          <cell r="K69">
            <v>35149.310556878227</v>
          </cell>
        </row>
        <row r="70">
          <cell r="E70">
            <v>2</v>
          </cell>
          <cell r="K70">
            <v>5100.4898938895622</v>
          </cell>
        </row>
        <row r="71">
          <cell r="E71">
            <v>1</v>
          </cell>
          <cell r="K71">
            <v>3094.1729430164528</v>
          </cell>
        </row>
        <row r="72">
          <cell r="E72">
            <v>0</v>
          </cell>
          <cell r="K72">
            <v>0</v>
          </cell>
        </row>
      </sheetData>
      <sheetData sheetId="30">
        <row r="4">
          <cell r="E4">
            <v>-5</v>
          </cell>
          <cell r="K4">
            <v>-12093.903601627373</v>
          </cell>
        </row>
        <row r="5">
          <cell r="E5">
            <v>1</v>
          </cell>
          <cell r="K5">
            <v>3161.1381095312267</v>
          </cell>
        </row>
        <row r="6">
          <cell r="E6">
            <v>6</v>
          </cell>
          <cell r="K6">
            <v>12969.586991750475</v>
          </cell>
        </row>
        <row r="7">
          <cell r="E7">
            <v>0</v>
          </cell>
          <cell r="K7">
            <v>0</v>
          </cell>
        </row>
        <row r="8">
          <cell r="E8">
            <v>-2</v>
          </cell>
          <cell r="K8">
            <v>-4988.4540234372071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-2</v>
          </cell>
          <cell r="K11">
            <v>-4513.7406246041101</v>
          </cell>
        </row>
        <row r="12">
          <cell r="E12">
            <v>-8</v>
          </cell>
          <cell r="K12">
            <v>-18505.351626080159</v>
          </cell>
        </row>
        <row r="13">
          <cell r="E13">
            <v>3</v>
          </cell>
          <cell r="K13">
            <v>6563.2113835639811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1</v>
          </cell>
          <cell r="K16">
            <v>3151.5992386978896</v>
          </cell>
        </row>
        <row r="17">
          <cell r="E17">
            <v>4</v>
          </cell>
          <cell r="K17">
            <v>11138.217738938183</v>
          </cell>
        </row>
        <row r="18">
          <cell r="E18">
            <v>1</v>
          </cell>
          <cell r="K18">
            <v>2736.7043038928036</v>
          </cell>
        </row>
        <row r="19">
          <cell r="E19">
            <v>-3</v>
          </cell>
          <cell r="K19">
            <v>-2993.0821441259591</v>
          </cell>
        </row>
        <row r="20">
          <cell r="E20">
            <v>-3</v>
          </cell>
          <cell r="K20">
            <v>-5554.6347448842953</v>
          </cell>
        </row>
        <row r="21">
          <cell r="E21">
            <v>0</v>
          </cell>
          <cell r="K21">
            <v>0</v>
          </cell>
        </row>
        <row r="22">
          <cell r="E22">
            <v>1</v>
          </cell>
          <cell r="K22">
            <v>2799.5946029868614</v>
          </cell>
        </row>
        <row r="23">
          <cell r="E23">
            <v>-1</v>
          </cell>
          <cell r="K23">
            <v>-2702.8684313642625</v>
          </cell>
        </row>
        <row r="24">
          <cell r="E24">
            <v>-2</v>
          </cell>
          <cell r="K24">
            <v>-5701.4014424651159</v>
          </cell>
        </row>
        <row r="25">
          <cell r="E25">
            <v>-1</v>
          </cell>
          <cell r="K25">
            <v>-3014.8440195925236</v>
          </cell>
        </row>
        <row r="26">
          <cell r="E26">
            <v>1</v>
          </cell>
          <cell r="K26">
            <v>2490.5971120530457</v>
          </cell>
        </row>
        <row r="27">
          <cell r="E27">
            <v>1</v>
          </cell>
          <cell r="K27">
            <v>1628.2672539893617</v>
          </cell>
        </row>
        <row r="28">
          <cell r="E28">
            <v>1</v>
          </cell>
          <cell r="K28">
            <v>2034.5301311423966</v>
          </cell>
        </row>
        <row r="29">
          <cell r="E29">
            <v>-1</v>
          </cell>
          <cell r="K29">
            <v>-1858.6401870556597</v>
          </cell>
        </row>
        <row r="30">
          <cell r="E30">
            <v>0</v>
          </cell>
          <cell r="K30">
            <v>0</v>
          </cell>
        </row>
        <row r="31">
          <cell r="E31">
            <v>-2</v>
          </cell>
          <cell r="K31">
            <v>-3471.8124994634854</v>
          </cell>
        </row>
        <row r="32">
          <cell r="E32">
            <v>0</v>
          </cell>
          <cell r="K32">
            <v>0</v>
          </cell>
        </row>
        <row r="33">
          <cell r="E33">
            <v>1</v>
          </cell>
          <cell r="K33">
            <v>2869.1194709633846</v>
          </cell>
        </row>
        <row r="34">
          <cell r="E34">
            <v>-1</v>
          </cell>
          <cell r="K34">
            <v>-2236.3923554654839</v>
          </cell>
        </row>
        <row r="35">
          <cell r="E35">
            <v>2</v>
          </cell>
          <cell r="K35">
            <v>5482.1571889911111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3</v>
          </cell>
          <cell r="K38">
            <v>6945.9128661900868</v>
          </cell>
        </row>
        <row r="39">
          <cell r="E39">
            <v>-5</v>
          </cell>
          <cell r="K39">
            <v>-9599.6767396837749</v>
          </cell>
        </row>
        <row r="40">
          <cell r="E40">
            <v>4</v>
          </cell>
          <cell r="K40">
            <v>11083.265215527394</v>
          </cell>
        </row>
        <row r="41">
          <cell r="E41">
            <v>0</v>
          </cell>
          <cell r="K41">
            <v>0</v>
          </cell>
        </row>
        <row r="42">
          <cell r="E42">
            <v>-1</v>
          </cell>
          <cell r="K42">
            <v>-1988.8425037053153</v>
          </cell>
        </row>
        <row r="43">
          <cell r="E43">
            <v>1</v>
          </cell>
          <cell r="K43">
            <v>2532.9453508215543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1</v>
          </cell>
          <cell r="K46">
            <v>2381.6031458726266</v>
          </cell>
        </row>
        <row r="47">
          <cell r="E47">
            <v>1</v>
          </cell>
          <cell r="K47">
            <v>2411.9019552716582</v>
          </cell>
        </row>
        <row r="48">
          <cell r="E48">
            <v>3</v>
          </cell>
          <cell r="K48">
            <v>3977.7094627558558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2</v>
          </cell>
          <cell r="K51">
            <v>4629.413990775548</v>
          </cell>
        </row>
        <row r="52">
          <cell r="E52">
            <v>1</v>
          </cell>
          <cell r="K52">
            <v>2435.017165664965</v>
          </cell>
        </row>
        <row r="53">
          <cell r="E53">
            <v>0</v>
          </cell>
          <cell r="K53">
            <v>0</v>
          </cell>
        </row>
        <row r="54">
          <cell r="E54">
            <v>-1</v>
          </cell>
          <cell r="K54">
            <v>-2228.7122942757119</v>
          </cell>
        </row>
        <row r="55">
          <cell r="E55">
            <v>4</v>
          </cell>
          <cell r="K55">
            <v>10209.264849020386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-1</v>
          </cell>
          <cell r="K58">
            <v>-2234.7825630854923</v>
          </cell>
        </row>
        <row r="59">
          <cell r="E59">
            <v>1</v>
          </cell>
          <cell r="K59">
            <v>2512.4639353527273</v>
          </cell>
        </row>
        <row r="60">
          <cell r="E60">
            <v>0</v>
          </cell>
          <cell r="K60">
            <v>0</v>
          </cell>
        </row>
        <row r="61">
          <cell r="E61">
            <v>-3</v>
          </cell>
          <cell r="K61">
            <v>-8309.1234784693079</v>
          </cell>
        </row>
        <row r="62">
          <cell r="E62">
            <v>-7</v>
          </cell>
          <cell r="K62">
            <v>-21935.965696472042</v>
          </cell>
        </row>
        <row r="63">
          <cell r="E63">
            <v>1</v>
          </cell>
          <cell r="K63">
            <v>2490.730504902469</v>
          </cell>
        </row>
        <row r="64">
          <cell r="E64">
            <v>1</v>
          </cell>
          <cell r="K64">
            <v>1683.7850191202654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-2</v>
          </cell>
          <cell r="K67">
            <v>-5897.5784164803008</v>
          </cell>
        </row>
        <row r="68">
          <cell r="E68">
            <v>0</v>
          </cell>
          <cell r="K68">
            <v>0</v>
          </cell>
        </row>
        <row r="69">
          <cell r="E69">
            <v>5</v>
          </cell>
          <cell r="K69">
            <v>15976.959344035557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</sheetData>
      <sheetData sheetId="31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2</v>
          </cell>
          <cell r="K9">
            <v>4803.5507376853611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-1</v>
          </cell>
          <cell r="K23">
            <v>-2057.2721277349242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1</v>
          </cell>
          <cell r="K30">
            <v>1809.1858377659576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1</v>
          </cell>
          <cell r="K45">
            <v>2209.8250041170168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1</v>
          </cell>
          <cell r="K67">
            <v>1870.8722434669614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1</v>
          </cell>
          <cell r="K75">
            <v>3145.747655334329</v>
          </cell>
        </row>
      </sheetData>
      <sheetData sheetId="32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6</v>
          </cell>
          <cell r="K32">
            <v>12390.934580371064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-1</v>
          </cell>
          <cell r="K42">
            <v>-2133.2614977075054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1</v>
          </cell>
          <cell r="K51">
            <v>1473.2257269466131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-1</v>
          </cell>
          <cell r="K54">
            <v>-2571.8966615419708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33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-5</v>
          </cell>
          <cell r="K39">
            <v>-14962.136056629464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34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0</v>
          </cell>
          <cell r="K23">
            <v>0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8</v>
          </cell>
          <cell r="K65">
            <v>27855.194535202594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35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1</v>
          </cell>
          <cell r="K9">
            <v>2401.7753688426806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0</v>
          </cell>
          <cell r="K21">
            <v>0</v>
          </cell>
        </row>
        <row r="22">
          <cell r="E22">
            <v>0</v>
          </cell>
          <cell r="K22">
            <v>0</v>
          </cell>
        </row>
        <row r="23">
          <cell r="E23">
            <v>-72</v>
          </cell>
          <cell r="K23">
            <v>-148123.59319691453</v>
          </cell>
        </row>
        <row r="24">
          <cell r="E24">
            <v>0</v>
          </cell>
          <cell r="K24">
            <v>0</v>
          </cell>
        </row>
        <row r="25">
          <cell r="E25">
            <v>3</v>
          </cell>
          <cell r="K25">
            <v>9331.9820099562057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4</v>
          </cell>
          <cell r="K30">
            <v>7236.7433510638302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1</v>
          </cell>
          <cell r="K38">
            <v>3045.6428827728396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0</v>
          </cell>
          <cell r="K43">
            <v>0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0</v>
          </cell>
          <cell r="K60">
            <v>0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36">
        <row r="7">
          <cell r="E7">
            <v>0</v>
          </cell>
          <cell r="K7">
            <v>0</v>
          </cell>
        </row>
        <row r="8">
          <cell r="E8">
            <v>0</v>
          </cell>
          <cell r="K8">
            <v>0</v>
          </cell>
        </row>
        <row r="9">
          <cell r="E9">
            <v>0</v>
          </cell>
          <cell r="K9">
            <v>0</v>
          </cell>
        </row>
        <row r="10">
          <cell r="E10">
            <v>0</v>
          </cell>
          <cell r="K10">
            <v>0</v>
          </cell>
        </row>
        <row r="11">
          <cell r="E11">
            <v>0</v>
          </cell>
          <cell r="K11">
            <v>0</v>
          </cell>
        </row>
        <row r="12">
          <cell r="E12">
            <v>0</v>
          </cell>
          <cell r="K12">
            <v>0</v>
          </cell>
        </row>
        <row r="13">
          <cell r="E13">
            <v>0</v>
          </cell>
          <cell r="K13">
            <v>0</v>
          </cell>
        </row>
        <row r="14">
          <cell r="E14">
            <v>0</v>
          </cell>
          <cell r="K14">
            <v>0</v>
          </cell>
        </row>
        <row r="15">
          <cell r="E15">
            <v>0</v>
          </cell>
          <cell r="K15">
            <v>0</v>
          </cell>
        </row>
        <row r="16">
          <cell r="E16">
            <v>0</v>
          </cell>
          <cell r="K16">
            <v>0</v>
          </cell>
        </row>
        <row r="17">
          <cell r="E17">
            <v>0</v>
          </cell>
          <cell r="K17">
            <v>0</v>
          </cell>
        </row>
        <row r="18">
          <cell r="E18">
            <v>0</v>
          </cell>
          <cell r="K18">
            <v>0</v>
          </cell>
        </row>
        <row r="19">
          <cell r="E19">
            <v>0</v>
          </cell>
          <cell r="K19">
            <v>0</v>
          </cell>
        </row>
        <row r="20">
          <cell r="E20">
            <v>0</v>
          </cell>
          <cell r="K20">
            <v>0</v>
          </cell>
        </row>
        <row r="21">
          <cell r="E21">
            <v>-3</v>
          </cell>
          <cell r="K21">
            <v>-9122.3476796426803</v>
          </cell>
        </row>
        <row r="22">
          <cell r="E22">
            <v>0</v>
          </cell>
          <cell r="K22">
            <v>0</v>
          </cell>
        </row>
        <row r="23">
          <cell r="E23">
            <v>-1</v>
          </cell>
          <cell r="K23">
            <v>-2057.2721277349242</v>
          </cell>
        </row>
        <row r="24">
          <cell r="E24">
            <v>0</v>
          </cell>
          <cell r="K24">
            <v>0</v>
          </cell>
        </row>
        <row r="25">
          <cell r="E25">
            <v>0</v>
          </cell>
          <cell r="K25">
            <v>0</v>
          </cell>
        </row>
        <row r="26">
          <cell r="E26">
            <v>0</v>
          </cell>
          <cell r="K26">
            <v>0</v>
          </cell>
        </row>
        <row r="27">
          <cell r="E27">
            <v>0</v>
          </cell>
          <cell r="K27">
            <v>0</v>
          </cell>
        </row>
        <row r="28">
          <cell r="E28">
            <v>0</v>
          </cell>
          <cell r="K28">
            <v>0</v>
          </cell>
        </row>
        <row r="29">
          <cell r="E29">
            <v>0</v>
          </cell>
          <cell r="K29">
            <v>0</v>
          </cell>
        </row>
        <row r="30">
          <cell r="E30">
            <v>0</v>
          </cell>
          <cell r="K30">
            <v>0</v>
          </cell>
        </row>
        <row r="31">
          <cell r="E31">
            <v>0</v>
          </cell>
          <cell r="K31">
            <v>0</v>
          </cell>
        </row>
        <row r="32">
          <cell r="E32">
            <v>0</v>
          </cell>
          <cell r="K32">
            <v>0</v>
          </cell>
        </row>
        <row r="33">
          <cell r="E33">
            <v>0</v>
          </cell>
          <cell r="K33">
            <v>0</v>
          </cell>
        </row>
        <row r="34">
          <cell r="E34">
            <v>0</v>
          </cell>
          <cell r="K34">
            <v>0</v>
          </cell>
        </row>
        <row r="35">
          <cell r="E35">
            <v>0</v>
          </cell>
          <cell r="K35">
            <v>0</v>
          </cell>
        </row>
        <row r="36">
          <cell r="E36">
            <v>0</v>
          </cell>
          <cell r="K36">
            <v>0</v>
          </cell>
        </row>
        <row r="37">
          <cell r="E37">
            <v>0</v>
          </cell>
          <cell r="K37">
            <v>0</v>
          </cell>
        </row>
        <row r="38">
          <cell r="E38">
            <v>0</v>
          </cell>
          <cell r="K38">
            <v>0</v>
          </cell>
        </row>
        <row r="39">
          <cell r="E39">
            <v>0</v>
          </cell>
          <cell r="K39">
            <v>0</v>
          </cell>
        </row>
        <row r="40">
          <cell r="E40">
            <v>0</v>
          </cell>
          <cell r="K40">
            <v>0</v>
          </cell>
        </row>
        <row r="41">
          <cell r="E41">
            <v>0</v>
          </cell>
          <cell r="K41">
            <v>0</v>
          </cell>
        </row>
        <row r="42">
          <cell r="E42">
            <v>0</v>
          </cell>
          <cell r="K42">
            <v>0</v>
          </cell>
        </row>
        <row r="43">
          <cell r="E43">
            <v>1</v>
          </cell>
          <cell r="K43">
            <v>3078.6847820909425</v>
          </cell>
        </row>
        <row r="44">
          <cell r="E44">
            <v>0</v>
          </cell>
          <cell r="K44">
            <v>0</v>
          </cell>
        </row>
        <row r="45">
          <cell r="E45">
            <v>0</v>
          </cell>
          <cell r="K45">
            <v>0</v>
          </cell>
        </row>
        <row r="46">
          <cell r="E46">
            <v>0</v>
          </cell>
          <cell r="K46">
            <v>0</v>
          </cell>
        </row>
        <row r="47">
          <cell r="E47">
            <v>0</v>
          </cell>
          <cell r="K47">
            <v>0</v>
          </cell>
        </row>
        <row r="48">
          <cell r="E48">
            <v>0</v>
          </cell>
          <cell r="K48">
            <v>0</v>
          </cell>
        </row>
        <row r="49">
          <cell r="E49">
            <v>0</v>
          </cell>
          <cell r="K49">
            <v>0</v>
          </cell>
        </row>
        <row r="50">
          <cell r="E50">
            <v>0</v>
          </cell>
          <cell r="K50">
            <v>0</v>
          </cell>
        </row>
        <row r="51">
          <cell r="E51">
            <v>0</v>
          </cell>
          <cell r="K51">
            <v>0</v>
          </cell>
        </row>
        <row r="52">
          <cell r="E52">
            <v>0</v>
          </cell>
          <cell r="K52">
            <v>0</v>
          </cell>
        </row>
        <row r="53">
          <cell r="E53">
            <v>0</v>
          </cell>
          <cell r="K53">
            <v>0</v>
          </cell>
        </row>
        <row r="54">
          <cell r="E54">
            <v>0</v>
          </cell>
          <cell r="K54">
            <v>0</v>
          </cell>
        </row>
        <row r="55">
          <cell r="E55">
            <v>0</v>
          </cell>
          <cell r="K55">
            <v>0</v>
          </cell>
        </row>
        <row r="56">
          <cell r="E56">
            <v>0</v>
          </cell>
          <cell r="K56">
            <v>0</v>
          </cell>
        </row>
        <row r="57">
          <cell r="E57">
            <v>0</v>
          </cell>
          <cell r="K57">
            <v>0</v>
          </cell>
        </row>
        <row r="58">
          <cell r="E58">
            <v>0</v>
          </cell>
          <cell r="K58">
            <v>0</v>
          </cell>
        </row>
        <row r="59">
          <cell r="E59">
            <v>0</v>
          </cell>
          <cell r="K59">
            <v>0</v>
          </cell>
        </row>
        <row r="60">
          <cell r="E60">
            <v>-1</v>
          </cell>
          <cell r="K60">
            <v>-3451.625469313783</v>
          </cell>
        </row>
        <row r="61">
          <cell r="E61">
            <v>0</v>
          </cell>
          <cell r="K61">
            <v>0</v>
          </cell>
        </row>
        <row r="62">
          <cell r="E62">
            <v>0</v>
          </cell>
          <cell r="K62">
            <v>0</v>
          </cell>
        </row>
        <row r="63">
          <cell r="E63">
            <v>0</v>
          </cell>
          <cell r="K63">
            <v>0</v>
          </cell>
        </row>
        <row r="64">
          <cell r="E64">
            <v>0</v>
          </cell>
          <cell r="K64">
            <v>0</v>
          </cell>
        </row>
        <row r="65">
          <cell r="E65">
            <v>0</v>
          </cell>
          <cell r="K65">
            <v>0</v>
          </cell>
        </row>
        <row r="66">
          <cell r="E66">
            <v>0</v>
          </cell>
          <cell r="K66">
            <v>0</v>
          </cell>
        </row>
        <row r="67">
          <cell r="E67">
            <v>0</v>
          </cell>
          <cell r="K67">
            <v>0</v>
          </cell>
        </row>
        <row r="68">
          <cell r="E68">
            <v>0</v>
          </cell>
          <cell r="K68">
            <v>0</v>
          </cell>
        </row>
        <row r="69">
          <cell r="E69">
            <v>0</v>
          </cell>
          <cell r="K69">
            <v>0</v>
          </cell>
        </row>
        <row r="70">
          <cell r="E70">
            <v>0</v>
          </cell>
          <cell r="K70">
            <v>0</v>
          </cell>
        </row>
        <row r="71">
          <cell r="E71">
            <v>0</v>
          </cell>
          <cell r="K71">
            <v>0</v>
          </cell>
        </row>
        <row r="72">
          <cell r="E72">
            <v>0</v>
          </cell>
          <cell r="K72">
            <v>0</v>
          </cell>
        </row>
        <row r="73">
          <cell r="E73">
            <v>0</v>
          </cell>
          <cell r="K73">
            <v>0</v>
          </cell>
        </row>
        <row r="74">
          <cell r="E74">
            <v>0</v>
          </cell>
          <cell r="K74">
            <v>0</v>
          </cell>
        </row>
        <row r="75">
          <cell r="E75">
            <v>0</v>
          </cell>
          <cell r="K75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5B2_RSD_LA"/>
    </sheetNames>
    <sheetDataSet>
      <sheetData sheetId="0">
        <row r="17">
          <cell r="AJ17">
            <v>239024.63399999999</v>
          </cell>
        </row>
        <row r="29">
          <cell r="AJ29">
            <v>163862.73666666666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7">
          <cell r="AJ17">
            <v>239024.63399999999</v>
          </cell>
        </row>
        <row r="29">
          <cell r="AJ29">
            <v>163862.73666666666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year Adjustment Summary"/>
      <sheetName val="October midyear adj"/>
      <sheetName val="Oct midyear LA Virtual Admy"/>
      <sheetName val="Oct midyear LA Connections"/>
      <sheetName val="Oct midyear JS Clark Academy"/>
      <sheetName val="10.1.12 MFP Funded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Southwest LA Chtr"/>
      <sheetName val="Oct midyear New Vision"/>
      <sheetName val="Oct midyear Glencoe"/>
      <sheetName val="Oct midyear International"/>
      <sheetName val="Oct midyear Avoyelles"/>
      <sheetName val="Oct midyear Delhi"/>
      <sheetName val="Oct midyear Milestone"/>
      <sheetName val="Oct midyear Max"/>
      <sheetName val="Oct midyear Belle Chasse"/>
      <sheetName val="Oct midyear OJJ"/>
      <sheetName val="Oct midyear SSD"/>
      <sheetName val="Oct midyear LSDVI"/>
      <sheetName val="Oct midyear LSMSA "/>
      <sheetName val="Oct midyear NOCCA "/>
      <sheetName val="February midyear adj "/>
      <sheetName val="Feb midyear Madison Prep"/>
      <sheetName val="Feb midyear DArbonne"/>
      <sheetName val="Feb midyear Intl_VIBE "/>
      <sheetName val="Feb midyear NOMMA"/>
      <sheetName val="Feb midyear LFNO "/>
      <sheetName val="Feb midyear Lake Charles Ch"/>
      <sheetName val="Feb midyear JS Clark Academy"/>
      <sheetName val="Feb midyear Southwest LA Ch "/>
      <sheetName val="Feb midyear LA Virtual Admy"/>
      <sheetName val="Feb midyear LA Connections"/>
      <sheetName val="Feb midyear New Vision"/>
      <sheetName val="Feb midyear Glencoe "/>
      <sheetName val="Feb midyear International "/>
      <sheetName val="Feb midyear Avoyelles"/>
      <sheetName val="Feb midyear Delhi "/>
      <sheetName val="Feb midyear Milestone "/>
      <sheetName val="Feb midyear Max "/>
      <sheetName val="Feb midyear Belle Chasse"/>
      <sheetName val="Feb midyear OJJ "/>
      <sheetName val="Feb midyear SSD"/>
      <sheetName val="Feb midyear LSDVI"/>
      <sheetName val="Feb midyear LSMSA "/>
      <sheetName val="Feb midyear NOCCA"/>
      <sheetName val="10.1.12 RSD-NO by Site"/>
      <sheetName val="10.1.12 RSD operated by Site"/>
      <sheetName val="2-1-13 ALL"/>
    </sheetNames>
    <sheetDataSet>
      <sheetData sheetId="0"/>
      <sheetData sheetId="1">
        <row r="6">
          <cell r="O6">
            <v>0</v>
          </cell>
        </row>
      </sheetData>
      <sheetData sheetId="2">
        <row r="4">
          <cell r="K4">
            <v>24369.298680318425</v>
          </cell>
          <cell r="P4">
            <v>9517.5</v>
          </cell>
        </row>
        <row r="5">
          <cell r="K5">
            <v>0</v>
          </cell>
          <cell r="P5">
            <v>0</v>
          </cell>
        </row>
        <row r="6">
          <cell r="K6">
            <v>0</v>
          </cell>
          <cell r="P6">
            <v>0</v>
          </cell>
        </row>
        <row r="7">
          <cell r="K7">
            <v>0</v>
          </cell>
          <cell r="P7">
            <v>0</v>
          </cell>
        </row>
        <row r="8">
          <cell r="K8">
            <v>0</v>
          </cell>
          <cell r="P8">
            <v>0</v>
          </cell>
        </row>
        <row r="9">
          <cell r="K9">
            <v>0</v>
          </cell>
          <cell r="P9">
            <v>0</v>
          </cell>
        </row>
        <row r="10">
          <cell r="K10">
            <v>2076.7092443642914</v>
          </cell>
          <cell r="P10">
            <v>11234.7</v>
          </cell>
        </row>
        <row r="11">
          <cell r="K11">
            <v>0</v>
          </cell>
          <cell r="P11">
            <v>0</v>
          </cell>
        </row>
        <row r="12">
          <cell r="K12">
            <v>4528.6929252133195</v>
          </cell>
          <cell r="P12">
            <v>4184.1000000000004</v>
          </cell>
        </row>
        <row r="13">
          <cell r="K13">
            <v>8870.7928937265151</v>
          </cell>
          <cell r="P13">
            <v>7911</v>
          </cell>
        </row>
        <row r="14">
          <cell r="K14">
            <v>0</v>
          </cell>
          <cell r="P14">
            <v>0</v>
          </cell>
        </row>
        <row r="15">
          <cell r="K15">
            <v>0</v>
          </cell>
          <cell r="P15">
            <v>0</v>
          </cell>
        </row>
        <row r="16">
          <cell r="K16">
            <v>6203.647018570111</v>
          </cell>
          <cell r="P16">
            <v>2284.2000000000003</v>
          </cell>
        </row>
        <row r="17">
          <cell r="K17">
            <v>0</v>
          </cell>
          <cell r="P17">
            <v>0</v>
          </cell>
        </row>
        <row r="18">
          <cell r="K18">
            <v>0</v>
          </cell>
          <cell r="P18">
            <v>0</v>
          </cell>
        </row>
        <row r="19">
          <cell r="K19">
            <v>0</v>
          </cell>
          <cell r="P19">
            <v>0</v>
          </cell>
        </row>
        <row r="20">
          <cell r="K20">
            <v>7554.9637948957861</v>
          </cell>
          <cell r="P20">
            <v>11881.800000000001</v>
          </cell>
        </row>
        <row r="21">
          <cell r="K21">
            <v>0</v>
          </cell>
          <cell r="P21">
            <v>0</v>
          </cell>
        </row>
        <row r="22">
          <cell r="K22">
            <v>0</v>
          </cell>
          <cell r="P22">
            <v>0</v>
          </cell>
        </row>
        <row r="23">
          <cell r="K23">
            <v>0</v>
          </cell>
          <cell r="P23">
            <v>0</v>
          </cell>
        </row>
        <row r="24">
          <cell r="K24">
            <v>0</v>
          </cell>
          <cell r="P24">
            <v>0</v>
          </cell>
        </row>
        <row r="25">
          <cell r="K25">
            <v>0</v>
          </cell>
          <cell r="P25">
            <v>0</v>
          </cell>
        </row>
        <row r="26">
          <cell r="K26">
            <v>0</v>
          </cell>
          <cell r="P26">
            <v>0</v>
          </cell>
        </row>
        <row r="27">
          <cell r="K27">
            <v>3157.8843603220748</v>
          </cell>
          <cell r="P27">
            <v>8379.9</v>
          </cell>
        </row>
        <row r="28">
          <cell r="K28">
            <v>0</v>
          </cell>
          <cell r="P28">
            <v>0</v>
          </cell>
        </row>
        <row r="29">
          <cell r="K29">
            <v>3570.9648319924163</v>
          </cell>
          <cell r="P29">
            <v>4681.8</v>
          </cell>
        </row>
        <row r="30">
          <cell r="K30">
            <v>0</v>
          </cell>
          <cell r="P30">
            <v>0</v>
          </cell>
        </row>
        <row r="31">
          <cell r="K31">
            <v>3528.0865428383549</v>
          </cell>
          <cell r="P31">
            <v>4804.2</v>
          </cell>
        </row>
        <row r="32">
          <cell r="K32">
            <v>4239.6616933546647</v>
          </cell>
          <cell r="P32">
            <v>3972.6</v>
          </cell>
        </row>
        <row r="33">
          <cell r="K33">
            <v>0</v>
          </cell>
          <cell r="P33">
            <v>0</v>
          </cell>
        </row>
        <row r="34">
          <cell r="K34">
            <v>0</v>
          </cell>
          <cell r="P34">
            <v>0</v>
          </cell>
        </row>
        <row r="35">
          <cell r="K35">
            <v>0</v>
          </cell>
          <cell r="P35">
            <v>0</v>
          </cell>
        </row>
        <row r="36">
          <cell r="K36">
            <v>5444.2414747794228</v>
          </cell>
          <cell r="P36">
            <v>2691</v>
          </cell>
        </row>
        <row r="37">
          <cell r="K37">
            <v>0</v>
          </cell>
          <cell r="P37">
            <v>0</v>
          </cell>
        </row>
        <row r="38">
          <cell r="K38">
            <v>0</v>
          </cell>
          <cell r="P38">
            <v>0</v>
          </cell>
        </row>
        <row r="39">
          <cell r="K39">
            <v>3769.9094200808759</v>
          </cell>
          <cell r="P39">
            <v>4395.6000000000004</v>
          </cell>
        </row>
        <row r="40">
          <cell r="K40">
            <v>0</v>
          </cell>
          <cell r="P40">
            <v>0</v>
          </cell>
        </row>
        <row r="41">
          <cell r="K41">
            <v>2814.157848363926</v>
          </cell>
          <cell r="P41">
            <v>9838.8000000000011</v>
          </cell>
        </row>
        <row r="42">
          <cell r="K42">
            <v>4025.0230952303918</v>
          </cell>
          <cell r="P42">
            <v>3885.3</v>
          </cell>
        </row>
        <row r="43">
          <cell r="K43">
            <v>5037.8209034317624</v>
          </cell>
          <cell r="P43">
            <v>2638.8</v>
          </cell>
        </row>
        <row r="44">
          <cell r="K44">
            <v>0</v>
          </cell>
          <cell r="P44">
            <v>0</v>
          </cell>
        </row>
        <row r="45">
          <cell r="K45">
            <v>0</v>
          </cell>
          <cell r="P45">
            <v>0</v>
          </cell>
        </row>
        <row r="46">
          <cell r="K46">
            <v>0</v>
          </cell>
          <cell r="P46">
            <v>0</v>
          </cell>
        </row>
        <row r="47">
          <cell r="K47">
            <v>0</v>
          </cell>
          <cell r="P47">
            <v>0</v>
          </cell>
        </row>
        <row r="48">
          <cell r="K48">
            <v>0</v>
          </cell>
          <cell r="P48">
            <v>0</v>
          </cell>
        </row>
        <row r="49">
          <cell r="K49">
            <v>0</v>
          </cell>
          <cell r="P49">
            <v>0</v>
          </cell>
        </row>
        <row r="50">
          <cell r="K50">
            <v>0</v>
          </cell>
          <cell r="P50">
            <v>0</v>
          </cell>
        </row>
        <row r="51">
          <cell r="K51">
            <v>0</v>
          </cell>
          <cell r="P51">
            <v>0</v>
          </cell>
        </row>
        <row r="52">
          <cell r="K52">
            <v>0</v>
          </cell>
          <cell r="P52">
            <v>0</v>
          </cell>
        </row>
        <row r="53">
          <cell r="K53">
            <v>0</v>
          </cell>
          <cell r="P53">
            <v>0</v>
          </cell>
        </row>
        <row r="54">
          <cell r="K54">
            <v>0</v>
          </cell>
          <cell r="P54">
            <v>0</v>
          </cell>
        </row>
        <row r="55">
          <cell r="K55">
            <v>10071.029116774051</v>
          </cell>
          <cell r="P55">
            <v>8811</v>
          </cell>
        </row>
        <row r="56">
          <cell r="K56">
            <v>9882.1093499931812</v>
          </cell>
          <cell r="P56">
            <v>3483</v>
          </cell>
        </row>
        <row r="57">
          <cell r="K57">
            <v>0</v>
          </cell>
          <cell r="P57">
            <v>0</v>
          </cell>
        </row>
        <row r="58">
          <cell r="K58">
            <v>8817.993693234579</v>
          </cell>
          <cell r="P58">
            <v>5650.2</v>
          </cell>
        </row>
        <row r="59">
          <cell r="K59">
            <v>0</v>
          </cell>
          <cell r="P59">
            <v>0</v>
          </cell>
        </row>
        <row r="60">
          <cell r="K60">
            <v>0</v>
          </cell>
          <cell r="P60">
            <v>0</v>
          </cell>
        </row>
        <row r="61">
          <cell r="K61">
            <v>0</v>
          </cell>
          <cell r="P61">
            <v>0</v>
          </cell>
        </row>
        <row r="62">
          <cell r="K62">
            <v>18985.561684463202</v>
          </cell>
          <cell r="P62">
            <v>4131</v>
          </cell>
        </row>
        <row r="63">
          <cell r="K63">
            <v>4887.7407236135114</v>
          </cell>
          <cell r="P63">
            <v>3532.5</v>
          </cell>
        </row>
        <row r="64">
          <cell r="K64">
            <v>0</v>
          </cell>
          <cell r="P64">
            <v>0</v>
          </cell>
        </row>
        <row r="65">
          <cell r="K65">
            <v>0</v>
          </cell>
          <cell r="P65">
            <v>0</v>
          </cell>
        </row>
        <row r="66">
          <cell r="K66">
            <v>0</v>
          </cell>
          <cell r="P66">
            <v>0</v>
          </cell>
        </row>
        <row r="67">
          <cell r="K67">
            <v>0</v>
          </cell>
          <cell r="P67">
            <v>0</v>
          </cell>
        </row>
        <row r="68">
          <cell r="K68">
            <v>0</v>
          </cell>
          <cell r="P68">
            <v>0</v>
          </cell>
        </row>
        <row r="69">
          <cell r="K69">
            <v>-18879.853912045117</v>
          </cell>
          <cell r="P69">
            <v>-9525.6</v>
          </cell>
        </row>
        <row r="70">
          <cell r="K70">
            <v>0</v>
          </cell>
          <cell r="P70">
            <v>0</v>
          </cell>
        </row>
        <row r="71">
          <cell r="K71">
            <v>0</v>
          </cell>
          <cell r="P71">
            <v>0</v>
          </cell>
        </row>
        <row r="72">
          <cell r="K72">
            <v>0</v>
          </cell>
          <cell r="P72">
            <v>0</v>
          </cell>
        </row>
      </sheetData>
      <sheetData sheetId="3">
        <row r="4">
          <cell r="K4">
            <v>0</v>
          </cell>
          <cell r="P4">
            <v>0</v>
          </cell>
        </row>
        <row r="5">
          <cell r="K5">
            <v>0</v>
          </cell>
          <cell r="P5">
            <v>0</v>
          </cell>
        </row>
        <row r="6">
          <cell r="K6">
            <v>0</v>
          </cell>
          <cell r="P6">
            <v>0</v>
          </cell>
        </row>
        <row r="7">
          <cell r="K7">
            <v>0</v>
          </cell>
          <cell r="P7">
            <v>0</v>
          </cell>
        </row>
        <row r="8">
          <cell r="K8">
            <v>0</v>
          </cell>
          <cell r="P8">
            <v>0</v>
          </cell>
        </row>
        <row r="9">
          <cell r="K9">
            <v>0</v>
          </cell>
          <cell r="P9">
            <v>0</v>
          </cell>
        </row>
        <row r="10">
          <cell r="K10">
            <v>0</v>
          </cell>
          <cell r="P10">
            <v>0</v>
          </cell>
        </row>
        <row r="11">
          <cell r="K11">
            <v>0</v>
          </cell>
          <cell r="P11">
            <v>0</v>
          </cell>
        </row>
        <row r="12">
          <cell r="K12">
            <v>0</v>
          </cell>
          <cell r="P12">
            <v>0</v>
          </cell>
        </row>
        <row r="13">
          <cell r="K13">
            <v>0</v>
          </cell>
          <cell r="P13">
            <v>0</v>
          </cell>
        </row>
        <row r="14">
          <cell r="K14">
            <v>0</v>
          </cell>
          <cell r="P14">
            <v>0</v>
          </cell>
        </row>
        <row r="15">
          <cell r="K15">
            <v>0</v>
          </cell>
          <cell r="P15">
            <v>0</v>
          </cell>
        </row>
        <row r="16">
          <cell r="K16">
            <v>0</v>
          </cell>
          <cell r="P16">
            <v>0</v>
          </cell>
        </row>
        <row r="17">
          <cell r="K17">
            <v>0</v>
          </cell>
          <cell r="P17">
            <v>0</v>
          </cell>
        </row>
        <row r="18">
          <cell r="K18">
            <v>0</v>
          </cell>
          <cell r="P18">
            <v>0</v>
          </cell>
        </row>
        <row r="19">
          <cell r="K19">
            <v>0</v>
          </cell>
          <cell r="P19">
            <v>0</v>
          </cell>
        </row>
        <row r="20">
          <cell r="K20">
            <v>-3777.4818974478985</v>
          </cell>
          <cell r="P20">
            <v>-5940.9000000000005</v>
          </cell>
        </row>
        <row r="21">
          <cell r="K21">
            <v>0</v>
          </cell>
          <cell r="P21">
            <v>0</v>
          </cell>
        </row>
        <row r="22">
          <cell r="K22">
            <v>0</v>
          </cell>
          <cell r="P22">
            <v>0</v>
          </cell>
        </row>
        <row r="23">
          <cell r="K23">
            <v>0</v>
          </cell>
          <cell r="P23">
            <v>0</v>
          </cell>
        </row>
        <row r="24">
          <cell r="K24">
            <v>0</v>
          </cell>
          <cell r="P24">
            <v>0</v>
          </cell>
        </row>
        <row r="25">
          <cell r="K25">
            <v>0</v>
          </cell>
          <cell r="P25">
            <v>0</v>
          </cell>
        </row>
        <row r="26">
          <cell r="K26">
            <v>0</v>
          </cell>
          <cell r="P26">
            <v>0</v>
          </cell>
        </row>
        <row r="27">
          <cell r="K27">
            <v>0</v>
          </cell>
          <cell r="P27">
            <v>0</v>
          </cell>
        </row>
        <row r="28">
          <cell r="K28">
            <v>0</v>
          </cell>
          <cell r="P28">
            <v>0</v>
          </cell>
        </row>
        <row r="29">
          <cell r="K29">
            <v>0</v>
          </cell>
          <cell r="P29">
            <v>0</v>
          </cell>
        </row>
        <row r="30">
          <cell r="K30">
            <v>0</v>
          </cell>
          <cell r="P30">
            <v>0</v>
          </cell>
        </row>
        <row r="31">
          <cell r="K31">
            <v>0</v>
          </cell>
          <cell r="P31">
            <v>0</v>
          </cell>
        </row>
        <row r="32">
          <cell r="K32">
            <v>0</v>
          </cell>
          <cell r="P32">
            <v>0</v>
          </cell>
        </row>
        <row r="33">
          <cell r="K33">
            <v>0</v>
          </cell>
          <cell r="P33">
            <v>0</v>
          </cell>
        </row>
        <row r="34">
          <cell r="K34">
            <v>0</v>
          </cell>
          <cell r="P34">
            <v>0</v>
          </cell>
        </row>
        <row r="35">
          <cell r="K35">
            <v>0</v>
          </cell>
          <cell r="P35">
            <v>0</v>
          </cell>
        </row>
        <row r="36">
          <cell r="K36">
            <v>0</v>
          </cell>
          <cell r="P36">
            <v>0</v>
          </cell>
        </row>
        <row r="37">
          <cell r="K37">
            <v>0</v>
          </cell>
          <cell r="P37">
            <v>0</v>
          </cell>
        </row>
        <row r="38">
          <cell r="K38">
            <v>0</v>
          </cell>
          <cell r="P38">
            <v>0</v>
          </cell>
        </row>
        <row r="39">
          <cell r="K39">
            <v>0</v>
          </cell>
          <cell r="P39">
            <v>0</v>
          </cell>
        </row>
        <row r="40">
          <cell r="K40">
            <v>0</v>
          </cell>
          <cell r="P40">
            <v>0</v>
          </cell>
        </row>
        <row r="41">
          <cell r="K41">
            <v>0</v>
          </cell>
          <cell r="P41">
            <v>0</v>
          </cell>
        </row>
        <row r="42">
          <cell r="K42">
            <v>0</v>
          </cell>
          <cell r="P42">
            <v>0</v>
          </cell>
        </row>
        <row r="43">
          <cell r="K43">
            <v>0</v>
          </cell>
          <cell r="P43">
            <v>0</v>
          </cell>
        </row>
        <row r="44">
          <cell r="K44">
            <v>0</v>
          </cell>
          <cell r="P44">
            <v>0</v>
          </cell>
        </row>
        <row r="45">
          <cell r="K45">
            <v>0</v>
          </cell>
          <cell r="P45">
            <v>0</v>
          </cell>
        </row>
        <row r="46">
          <cell r="K46">
            <v>0</v>
          </cell>
          <cell r="P46">
            <v>0</v>
          </cell>
        </row>
        <row r="47">
          <cell r="K47">
            <v>0</v>
          </cell>
          <cell r="P47">
            <v>0</v>
          </cell>
        </row>
        <row r="48">
          <cell r="K48">
            <v>0</v>
          </cell>
          <cell r="P48">
            <v>0</v>
          </cell>
        </row>
        <row r="49">
          <cell r="K49">
            <v>0</v>
          </cell>
          <cell r="P49">
            <v>0</v>
          </cell>
        </row>
        <row r="50">
          <cell r="K50">
            <v>0</v>
          </cell>
          <cell r="P50">
            <v>0</v>
          </cell>
        </row>
        <row r="51">
          <cell r="K51">
            <v>0</v>
          </cell>
          <cell r="P51">
            <v>0</v>
          </cell>
        </row>
        <row r="52">
          <cell r="K52">
            <v>0</v>
          </cell>
          <cell r="P52">
            <v>0</v>
          </cell>
        </row>
        <row r="53">
          <cell r="K53">
            <v>0</v>
          </cell>
          <cell r="P53">
            <v>0</v>
          </cell>
        </row>
        <row r="54">
          <cell r="K54">
            <v>0</v>
          </cell>
          <cell r="P54">
            <v>0</v>
          </cell>
        </row>
        <row r="55">
          <cell r="K55">
            <v>0</v>
          </cell>
          <cell r="P55">
            <v>0</v>
          </cell>
        </row>
        <row r="56">
          <cell r="K56">
            <v>0</v>
          </cell>
          <cell r="P56">
            <v>0</v>
          </cell>
        </row>
        <row r="57">
          <cell r="K57">
            <v>0</v>
          </cell>
          <cell r="P57">
            <v>0</v>
          </cell>
        </row>
        <row r="58">
          <cell r="K58">
            <v>0</v>
          </cell>
          <cell r="P58">
            <v>0</v>
          </cell>
        </row>
        <row r="59">
          <cell r="K59">
            <v>0</v>
          </cell>
          <cell r="P59">
            <v>0</v>
          </cell>
        </row>
        <row r="60">
          <cell r="K60">
            <v>0</v>
          </cell>
          <cell r="P60">
            <v>0</v>
          </cell>
        </row>
        <row r="61">
          <cell r="K61">
            <v>0</v>
          </cell>
          <cell r="P61">
            <v>0</v>
          </cell>
        </row>
        <row r="62">
          <cell r="K62">
            <v>25314.082245950936</v>
          </cell>
          <cell r="P62">
            <v>5508</v>
          </cell>
        </row>
        <row r="63">
          <cell r="K63">
            <v>0</v>
          </cell>
          <cell r="P63">
            <v>0</v>
          </cell>
        </row>
        <row r="64">
          <cell r="K64">
            <v>0</v>
          </cell>
          <cell r="P64">
            <v>0</v>
          </cell>
        </row>
        <row r="65">
          <cell r="K65">
            <v>0</v>
          </cell>
          <cell r="P65">
            <v>0</v>
          </cell>
        </row>
        <row r="66">
          <cell r="K66">
            <v>0</v>
          </cell>
          <cell r="P66">
            <v>0</v>
          </cell>
        </row>
        <row r="67">
          <cell r="K67">
            <v>0</v>
          </cell>
          <cell r="P67">
            <v>0</v>
          </cell>
        </row>
        <row r="68">
          <cell r="K68">
            <v>0</v>
          </cell>
          <cell r="P68">
            <v>0</v>
          </cell>
        </row>
        <row r="69">
          <cell r="K69">
            <v>-25173.138549393487</v>
          </cell>
          <cell r="P69">
            <v>-12700.800000000001</v>
          </cell>
        </row>
        <row r="70">
          <cell r="K70">
            <v>0</v>
          </cell>
          <cell r="P70">
            <v>0</v>
          </cell>
        </row>
        <row r="71">
          <cell r="K71">
            <v>0</v>
          </cell>
          <cell r="P71">
            <v>0</v>
          </cell>
        </row>
        <row r="72">
          <cell r="K72">
            <v>0</v>
          </cell>
          <cell r="P72">
            <v>0</v>
          </cell>
        </row>
      </sheetData>
      <sheetData sheetId="4">
        <row r="7">
          <cell r="K7">
            <v>0</v>
          </cell>
          <cell r="P7">
            <v>0</v>
          </cell>
        </row>
        <row r="8">
          <cell r="K8">
            <v>0</v>
          </cell>
          <cell r="P8">
            <v>0</v>
          </cell>
        </row>
        <row r="9">
          <cell r="K9">
            <v>0</v>
          </cell>
          <cell r="P9">
            <v>0</v>
          </cell>
        </row>
        <row r="10">
          <cell r="K10">
            <v>0</v>
          </cell>
          <cell r="P10">
            <v>0</v>
          </cell>
        </row>
        <row r="11">
          <cell r="K11">
            <v>0</v>
          </cell>
          <cell r="P11">
            <v>0</v>
          </cell>
        </row>
        <row r="12">
          <cell r="K12">
            <v>0</v>
          </cell>
          <cell r="P12">
            <v>0</v>
          </cell>
        </row>
        <row r="13">
          <cell r="K13">
            <v>0</v>
          </cell>
          <cell r="P13">
            <v>0</v>
          </cell>
        </row>
        <row r="14">
          <cell r="K14">
            <v>0</v>
          </cell>
          <cell r="P14">
            <v>0</v>
          </cell>
        </row>
        <row r="15">
          <cell r="K15">
            <v>0</v>
          </cell>
          <cell r="P15">
            <v>0</v>
          </cell>
        </row>
        <row r="16">
          <cell r="K16">
            <v>0</v>
          </cell>
          <cell r="P16">
            <v>0</v>
          </cell>
        </row>
        <row r="17">
          <cell r="K17">
            <v>0</v>
          </cell>
          <cell r="P17">
            <v>0</v>
          </cell>
        </row>
        <row r="18">
          <cell r="K18">
            <v>0</v>
          </cell>
          <cell r="P18">
            <v>0</v>
          </cell>
        </row>
        <row r="19">
          <cell r="K19">
            <v>0</v>
          </cell>
          <cell r="P19">
            <v>0</v>
          </cell>
        </row>
        <row r="20">
          <cell r="K20">
            <v>0</v>
          </cell>
          <cell r="P20">
            <v>0</v>
          </cell>
        </row>
        <row r="21">
          <cell r="K21">
            <v>0</v>
          </cell>
          <cell r="P21">
            <v>0</v>
          </cell>
        </row>
        <row r="22">
          <cell r="K22">
            <v>0</v>
          </cell>
          <cell r="P22">
            <v>0</v>
          </cell>
        </row>
        <row r="23">
          <cell r="K23">
            <v>0</v>
          </cell>
          <cell r="P23">
            <v>0</v>
          </cell>
        </row>
        <row r="24">
          <cell r="K24">
            <v>0</v>
          </cell>
          <cell r="P24">
            <v>0</v>
          </cell>
        </row>
        <row r="25">
          <cell r="K25">
            <v>0</v>
          </cell>
          <cell r="P25">
            <v>0</v>
          </cell>
        </row>
        <row r="26">
          <cell r="K26">
            <v>0</v>
          </cell>
          <cell r="P26">
            <v>0</v>
          </cell>
        </row>
        <row r="27">
          <cell r="K27">
            <v>0</v>
          </cell>
          <cell r="P27">
            <v>0</v>
          </cell>
        </row>
        <row r="28">
          <cell r="K28">
            <v>0</v>
          </cell>
          <cell r="P28">
            <v>0</v>
          </cell>
        </row>
        <row r="29">
          <cell r="K29">
            <v>0</v>
          </cell>
          <cell r="P29">
            <v>0</v>
          </cell>
        </row>
        <row r="30">
          <cell r="K30">
            <v>0</v>
          </cell>
          <cell r="P30">
            <v>0</v>
          </cell>
        </row>
        <row r="31">
          <cell r="K31">
            <v>0</v>
          </cell>
          <cell r="P31">
            <v>0</v>
          </cell>
        </row>
        <row r="32">
          <cell r="K32">
            <v>0</v>
          </cell>
          <cell r="P32">
            <v>0</v>
          </cell>
        </row>
        <row r="33">
          <cell r="K33">
            <v>0</v>
          </cell>
          <cell r="P33">
            <v>0</v>
          </cell>
        </row>
        <row r="34">
          <cell r="K34">
            <v>0</v>
          </cell>
          <cell r="P34">
            <v>0</v>
          </cell>
        </row>
        <row r="35">
          <cell r="K35">
            <v>0</v>
          </cell>
          <cell r="P35">
            <v>0</v>
          </cell>
        </row>
        <row r="36">
          <cell r="K36">
            <v>0</v>
          </cell>
          <cell r="P36">
            <v>0</v>
          </cell>
        </row>
        <row r="37">
          <cell r="K37">
            <v>0</v>
          </cell>
          <cell r="P37">
            <v>0</v>
          </cell>
        </row>
        <row r="38">
          <cell r="K38">
            <v>0</v>
          </cell>
          <cell r="P38">
            <v>0</v>
          </cell>
        </row>
        <row r="39">
          <cell r="K39">
            <v>0</v>
          </cell>
          <cell r="P39">
            <v>0</v>
          </cell>
        </row>
        <row r="40">
          <cell r="K40">
            <v>0</v>
          </cell>
          <cell r="P40">
            <v>0</v>
          </cell>
        </row>
        <row r="41">
          <cell r="K41">
            <v>0</v>
          </cell>
          <cell r="P41">
            <v>0</v>
          </cell>
        </row>
        <row r="42">
          <cell r="K42">
            <v>0</v>
          </cell>
          <cell r="P42">
            <v>0</v>
          </cell>
        </row>
        <row r="43">
          <cell r="K43">
            <v>0</v>
          </cell>
          <cell r="P43">
            <v>0</v>
          </cell>
        </row>
        <row r="44">
          <cell r="K44">
            <v>0</v>
          </cell>
          <cell r="P44">
            <v>0</v>
          </cell>
        </row>
        <row r="45">
          <cell r="K45">
            <v>0</v>
          </cell>
          <cell r="P45">
            <v>0</v>
          </cell>
        </row>
        <row r="46">
          <cell r="K46">
            <v>0</v>
          </cell>
          <cell r="P46">
            <v>0</v>
          </cell>
        </row>
        <row r="47">
          <cell r="K47">
            <v>0</v>
          </cell>
          <cell r="P47">
            <v>0</v>
          </cell>
        </row>
        <row r="48">
          <cell r="K48">
            <v>0</v>
          </cell>
          <cell r="P48">
            <v>0</v>
          </cell>
        </row>
        <row r="49">
          <cell r="K49">
            <v>0</v>
          </cell>
          <cell r="P49">
            <v>0</v>
          </cell>
        </row>
        <row r="50">
          <cell r="K50">
            <v>0</v>
          </cell>
          <cell r="P50">
            <v>0</v>
          </cell>
        </row>
        <row r="51">
          <cell r="K51">
            <v>0</v>
          </cell>
          <cell r="P51">
            <v>0</v>
          </cell>
        </row>
        <row r="52">
          <cell r="K52">
            <v>0</v>
          </cell>
          <cell r="P52">
            <v>0</v>
          </cell>
        </row>
        <row r="53">
          <cell r="K53">
            <v>0</v>
          </cell>
          <cell r="P53">
            <v>0</v>
          </cell>
        </row>
        <row r="54">
          <cell r="K54">
            <v>0</v>
          </cell>
          <cell r="P54">
            <v>0</v>
          </cell>
        </row>
        <row r="55">
          <cell r="K55">
            <v>5393.6121863971766</v>
          </cell>
          <cell r="P55">
            <v>2345</v>
          </cell>
        </row>
        <row r="56">
          <cell r="K56">
            <v>0</v>
          </cell>
          <cell r="P56">
            <v>0</v>
          </cell>
        </row>
        <row r="57">
          <cell r="K57">
            <v>0</v>
          </cell>
          <cell r="P57">
            <v>0</v>
          </cell>
        </row>
        <row r="58">
          <cell r="K58">
            <v>0</v>
          </cell>
          <cell r="P58">
            <v>0</v>
          </cell>
        </row>
        <row r="59">
          <cell r="K59">
            <v>0</v>
          </cell>
          <cell r="P59">
            <v>0</v>
          </cell>
        </row>
        <row r="60">
          <cell r="K60">
            <v>0</v>
          </cell>
          <cell r="P60">
            <v>0</v>
          </cell>
        </row>
        <row r="61">
          <cell r="K61">
            <v>0</v>
          </cell>
          <cell r="P61">
            <v>0</v>
          </cell>
        </row>
        <row r="62">
          <cell r="K62">
            <v>0</v>
          </cell>
          <cell r="P62">
            <v>0</v>
          </cell>
        </row>
        <row r="63">
          <cell r="K63">
            <v>0</v>
          </cell>
          <cell r="P63">
            <v>0</v>
          </cell>
        </row>
        <row r="64">
          <cell r="K64">
            <v>0</v>
          </cell>
          <cell r="P64">
            <v>0</v>
          </cell>
        </row>
        <row r="65">
          <cell r="K65">
            <v>0</v>
          </cell>
          <cell r="P65">
            <v>0</v>
          </cell>
        </row>
        <row r="66">
          <cell r="K66">
            <v>0</v>
          </cell>
          <cell r="P66">
            <v>0</v>
          </cell>
        </row>
        <row r="67">
          <cell r="K67">
            <v>0</v>
          </cell>
          <cell r="P67">
            <v>0</v>
          </cell>
        </row>
        <row r="68">
          <cell r="K68">
            <v>0</v>
          </cell>
          <cell r="P68">
            <v>0</v>
          </cell>
        </row>
        <row r="69">
          <cell r="K69">
            <v>0</v>
          </cell>
          <cell r="P69">
            <v>0</v>
          </cell>
        </row>
        <row r="70">
          <cell r="K70">
            <v>0</v>
          </cell>
          <cell r="P70">
            <v>0</v>
          </cell>
        </row>
        <row r="71">
          <cell r="K71">
            <v>0</v>
          </cell>
          <cell r="P71">
            <v>0</v>
          </cell>
        </row>
        <row r="72">
          <cell r="K72">
            <v>0</v>
          </cell>
          <cell r="P72">
            <v>0</v>
          </cell>
        </row>
        <row r="73">
          <cell r="K73">
            <v>0</v>
          </cell>
          <cell r="P73">
            <v>0</v>
          </cell>
        </row>
        <row r="74">
          <cell r="K74">
            <v>0</v>
          </cell>
          <cell r="P74">
            <v>0</v>
          </cell>
        </row>
        <row r="75">
          <cell r="K75">
            <v>0</v>
          </cell>
          <cell r="P7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Summary of Simulation 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3A-CityParish LEA "/>
      <sheetName val="Table 4 Level 3"/>
      <sheetName val="Table 4A Stipends"/>
      <sheetName val="Table 4B Rewards"/>
      <sheetName val="Table 5A1 Labs "/>
      <sheetName val="Table 5A2 LSMSA"/>
      <sheetName val="Table 5A3 NOCCA"/>
      <sheetName val="Table 5A4_LSDVI"/>
      <sheetName val="Table 5A5_SSD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J-LA Key Academy"/>
      <sheetName val="Table 5C1K-Jefferson Chamber"/>
      <sheetName val="Table 5C1L-Tallulah Charter"/>
      <sheetName val="Table 5C1M-Northshore Charter"/>
      <sheetName val="Table 5C1N-EBR Charter"/>
      <sheetName val="Table 5C1O-Lake Charles HS"/>
      <sheetName val="Table 5C1P-Delta Charter"/>
      <sheetName val="Table 5C2 - LA Virtual Admy"/>
      <sheetName val="Table 5C3 - LA Connections EBR"/>
      <sheetName val="Table 5D1 - New Vision"/>
      <sheetName val="Table 5D2 - Glencoe"/>
      <sheetName val="Table 5D3 - International"/>
      <sheetName val="Table 5D4 - Avoyelles"/>
      <sheetName val="Table 5D5 - Delhi"/>
      <sheetName val="Table 5D6 - Milestone"/>
      <sheetName val="Table 5D7 - Max"/>
      <sheetName val="Table 5D8 - Belle Chasse"/>
      <sheetName val="Table 5E_OJJ"/>
      <sheetName val="Table 5F Scholarships"/>
      <sheetName val="Table 6 (Local Deduct Calc.)"/>
      <sheetName val="Table 7 Local Revenue"/>
      <sheetName val="Table 8 2.1.12 MFP Funded"/>
      <sheetName val="2-1-12 MFP Funded by si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5">
          <cell r="P75">
            <v>703.90028204588873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"/>
      <sheetName val="Factors"/>
      <sheetName val="Summary of Simulation "/>
      <sheetName val="Table 1 State Summary "/>
      <sheetName val="Table 2_State with Midyear Adjs"/>
      <sheetName val="Table 2A-1_EFT (Annual)"/>
      <sheetName val="Table 2A-2 EFT (Monthly)"/>
      <sheetName val="Adjusted Amounts"/>
      <sheetName val="LAVCA Adjustment"/>
      <sheetName val="LA Conn Adjustment"/>
      <sheetName val="Table 5C- Legacy Type 2"/>
      <sheetName val="Table 3 Levels 1&amp;2"/>
      <sheetName val="Table 4 Level 3"/>
      <sheetName val="Table 4A Stipends"/>
      <sheetName val="Table 5A1 Labs, LSMSA, NOCCA "/>
      <sheetName val="Table 5A2 LSMSA"/>
      <sheetName val="Table 5A3 NOCC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2 - LA Virtual Admy"/>
      <sheetName val="Table 5C3 - LA Connections EBR"/>
      <sheetName val="Table 5E_OJJ"/>
      <sheetName val="Table 6 (Local Deduct Calc.)"/>
      <sheetName val="Table 7 Local Revenue"/>
      <sheetName val="Table 8 2.1.12 MFP Funded"/>
      <sheetName val="2-1-12 MFP Funded by site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W5">
            <v>0</v>
          </cell>
        </row>
      </sheetData>
      <sheetData sheetId="8">
        <row r="5">
          <cell r="X5">
            <v>-19924.604240852688</v>
          </cell>
          <cell r="AB5">
            <v>-9517.5</v>
          </cell>
        </row>
        <row r="6">
          <cell r="X6">
            <v>0</v>
          </cell>
          <cell r="AB6">
            <v>0</v>
          </cell>
        </row>
        <row r="7">
          <cell r="X7">
            <v>0</v>
          </cell>
          <cell r="AB7">
            <v>0</v>
          </cell>
        </row>
        <row r="8">
          <cell r="X8">
            <v>0</v>
          </cell>
          <cell r="AB8">
            <v>0</v>
          </cell>
        </row>
        <row r="9">
          <cell r="X9">
            <v>0</v>
          </cell>
          <cell r="AB9">
            <v>0</v>
          </cell>
        </row>
        <row r="10">
          <cell r="X10">
            <v>0</v>
          </cell>
          <cell r="AB10">
            <v>0</v>
          </cell>
        </row>
        <row r="11">
          <cell r="X11">
            <v>-1867.9549005671845</v>
          </cell>
          <cell r="AB11">
            <v>-11234.7</v>
          </cell>
        </row>
        <row r="12">
          <cell r="X12">
            <v>0</v>
          </cell>
          <cell r="AB12">
            <v>0</v>
          </cell>
        </row>
        <row r="13">
          <cell r="X13">
            <v>-5871.1730902856889</v>
          </cell>
          <cell r="AB13">
            <v>-4184.1000000000004</v>
          </cell>
        </row>
        <row r="14">
          <cell r="X14">
            <v>-7891.3228077837548</v>
          </cell>
          <cell r="AB14">
            <v>-7911</v>
          </cell>
        </row>
        <row r="15">
          <cell r="X15">
            <v>0</v>
          </cell>
          <cell r="AB15">
            <v>0</v>
          </cell>
        </row>
        <row r="16">
          <cell r="X16">
            <v>0</v>
          </cell>
          <cell r="AB16">
            <v>0</v>
          </cell>
        </row>
        <row r="17">
          <cell r="X17">
            <v>-5108.6481064335057</v>
          </cell>
          <cell r="AB17">
            <v>-2284.2000000000003</v>
          </cell>
        </row>
        <row r="18">
          <cell r="X18">
            <v>0</v>
          </cell>
          <cell r="AB18">
            <v>0</v>
          </cell>
        </row>
        <row r="19">
          <cell r="X19">
            <v>0</v>
          </cell>
          <cell r="AB19">
            <v>0</v>
          </cell>
        </row>
        <row r="20">
          <cell r="X20">
            <v>0</v>
          </cell>
          <cell r="AB20">
            <v>0</v>
          </cell>
        </row>
        <row r="21">
          <cell r="X21">
            <v>-6927.1511569350178</v>
          </cell>
          <cell r="AB21">
            <v>-11881.800000000001</v>
          </cell>
        </row>
        <row r="22">
          <cell r="X22">
            <v>0</v>
          </cell>
          <cell r="AB22">
            <v>0</v>
          </cell>
        </row>
        <row r="23">
          <cell r="X23">
            <v>0</v>
          </cell>
          <cell r="AB23">
            <v>0</v>
          </cell>
        </row>
        <row r="24">
          <cell r="X24">
            <v>0</v>
          </cell>
          <cell r="AB24">
            <v>0</v>
          </cell>
        </row>
        <row r="25">
          <cell r="X25">
            <v>0</v>
          </cell>
          <cell r="AB25">
            <v>0</v>
          </cell>
        </row>
        <row r="26">
          <cell r="X26">
            <v>0</v>
          </cell>
          <cell r="AB26">
            <v>0</v>
          </cell>
        </row>
        <row r="27">
          <cell r="X27">
            <v>0</v>
          </cell>
          <cell r="AB27">
            <v>0</v>
          </cell>
        </row>
        <row r="28">
          <cell r="X28">
            <v>-2863.8617737044019</v>
          </cell>
          <cell r="AB28">
            <v>-8379.9</v>
          </cell>
        </row>
        <row r="29">
          <cell r="X29">
            <v>0</v>
          </cell>
          <cell r="AB29">
            <v>0</v>
          </cell>
        </row>
        <row r="30">
          <cell r="X30">
            <v>-5701.5410354181458</v>
          </cell>
          <cell r="AB30">
            <v>-4681.8</v>
          </cell>
        </row>
        <row r="31">
          <cell r="X31">
            <v>0</v>
          </cell>
          <cell r="AB31">
            <v>0</v>
          </cell>
        </row>
        <row r="32">
          <cell r="X32">
            <v>-3321.2185804353508</v>
          </cell>
          <cell r="AB32">
            <v>-4804.2</v>
          </cell>
        </row>
        <row r="33">
          <cell r="X33">
            <v>-3442.0166399199852</v>
          </cell>
          <cell r="AB33">
            <v>-3972.6</v>
          </cell>
        </row>
        <row r="34">
          <cell r="X34">
            <v>0</v>
          </cell>
          <cell r="AB34">
            <v>0</v>
          </cell>
        </row>
        <row r="35">
          <cell r="X35">
            <v>0</v>
          </cell>
          <cell r="AB35">
            <v>0</v>
          </cell>
        </row>
        <row r="36">
          <cell r="X36">
            <v>0</v>
          </cell>
          <cell r="AB36">
            <v>0</v>
          </cell>
        </row>
        <row r="37">
          <cell r="X37">
            <v>-4446.2780169588186</v>
          </cell>
          <cell r="AB37">
            <v>-2691</v>
          </cell>
        </row>
        <row r="38">
          <cell r="X38">
            <v>0</v>
          </cell>
          <cell r="AB38">
            <v>0</v>
          </cell>
        </row>
        <row r="39">
          <cell r="X39">
            <v>0</v>
          </cell>
          <cell r="AB39">
            <v>0</v>
          </cell>
        </row>
        <row r="40">
          <cell r="X40">
            <v>-6532.9082567218884</v>
          </cell>
          <cell r="AB40">
            <v>-4395.6000000000004</v>
          </cell>
        </row>
        <row r="41">
          <cell r="X41">
            <v>0</v>
          </cell>
          <cell r="AB41">
            <v>0</v>
          </cell>
        </row>
        <row r="42">
          <cell r="X42">
            <v>-2410.5827286512372</v>
          </cell>
          <cell r="AB42">
            <v>-9838.8000000000011</v>
          </cell>
        </row>
        <row r="43">
          <cell r="X43">
            <v>-2868.3684316843351</v>
          </cell>
          <cell r="AB43">
            <v>-3885.3</v>
          </cell>
        </row>
        <row r="44">
          <cell r="X44">
            <v>-4575.728704330274</v>
          </cell>
          <cell r="AB44">
            <v>-2638.8</v>
          </cell>
        </row>
        <row r="45">
          <cell r="X45">
            <v>0</v>
          </cell>
          <cell r="AB45">
            <v>0</v>
          </cell>
        </row>
        <row r="46">
          <cell r="X46">
            <v>0</v>
          </cell>
          <cell r="AB46">
            <v>0</v>
          </cell>
        </row>
        <row r="47">
          <cell r="X47">
            <v>0</v>
          </cell>
          <cell r="AB47">
            <v>0</v>
          </cell>
        </row>
        <row r="48">
          <cell r="X48">
            <v>0</v>
          </cell>
          <cell r="AB48">
            <v>0</v>
          </cell>
        </row>
        <row r="49">
          <cell r="X49">
            <v>0</v>
          </cell>
          <cell r="AB49">
            <v>0</v>
          </cell>
        </row>
        <row r="50">
          <cell r="X50">
            <v>0</v>
          </cell>
          <cell r="AB50">
            <v>0</v>
          </cell>
        </row>
        <row r="51">
          <cell r="X51">
            <v>0</v>
          </cell>
          <cell r="AB51">
            <v>0</v>
          </cell>
        </row>
        <row r="52">
          <cell r="X52">
            <v>0</v>
          </cell>
          <cell r="AB52">
            <v>0</v>
          </cell>
        </row>
        <row r="53">
          <cell r="X53">
            <v>-1814.0703441223684</v>
          </cell>
          <cell r="AB53">
            <v>0</v>
          </cell>
        </row>
        <row r="54">
          <cell r="X54">
            <v>0</v>
          </cell>
          <cell r="AB54">
            <v>0</v>
          </cell>
        </row>
        <row r="55">
          <cell r="X55">
            <v>0</v>
          </cell>
          <cell r="AB55">
            <v>0</v>
          </cell>
        </row>
        <row r="56">
          <cell r="X56">
            <v>-8092.6477204110288</v>
          </cell>
          <cell r="AB56">
            <v>-8811</v>
          </cell>
        </row>
        <row r="57">
          <cell r="X57">
            <v>-8918.9299338952187</v>
          </cell>
          <cell r="AB57">
            <v>-3483</v>
          </cell>
        </row>
        <row r="58">
          <cell r="X58">
            <v>0</v>
          </cell>
          <cell r="AB58">
            <v>0</v>
          </cell>
        </row>
        <row r="59">
          <cell r="X59">
            <v>-11918.228956589004</v>
          </cell>
          <cell r="AB59">
            <v>-5650.2</v>
          </cell>
        </row>
        <row r="60">
          <cell r="X60">
            <v>0</v>
          </cell>
          <cell r="AB60">
            <v>0</v>
          </cell>
        </row>
        <row r="61">
          <cell r="X61">
            <v>0</v>
          </cell>
          <cell r="AB61">
            <v>0</v>
          </cell>
        </row>
        <row r="62">
          <cell r="X62">
            <v>0</v>
          </cell>
          <cell r="AB62">
            <v>0</v>
          </cell>
        </row>
        <row r="63">
          <cell r="X63">
            <v>-13076.244105447768</v>
          </cell>
          <cell r="AB63">
            <v>-4131</v>
          </cell>
        </row>
        <row r="64">
          <cell r="X64">
            <v>-4392.2241212554918</v>
          </cell>
          <cell r="AB64">
            <v>-3532.5</v>
          </cell>
        </row>
        <row r="65">
          <cell r="X65">
            <v>-2722.2545909609512</v>
          </cell>
          <cell r="AB65">
            <v>0</v>
          </cell>
        </row>
        <row r="66">
          <cell r="X66">
            <v>0</v>
          </cell>
          <cell r="AB66">
            <v>0</v>
          </cell>
        </row>
        <row r="67">
          <cell r="X67">
            <v>0</v>
          </cell>
          <cell r="AB67">
            <v>0</v>
          </cell>
        </row>
        <row r="68">
          <cell r="X68">
            <v>0</v>
          </cell>
          <cell r="AB68">
            <v>0</v>
          </cell>
        </row>
        <row r="69">
          <cell r="X69">
            <v>0</v>
          </cell>
          <cell r="AB69">
            <v>0</v>
          </cell>
        </row>
        <row r="70">
          <cell r="X70">
            <v>11709.421094380463</v>
          </cell>
          <cell r="AB70">
            <v>9525.6</v>
          </cell>
        </row>
        <row r="71">
          <cell r="X71">
            <v>0</v>
          </cell>
          <cell r="AB71">
            <v>0</v>
          </cell>
        </row>
        <row r="72">
          <cell r="X72">
            <v>0</v>
          </cell>
          <cell r="AB72">
            <v>0</v>
          </cell>
        </row>
        <row r="73">
          <cell r="X73">
            <v>0</v>
          </cell>
          <cell r="AB73">
            <v>0</v>
          </cell>
        </row>
      </sheetData>
      <sheetData sheetId="9">
        <row r="5">
          <cell r="X5">
            <v>0</v>
          </cell>
        </row>
        <row r="6">
          <cell r="X6">
            <v>0</v>
          </cell>
        </row>
        <row r="7">
          <cell r="X7">
            <v>0</v>
          </cell>
        </row>
        <row r="8">
          <cell r="X8">
            <v>0</v>
          </cell>
        </row>
        <row r="9">
          <cell r="X9">
            <v>0</v>
          </cell>
        </row>
        <row r="10">
          <cell r="X10">
            <v>0</v>
          </cell>
        </row>
        <row r="11">
          <cell r="X11">
            <v>0</v>
          </cell>
        </row>
        <row r="12">
          <cell r="X12">
            <v>0</v>
          </cell>
        </row>
        <row r="13">
          <cell r="X13">
            <v>0</v>
          </cell>
        </row>
        <row r="14">
          <cell r="X14">
            <v>0</v>
          </cell>
        </row>
        <row r="15">
          <cell r="X15">
            <v>0</v>
          </cell>
        </row>
        <row r="16">
          <cell r="X16">
            <v>0</v>
          </cell>
        </row>
        <row r="17">
          <cell r="X17">
            <v>0</v>
          </cell>
        </row>
        <row r="18">
          <cell r="X18">
            <v>0</v>
          </cell>
        </row>
        <row r="19">
          <cell r="X19">
            <v>0</v>
          </cell>
        </row>
        <row r="20">
          <cell r="X20">
            <v>0</v>
          </cell>
        </row>
        <row r="21">
          <cell r="X21">
            <v>0</v>
          </cell>
        </row>
        <row r="22">
          <cell r="X22">
            <v>0</v>
          </cell>
        </row>
        <row r="23">
          <cell r="X23">
            <v>0</v>
          </cell>
        </row>
        <row r="24">
          <cell r="X24">
            <v>0</v>
          </cell>
        </row>
        <row r="25">
          <cell r="X25">
            <v>0</v>
          </cell>
        </row>
        <row r="26">
          <cell r="X26">
            <v>0</v>
          </cell>
        </row>
        <row r="27">
          <cell r="X27">
            <v>0</v>
          </cell>
        </row>
        <row r="28">
          <cell r="X28">
            <v>0</v>
          </cell>
        </row>
        <row r="29">
          <cell r="X29">
            <v>0</v>
          </cell>
        </row>
        <row r="30">
          <cell r="X30">
            <v>0</v>
          </cell>
        </row>
        <row r="31">
          <cell r="X31">
            <v>0</v>
          </cell>
        </row>
        <row r="32">
          <cell r="X32">
            <v>0</v>
          </cell>
        </row>
        <row r="33">
          <cell r="X33">
            <v>0</v>
          </cell>
        </row>
        <row r="34">
          <cell r="X34">
            <v>0</v>
          </cell>
        </row>
        <row r="35">
          <cell r="X35">
            <v>0</v>
          </cell>
        </row>
        <row r="36">
          <cell r="X36">
            <v>0</v>
          </cell>
        </row>
        <row r="37">
          <cell r="X37">
            <v>0</v>
          </cell>
        </row>
        <row r="38">
          <cell r="X38">
            <v>0</v>
          </cell>
        </row>
        <row r="39">
          <cell r="X39">
            <v>0</v>
          </cell>
        </row>
        <row r="40">
          <cell r="X40">
            <v>0</v>
          </cell>
        </row>
        <row r="41">
          <cell r="X41">
            <v>0</v>
          </cell>
        </row>
        <row r="42">
          <cell r="X42">
            <v>0</v>
          </cell>
        </row>
        <row r="43">
          <cell r="X43">
            <v>0</v>
          </cell>
        </row>
        <row r="44">
          <cell r="X44">
            <v>0</v>
          </cell>
        </row>
        <row r="45">
          <cell r="X45">
            <v>0</v>
          </cell>
        </row>
        <row r="46">
          <cell r="X46">
            <v>0</v>
          </cell>
        </row>
        <row r="47">
          <cell r="X47">
            <v>0</v>
          </cell>
        </row>
        <row r="48">
          <cell r="X48">
            <v>0</v>
          </cell>
        </row>
        <row r="49">
          <cell r="X49">
            <v>0</v>
          </cell>
        </row>
        <row r="50">
          <cell r="X50">
            <v>0</v>
          </cell>
        </row>
        <row r="51">
          <cell r="X51">
            <v>0</v>
          </cell>
        </row>
        <row r="52">
          <cell r="X52">
            <v>0</v>
          </cell>
        </row>
        <row r="53">
          <cell r="X53">
            <v>0</v>
          </cell>
        </row>
        <row r="54">
          <cell r="X54">
            <v>0</v>
          </cell>
        </row>
        <row r="55">
          <cell r="X55">
            <v>0</v>
          </cell>
        </row>
        <row r="56">
          <cell r="X56">
            <v>0</v>
          </cell>
        </row>
        <row r="57">
          <cell r="X57">
            <v>0</v>
          </cell>
        </row>
        <row r="58">
          <cell r="X58">
            <v>0</v>
          </cell>
        </row>
        <row r="59">
          <cell r="X59">
            <v>0</v>
          </cell>
        </row>
        <row r="60">
          <cell r="X60">
            <v>0</v>
          </cell>
        </row>
        <row r="61">
          <cell r="X61">
            <v>0</v>
          </cell>
        </row>
        <row r="62">
          <cell r="X62">
            <v>0</v>
          </cell>
        </row>
        <row r="63">
          <cell r="X63">
            <v>-17434.992140597024</v>
          </cell>
          <cell r="AB63">
            <v>-5508</v>
          </cell>
        </row>
        <row r="64">
          <cell r="X64">
            <v>0</v>
          </cell>
          <cell r="AB64">
            <v>0</v>
          </cell>
        </row>
        <row r="65">
          <cell r="X65">
            <v>0</v>
          </cell>
          <cell r="AB65">
            <v>0</v>
          </cell>
        </row>
        <row r="66">
          <cell r="X66">
            <v>0</v>
          </cell>
          <cell r="AB66">
            <v>0</v>
          </cell>
        </row>
        <row r="67">
          <cell r="X67">
            <v>0</v>
          </cell>
          <cell r="AB67">
            <v>0</v>
          </cell>
        </row>
        <row r="68">
          <cell r="X68">
            <v>0</v>
          </cell>
          <cell r="AB68">
            <v>0</v>
          </cell>
        </row>
        <row r="69">
          <cell r="X69">
            <v>0</v>
          </cell>
          <cell r="AB69">
            <v>0</v>
          </cell>
        </row>
        <row r="70">
          <cell r="X70">
            <v>15612.56145917395</v>
          </cell>
          <cell r="AB70">
            <v>12700.800000000001</v>
          </cell>
        </row>
        <row r="71">
          <cell r="X71">
            <v>0</v>
          </cell>
          <cell r="AB71">
            <v>0</v>
          </cell>
        </row>
        <row r="72">
          <cell r="X72">
            <v>0</v>
          </cell>
          <cell r="AB72">
            <v>0</v>
          </cell>
        </row>
        <row r="73">
          <cell r="X73">
            <v>0</v>
          </cell>
          <cell r="AB7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uary midyear adj "/>
      <sheetName val="Feb midyear adj_Delhi"/>
      <sheetName val="Feb midyear adj_LA virtual "/>
      <sheetName val="Feb midyear adj_Connections"/>
      <sheetName val="Feb midyear adj_OJJ"/>
    </sheetNames>
    <sheetDataSet>
      <sheetData sheetId="0"/>
      <sheetData sheetId="1"/>
      <sheetData sheetId="2">
        <row r="6">
          <cell r="M6">
            <v>-4909.0319999999992</v>
          </cell>
          <cell r="S6">
            <v>-1824.3</v>
          </cell>
        </row>
        <row r="7">
          <cell r="M7">
            <v>3101.4270449050746</v>
          </cell>
          <cell r="S7">
            <v>1154.25</v>
          </cell>
        </row>
        <row r="8">
          <cell r="M8">
            <v>6373.8695586895901</v>
          </cell>
          <cell r="S8">
            <v>6211.35</v>
          </cell>
        </row>
        <row r="9">
          <cell r="M9">
            <v>-23859.7613176333</v>
          </cell>
          <cell r="S9">
            <v>-11502</v>
          </cell>
        </row>
        <row r="10">
          <cell r="M10">
            <v>12232.446880240954</v>
          </cell>
          <cell r="S10">
            <v>2900.2500000000005</v>
          </cell>
        </row>
        <row r="11">
          <cell r="M11">
            <v>0</v>
          </cell>
          <cell r="S11">
            <v>0</v>
          </cell>
        </row>
        <row r="12">
          <cell r="M12">
            <v>-5168.0043196274419</v>
          </cell>
          <cell r="S12">
            <v>-28370.25</v>
          </cell>
        </row>
        <row r="13">
          <cell r="M13">
            <v>0</v>
          </cell>
          <cell r="S13">
            <v>0</v>
          </cell>
        </row>
        <row r="14">
          <cell r="M14">
            <v>4616.7041542979096</v>
          </cell>
          <cell r="S14">
            <v>4122</v>
          </cell>
        </row>
        <row r="15">
          <cell r="M15">
            <v>-13284.497624253625</v>
          </cell>
          <cell r="S15">
            <v>-11240.1</v>
          </cell>
        </row>
        <row r="16">
          <cell r="M16">
            <v>3318.2613741818695</v>
          </cell>
          <cell r="S16">
            <v>1484.1000000000001</v>
          </cell>
        </row>
        <row r="17">
          <cell r="M17">
            <v>0</v>
          </cell>
          <cell r="S17">
            <v>0</v>
          </cell>
        </row>
        <row r="18">
          <cell r="M18">
            <v>-42370.490888264554</v>
          </cell>
          <cell r="S18">
            <v>-15164.100000000002</v>
          </cell>
        </row>
        <row r="19">
          <cell r="M19">
            <v>-2951.5311575333399</v>
          </cell>
          <cell r="S19">
            <v>-1508.4</v>
          </cell>
        </row>
        <row r="20">
          <cell r="M20">
            <v>-5357.1392769100767</v>
          </cell>
          <cell r="S20">
            <v>-2295</v>
          </cell>
        </row>
        <row r="21">
          <cell r="M21">
            <v>0</v>
          </cell>
          <cell r="S21">
            <v>0</v>
          </cell>
        </row>
        <row r="22">
          <cell r="M22">
            <v>12815.081790784605</v>
          </cell>
          <cell r="S22">
            <v>19674.900000000001</v>
          </cell>
        </row>
        <row r="23">
          <cell r="M23">
            <v>0</v>
          </cell>
          <cell r="S23">
            <v>0</v>
          </cell>
        </row>
        <row r="24">
          <cell r="M24">
            <v>2749.3168264032684</v>
          </cell>
          <cell r="S24">
            <v>1011.15</v>
          </cell>
        </row>
        <row r="25">
          <cell r="M25">
            <v>2710.9645208720476</v>
          </cell>
          <cell r="S25">
            <v>971.1</v>
          </cell>
        </row>
        <row r="26">
          <cell r="M26">
            <v>8409.7656201337013</v>
          </cell>
          <cell r="S26">
            <v>2789.1000000000004</v>
          </cell>
        </row>
        <row r="27">
          <cell r="M27">
            <v>0</v>
          </cell>
          <cell r="S27">
            <v>0</v>
          </cell>
        </row>
        <row r="28">
          <cell r="M28">
            <v>4966.1007333311845</v>
          </cell>
          <cell r="S28">
            <v>2762.1</v>
          </cell>
        </row>
        <row r="29">
          <cell r="M29">
            <v>-4520.8911392767222</v>
          </cell>
          <cell r="S29">
            <v>-12590.099999999999</v>
          </cell>
        </row>
        <row r="30">
          <cell r="M30">
            <v>-1944.4689813277946</v>
          </cell>
          <cell r="S30">
            <v>-2265.75</v>
          </cell>
        </row>
        <row r="31">
          <cell r="M31">
            <v>21530.76066529029</v>
          </cell>
          <cell r="S31">
            <v>28393.199999999997</v>
          </cell>
        </row>
        <row r="32">
          <cell r="M32">
            <v>14418.13922577246</v>
          </cell>
          <cell r="S32">
            <v>6644.2500000000009</v>
          </cell>
        </row>
        <row r="33">
          <cell r="M33">
            <v>1827.7854880045861</v>
          </cell>
          <cell r="S33">
            <v>2265.3000000000002</v>
          </cell>
        </row>
        <row r="34">
          <cell r="M34">
            <v>0</v>
          </cell>
          <cell r="S34">
            <v>0</v>
          </cell>
        </row>
        <row r="35">
          <cell r="M35">
            <v>0</v>
          </cell>
          <cell r="S35">
            <v>0</v>
          </cell>
        </row>
        <row r="36">
          <cell r="M36">
            <v>-6552.5138358897311</v>
          </cell>
          <cell r="S36">
            <v>-6313.9500000000007</v>
          </cell>
        </row>
        <row r="37">
          <cell r="M37">
            <v>8072.8479056944361</v>
          </cell>
          <cell r="S37">
            <v>2531.25</v>
          </cell>
        </row>
        <row r="38">
          <cell r="M38">
            <v>-17221.384282134502</v>
          </cell>
          <cell r="S38">
            <v>-8221.5</v>
          </cell>
        </row>
        <row r="39">
          <cell r="M39">
            <v>2884.0040853608243</v>
          </cell>
          <cell r="S39">
            <v>1216.3500000000001</v>
          </cell>
        </row>
        <row r="40">
          <cell r="M40">
            <v>7428.4372296301954</v>
          </cell>
          <cell r="S40">
            <v>4249.8</v>
          </cell>
        </row>
        <row r="41">
          <cell r="M41">
            <v>-7196.5091837078235</v>
          </cell>
          <cell r="S41">
            <v>-8731.8000000000011</v>
          </cell>
        </row>
        <row r="42">
          <cell r="M42">
            <v>16539.388428773</v>
          </cell>
          <cell r="S42">
            <v>8181</v>
          </cell>
        </row>
        <row r="43">
          <cell r="M43">
            <v>-1451.9152238465667</v>
          </cell>
          <cell r="S43">
            <v>-5140.8</v>
          </cell>
        </row>
        <row r="44">
          <cell r="M44">
            <v>-3973.463996311506</v>
          </cell>
          <cell r="S44">
            <v>-3580.2000000000003</v>
          </cell>
        </row>
        <row r="45">
          <cell r="M45">
            <v>-24745.672907606189</v>
          </cell>
          <cell r="S45">
            <v>-12726.000000000002</v>
          </cell>
        </row>
        <row r="46">
          <cell r="M46">
            <v>0</v>
          </cell>
          <cell r="S46">
            <v>0</v>
          </cell>
        </row>
        <row r="47">
          <cell r="M47">
            <v>0</v>
          </cell>
          <cell r="S47">
            <v>0</v>
          </cell>
        </row>
        <row r="48">
          <cell r="M48">
            <v>8825.2094983678362</v>
          </cell>
          <cell r="S48">
            <v>7187.4000000000005</v>
          </cell>
        </row>
        <row r="49">
          <cell r="M49">
            <v>2259.1815591036734</v>
          </cell>
          <cell r="S49">
            <v>2327.85</v>
          </cell>
        </row>
        <row r="50">
          <cell r="M50">
            <v>0</v>
          </cell>
          <cell r="S50">
            <v>0</v>
          </cell>
        </row>
        <row r="51">
          <cell r="M51">
            <v>-2938.5769544910254</v>
          </cell>
          <cell r="S51">
            <v>-794.7</v>
          </cell>
        </row>
        <row r="52">
          <cell r="M52">
            <v>-3917.8147624872336</v>
          </cell>
          <cell r="S52">
            <v>-8779.5</v>
          </cell>
        </row>
        <row r="53">
          <cell r="M53">
            <v>5850.9505496013035</v>
          </cell>
          <cell r="S53">
            <v>6933.6</v>
          </cell>
        </row>
        <row r="54">
          <cell r="M54">
            <v>2449.9091979309014</v>
          </cell>
          <cell r="S54">
            <v>1005.75</v>
          </cell>
        </row>
        <row r="55">
          <cell r="M55">
            <v>-7696.1181893352732</v>
          </cell>
          <cell r="S55">
            <v>-3420.8999999999996</v>
          </cell>
        </row>
        <row r="56">
          <cell r="M56">
            <v>-11801.782220396395</v>
          </cell>
          <cell r="S56">
            <v>-9094.5</v>
          </cell>
        </row>
        <row r="57">
          <cell r="M57">
            <v>10160.208706874659</v>
          </cell>
          <cell r="S57">
            <v>8679.6</v>
          </cell>
        </row>
        <row r="58">
          <cell r="M58">
            <v>7337.3230520688667</v>
          </cell>
          <cell r="S58">
            <v>2589.3000000000002</v>
          </cell>
        </row>
        <row r="59">
          <cell r="M59">
            <v>0</v>
          </cell>
          <cell r="S59">
            <v>0</v>
          </cell>
        </row>
        <row r="60">
          <cell r="M60">
            <v>-6566.0611580023033</v>
          </cell>
          <cell r="S60">
            <v>-4079.7000000000003</v>
          </cell>
        </row>
        <row r="61">
          <cell r="M61">
            <v>-5142.8882743758959</v>
          </cell>
          <cell r="S61">
            <v>-2614.5</v>
          </cell>
        </row>
        <row r="62">
          <cell r="M62">
            <v>-2379.4184350963656</v>
          </cell>
          <cell r="S62">
            <v>-1365.75</v>
          </cell>
        </row>
        <row r="63">
          <cell r="M63">
            <v>21535.218121475329</v>
          </cell>
          <cell r="S63">
            <v>6296.4000000000005</v>
          </cell>
        </row>
        <row r="64">
          <cell r="M64">
            <v>-6210.3452228340257</v>
          </cell>
          <cell r="S64">
            <v>-1479.6000000000001</v>
          </cell>
        </row>
        <row r="65">
          <cell r="M65">
            <v>-9914.2148987866185</v>
          </cell>
          <cell r="S65">
            <v>-6944.4000000000005</v>
          </cell>
        </row>
        <row r="66">
          <cell r="M66">
            <v>3381.8045293498094</v>
          </cell>
          <cell r="S66">
            <v>5440.5</v>
          </cell>
        </row>
        <row r="67">
          <cell r="M67">
            <v>-2708.4619629907634</v>
          </cell>
          <cell r="S67">
            <v>-756.45</v>
          </cell>
        </row>
        <row r="68">
          <cell r="M68">
            <v>-13509.784000925216</v>
          </cell>
          <cell r="S68">
            <v>-18848.7</v>
          </cell>
        </row>
        <row r="69">
          <cell r="M69">
            <v>0</v>
          </cell>
          <cell r="S69">
            <v>0</v>
          </cell>
        </row>
        <row r="70">
          <cell r="M70">
            <v>-9608.6961131163589</v>
          </cell>
          <cell r="S70">
            <v>-8415</v>
          </cell>
        </row>
        <row r="71">
          <cell r="M71">
            <v>-3102.7437498421309</v>
          </cell>
          <cell r="S71">
            <v>-1542.6000000000001</v>
          </cell>
        </row>
        <row r="72">
          <cell r="M72">
            <v>-5142.0204675875975</v>
          </cell>
          <cell r="S72">
            <v>-3922.2000000000003</v>
          </cell>
        </row>
        <row r="73">
          <cell r="M73">
            <v>-2995.0170228479201</v>
          </cell>
          <cell r="S73">
            <v>-1305</v>
          </cell>
        </row>
        <row r="74">
          <cell r="M74">
            <v>13947.73694849098</v>
          </cell>
          <cell r="S74">
            <v>7452</v>
          </cell>
        </row>
      </sheetData>
      <sheetData sheetId="3">
        <row r="6">
          <cell r="M6">
            <v>0</v>
          </cell>
          <cell r="S6">
            <v>0</v>
          </cell>
        </row>
        <row r="7">
          <cell r="M7">
            <v>0</v>
          </cell>
          <cell r="S7">
            <v>0</v>
          </cell>
        </row>
        <row r="8">
          <cell r="M8">
            <v>0</v>
          </cell>
          <cell r="S8">
            <v>0</v>
          </cell>
        </row>
        <row r="9">
          <cell r="M9">
            <v>0</v>
          </cell>
          <cell r="S9">
            <v>0</v>
          </cell>
        </row>
        <row r="10">
          <cell r="M10">
            <v>0</v>
          </cell>
          <cell r="S10">
            <v>0</v>
          </cell>
        </row>
        <row r="11">
          <cell r="M11">
            <v>0</v>
          </cell>
          <cell r="S11">
            <v>0</v>
          </cell>
        </row>
        <row r="12">
          <cell r="M12">
            <v>0</v>
          </cell>
          <cell r="S12">
            <v>0</v>
          </cell>
        </row>
        <row r="13">
          <cell r="M13">
            <v>0</v>
          </cell>
          <cell r="S13">
            <v>0</v>
          </cell>
        </row>
        <row r="14">
          <cell r="M14">
            <v>0</v>
          </cell>
          <cell r="S14">
            <v>0</v>
          </cell>
        </row>
        <row r="15">
          <cell r="M15">
            <v>0</v>
          </cell>
          <cell r="S15">
            <v>0</v>
          </cell>
        </row>
        <row r="16">
          <cell r="M16">
            <v>0</v>
          </cell>
          <cell r="S16">
            <v>0</v>
          </cell>
        </row>
        <row r="17">
          <cell r="M17">
            <v>0</v>
          </cell>
          <cell r="S17">
            <v>0</v>
          </cell>
        </row>
        <row r="18">
          <cell r="M18">
            <v>0</v>
          </cell>
          <cell r="S18">
            <v>0</v>
          </cell>
        </row>
        <row r="19">
          <cell r="M19">
            <v>0</v>
          </cell>
          <cell r="S19">
            <v>0</v>
          </cell>
        </row>
        <row r="20">
          <cell r="M20">
            <v>0</v>
          </cell>
          <cell r="S20">
            <v>0</v>
          </cell>
        </row>
        <row r="21">
          <cell r="M21">
            <v>0</v>
          </cell>
          <cell r="S21">
            <v>0</v>
          </cell>
        </row>
        <row r="22">
          <cell r="M22">
            <v>0</v>
          </cell>
          <cell r="S22">
            <v>0</v>
          </cell>
        </row>
        <row r="23">
          <cell r="M23">
            <v>0</v>
          </cell>
          <cell r="S23">
            <v>0</v>
          </cell>
        </row>
        <row r="24">
          <cell r="M24">
            <v>0</v>
          </cell>
          <cell r="S24">
            <v>0</v>
          </cell>
        </row>
        <row r="25">
          <cell r="M25">
            <v>0</v>
          </cell>
          <cell r="S25">
            <v>0</v>
          </cell>
        </row>
        <row r="26">
          <cell r="M26">
            <v>0</v>
          </cell>
          <cell r="S26">
            <v>0</v>
          </cell>
        </row>
        <row r="27">
          <cell r="M27">
            <v>0</v>
          </cell>
          <cell r="S27">
            <v>0</v>
          </cell>
        </row>
        <row r="28">
          <cell r="M28">
            <v>0</v>
          </cell>
          <cell r="S28">
            <v>0</v>
          </cell>
        </row>
        <row r="29">
          <cell r="M29">
            <v>0</v>
          </cell>
          <cell r="S29">
            <v>0</v>
          </cell>
        </row>
        <row r="30">
          <cell r="M30">
            <v>0</v>
          </cell>
          <cell r="S30">
            <v>0</v>
          </cell>
        </row>
        <row r="31">
          <cell r="M31">
            <v>0</v>
          </cell>
          <cell r="S31">
            <v>0</v>
          </cell>
        </row>
        <row r="32">
          <cell r="M32">
            <v>0</v>
          </cell>
          <cell r="S32">
            <v>0</v>
          </cell>
        </row>
        <row r="33">
          <cell r="M33">
            <v>0</v>
          </cell>
          <cell r="S33">
            <v>0</v>
          </cell>
        </row>
        <row r="34">
          <cell r="M34">
            <v>0</v>
          </cell>
          <cell r="S34">
            <v>0</v>
          </cell>
        </row>
        <row r="35">
          <cell r="M35">
            <v>0</v>
          </cell>
          <cell r="S35">
            <v>0</v>
          </cell>
        </row>
        <row r="36">
          <cell r="M36">
            <v>0</v>
          </cell>
          <cell r="S36">
            <v>0</v>
          </cell>
        </row>
        <row r="37">
          <cell r="M37">
            <v>0</v>
          </cell>
          <cell r="S37">
            <v>0</v>
          </cell>
        </row>
        <row r="38">
          <cell r="M38">
            <v>0</v>
          </cell>
          <cell r="S38">
            <v>0</v>
          </cell>
        </row>
        <row r="39">
          <cell r="M39">
            <v>0</v>
          </cell>
          <cell r="S39">
            <v>0</v>
          </cell>
        </row>
        <row r="40">
          <cell r="M40">
            <v>0</v>
          </cell>
          <cell r="S40">
            <v>0</v>
          </cell>
        </row>
        <row r="41">
          <cell r="M41">
            <v>0</v>
          </cell>
          <cell r="S41">
            <v>0</v>
          </cell>
        </row>
        <row r="42">
          <cell r="M42">
            <v>0</v>
          </cell>
          <cell r="S42">
            <v>0</v>
          </cell>
        </row>
        <row r="43">
          <cell r="M43">
            <v>0</v>
          </cell>
          <cell r="S43">
            <v>0</v>
          </cell>
        </row>
        <row r="44">
          <cell r="M44">
            <v>0</v>
          </cell>
          <cell r="S44">
            <v>0</v>
          </cell>
        </row>
        <row r="45">
          <cell r="M45">
            <v>0</v>
          </cell>
          <cell r="S45">
            <v>0</v>
          </cell>
        </row>
        <row r="46">
          <cell r="M46">
            <v>0</v>
          </cell>
          <cell r="S46">
            <v>0</v>
          </cell>
        </row>
        <row r="47">
          <cell r="M47">
            <v>0</v>
          </cell>
          <cell r="S47">
            <v>0</v>
          </cell>
        </row>
        <row r="48">
          <cell r="M48">
            <v>0</v>
          </cell>
          <cell r="S48">
            <v>0</v>
          </cell>
        </row>
        <row r="49">
          <cell r="M49">
            <v>0</v>
          </cell>
          <cell r="S49">
            <v>0</v>
          </cell>
        </row>
        <row r="50">
          <cell r="M50">
            <v>0</v>
          </cell>
          <cell r="S50">
            <v>0</v>
          </cell>
        </row>
        <row r="51">
          <cell r="M51">
            <v>0</v>
          </cell>
          <cell r="S51">
            <v>0</v>
          </cell>
        </row>
        <row r="52">
          <cell r="M52">
            <v>0</v>
          </cell>
          <cell r="S52">
            <v>0</v>
          </cell>
        </row>
        <row r="53">
          <cell r="M53">
            <v>0</v>
          </cell>
          <cell r="S53">
            <v>0</v>
          </cell>
        </row>
        <row r="54">
          <cell r="M54">
            <v>0</v>
          </cell>
          <cell r="S54">
            <v>0</v>
          </cell>
        </row>
        <row r="55">
          <cell r="M55">
            <v>0</v>
          </cell>
          <cell r="S55">
            <v>0</v>
          </cell>
        </row>
        <row r="56">
          <cell r="M56">
            <v>0</v>
          </cell>
          <cell r="S56">
            <v>0</v>
          </cell>
        </row>
        <row r="57">
          <cell r="M57">
            <v>0</v>
          </cell>
          <cell r="S57">
            <v>0</v>
          </cell>
        </row>
        <row r="58">
          <cell r="M58">
            <v>0</v>
          </cell>
          <cell r="S58">
            <v>0</v>
          </cell>
        </row>
        <row r="59">
          <cell r="M59">
            <v>0</v>
          </cell>
          <cell r="S59">
            <v>0</v>
          </cell>
        </row>
        <row r="60">
          <cell r="M60">
            <v>0</v>
          </cell>
          <cell r="S60">
            <v>0</v>
          </cell>
        </row>
        <row r="61">
          <cell r="M61">
            <v>0</v>
          </cell>
          <cell r="S61">
            <v>0</v>
          </cell>
        </row>
        <row r="62">
          <cell r="M62">
            <v>0</v>
          </cell>
          <cell r="S62">
            <v>0</v>
          </cell>
        </row>
        <row r="63">
          <cell r="M63">
            <v>0</v>
          </cell>
          <cell r="S63">
            <v>0</v>
          </cell>
        </row>
        <row r="64">
          <cell r="M64">
            <v>-12420.690445668051</v>
          </cell>
          <cell r="S64">
            <v>-2959.2000000000003</v>
          </cell>
        </row>
        <row r="65">
          <cell r="M65">
            <v>0</v>
          </cell>
          <cell r="S65">
            <v>0</v>
          </cell>
        </row>
        <row r="66">
          <cell r="M66">
            <v>0</v>
          </cell>
          <cell r="S66">
            <v>0</v>
          </cell>
        </row>
        <row r="67">
          <cell r="M67">
            <v>0</v>
          </cell>
          <cell r="S67">
            <v>0</v>
          </cell>
        </row>
        <row r="68">
          <cell r="M68">
            <v>0</v>
          </cell>
          <cell r="S68">
            <v>0</v>
          </cell>
        </row>
        <row r="69">
          <cell r="M69">
            <v>0</v>
          </cell>
          <cell r="S69">
            <v>0</v>
          </cell>
        </row>
        <row r="70">
          <cell r="M70">
            <v>0</v>
          </cell>
          <cell r="S70">
            <v>0</v>
          </cell>
        </row>
        <row r="71">
          <cell r="M71">
            <v>12410.974999368524</v>
          </cell>
          <cell r="S71">
            <v>6170.4000000000005</v>
          </cell>
        </row>
        <row r="72">
          <cell r="M72">
            <v>0</v>
          </cell>
          <cell r="S72">
            <v>0</v>
          </cell>
        </row>
        <row r="73">
          <cell r="M73">
            <v>0</v>
          </cell>
          <cell r="S73">
            <v>0</v>
          </cell>
        </row>
        <row r="74">
          <cell r="M74">
            <v>0</v>
          </cell>
          <cell r="S74">
            <v>0</v>
          </cell>
        </row>
      </sheetData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/>
      <sheetData sheetId="1"/>
      <sheetData sheetId="2"/>
      <sheetData sheetId="3"/>
      <sheetData sheetId="4"/>
      <sheetData sheetId="5">
        <row r="16">
          <cell r="AL16">
            <v>4395.6154516889328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0">
          <cell r="T10">
            <v>273033</v>
          </cell>
        </row>
        <row r="11">
          <cell r="T11">
            <v>271857</v>
          </cell>
        </row>
        <row r="14">
          <cell r="T14">
            <v>681301</v>
          </cell>
        </row>
        <row r="15">
          <cell r="T15">
            <v>440138</v>
          </cell>
        </row>
        <row r="16">
          <cell r="T16">
            <v>671487</v>
          </cell>
        </row>
        <row r="17">
          <cell r="T17">
            <v>1094763</v>
          </cell>
        </row>
        <row r="18">
          <cell r="T18">
            <v>199980</v>
          </cell>
        </row>
        <row r="19">
          <cell r="T19">
            <v>88059</v>
          </cell>
        </row>
      </sheetData>
      <sheetData sheetId="28"/>
      <sheetData sheetId="29"/>
      <sheetData sheetId="30"/>
      <sheetData sheetId="31">
        <row r="15">
          <cell r="C15">
            <v>40150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dyear Adjustment Summary"/>
      <sheetName val="October midyear adj"/>
      <sheetName val="Oct midyear Madison Prep"/>
      <sheetName val="Oct midyear DArbonne"/>
      <sheetName val="Oct midyear Intl_VIBE "/>
      <sheetName val="Oct midyear NOMMA"/>
      <sheetName val="Oct midyear LFNO"/>
      <sheetName val="Oct midyear Lake Charles Chtr"/>
      <sheetName val="Oct midyear JS Clark Academy"/>
      <sheetName val="Oct midyear Southwest LA Chtr"/>
      <sheetName val="Oct midyear Key Academy"/>
      <sheetName val="Oct midyear Jefferson Chamber"/>
      <sheetName val="Oct midyear Tallulah Charter"/>
      <sheetName val="Oct midyear Northshore Charter"/>
      <sheetName val="Oct midyear B.R. Charter"/>
      <sheetName val="Oct midyear Delta Charter"/>
      <sheetName val="Oct midyear LA Virtual Admy"/>
      <sheetName val="Oct midyear LA Connections"/>
      <sheetName val="Oct midyear SSD"/>
      <sheetName val="Oct midyear LSDVI"/>
      <sheetName val="February midyear adj "/>
      <sheetName val="Feb midyear Madison Prep"/>
      <sheetName val="Feb midyear DArbonne"/>
      <sheetName val="Feb midyear Intl_VIBE "/>
      <sheetName val="Feb midyear NOMMA"/>
      <sheetName val="Feb midyear LFNO "/>
      <sheetName val="Feb midyear Lake Charles Ch"/>
      <sheetName val="Feb midyear JS Clark Academy"/>
      <sheetName val="Feb midyear Southwest LA Ch "/>
      <sheetName val="Feb midyear LA Virtual Admy"/>
      <sheetName val="Feb midyear LA Connections"/>
      <sheetName val="Feb midyear Key Academy"/>
      <sheetName val="Feb midyear Jefferson Chamber"/>
      <sheetName val="Feb midyear Tallulah Charter"/>
      <sheetName val="Feb midyear Northshore Charter"/>
      <sheetName val="Feb midyear B.R. Charter"/>
      <sheetName val="Feb midyear Delta Charter"/>
      <sheetName val="Feb midyear SSD"/>
      <sheetName val="Feb midyear LSDVI"/>
      <sheetName val="2-1-13 ALL"/>
      <sheetName val="10.1.13 ALL"/>
      <sheetName val="10.1.13 RSD Operated by Site"/>
      <sheetName val="10.1.13 Type 5 Charters by Site"/>
      <sheetName val="2.1.14 ALL"/>
      <sheetName val="2.1.14 RSD Operated by Site"/>
      <sheetName val="2.1.14 Type 5 Charters by Site"/>
      <sheetName val="2012 Final Summary 20131029"/>
    </sheetNames>
    <sheetDataSet>
      <sheetData sheetId="0"/>
      <sheetData sheetId="1">
        <row r="87">
          <cell r="K87">
            <v>-943749.75668142526</v>
          </cell>
        </row>
        <row r="88">
          <cell r="K88">
            <v>1904655.0194928371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87">
          <cell r="K87">
            <v>-13354.949387001299</v>
          </cell>
        </row>
        <row r="88">
          <cell r="K88">
            <v>-19336.599182668397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Final Summary 20131029"/>
    </sheetNames>
    <sheetDataSet>
      <sheetData sheetId="0">
        <row r="6">
          <cell r="E6">
            <v>2.1717360000000001</v>
          </cell>
        </row>
        <row r="8">
          <cell r="E8">
            <v>1.3320000000000001</v>
          </cell>
        </row>
        <row r="9">
          <cell r="E9">
            <v>0.128</v>
          </cell>
        </row>
        <row r="10">
          <cell r="E10">
            <v>2.502402</v>
          </cell>
        </row>
        <row r="11">
          <cell r="E11">
            <v>2.170404</v>
          </cell>
        </row>
        <row r="12">
          <cell r="E12">
            <v>0.28415299999999999</v>
          </cell>
        </row>
        <row r="13">
          <cell r="E13">
            <v>8.5510739999999998</v>
          </cell>
        </row>
        <row r="14">
          <cell r="E14">
            <v>38.415633</v>
          </cell>
        </row>
        <row r="15">
          <cell r="E15">
            <v>14.147537</v>
          </cell>
        </row>
        <row r="19">
          <cell r="E19">
            <v>1.762033</v>
          </cell>
        </row>
        <row r="20">
          <cell r="E20">
            <v>1.3514539999999999</v>
          </cell>
        </row>
        <row r="21">
          <cell r="E21">
            <v>1.31352</v>
          </cell>
        </row>
        <row r="22">
          <cell r="E22">
            <v>40.125768000000001</v>
          </cell>
        </row>
        <row r="23">
          <cell r="E23">
            <v>4.9180000000000001E-2</v>
          </cell>
        </row>
        <row r="24">
          <cell r="E24">
            <v>1.212126</v>
          </cell>
        </row>
        <row r="25">
          <cell r="E25">
            <v>9.675198</v>
          </cell>
        </row>
        <row r="26">
          <cell r="E26">
            <v>3.4316939999999998</v>
          </cell>
        </row>
        <row r="27">
          <cell r="E27">
            <v>1.44</v>
          </cell>
        </row>
        <row r="28">
          <cell r="E28">
            <v>6.1479650000000001</v>
          </cell>
        </row>
        <row r="29">
          <cell r="E29">
            <v>1.1524049999999999</v>
          </cell>
        </row>
        <row r="30">
          <cell r="E30">
            <v>1.9159999999999999</v>
          </cell>
        </row>
        <row r="31">
          <cell r="E31">
            <v>28.971319000000001</v>
          </cell>
        </row>
        <row r="32">
          <cell r="E32">
            <v>3.8081969999999998</v>
          </cell>
        </row>
        <row r="33">
          <cell r="E33">
            <v>9.3376129999999993</v>
          </cell>
        </row>
        <row r="34">
          <cell r="E34">
            <v>10.043697999999999</v>
          </cell>
        </row>
        <row r="36">
          <cell r="E36">
            <v>1.4279999999999999</v>
          </cell>
        </row>
        <row r="37">
          <cell r="E37">
            <v>2.1861769999999998</v>
          </cell>
        </row>
        <row r="38">
          <cell r="E38">
            <v>2.5223610000000001</v>
          </cell>
        </row>
        <row r="39">
          <cell r="E39">
            <v>2.2409180000000002</v>
          </cell>
        </row>
        <row r="40">
          <cell r="E40">
            <v>4.4059460000000001</v>
          </cell>
        </row>
        <row r="41">
          <cell r="E41">
            <v>35.584736999999997</v>
          </cell>
        </row>
        <row r="42">
          <cell r="E42">
            <v>5.0968410000000004</v>
          </cell>
        </row>
        <row r="43">
          <cell r="E43">
            <v>0.55600000000000005</v>
          </cell>
        </row>
        <row r="44">
          <cell r="E44">
            <v>3.6546379999999998</v>
          </cell>
        </row>
        <row r="45">
          <cell r="E45">
            <v>7.9084779999999997</v>
          </cell>
        </row>
        <row r="47">
          <cell r="E47">
            <v>0.64480800000000005</v>
          </cell>
        </row>
        <row r="48">
          <cell r="E48">
            <v>2.8168510000000002</v>
          </cell>
        </row>
        <row r="49">
          <cell r="E49">
            <v>0.76301600000000003</v>
          </cell>
        </row>
        <row r="50">
          <cell r="E50">
            <v>2.8622070000000002</v>
          </cell>
        </row>
        <row r="53">
          <cell r="E53">
            <v>1.2565299999999999</v>
          </cell>
        </row>
        <row r="54">
          <cell r="E54">
            <v>8.1233900000000006</v>
          </cell>
        </row>
        <row r="55">
          <cell r="E55">
            <v>4.3051640000000004</v>
          </cell>
        </row>
        <row r="56">
          <cell r="E56">
            <v>4.1592229999999999</v>
          </cell>
        </row>
        <row r="57">
          <cell r="E57">
            <v>12.345884</v>
          </cell>
        </row>
        <row r="58">
          <cell r="E58">
            <v>10.223915</v>
          </cell>
        </row>
        <row r="59">
          <cell r="E59">
            <v>2.5245899999999999</v>
          </cell>
        </row>
        <row r="60">
          <cell r="E60">
            <v>15.319184</v>
          </cell>
        </row>
        <row r="62">
          <cell r="E62">
            <v>2.6048499999999999</v>
          </cell>
        </row>
        <row r="63">
          <cell r="E63">
            <v>0.57999999999999996</v>
          </cell>
        </row>
        <row r="64">
          <cell r="E64">
            <v>3.1914289999999998</v>
          </cell>
        </row>
        <row r="65">
          <cell r="E65">
            <v>3.8333550000000001</v>
          </cell>
        </row>
        <row r="66">
          <cell r="E66">
            <v>2.9831650000000001</v>
          </cell>
        </row>
        <row r="67">
          <cell r="E67">
            <v>8.1966999999999998E-2</v>
          </cell>
        </row>
        <row r="69">
          <cell r="E69">
            <v>0.53200000000000003</v>
          </cell>
        </row>
        <row r="70">
          <cell r="E70">
            <v>0.84799999999999998</v>
          </cell>
        </row>
        <row r="71">
          <cell r="E71">
            <v>0.71599999999999997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ober midyear adj"/>
      <sheetName val="Oct midyear adj_LA virtual"/>
      <sheetName val="Oct midyear adj_Connections"/>
      <sheetName val="Oct midyear adj_OJJ"/>
    </sheetNames>
    <sheetDataSet>
      <sheetData sheetId="0" refreshError="1"/>
      <sheetData sheetId="1">
        <row r="6">
          <cell r="M6">
            <v>-4909.0320000000065</v>
          </cell>
        </row>
      </sheetData>
      <sheetData sheetId="2" refreshError="1"/>
      <sheetData sheetId="3">
        <row r="6">
          <cell r="I6">
            <v>0</v>
          </cell>
          <cell r="K6">
            <v>0</v>
          </cell>
        </row>
        <row r="7">
          <cell r="I7">
            <v>0</v>
          </cell>
          <cell r="K7">
            <v>0</v>
          </cell>
        </row>
        <row r="8">
          <cell r="I8">
            <v>0</v>
          </cell>
          <cell r="K8">
            <v>0</v>
          </cell>
        </row>
        <row r="9">
          <cell r="I9">
            <v>0</v>
          </cell>
          <cell r="K9">
            <v>0</v>
          </cell>
        </row>
        <row r="10">
          <cell r="I10">
            <v>0</v>
          </cell>
          <cell r="K10">
            <v>0</v>
          </cell>
        </row>
        <row r="11">
          <cell r="I11">
            <v>0</v>
          </cell>
          <cell r="K11">
            <v>0</v>
          </cell>
        </row>
        <row r="12">
          <cell r="I12">
            <v>0</v>
          </cell>
          <cell r="K12">
            <v>0</v>
          </cell>
        </row>
        <row r="13">
          <cell r="I13">
            <v>0</v>
          </cell>
          <cell r="K13">
            <v>0</v>
          </cell>
        </row>
        <row r="16">
          <cell r="I16">
            <v>0</v>
          </cell>
          <cell r="K16">
            <v>0</v>
          </cell>
        </row>
        <row r="17">
          <cell r="I17">
            <v>0</v>
          </cell>
          <cell r="K17">
            <v>0</v>
          </cell>
        </row>
        <row r="18">
          <cell r="I18">
            <v>0</v>
          </cell>
          <cell r="K18">
            <v>0</v>
          </cell>
        </row>
        <row r="19">
          <cell r="I19">
            <v>0</v>
          </cell>
          <cell r="K19">
            <v>0</v>
          </cell>
        </row>
        <row r="20">
          <cell r="I20">
            <v>0</v>
          </cell>
          <cell r="K20">
            <v>0</v>
          </cell>
        </row>
        <row r="21">
          <cell r="I21">
            <v>0</v>
          </cell>
          <cell r="K21">
            <v>0</v>
          </cell>
        </row>
        <row r="23">
          <cell r="I23">
            <v>0</v>
          </cell>
          <cell r="K23">
            <v>0</v>
          </cell>
        </row>
        <row r="24">
          <cell r="I24">
            <v>0</v>
          </cell>
          <cell r="K24">
            <v>0</v>
          </cell>
        </row>
        <row r="26">
          <cell r="I26">
            <v>0</v>
          </cell>
          <cell r="K26">
            <v>0</v>
          </cell>
        </row>
        <row r="27">
          <cell r="I27">
            <v>0</v>
          </cell>
          <cell r="K27">
            <v>0</v>
          </cell>
        </row>
        <row r="29">
          <cell r="I29">
            <v>0</v>
          </cell>
          <cell r="K29">
            <v>0</v>
          </cell>
        </row>
        <row r="30">
          <cell r="I30">
            <v>0</v>
          </cell>
          <cell r="K30">
            <v>0</v>
          </cell>
        </row>
        <row r="32">
          <cell r="I32">
            <v>0</v>
          </cell>
          <cell r="K32">
            <v>0</v>
          </cell>
        </row>
        <row r="33">
          <cell r="I33">
            <v>0</v>
          </cell>
          <cell r="K33">
            <v>0</v>
          </cell>
        </row>
        <row r="35">
          <cell r="I35">
            <v>0</v>
          </cell>
          <cell r="K35">
            <v>0</v>
          </cell>
        </row>
        <row r="37">
          <cell r="I37">
            <v>0</v>
          </cell>
          <cell r="K37">
            <v>0</v>
          </cell>
        </row>
        <row r="38">
          <cell r="I38">
            <v>0</v>
          </cell>
          <cell r="K38">
            <v>0</v>
          </cell>
        </row>
        <row r="39">
          <cell r="I39">
            <v>0</v>
          </cell>
          <cell r="K39">
            <v>0</v>
          </cell>
        </row>
        <row r="40">
          <cell r="I40">
            <v>0</v>
          </cell>
          <cell r="K40">
            <v>0</v>
          </cell>
        </row>
        <row r="43">
          <cell r="I43">
            <v>0</v>
          </cell>
          <cell r="K43">
            <v>0</v>
          </cell>
        </row>
        <row r="44">
          <cell r="I44">
            <v>0</v>
          </cell>
          <cell r="K44">
            <v>0</v>
          </cell>
        </row>
        <row r="46">
          <cell r="I46">
            <v>0</v>
          </cell>
          <cell r="K46">
            <v>0</v>
          </cell>
        </row>
        <row r="47">
          <cell r="I47">
            <v>0</v>
          </cell>
          <cell r="K47">
            <v>0</v>
          </cell>
        </row>
        <row r="48">
          <cell r="I48">
            <v>0</v>
          </cell>
          <cell r="K48">
            <v>0</v>
          </cell>
        </row>
        <row r="49">
          <cell r="I49">
            <v>0</v>
          </cell>
          <cell r="K49">
            <v>0</v>
          </cell>
        </row>
        <row r="50">
          <cell r="I50">
            <v>0</v>
          </cell>
          <cell r="K50">
            <v>0</v>
          </cell>
        </row>
        <row r="51">
          <cell r="I51">
            <v>0</v>
          </cell>
          <cell r="K51">
            <v>0</v>
          </cell>
        </row>
        <row r="52">
          <cell r="I52">
            <v>0</v>
          </cell>
          <cell r="K52">
            <v>0</v>
          </cell>
        </row>
        <row r="53">
          <cell r="I53">
            <v>0</v>
          </cell>
          <cell r="K53">
            <v>0</v>
          </cell>
        </row>
        <row r="55">
          <cell r="I55">
            <v>0</v>
          </cell>
          <cell r="K55">
            <v>0</v>
          </cell>
        </row>
        <row r="56">
          <cell r="I56">
            <v>0</v>
          </cell>
          <cell r="K56">
            <v>0</v>
          </cell>
        </row>
        <row r="57">
          <cell r="I57">
            <v>0</v>
          </cell>
          <cell r="K57">
            <v>0</v>
          </cell>
        </row>
        <row r="58">
          <cell r="I58">
            <v>0</v>
          </cell>
          <cell r="K58">
            <v>0</v>
          </cell>
        </row>
        <row r="59">
          <cell r="I59">
            <v>0</v>
          </cell>
          <cell r="K59">
            <v>0</v>
          </cell>
        </row>
        <row r="61">
          <cell r="I61">
            <v>0</v>
          </cell>
          <cell r="K61">
            <v>0</v>
          </cell>
        </row>
        <row r="62">
          <cell r="I62">
            <v>0</v>
          </cell>
          <cell r="K62">
            <v>0</v>
          </cell>
        </row>
        <row r="63">
          <cell r="I63">
            <v>0</v>
          </cell>
          <cell r="K63">
            <v>0</v>
          </cell>
        </row>
        <row r="64">
          <cell r="I64">
            <v>0</v>
          </cell>
          <cell r="K64">
            <v>0</v>
          </cell>
        </row>
        <row r="65">
          <cell r="I65">
            <v>0</v>
          </cell>
          <cell r="K65">
            <v>0</v>
          </cell>
        </row>
        <row r="66">
          <cell r="I66">
            <v>0</v>
          </cell>
          <cell r="K66">
            <v>0</v>
          </cell>
        </row>
        <row r="67">
          <cell r="I67">
            <v>0</v>
          </cell>
          <cell r="K67">
            <v>0</v>
          </cell>
        </row>
        <row r="68">
          <cell r="I68">
            <v>0</v>
          </cell>
          <cell r="K68">
            <v>0</v>
          </cell>
        </row>
        <row r="69">
          <cell r="I69">
            <v>0</v>
          </cell>
          <cell r="K69">
            <v>0</v>
          </cell>
        </row>
        <row r="70">
          <cell r="I70">
            <v>0</v>
          </cell>
          <cell r="K70">
            <v>0</v>
          </cell>
        </row>
        <row r="72">
          <cell r="I72">
            <v>0</v>
          </cell>
          <cell r="K72">
            <v>0</v>
          </cell>
        </row>
        <row r="73">
          <cell r="I73">
            <v>0</v>
          </cell>
          <cell r="K73">
            <v>0</v>
          </cell>
        </row>
        <row r="74">
          <cell r="I74">
            <v>0</v>
          </cell>
          <cell r="K74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/>
      <sheetData sheetId="1"/>
      <sheetData sheetId="2">
        <row r="7">
          <cell r="V7">
            <v>4279450</v>
          </cell>
        </row>
        <row r="8">
          <cell r="V8">
            <v>2386652</v>
          </cell>
        </row>
        <row r="9">
          <cell r="V9">
            <v>8216073</v>
          </cell>
        </row>
        <row r="10">
          <cell r="V10">
            <v>1944086</v>
          </cell>
        </row>
        <row r="11">
          <cell r="V11">
            <v>2641906</v>
          </cell>
        </row>
        <row r="12">
          <cell r="V12">
            <v>2941187</v>
          </cell>
        </row>
        <row r="13">
          <cell r="V13">
            <v>460585</v>
          </cell>
        </row>
        <row r="14">
          <cell r="V14">
            <v>8822714</v>
          </cell>
        </row>
        <row r="15">
          <cell r="V15">
            <v>17140253</v>
          </cell>
        </row>
        <row r="16">
          <cell r="V16">
            <v>12411401</v>
          </cell>
        </row>
        <row r="17">
          <cell r="V17">
            <v>972021</v>
          </cell>
        </row>
        <row r="18">
          <cell r="V18">
            <v>282519</v>
          </cell>
        </row>
        <row r="19">
          <cell r="V19">
            <v>877302</v>
          </cell>
        </row>
        <row r="20">
          <cell r="V20">
            <v>956896</v>
          </cell>
        </row>
        <row r="21">
          <cell r="V21">
            <v>1834606</v>
          </cell>
        </row>
        <row r="22">
          <cell r="V22">
            <v>912426</v>
          </cell>
        </row>
        <row r="23">
          <cell r="V23">
            <v>13840722</v>
          </cell>
        </row>
        <row r="24">
          <cell r="V24">
            <v>635468</v>
          </cell>
        </row>
        <row r="25">
          <cell r="V25">
            <v>987703</v>
          </cell>
        </row>
        <row r="26">
          <cell r="V26">
            <v>2944625</v>
          </cell>
        </row>
        <row r="27">
          <cell r="V27">
            <v>1559439</v>
          </cell>
        </row>
        <row r="28">
          <cell r="V28">
            <v>1788249</v>
          </cell>
        </row>
        <row r="29">
          <cell r="V29">
            <v>6179218</v>
          </cell>
        </row>
        <row r="30">
          <cell r="V30">
            <v>1357191</v>
          </cell>
        </row>
        <row r="31">
          <cell r="V31">
            <v>835664</v>
          </cell>
        </row>
        <row r="32">
          <cell r="V32">
            <v>14955962</v>
          </cell>
        </row>
        <row r="33">
          <cell r="V33">
            <v>2972331</v>
          </cell>
        </row>
        <row r="34">
          <cell r="V34">
            <v>9618193</v>
          </cell>
        </row>
        <row r="35">
          <cell r="V35">
            <v>5358322</v>
          </cell>
        </row>
        <row r="36">
          <cell r="V36">
            <v>1312357</v>
          </cell>
        </row>
        <row r="37">
          <cell r="V37">
            <v>2646596</v>
          </cell>
        </row>
        <row r="38">
          <cell r="V38">
            <v>12541450</v>
          </cell>
        </row>
        <row r="39">
          <cell r="V39">
            <v>886264</v>
          </cell>
        </row>
        <row r="40">
          <cell r="V40">
            <v>2354242</v>
          </cell>
        </row>
        <row r="41">
          <cell r="V41">
            <v>2768388</v>
          </cell>
        </row>
        <row r="42">
          <cell r="V42">
            <v>3891883</v>
          </cell>
        </row>
        <row r="43">
          <cell r="V43">
            <v>10029438</v>
          </cell>
        </row>
        <row r="44">
          <cell r="V44">
            <v>950745</v>
          </cell>
        </row>
        <row r="45">
          <cell r="V45">
            <v>957591</v>
          </cell>
        </row>
        <row r="46">
          <cell r="V46">
            <v>10737864</v>
          </cell>
        </row>
        <row r="47">
          <cell r="V47">
            <v>293756</v>
          </cell>
        </row>
        <row r="48">
          <cell r="V48">
            <v>1605226</v>
          </cell>
        </row>
        <row r="49">
          <cell r="V49">
            <v>1769002</v>
          </cell>
        </row>
        <row r="50">
          <cell r="V50">
            <v>2840286</v>
          </cell>
        </row>
        <row r="51">
          <cell r="V51">
            <v>2321313</v>
          </cell>
        </row>
        <row r="52">
          <cell r="V52">
            <v>389399</v>
          </cell>
        </row>
        <row r="53">
          <cell r="V53">
            <v>1097974</v>
          </cell>
        </row>
        <row r="54">
          <cell r="V54">
            <v>2466167</v>
          </cell>
        </row>
        <row r="55">
          <cell r="V55">
            <v>6431071</v>
          </cell>
        </row>
        <row r="56">
          <cell r="V56">
            <v>3715860</v>
          </cell>
        </row>
        <row r="57">
          <cell r="V57">
            <v>3710718</v>
          </cell>
        </row>
        <row r="58">
          <cell r="V58">
            <v>17425073</v>
          </cell>
        </row>
        <row r="59">
          <cell r="V59">
            <v>8671469</v>
          </cell>
        </row>
        <row r="60">
          <cell r="V60">
            <v>389458</v>
          </cell>
        </row>
        <row r="61">
          <cell r="V61">
            <v>7321880</v>
          </cell>
        </row>
        <row r="62">
          <cell r="V62">
            <v>1077568</v>
          </cell>
        </row>
        <row r="63">
          <cell r="V63">
            <v>3951226</v>
          </cell>
        </row>
        <row r="64">
          <cell r="V64">
            <v>4631908</v>
          </cell>
        </row>
        <row r="65">
          <cell r="V65">
            <v>3029252</v>
          </cell>
        </row>
        <row r="66">
          <cell r="V66">
            <v>2974431</v>
          </cell>
        </row>
        <row r="67">
          <cell r="V67">
            <v>1123771</v>
          </cell>
        </row>
        <row r="68">
          <cell r="V68">
            <v>1080986</v>
          </cell>
        </row>
        <row r="69">
          <cell r="V69">
            <v>868966</v>
          </cell>
        </row>
        <row r="70">
          <cell r="V70">
            <v>1305092</v>
          </cell>
        </row>
        <row r="71">
          <cell r="V71">
            <v>3714205</v>
          </cell>
        </row>
        <row r="72">
          <cell r="V72">
            <v>1194880</v>
          </cell>
        </row>
        <row r="73">
          <cell r="V73">
            <v>2404787</v>
          </cell>
        </row>
        <row r="74">
          <cell r="V74">
            <v>975282</v>
          </cell>
        </row>
        <row r="75">
          <cell r="V75">
            <v>2193664</v>
          </cell>
        </row>
      </sheetData>
      <sheetData sheetId="3"/>
      <sheetData sheetId="4"/>
      <sheetData sheetId="5">
        <row r="8">
          <cell r="AL8">
            <v>4597.5882673899441</v>
          </cell>
        </row>
      </sheetData>
      <sheetData sheetId="6">
        <row r="6">
          <cell r="P6">
            <v>777.48</v>
          </cell>
        </row>
      </sheetData>
      <sheetData sheetId="7"/>
      <sheetData sheetId="8">
        <row r="8">
          <cell r="C8">
            <v>4355.8307194085073</v>
          </cell>
          <cell r="J8">
            <v>568972.77313506813</v>
          </cell>
        </row>
        <row r="9">
          <cell r="J9">
            <v>164947.61774240262</v>
          </cell>
        </row>
        <row r="19">
          <cell r="J19">
            <v>115969.57622984512</v>
          </cell>
        </row>
        <row r="20">
          <cell r="J20">
            <v>48074.660691644887</v>
          </cell>
        </row>
      </sheetData>
      <sheetData sheetId="9">
        <row r="9">
          <cell r="C9">
            <v>2381</v>
          </cell>
        </row>
      </sheetData>
      <sheetData sheetId="10">
        <row r="10">
          <cell r="C10">
            <v>165</v>
          </cell>
          <cell r="O10">
            <v>55875.450314265028</v>
          </cell>
          <cell r="X10">
            <v>80017.416666666672</v>
          </cell>
        </row>
        <row r="11">
          <cell r="O11">
            <v>69261.456673495806</v>
          </cell>
          <cell r="X11">
            <v>99131.5</v>
          </cell>
        </row>
        <row r="12">
          <cell r="O12">
            <v>71311.885111904237</v>
          </cell>
          <cell r="X12">
            <v>102088.58333333333</v>
          </cell>
        </row>
        <row r="13">
          <cell r="O13">
            <v>90855.987160035889</v>
          </cell>
          <cell r="X13">
            <v>130061.33333333333</v>
          </cell>
        </row>
        <row r="14">
          <cell r="O14">
            <v>115543.26957171097</v>
          </cell>
          <cell r="X14">
            <v>165395.33333333334</v>
          </cell>
        </row>
        <row r="15">
          <cell r="O15">
            <v>111037.57952979959</v>
          </cell>
          <cell r="X15">
            <v>159103.66666666666</v>
          </cell>
        </row>
        <row r="16">
          <cell r="O16">
            <v>76757.328387696587</v>
          </cell>
          <cell r="X16">
            <v>111599.25</v>
          </cell>
        </row>
        <row r="17">
          <cell r="O17">
            <v>164159.96613466137</v>
          </cell>
          <cell r="X17">
            <v>239024.69499999998</v>
          </cell>
        </row>
        <row r="18">
          <cell r="I18">
            <v>-35786.246636201773</v>
          </cell>
          <cell r="J18">
            <v>-5112.3209480288251</v>
          </cell>
          <cell r="R18">
            <v>-51219.577500000007</v>
          </cell>
          <cell r="S18">
            <v>-7317.0825000000004</v>
          </cell>
        </row>
        <row r="23">
          <cell r="O23">
            <v>84332.914830136244</v>
          </cell>
          <cell r="X23">
            <v>79979.25</v>
          </cell>
        </row>
        <row r="28">
          <cell r="O28">
            <v>61171.779703745218</v>
          </cell>
          <cell r="X28">
            <v>47092.208333333336</v>
          </cell>
        </row>
        <row r="29">
          <cell r="O29">
            <v>213898.2804436525</v>
          </cell>
          <cell r="X29">
            <v>163862.86833333332</v>
          </cell>
        </row>
        <row r="30">
          <cell r="I30">
            <v>-45697.943900000006</v>
          </cell>
          <cell r="J30">
            <v>-6528.2777000000006</v>
          </cell>
          <cell r="R30">
            <v>-35008.82</v>
          </cell>
          <cell r="S30">
            <v>-5001.26</v>
          </cell>
        </row>
        <row r="35">
          <cell r="O35">
            <v>165668.87001295132</v>
          </cell>
          <cell r="X35">
            <v>41924.416666666664</v>
          </cell>
        </row>
      </sheetData>
      <sheetData sheetId="11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70456.427194601813</v>
          </cell>
          <cell r="P23">
            <v>-3482.9450000000002</v>
          </cell>
          <cell r="T23">
            <v>115807.92125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311.03251047638236</v>
          </cell>
          <cell r="P67">
            <v>-16.422499999999999</v>
          </cell>
          <cell r="T67">
            <v>546.04812500000003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942.17382762126624</v>
          </cell>
          <cell r="P73">
            <v>-26.105</v>
          </cell>
          <cell r="T73">
            <v>867.99125000000004</v>
          </cell>
        </row>
        <row r="74">
          <cell r="M74">
            <v>2286.2500078954899</v>
          </cell>
          <cell r="P74">
            <v>-26.8</v>
          </cell>
          <cell r="T74">
            <v>891.1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-2225.440106484059</v>
          </cell>
        </row>
      </sheetData>
      <sheetData sheetId="12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1028.7381661658183</v>
          </cell>
          <cell r="P20">
            <v>-19.93</v>
          </cell>
          <cell r="T20">
            <v>662.67250000000001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3304.8909252989924</v>
          </cell>
          <cell r="P37">
            <v>-95.9</v>
          </cell>
          <cell r="T37">
            <v>3188.6749999999997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1535.4940350678573</v>
          </cell>
          <cell r="P43">
            <v>-24.202500000000001</v>
          </cell>
          <cell r="T43">
            <v>804.73312500000009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246441.30625891066</v>
          </cell>
          <cell r="P62">
            <v>-3689.1224999999999</v>
          </cell>
          <cell r="T62">
            <v>122663.323125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1348.7190593087228</v>
          </cell>
          <cell r="P71">
            <v>-37.5075</v>
          </cell>
          <cell r="T71">
            <v>1247.1243750000001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M76">
            <v>464.1079213915454</v>
          </cell>
        </row>
        <row r="77">
          <cell r="I77">
            <v>-7642.8047027411612</v>
          </cell>
        </row>
      </sheetData>
      <sheetData sheetId="13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15793.278700564619</v>
          </cell>
          <cell r="P32">
            <v>-609.5</v>
          </cell>
          <cell r="T32">
            <v>20265.875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136896.72346163486</v>
          </cell>
          <cell r="P42">
            <v>-4508.4800000000005</v>
          </cell>
          <cell r="T42">
            <v>149906.96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1782.1275558396137</v>
          </cell>
          <cell r="P50">
            <v>-45.6</v>
          </cell>
          <cell r="T50">
            <v>1516.2</v>
          </cell>
        </row>
        <row r="51">
          <cell r="M51">
            <v>489.84755420974881</v>
          </cell>
          <cell r="P51">
            <v>-56.43</v>
          </cell>
          <cell r="T51">
            <v>1876.2974999999999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855.15563996270532</v>
          </cell>
          <cell r="P54">
            <v>-32.265000000000001</v>
          </cell>
          <cell r="T54">
            <v>1072.81125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1414.4085676246993</v>
          </cell>
          <cell r="P58">
            <v>-36.667500000000004</v>
          </cell>
          <cell r="T58">
            <v>1219.194375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-4728.7681648071057</v>
          </cell>
        </row>
      </sheetData>
      <sheetData sheetId="14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38098.800848170948</v>
          </cell>
          <cell r="P32">
            <v>-1457.5</v>
          </cell>
          <cell r="T32">
            <v>48849.208333333336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36884.091295362763</v>
          </cell>
          <cell r="P42">
            <v>-1414.66</v>
          </cell>
          <cell r="T42">
            <v>47037.445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2010.0785608267715</v>
          </cell>
          <cell r="P44">
            <v>-217.34</v>
          </cell>
          <cell r="T44">
            <v>7226.5550000000003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891.06377791980685</v>
          </cell>
          <cell r="P50">
            <v>-22.8</v>
          </cell>
          <cell r="T50">
            <v>758.1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-2332.3840498405607</v>
          </cell>
        </row>
      </sheetData>
      <sheetData sheetId="15">
        <row r="7">
          <cell r="C7">
            <v>0</v>
          </cell>
          <cell r="M7">
            <v>0</v>
          </cell>
          <cell r="R7">
            <v>0</v>
          </cell>
          <cell r="V7">
            <v>0</v>
          </cell>
        </row>
        <row r="8">
          <cell r="M8">
            <v>0</v>
          </cell>
          <cell r="R8">
            <v>0</v>
          </cell>
          <cell r="V8">
            <v>0</v>
          </cell>
        </row>
        <row r="9">
          <cell r="M9">
            <v>0</v>
          </cell>
          <cell r="R9">
            <v>0</v>
          </cell>
          <cell r="V9">
            <v>0</v>
          </cell>
        </row>
        <row r="10">
          <cell r="M10">
            <v>0</v>
          </cell>
          <cell r="R10">
            <v>0</v>
          </cell>
          <cell r="V10">
            <v>0</v>
          </cell>
        </row>
        <row r="11">
          <cell r="M11">
            <v>0</v>
          </cell>
          <cell r="R11">
            <v>0</v>
          </cell>
          <cell r="V11">
            <v>0</v>
          </cell>
        </row>
        <row r="12">
          <cell r="M12">
            <v>0</v>
          </cell>
          <cell r="R12">
            <v>0</v>
          </cell>
          <cell r="V12">
            <v>0</v>
          </cell>
        </row>
        <row r="13">
          <cell r="M13">
            <v>0</v>
          </cell>
          <cell r="R13">
            <v>0</v>
          </cell>
          <cell r="V13">
            <v>0</v>
          </cell>
        </row>
        <row r="14">
          <cell r="M14">
            <v>0</v>
          </cell>
          <cell r="R14">
            <v>0</v>
          </cell>
          <cell r="V14">
            <v>0</v>
          </cell>
        </row>
        <row r="15">
          <cell r="M15">
            <v>0</v>
          </cell>
          <cell r="R15">
            <v>0</v>
          </cell>
          <cell r="V15">
            <v>0</v>
          </cell>
        </row>
        <row r="16">
          <cell r="M16">
            <v>0</v>
          </cell>
          <cell r="R16">
            <v>0</v>
          </cell>
          <cell r="V16">
            <v>0</v>
          </cell>
        </row>
        <row r="17">
          <cell r="M17">
            <v>0</v>
          </cell>
          <cell r="R17">
            <v>0</v>
          </cell>
          <cell r="V17">
            <v>0</v>
          </cell>
        </row>
        <row r="18">
          <cell r="M18">
            <v>0</v>
          </cell>
          <cell r="R18">
            <v>0</v>
          </cell>
          <cell r="V18">
            <v>0</v>
          </cell>
        </row>
        <row r="19">
          <cell r="M19">
            <v>0</v>
          </cell>
          <cell r="R19">
            <v>0</v>
          </cell>
          <cell r="V19">
            <v>0</v>
          </cell>
        </row>
        <row r="20">
          <cell r="M20">
            <v>0</v>
          </cell>
          <cell r="R20">
            <v>0</v>
          </cell>
          <cell r="V20">
            <v>0</v>
          </cell>
        </row>
        <row r="21">
          <cell r="M21">
            <v>0</v>
          </cell>
          <cell r="R21">
            <v>0</v>
          </cell>
          <cell r="V21">
            <v>0</v>
          </cell>
        </row>
        <row r="22">
          <cell r="M22">
            <v>0</v>
          </cell>
          <cell r="R22">
            <v>0</v>
          </cell>
          <cell r="V22">
            <v>0</v>
          </cell>
        </row>
        <row r="23">
          <cell r="M23">
            <v>0</v>
          </cell>
          <cell r="R23">
            <v>0</v>
          </cell>
          <cell r="V23">
            <v>0</v>
          </cell>
        </row>
        <row r="24">
          <cell r="M24">
            <v>0</v>
          </cell>
          <cell r="R24">
            <v>0</v>
          </cell>
          <cell r="V24">
            <v>0</v>
          </cell>
        </row>
        <row r="25">
          <cell r="M25">
            <v>0</v>
          </cell>
          <cell r="R25">
            <v>0</v>
          </cell>
          <cell r="V25">
            <v>0</v>
          </cell>
        </row>
        <row r="26">
          <cell r="M26">
            <v>0</v>
          </cell>
          <cell r="R26">
            <v>0</v>
          </cell>
          <cell r="V26">
            <v>0</v>
          </cell>
        </row>
        <row r="27">
          <cell r="M27">
            <v>0</v>
          </cell>
          <cell r="R27">
            <v>0</v>
          </cell>
          <cell r="V27">
            <v>0</v>
          </cell>
        </row>
        <row r="28">
          <cell r="M28">
            <v>0</v>
          </cell>
          <cell r="R28">
            <v>0</v>
          </cell>
          <cell r="V28">
            <v>0</v>
          </cell>
        </row>
        <row r="29">
          <cell r="M29">
            <v>0</v>
          </cell>
          <cell r="R29">
            <v>0</v>
          </cell>
          <cell r="V29">
            <v>0</v>
          </cell>
        </row>
        <row r="30">
          <cell r="M30">
            <v>0</v>
          </cell>
          <cell r="R30">
            <v>0</v>
          </cell>
          <cell r="V30">
            <v>0</v>
          </cell>
        </row>
        <row r="31">
          <cell r="M31">
            <v>0</v>
          </cell>
          <cell r="R31">
            <v>0</v>
          </cell>
          <cell r="V31">
            <v>0</v>
          </cell>
        </row>
        <row r="32">
          <cell r="M32">
            <v>16823.275137557965</v>
          </cell>
          <cell r="R32">
            <v>-649.25</v>
          </cell>
          <cell r="V32">
            <v>21587.5625</v>
          </cell>
        </row>
        <row r="33">
          <cell r="M33">
            <v>0</v>
          </cell>
          <cell r="R33">
            <v>0</v>
          </cell>
          <cell r="V33">
            <v>0</v>
          </cell>
        </row>
        <row r="34">
          <cell r="M34">
            <v>0</v>
          </cell>
          <cell r="R34">
            <v>0</v>
          </cell>
          <cell r="V34">
            <v>0</v>
          </cell>
        </row>
        <row r="35">
          <cell r="M35">
            <v>0</v>
          </cell>
          <cell r="R35">
            <v>0</v>
          </cell>
          <cell r="V35">
            <v>0</v>
          </cell>
        </row>
        <row r="36">
          <cell r="M36">
            <v>0</v>
          </cell>
          <cell r="R36">
            <v>0</v>
          </cell>
          <cell r="V36">
            <v>0</v>
          </cell>
        </row>
        <row r="37">
          <cell r="M37">
            <v>0</v>
          </cell>
          <cell r="R37">
            <v>0</v>
          </cell>
          <cell r="V37">
            <v>0</v>
          </cell>
        </row>
        <row r="38">
          <cell r="M38">
            <v>0</v>
          </cell>
          <cell r="R38">
            <v>0</v>
          </cell>
          <cell r="V38">
            <v>0</v>
          </cell>
        </row>
        <row r="39">
          <cell r="M39">
            <v>0</v>
          </cell>
          <cell r="R39">
            <v>0</v>
          </cell>
          <cell r="V39">
            <v>0</v>
          </cell>
        </row>
        <row r="40">
          <cell r="M40">
            <v>0</v>
          </cell>
          <cell r="R40">
            <v>0</v>
          </cell>
          <cell r="V40">
            <v>0</v>
          </cell>
        </row>
        <row r="41">
          <cell r="M41">
            <v>0</v>
          </cell>
          <cell r="R41">
            <v>0</v>
          </cell>
          <cell r="V41">
            <v>0</v>
          </cell>
        </row>
        <row r="42">
          <cell r="M42">
            <v>51779.589703105419</v>
          </cell>
          <cell r="R42">
            <v>-1985.9650000000001</v>
          </cell>
          <cell r="V42">
            <v>66033.336250000008</v>
          </cell>
        </row>
        <row r="43">
          <cell r="M43">
            <v>0</v>
          </cell>
          <cell r="R43">
            <v>0</v>
          </cell>
          <cell r="V43">
            <v>0</v>
          </cell>
        </row>
        <row r="44">
          <cell r="M44">
            <v>753.77946031003933</v>
          </cell>
          <cell r="R44">
            <v>-81.502499999999998</v>
          </cell>
          <cell r="V44">
            <v>2709.9581250000001</v>
          </cell>
        </row>
        <row r="45">
          <cell r="M45">
            <v>0</v>
          </cell>
          <cell r="R45">
            <v>0</v>
          </cell>
          <cell r="V45">
            <v>0</v>
          </cell>
        </row>
        <row r="46">
          <cell r="M46">
            <v>0</v>
          </cell>
          <cell r="R46">
            <v>0</v>
          </cell>
          <cell r="V46">
            <v>0</v>
          </cell>
        </row>
        <row r="47">
          <cell r="M47">
            <v>0</v>
          </cell>
          <cell r="R47">
            <v>0</v>
          </cell>
          <cell r="V47">
            <v>0</v>
          </cell>
        </row>
        <row r="48">
          <cell r="M48">
            <v>0</v>
          </cell>
          <cell r="R48">
            <v>0</v>
          </cell>
          <cell r="V48">
            <v>0</v>
          </cell>
        </row>
        <row r="49">
          <cell r="M49">
            <v>0</v>
          </cell>
          <cell r="R49">
            <v>0</v>
          </cell>
          <cell r="V49">
            <v>0</v>
          </cell>
        </row>
        <row r="50">
          <cell r="M50">
            <v>891.06377791980685</v>
          </cell>
          <cell r="R50">
            <v>-22.8</v>
          </cell>
          <cell r="V50">
            <v>758.1</v>
          </cell>
        </row>
        <row r="51">
          <cell r="M51">
            <v>244.9237771048744</v>
          </cell>
          <cell r="R51">
            <v>-28.215</v>
          </cell>
          <cell r="V51">
            <v>938.14874999999995</v>
          </cell>
        </row>
        <row r="52">
          <cell r="M52">
            <v>0</v>
          </cell>
          <cell r="R52">
            <v>0</v>
          </cell>
          <cell r="V52">
            <v>0</v>
          </cell>
        </row>
        <row r="53">
          <cell r="M53">
            <v>0</v>
          </cell>
          <cell r="R53">
            <v>0</v>
          </cell>
          <cell r="V53">
            <v>0</v>
          </cell>
        </row>
        <row r="54">
          <cell r="M54">
            <v>0</v>
          </cell>
          <cell r="R54">
            <v>0</v>
          </cell>
          <cell r="V54">
            <v>0</v>
          </cell>
        </row>
        <row r="55">
          <cell r="M55">
            <v>0</v>
          </cell>
          <cell r="R55">
            <v>0</v>
          </cell>
          <cell r="V55">
            <v>0</v>
          </cell>
        </row>
        <row r="56">
          <cell r="M56">
            <v>0</v>
          </cell>
          <cell r="R56">
            <v>0</v>
          </cell>
          <cell r="V56">
            <v>0</v>
          </cell>
        </row>
        <row r="57">
          <cell r="M57">
            <v>0</v>
          </cell>
          <cell r="R57">
            <v>0</v>
          </cell>
          <cell r="V57">
            <v>0</v>
          </cell>
        </row>
        <row r="58">
          <cell r="M58">
            <v>471.46952254156639</v>
          </cell>
          <cell r="R58">
            <v>-12.2225</v>
          </cell>
          <cell r="V58">
            <v>406.39812499999999</v>
          </cell>
        </row>
        <row r="59">
          <cell r="M59">
            <v>0</v>
          </cell>
          <cell r="R59">
            <v>0</v>
          </cell>
          <cell r="V59">
            <v>0</v>
          </cell>
        </row>
        <row r="60">
          <cell r="M60">
            <v>0</v>
          </cell>
          <cell r="R60">
            <v>0</v>
          </cell>
          <cell r="V60">
            <v>0</v>
          </cell>
        </row>
        <row r="61">
          <cell r="M61">
            <v>0</v>
          </cell>
          <cell r="R61">
            <v>0</v>
          </cell>
          <cell r="V61">
            <v>0</v>
          </cell>
        </row>
        <row r="62">
          <cell r="M62">
            <v>0</v>
          </cell>
          <cell r="R62">
            <v>0</v>
          </cell>
          <cell r="V62">
            <v>0</v>
          </cell>
        </row>
        <row r="63">
          <cell r="M63">
            <v>0</v>
          </cell>
          <cell r="R63">
            <v>0</v>
          </cell>
          <cell r="V63">
            <v>0</v>
          </cell>
        </row>
        <row r="64">
          <cell r="M64">
            <v>0</v>
          </cell>
          <cell r="R64">
            <v>0</v>
          </cell>
          <cell r="V64">
            <v>0</v>
          </cell>
        </row>
        <row r="65">
          <cell r="M65">
            <v>0</v>
          </cell>
          <cell r="R65">
            <v>0</v>
          </cell>
          <cell r="V65">
            <v>0</v>
          </cell>
        </row>
        <row r="66">
          <cell r="M66">
            <v>0</v>
          </cell>
          <cell r="R66">
            <v>0</v>
          </cell>
          <cell r="V66">
            <v>0</v>
          </cell>
        </row>
        <row r="67">
          <cell r="M67">
            <v>0</v>
          </cell>
          <cell r="R67">
            <v>0</v>
          </cell>
          <cell r="V67">
            <v>0</v>
          </cell>
        </row>
        <row r="68">
          <cell r="M68">
            <v>0</v>
          </cell>
          <cell r="R68">
            <v>0</v>
          </cell>
          <cell r="V68">
            <v>0</v>
          </cell>
        </row>
        <row r="69">
          <cell r="M69">
            <v>0</v>
          </cell>
          <cell r="R69">
            <v>0</v>
          </cell>
          <cell r="V69">
            <v>0</v>
          </cell>
        </row>
        <row r="70">
          <cell r="M70">
            <v>0</v>
          </cell>
          <cell r="R70">
            <v>0</v>
          </cell>
          <cell r="V70">
            <v>0</v>
          </cell>
        </row>
        <row r="71">
          <cell r="M71">
            <v>0</v>
          </cell>
          <cell r="R71">
            <v>0</v>
          </cell>
          <cell r="V71">
            <v>0</v>
          </cell>
        </row>
        <row r="72">
          <cell r="M72">
            <v>0</v>
          </cell>
          <cell r="R72">
            <v>0</v>
          </cell>
          <cell r="V72">
            <v>0</v>
          </cell>
        </row>
        <row r="73">
          <cell r="M73">
            <v>0</v>
          </cell>
          <cell r="R73">
            <v>0</v>
          </cell>
          <cell r="V73">
            <v>0</v>
          </cell>
        </row>
        <row r="74">
          <cell r="M74">
            <v>0</v>
          </cell>
          <cell r="R74">
            <v>0</v>
          </cell>
          <cell r="V74">
            <v>0</v>
          </cell>
        </row>
        <row r="75">
          <cell r="M75">
            <v>0</v>
          </cell>
          <cell r="R75">
            <v>0</v>
          </cell>
          <cell r="V75">
            <v>0</v>
          </cell>
        </row>
        <row r="76">
          <cell r="I76">
            <v>-2134.2586880763815</v>
          </cell>
        </row>
      </sheetData>
      <sheetData sheetId="16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305113.36624100793</v>
          </cell>
          <cell r="P16">
            <v>-8471.1</v>
          </cell>
          <cell r="T16">
            <v>281664.07500000001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-9176.3418418348247</v>
          </cell>
        </row>
      </sheetData>
      <sheetData sheetId="17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320.66046001989133</v>
          </cell>
          <cell r="P34">
            <v>-13.4</v>
          </cell>
          <cell r="T34">
            <v>445.55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75566.36527467829</v>
          </cell>
          <cell r="P55">
            <v>-954.82249999999999</v>
          </cell>
          <cell r="T55">
            <v>31943.264791666665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-2268.7987384210051</v>
          </cell>
        </row>
      </sheetData>
      <sheetData sheetId="18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211356.67621728094</v>
          </cell>
          <cell r="P16">
            <v>-5868.06</v>
          </cell>
          <cell r="T16">
            <v>195112.995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4238.5987799059012</v>
          </cell>
          <cell r="P33">
            <v>-65.02</v>
          </cell>
          <cell r="T33">
            <v>2161.915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-6484.0684209680257</v>
          </cell>
        </row>
      </sheetData>
      <sheetData sheetId="19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8784.4934115421038</v>
          </cell>
          <cell r="P9">
            <v>-298.70499999999998</v>
          </cell>
          <cell r="T9">
            <v>9931.9412499999999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37622.364035952429</v>
          </cell>
          <cell r="P23">
            <v>-1859.825</v>
          </cell>
          <cell r="T23">
            <v>61839.181250000001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3038.0287755659078</v>
          </cell>
          <cell r="P38">
            <v>-31.635000000000002</v>
          </cell>
          <cell r="T38">
            <v>1051.86375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-1487.0642473100884</v>
          </cell>
        </row>
      </sheetData>
      <sheetData sheetId="20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30899.893109800341</v>
          </cell>
          <cell r="P32">
            <v>-1192.5</v>
          </cell>
          <cell r="T32">
            <v>39650.625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1773.2736199693636</v>
          </cell>
          <cell r="P42">
            <v>-68.012500000000003</v>
          </cell>
          <cell r="T42">
            <v>2261.4156250000001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1336.5956668797105</v>
          </cell>
          <cell r="P50">
            <v>-34.200000000000003</v>
          </cell>
          <cell r="T50">
            <v>1137.1499999999999</v>
          </cell>
        </row>
        <row r="51">
          <cell r="M51">
            <v>489.84755420974881</v>
          </cell>
          <cell r="P51">
            <v>-56.43</v>
          </cell>
          <cell r="T51">
            <v>1876.2974999999999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-1037.5822541611781</v>
          </cell>
        </row>
      </sheetData>
      <sheetData sheetId="21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115417.91754083968</v>
          </cell>
          <cell r="P39">
            <v>-1536.42</v>
          </cell>
          <cell r="T39">
            <v>51085.964999999997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-3471.2155651380353</v>
          </cell>
        </row>
      </sheetData>
      <sheetData sheetId="22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0</v>
          </cell>
          <cell r="P19">
            <v>0</v>
          </cell>
          <cell r="T19">
            <v>0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0</v>
          </cell>
          <cell r="P21">
            <v>0</v>
          </cell>
          <cell r="T21">
            <v>0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66569.562564988082</v>
          </cell>
          <cell r="P65">
            <v>-434.125</v>
          </cell>
          <cell r="T65">
            <v>14434.65625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67879.886990839965</v>
          </cell>
          <cell r="P72">
            <v>-981.8125</v>
          </cell>
          <cell r="T72">
            <v>32645.265625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-4043.5924678444521</v>
          </cell>
        </row>
      </sheetData>
      <sheetData sheetId="23">
        <row r="7">
          <cell r="C7">
            <v>0</v>
          </cell>
          <cell r="P7">
            <v>0</v>
          </cell>
          <cell r="T7">
            <v>0</v>
          </cell>
        </row>
        <row r="8">
          <cell r="P8">
            <v>0</v>
          </cell>
          <cell r="T8">
            <v>0</v>
          </cell>
        </row>
        <row r="9">
          <cell r="P9">
            <v>0</v>
          </cell>
          <cell r="T9">
            <v>0</v>
          </cell>
        </row>
        <row r="10">
          <cell r="P10">
            <v>0</v>
          </cell>
          <cell r="T10">
            <v>0</v>
          </cell>
        </row>
        <row r="11">
          <cell r="P11">
            <v>0</v>
          </cell>
          <cell r="T11">
            <v>0</v>
          </cell>
        </row>
        <row r="12">
          <cell r="P12">
            <v>0</v>
          </cell>
          <cell r="T12">
            <v>0</v>
          </cell>
        </row>
        <row r="13">
          <cell r="P13">
            <v>0</v>
          </cell>
          <cell r="T13">
            <v>0</v>
          </cell>
        </row>
        <row r="14">
          <cell r="P14">
            <v>0</v>
          </cell>
          <cell r="T14">
            <v>0</v>
          </cell>
        </row>
        <row r="15">
          <cell r="P15">
            <v>0</v>
          </cell>
          <cell r="T15">
            <v>0</v>
          </cell>
        </row>
        <row r="16">
          <cell r="P16">
            <v>0</v>
          </cell>
          <cell r="T16">
            <v>0</v>
          </cell>
        </row>
        <row r="17">
          <cell r="P17">
            <v>0</v>
          </cell>
          <cell r="T17">
            <v>0</v>
          </cell>
        </row>
        <row r="18">
          <cell r="P18">
            <v>0</v>
          </cell>
          <cell r="T18">
            <v>0</v>
          </cell>
        </row>
        <row r="19">
          <cell r="P19">
            <v>0</v>
          </cell>
          <cell r="T19">
            <v>0</v>
          </cell>
        </row>
        <row r="20">
          <cell r="P20">
            <v>0</v>
          </cell>
          <cell r="T20">
            <v>0</v>
          </cell>
        </row>
        <row r="21">
          <cell r="P21">
            <v>0</v>
          </cell>
          <cell r="T21">
            <v>0</v>
          </cell>
        </row>
        <row r="22">
          <cell r="P22">
            <v>0</v>
          </cell>
          <cell r="T22">
            <v>0</v>
          </cell>
        </row>
        <row r="23">
          <cell r="P23">
            <v>-10279.76</v>
          </cell>
          <cell r="T23">
            <v>341802.02</v>
          </cell>
        </row>
        <row r="24">
          <cell r="P24">
            <v>0</v>
          </cell>
          <cell r="T24">
            <v>0</v>
          </cell>
        </row>
        <row r="25">
          <cell r="P25">
            <v>0</v>
          </cell>
          <cell r="T25">
            <v>0</v>
          </cell>
        </row>
        <row r="26">
          <cell r="P26">
            <v>0</v>
          </cell>
          <cell r="T26">
            <v>0</v>
          </cell>
        </row>
        <row r="27">
          <cell r="P27">
            <v>0</v>
          </cell>
          <cell r="T27">
            <v>0</v>
          </cell>
        </row>
        <row r="28">
          <cell r="P28">
            <v>0</v>
          </cell>
          <cell r="T28">
            <v>0</v>
          </cell>
        </row>
        <row r="29">
          <cell r="P29">
            <v>0</v>
          </cell>
          <cell r="T29">
            <v>0</v>
          </cell>
        </row>
        <row r="30">
          <cell r="P30">
            <v>0</v>
          </cell>
          <cell r="T30">
            <v>0</v>
          </cell>
        </row>
        <row r="31">
          <cell r="P31">
            <v>0</v>
          </cell>
          <cell r="T31">
            <v>0</v>
          </cell>
        </row>
        <row r="32">
          <cell r="P32">
            <v>0</v>
          </cell>
          <cell r="T32">
            <v>0</v>
          </cell>
        </row>
        <row r="33">
          <cell r="P33">
            <v>0</v>
          </cell>
          <cell r="T33">
            <v>0</v>
          </cell>
        </row>
        <row r="34">
          <cell r="P34">
            <v>0</v>
          </cell>
          <cell r="T34">
            <v>0</v>
          </cell>
        </row>
        <row r="35">
          <cell r="P35">
            <v>0</v>
          </cell>
          <cell r="T35">
            <v>0</v>
          </cell>
        </row>
        <row r="36">
          <cell r="P36">
            <v>0</v>
          </cell>
          <cell r="T36">
            <v>0</v>
          </cell>
        </row>
        <row r="37">
          <cell r="P37">
            <v>0</v>
          </cell>
          <cell r="T37">
            <v>0</v>
          </cell>
        </row>
        <row r="38">
          <cell r="P38">
            <v>0</v>
          </cell>
          <cell r="T38">
            <v>0</v>
          </cell>
        </row>
        <row r="39">
          <cell r="P39">
            <v>0</v>
          </cell>
          <cell r="T39">
            <v>0</v>
          </cell>
        </row>
        <row r="40">
          <cell r="P40">
            <v>0</v>
          </cell>
          <cell r="T40">
            <v>0</v>
          </cell>
        </row>
        <row r="41">
          <cell r="P41">
            <v>0</v>
          </cell>
          <cell r="T41">
            <v>0</v>
          </cell>
        </row>
        <row r="42">
          <cell r="P42">
            <v>0</v>
          </cell>
          <cell r="T42">
            <v>0</v>
          </cell>
        </row>
        <row r="43">
          <cell r="P43">
            <v>0</v>
          </cell>
          <cell r="T43">
            <v>0</v>
          </cell>
        </row>
        <row r="44">
          <cell r="P44">
            <v>0</v>
          </cell>
          <cell r="T44">
            <v>0</v>
          </cell>
        </row>
        <row r="45">
          <cell r="P45">
            <v>0</v>
          </cell>
          <cell r="T45">
            <v>0</v>
          </cell>
        </row>
        <row r="46">
          <cell r="P46">
            <v>0</v>
          </cell>
          <cell r="T46">
            <v>0</v>
          </cell>
        </row>
        <row r="47">
          <cell r="P47">
            <v>0</v>
          </cell>
          <cell r="T47">
            <v>0</v>
          </cell>
        </row>
        <row r="48">
          <cell r="P48">
            <v>0</v>
          </cell>
          <cell r="T48">
            <v>0</v>
          </cell>
        </row>
        <row r="49">
          <cell r="P49">
            <v>0</v>
          </cell>
          <cell r="T49">
            <v>0</v>
          </cell>
        </row>
        <row r="50">
          <cell r="P50">
            <v>0</v>
          </cell>
          <cell r="T50">
            <v>0</v>
          </cell>
        </row>
        <row r="51">
          <cell r="P51">
            <v>0</v>
          </cell>
          <cell r="T51">
            <v>0</v>
          </cell>
        </row>
        <row r="52">
          <cell r="P52">
            <v>0</v>
          </cell>
          <cell r="T52">
            <v>0</v>
          </cell>
        </row>
        <row r="53">
          <cell r="P53">
            <v>0</v>
          </cell>
          <cell r="T53">
            <v>0</v>
          </cell>
        </row>
        <row r="54">
          <cell r="P54">
            <v>0</v>
          </cell>
          <cell r="T54">
            <v>0</v>
          </cell>
        </row>
        <row r="55">
          <cell r="P55">
            <v>0</v>
          </cell>
          <cell r="T55">
            <v>0</v>
          </cell>
        </row>
        <row r="56">
          <cell r="P56">
            <v>0</v>
          </cell>
          <cell r="T56">
            <v>0</v>
          </cell>
        </row>
        <row r="57">
          <cell r="P57">
            <v>0</v>
          </cell>
          <cell r="T57">
            <v>0</v>
          </cell>
        </row>
        <row r="58">
          <cell r="P58">
            <v>0</v>
          </cell>
          <cell r="T58">
            <v>0</v>
          </cell>
        </row>
        <row r="59">
          <cell r="P59">
            <v>0</v>
          </cell>
          <cell r="T59">
            <v>0</v>
          </cell>
        </row>
        <row r="60">
          <cell r="P60">
            <v>0</v>
          </cell>
          <cell r="T60">
            <v>0</v>
          </cell>
        </row>
        <row r="61">
          <cell r="P61">
            <v>0</v>
          </cell>
          <cell r="T61">
            <v>0</v>
          </cell>
        </row>
        <row r="62">
          <cell r="P62">
            <v>0</v>
          </cell>
          <cell r="T62">
            <v>0</v>
          </cell>
        </row>
        <row r="63">
          <cell r="P63">
            <v>0</v>
          </cell>
          <cell r="T63">
            <v>0</v>
          </cell>
        </row>
        <row r="64">
          <cell r="P64">
            <v>0</v>
          </cell>
          <cell r="T64">
            <v>0</v>
          </cell>
        </row>
        <row r="65">
          <cell r="P65">
            <v>0</v>
          </cell>
          <cell r="T65">
            <v>0</v>
          </cell>
        </row>
        <row r="66">
          <cell r="P66">
            <v>0</v>
          </cell>
          <cell r="T66">
            <v>0</v>
          </cell>
        </row>
        <row r="67">
          <cell r="P67">
            <v>0</v>
          </cell>
          <cell r="T67">
            <v>0</v>
          </cell>
        </row>
        <row r="68">
          <cell r="P68">
            <v>0</v>
          </cell>
          <cell r="T68">
            <v>0</v>
          </cell>
        </row>
        <row r="69">
          <cell r="P69">
            <v>0</v>
          </cell>
          <cell r="T69">
            <v>0</v>
          </cell>
        </row>
        <row r="70">
          <cell r="P70">
            <v>0</v>
          </cell>
          <cell r="T70">
            <v>0</v>
          </cell>
        </row>
        <row r="71">
          <cell r="P71">
            <v>0</v>
          </cell>
          <cell r="T71">
            <v>0</v>
          </cell>
        </row>
        <row r="72">
          <cell r="P72">
            <v>0</v>
          </cell>
          <cell r="T72">
            <v>0</v>
          </cell>
        </row>
        <row r="73">
          <cell r="P73">
            <v>0</v>
          </cell>
          <cell r="T73">
            <v>0</v>
          </cell>
        </row>
        <row r="74">
          <cell r="P74">
            <v>-40.200000000000003</v>
          </cell>
          <cell r="T74">
            <v>1336.6499999999999</v>
          </cell>
        </row>
        <row r="75">
          <cell r="P75">
            <v>0</v>
          </cell>
          <cell r="T75">
            <v>0</v>
          </cell>
        </row>
        <row r="76">
          <cell r="I76">
            <v>-6357.2463664147181</v>
          </cell>
        </row>
      </sheetData>
      <sheetData sheetId="24">
        <row r="7">
          <cell r="C7">
            <v>0</v>
          </cell>
          <cell r="M7">
            <v>0</v>
          </cell>
          <cell r="P7">
            <v>0</v>
          </cell>
          <cell r="T7">
            <v>0</v>
          </cell>
        </row>
        <row r="8">
          <cell r="M8">
            <v>0</v>
          </cell>
          <cell r="P8">
            <v>0</v>
          </cell>
          <cell r="T8">
            <v>0</v>
          </cell>
        </row>
        <row r="9">
          <cell r="M9">
            <v>0</v>
          </cell>
          <cell r="P9">
            <v>0</v>
          </cell>
          <cell r="T9">
            <v>0</v>
          </cell>
        </row>
        <row r="10">
          <cell r="M10">
            <v>0</v>
          </cell>
          <cell r="P10">
            <v>0</v>
          </cell>
          <cell r="T10">
            <v>0</v>
          </cell>
        </row>
        <row r="11">
          <cell r="M11">
            <v>0</v>
          </cell>
          <cell r="P11">
            <v>0</v>
          </cell>
          <cell r="T11">
            <v>0</v>
          </cell>
        </row>
        <row r="12">
          <cell r="M12">
            <v>0</v>
          </cell>
          <cell r="P12">
            <v>0</v>
          </cell>
          <cell r="T12">
            <v>0</v>
          </cell>
        </row>
        <row r="13">
          <cell r="M13">
            <v>0</v>
          </cell>
          <cell r="P13">
            <v>0</v>
          </cell>
          <cell r="T13">
            <v>0</v>
          </cell>
        </row>
        <row r="14">
          <cell r="M14">
            <v>0</v>
          </cell>
          <cell r="P14">
            <v>0</v>
          </cell>
          <cell r="T14">
            <v>0</v>
          </cell>
        </row>
        <row r="15">
          <cell r="M15">
            <v>0</v>
          </cell>
          <cell r="P15">
            <v>0</v>
          </cell>
          <cell r="T15">
            <v>0</v>
          </cell>
        </row>
        <row r="16">
          <cell r="M16">
            <v>0</v>
          </cell>
          <cell r="P16">
            <v>0</v>
          </cell>
          <cell r="T16">
            <v>0</v>
          </cell>
        </row>
        <row r="17">
          <cell r="M17">
            <v>0</v>
          </cell>
          <cell r="P17">
            <v>0</v>
          </cell>
          <cell r="T17">
            <v>0</v>
          </cell>
        </row>
        <row r="18">
          <cell r="M18">
            <v>0</v>
          </cell>
          <cell r="P18">
            <v>0</v>
          </cell>
          <cell r="T18">
            <v>0</v>
          </cell>
        </row>
        <row r="19">
          <cell r="M19">
            <v>25033.327841823932</v>
          </cell>
          <cell r="P19">
            <v>-271.4375</v>
          </cell>
          <cell r="T19">
            <v>9025.296875</v>
          </cell>
        </row>
        <row r="20">
          <cell r="M20">
            <v>0</v>
          </cell>
          <cell r="P20">
            <v>0</v>
          </cell>
          <cell r="T20">
            <v>0</v>
          </cell>
        </row>
        <row r="21">
          <cell r="M21">
            <v>145087.13886651694</v>
          </cell>
          <cell r="P21">
            <v>-1824.6025</v>
          </cell>
          <cell r="T21">
            <v>60668.033124999994</v>
          </cell>
        </row>
        <row r="22">
          <cell r="M22">
            <v>0</v>
          </cell>
          <cell r="P22">
            <v>0</v>
          </cell>
          <cell r="T22">
            <v>0</v>
          </cell>
        </row>
        <row r="23">
          <cell r="M23">
            <v>0</v>
          </cell>
          <cell r="P23">
            <v>0</v>
          </cell>
          <cell r="T23">
            <v>0</v>
          </cell>
        </row>
        <row r="24">
          <cell r="M24">
            <v>0</v>
          </cell>
          <cell r="P24">
            <v>0</v>
          </cell>
          <cell r="T24">
            <v>0</v>
          </cell>
        </row>
        <row r="25">
          <cell r="M25">
            <v>0</v>
          </cell>
          <cell r="P25">
            <v>0</v>
          </cell>
          <cell r="T25">
            <v>0</v>
          </cell>
        </row>
        <row r="26">
          <cell r="M26">
            <v>0</v>
          </cell>
          <cell r="P26">
            <v>0</v>
          </cell>
          <cell r="T26">
            <v>0</v>
          </cell>
        </row>
        <row r="27">
          <cell r="M27">
            <v>0</v>
          </cell>
          <cell r="P27">
            <v>0</v>
          </cell>
          <cell r="T27">
            <v>0</v>
          </cell>
        </row>
        <row r="28">
          <cell r="M28">
            <v>0</v>
          </cell>
          <cell r="P28">
            <v>0</v>
          </cell>
          <cell r="T28">
            <v>0</v>
          </cell>
        </row>
        <row r="29">
          <cell r="M29">
            <v>0</v>
          </cell>
          <cell r="P29">
            <v>0</v>
          </cell>
          <cell r="T29">
            <v>0</v>
          </cell>
        </row>
        <row r="30">
          <cell r="M30">
            <v>0</v>
          </cell>
          <cell r="P30">
            <v>0</v>
          </cell>
          <cell r="T30">
            <v>0</v>
          </cell>
        </row>
        <row r="31">
          <cell r="M31">
            <v>0</v>
          </cell>
          <cell r="P31">
            <v>0</v>
          </cell>
          <cell r="T31">
            <v>0</v>
          </cell>
        </row>
        <row r="32">
          <cell r="M32">
            <v>0</v>
          </cell>
          <cell r="P32">
            <v>0</v>
          </cell>
          <cell r="T32">
            <v>0</v>
          </cell>
        </row>
        <row r="33">
          <cell r="M33">
            <v>0</v>
          </cell>
          <cell r="P33">
            <v>0</v>
          </cell>
          <cell r="T33">
            <v>0</v>
          </cell>
        </row>
        <row r="34">
          <cell r="M34">
            <v>0</v>
          </cell>
          <cell r="P34">
            <v>0</v>
          </cell>
          <cell r="T34">
            <v>0</v>
          </cell>
        </row>
        <row r="35">
          <cell r="M35">
            <v>0</v>
          </cell>
          <cell r="P35">
            <v>0</v>
          </cell>
          <cell r="T35">
            <v>0</v>
          </cell>
        </row>
        <row r="36">
          <cell r="M36">
            <v>0</v>
          </cell>
          <cell r="P36">
            <v>0</v>
          </cell>
          <cell r="T36">
            <v>0</v>
          </cell>
        </row>
        <row r="37">
          <cell r="M37">
            <v>0</v>
          </cell>
          <cell r="P37">
            <v>0</v>
          </cell>
          <cell r="T37">
            <v>0</v>
          </cell>
        </row>
        <row r="38">
          <cell r="M38">
            <v>0</v>
          </cell>
          <cell r="P38">
            <v>0</v>
          </cell>
          <cell r="T38">
            <v>0</v>
          </cell>
        </row>
        <row r="39">
          <cell r="M39">
            <v>0</v>
          </cell>
          <cell r="P39">
            <v>0</v>
          </cell>
          <cell r="T39">
            <v>0</v>
          </cell>
        </row>
        <row r="40">
          <cell r="M40">
            <v>0</v>
          </cell>
          <cell r="P40">
            <v>0</v>
          </cell>
          <cell r="T40">
            <v>0</v>
          </cell>
        </row>
        <row r="41">
          <cell r="M41">
            <v>0</v>
          </cell>
          <cell r="P41">
            <v>0</v>
          </cell>
          <cell r="T41">
            <v>0</v>
          </cell>
        </row>
        <row r="42">
          <cell r="M42">
            <v>0</v>
          </cell>
          <cell r="P42">
            <v>0</v>
          </cell>
          <cell r="T42">
            <v>0</v>
          </cell>
        </row>
        <row r="43">
          <cell r="M43">
            <v>0</v>
          </cell>
          <cell r="P43">
            <v>0</v>
          </cell>
          <cell r="T43">
            <v>0</v>
          </cell>
        </row>
        <row r="44">
          <cell r="M44">
            <v>0</v>
          </cell>
          <cell r="P44">
            <v>0</v>
          </cell>
          <cell r="T44">
            <v>0</v>
          </cell>
        </row>
        <row r="45">
          <cell r="M45">
            <v>0</v>
          </cell>
          <cell r="P45">
            <v>0</v>
          </cell>
          <cell r="T45">
            <v>0</v>
          </cell>
        </row>
        <row r="46">
          <cell r="M46">
            <v>0</v>
          </cell>
          <cell r="P46">
            <v>0</v>
          </cell>
          <cell r="T46">
            <v>0</v>
          </cell>
        </row>
        <row r="47">
          <cell r="M47">
            <v>0</v>
          </cell>
          <cell r="P47">
            <v>0</v>
          </cell>
          <cell r="T47">
            <v>0</v>
          </cell>
        </row>
        <row r="48">
          <cell r="M48">
            <v>0</v>
          </cell>
          <cell r="P48">
            <v>0</v>
          </cell>
          <cell r="T48">
            <v>0</v>
          </cell>
        </row>
        <row r="49">
          <cell r="M49">
            <v>0</v>
          </cell>
          <cell r="P49">
            <v>0</v>
          </cell>
          <cell r="T49">
            <v>0</v>
          </cell>
        </row>
        <row r="50">
          <cell r="M50">
            <v>0</v>
          </cell>
          <cell r="P50">
            <v>0</v>
          </cell>
          <cell r="T50">
            <v>0</v>
          </cell>
        </row>
        <row r="51">
          <cell r="M51">
            <v>0</v>
          </cell>
          <cell r="P51">
            <v>0</v>
          </cell>
          <cell r="T51">
            <v>0</v>
          </cell>
        </row>
        <row r="52">
          <cell r="M52">
            <v>0</v>
          </cell>
          <cell r="P52">
            <v>0</v>
          </cell>
          <cell r="T52">
            <v>0</v>
          </cell>
        </row>
        <row r="53">
          <cell r="M53">
            <v>0</v>
          </cell>
          <cell r="P53">
            <v>0</v>
          </cell>
          <cell r="T53">
            <v>0</v>
          </cell>
        </row>
        <row r="54">
          <cell r="M54">
            <v>0</v>
          </cell>
          <cell r="P54">
            <v>0</v>
          </cell>
          <cell r="T54">
            <v>0</v>
          </cell>
        </row>
        <row r="55">
          <cell r="M55">
            <v>0</v>
          </cell>
          <cell r="P55">
            <v>0</v>
          </cell>
          <cell r="T55">
            <v>0</v>
          </cell>
        </row>
        <row r="56">
          <cell r="M56">
            <v>0</v>
          </cell>
          <cell r="P56">
            <v>0</v>
          </cell>
          <cell r="T56">
            <v>0</v>
          </cell>
        </row>
        <row r="57">
          <cell r="M57">
            <v>0</v>
          </cell>
          <cell r="P57">
            <v>0</v>
          </cell>
          <cell r="T57">
            <v>0</v>
          </cell>
        </row>
        <row r="58">
          <cell r="M58">
            <v>0</v>
          </cell>
          <cell r="P58">
            <v>0</v>
          </cell>
          <cell r="T58">
            <v>0</v>
          </cell>
        </row>
        <row r="59">
          <cell r="M59">
            <v>0</v>
          </cell>
          <cell r="P59">
            <v>0</v>
          </cell>
          <cell r="T59">
            <v>0</v>
          </cell>
        </row>
        <row r="60">
          <cell r="M60">
            <v>0</v>
          </cell>
          <cell r="P60">
            <v>0</v>
          </cell>
          <cell r="T60">
            <v>0</v>
          </cell>
        </row>
        <row r="61">
          <cell r="M61">
            <v>0</v>
          </cell>
          <cell r="P61">
            <v>0</v>
          </cell>
          <cell r="T61">
            <v>0</v>
          </cell>
        </row>
        <row r="62">
          <cell r="M62">
            <v>0</v>
          </cell>
          <cell r="P62">
            <v>0</v>
          </cell>
          <cell r="T62">
            <v>0</v>
          </cell>
        </row>
        <row r="63">
          <cell r="M63">
            <v>0</v>
          </cell>
          <cell r="P63">
            <v>0</v>
          </cell>
          <cell r="T63">
            <v>0</v>
          </cell>
        </row>
        <row r="64">
          <cell r="M64">
            <v>0</v>
          </cell>
          <cell r="P64">
            <v>0</v>
          </cell>
          <cell r="T64">
            <v>0</v>
          </cell>
        </row>
        <row r="65">
          <cell r="M65">
            <v>0</v>
          </cell>
          <cell r="P65">
            <v>0</v>
          </cell>
          <cell r="T65">
            <v>0</v>
          </cell>
        </row>
        <row r="66">
          <cell r="M66">
            <v>0</v>
          </cell>
          <cell r="P66">
            <v>0</v>
          </cell>
          <cell r="T66">
            <v>0</v>
          </cell>
        </row>
        <row r="67">
          <cell r="M67">
            <v>0</v>
          </cell>
          <cell r="P67">
            <v>0</v>
          </cell>
          <cell r="T67">
            <v>0</v>
          </cell>
        </row>
        <row r="68">
          <cell r="M68">
            <v>0</v>
          </cell>
          <cell r="P68">
            <v>0</v>
          </cell>
          <cell r="T68">
            <v>0</v>
          </cell>
        </row>
        <row r="69">
          <cell r="M69">
            <v>0</v>
          </cell>
          <cell r="P69">
            <v>0</v>
          </cell>
          <cell r="T69">
            <v>0</v>
          </cell>
        </row>
        <row r="70">
          <cell r="M70">
            <v>0</v>
          </cell>
          <cell r="P70">
            <v>0</v>
          </cell>
          <cell r="T70">
            <v>0</v>
          </cell>
        </row>
        <row r="71">
          <cell r="M71">
            <v>0</v>
          </cell>
          <cell r="P71">
            <v>0</v>
          </cell>
          <cell r="T71">
            <v>0</v>
          </cell>
        </row>
        <row r="72">
          <cell r="M72">
            <v>0</v>
          </cell>
          <cell r="P72">
            <v>0</v>
          </cell>
          <cell r="T72">
            <v>0</v>
          </cell>
        </row>
        <row r="73">
          <cell r="M73">
            <v>0</v>
          </cell>
          <cell r="P73">
            <v>0</v>
          </cell>
          <cell r="T73">
            <v>0</v>
          </cell>
        </row>
        <row r="74">
          <cell r="M74">
            <v>0</v>
          </cell>
          <cell r="P74">
            <v>0</v>
          </cell>
          <cell r="T74">
            <v>0</v>
          </cell>
        </row>
        <row r="75">
          <cell r="M75">
            <v>0</v>
          </cell>
          <cell r="P75">
            <v>0</v>
          </cell>
          <cell r="T75">
            <v>0</v>
          </cell>
        </row>
        <row r="76">
          <cell r="I76">
            <v>-5116.405013784688</v>
          </cell>
        </row>
      </sheetData>
      <sheetData sheetId="25">
        <row r="4">
          <cell r="C4">
            <v>14</v>
          </cell>
          <cell r="N4">
            <v>5591</v>
          </cell>
          <cell r="Q4">
            <v>-68</v>
          </cell>
          <cell r="U4">
            <v>2119</v>
          </cell>
        </row>
        <row r="5">
          <cell r="N5">
            <v>2361</v>
          </cell>
          <cell r="Q5">
            <v>-24</v>
          </cell>
          <cell r="U5">
            <v>882</v>
          </cell>
        </row>
        <row r="6">
          <cell r="N6">
            <v>14906</v>
          </cell>
          <cell r="Q6">
            <v>-489</v>
          </cell>
          <cell r="U6">
            <v>16770</v>
          </cell>
        </row>
        <row r="7">
          <cell r="N7">
            <v>-513</v>
          </cell>
          <cell r="Q7">
            <v>-20</v>
          </cell>
          <cell r="U7">
            <v>-279</v>
          </cell>
        </row>
        <row r="8">
          <cell r="N8">
            <v>9313</v>
          </cell>
          <cell r="Q8">
            <v>-79</v>
          </cell>
          <cell r="U8">
            <v>2862</v>
          </cell>
        </row>
        <row r="9">
          <cell r="N9">
            <v>7578</v>
          </cell>
          <cell r="Q9">
            <v>-143</v>
          </cell>
          <cell r="U9">
            <v>4750</v>
          </cell>
        </row>
        <row r="10">
          <cell r="N10">
            <v>342</v>
          </cell>
          <cell r="Q10">
            <v>-102</v>
          </cell>
          <cell r="U10">
            <v>1026</v>
          </cell>
        </row>
        <row r="11">
          <cell r="N11">
            <v>13132</v>
          </cell>
          <cell r="Q11">
            <v>-308</v>
          </cell>
          <cell r="U11">
            <v>10251</v>
          </cell>
        </row>
        <row r="12">
          <cell r="N12">
            <v>33730</v>
          </cell>
          <cell r="Q12">
            <v>-906</v>
          </cell>
          <cell r="U12">
            <v>30459</v>
          </cell>
        </row>
        <row r="13">
          <cell r="N13">
            <v>19706</v>
          </cell>
          <cell r="Q13">
            <v>-576</v>
          </cell>
          <cell r="U13">
            <v>18202</v>
          </cell>
        </row>
        <row r="14">
          <cell r="N14">
            <v>4235</v>
          </cell>
          <cell r="Q14">
            <v>-58</v>
          </cell>
          <cell r="U14">
            <v>2037</v>
          </cell>
        </row>
        <row r="15">
          <cell r="N15">
            <v>0</v>
          </cell>
          <cell r="Q15">
            <v>0</v>
          </cell>
          <cell r="U15">
            <v>0</v>
          </cell>
        </row>
        <row r="16">
          <cell r="N16">
            <v>1800</v>
          </cell>
          <cell r="Q16">
            <v>-57</v>
          </cell>
          <cell r="U16">
            <v>625</v>
          </cell>
        </row>
        <row r="17">
          <cell r="N17">
            <v>217</v>
          </cell>
          <cell r="Q17">
            <v>-9</v>
          </cell>
          <cell r="U17">
            <v>173</v>
          </cell>
        </row>
        <row r="18">
          <cell r="N18">
            <v>1373</v>
          </cell>
          <cell r="Q18">
            <v>-23</v>
          </cell>
          <cell r="U18">
            <v>570</v>
          </cell>
        </row>
        <row r="19">
          <cell r="N19">
            <v>1825</v>
          </cell>
          <cell r="Q19">
            <v>-300</v>
          </cell>
          <cell r="U19">
            <v>9984</v>
          </cell>
        </row>
        <row r="20">
          <cell r="N20">
            <v>22360</v>
          </cell>
          <cell r="Q20">
            <v>-1050</v>
          </cell>
          <cell r="U20">
            <v>36551</v>
          </cell>
        </row>
        <row r="21">
          <cell r="N21">
            <v>511</v>
          </cell>
          <cell r="Q21">
            <v>-7</v>
          </cell>
          <cell r="U21">
            <v>219</v>
          </cell>
        </row>
        <row r="22">
          <cell r="N22">
            <v>2556</v>
          </cell>
          <cell r="Q22">
            <v>-29</v>
          </cell>
          <cell r="U22">
            <v>1045</v>
          </cell>
        </row>
        <row r="23">
          <cell r="N23">
            <v>2922</v>
          </cell>
          <cell r="Q23">
            <v>-33</v>
          </cell>
          <cell r="U23">
            <v>1167</v>
          </cell>
        </row>
        <row r="24">
          <cell r="N24">
            <v>2123</v>
          </cell>
          <cell r="Q24">
            <v>-15</v>
          </cell>
          <cell r="U24">
            <v>741</v>
          </cell>
        </row>
        <row r="25">
          <cell r="N25">
            <v>1002</v>
          </cell>
          <cell r="Q25">
            <v>-6</v>
          </cell>
          <cell r="U25">
            <v>215</v>
          </cell>
        </row>
        <row r="26">
          <cell r="N26">
            <v>5383</v>
          </cell>
          <cell r="Q26">
            <v>-91</v>
          </cell>
          <cell r="U26">
            <v>3270</v>
          </cell>
        </row>
        <row r="27">
          <cell r="N27">
            <v>2355</v>
          </cell>
          <cell r="Q27">
            <v>-220</v>
          </cell>
          <cell r="U27">
            <v>6253</v>
          </cell>
        </row>
        <row r="28">
          <cell r="N28">
            <v>1191</v>
          </cell>
          <cell r="Q28">
            <v>-44</v>
          </cell>
          <cell r="U28">
            <v>1260</v>
          </cell>
        </row>
        <row r="29">
          <cell r="N29">
            <v>31281</v>
          </cell>
          <cell r="Q29">
            <v>-1145</v>
          </cell>
          <cell r="U29">
            <v>40431</v>
          </cell>
        </row>
        <row r="30">
          <cell r="N30">
            <v>2632</v>
          </cell>
          <cell r="Q30">
            <v>-22</v>
          </cell>
          <cell r="U30">
            <v>1283</v>
          </cell>
        </row>
        <row r="31">
          <cell r="N31">
            <v>11425</v>
          </cell>
          <cell r="Q31">
            <v>-470</v>
          </cell>
          <cell r="U31">
            <v>15828</v>
          </cell>
        </row>
        <row r="32">
          <cell r="N32">
            <v>4293</v>
          </cell>
          <cell r="Q32">
            <v>-129</v>
          </cell>
          <cell r="U32">
            <v>4276</v>
          </cell>
        </row>
        <row r="33">
          <cell r="N33">
            <v>1908</v>
          </cell>
          <cell r="Q33">
            <v>-29</v>
          </cell>
          <cell r="U33">
            <v>968</v>
          </cell>
        </row>
        <row r="34">
          <cell r="N34">
            <v>198</v>
          </cell>
          <cell r="Q34">
            <v>-22</v>
          </cell>
          <cell r="U34">
            <v>191</v>
          </cell>
        </row>
        <row r="35">
          <cell r="N35">
            <v>15255</v>
          </cell>
          <cell r="Q35">
            <v>-152</v>
          </cell>
          <cell r="U35">
            <v>5260</v>
          </cell>
        </row>
        <row r="36">
          <cell r="N36">
            <v>-456</v>
          </cell>
          <cell r="Q36">
            <v>-12</v>
          </cell>
          <cell r="U36">
            <v>-289</v>
          </cell>
        </row>
        <row r="37">
          <cell r="N37">
            <v>7700</v>
          </cell>
          <cell r="Q37">
            <v>-95</v>
          </cell>
          <cell r="U37">
            <v>3261</v>
          </cell>
        </row>
        <row r="38">
          <cell r="N38">
            <v>7163</v>
          </cell>
          <cell r="Q38">
            <v>-126</v>
          </cell>
          <cell r="U38">
            <v>4549</v>
          </cell>
        </row>
        <row r="39">
          <cell r="N39">
            <v>15768</v>
          </cell>
          <cell r="Q39">
            <v>-637</v>
          </cell>
          <cell r="U39">
            <v>20439</v>
          </cell>
        </row>
        <row r="40">
          <cell r="N40">
            <v>18422</v>
          </cell>
          <cell r="Q40">
            <v>-269</v>
          </cell>
          <cell r="U40">
            <v>9614</v>
          </cell>
        </row>
        <row r="41">
          <cell r="N41">
            <v>365</v>
          </cell>
          <cell r="Q41">
            <v>-49</v>
          </cell>
          <cell r="U41">
            <v>1198</v>
          </cell>
        </row>
        <row r="42">
          <cell r="N42">
            <v>757</v>
          </cell>
          <cell r="Q42">
            <v>-29</v>
          </cell>
          <cell r="U42">
            <v>672</v>
          </cell>
        </row>
        <row r="43">
          <cell r="N43">
            <v>11452</v>
          </cell>
          <cell r="Q43">
            <v>-217</v>
          </cell>
          <cell r="U43">
            <v>6138</v>
          </cell>
        </row>
        <row r="44">
          <cell r="N44">
            <v>187</v>
          </cell>
          <cell r="Q44">
            <v>-20</v>
          </cell>
          <cell r="U44">
            <v>680</v>
          </cell>
        </row>
        <row r="45">
          <cell r="N45">
            <v>2944</v>
          </cell>
          <cell r="Q45">
            <v>-45</v>
          </cell>
          <cell r="U45">
            <v>1501</v>
          </cell>
        </row>
        <row r="46">
          <cell r="N46">
            <v>3111</v>
          </cell>
          <cell r="Q46">
            <v>-48</v>
          </cell>
          <cell r="U46">
            <v>2209</v>
          </cell>
        </row>
        <row r="47">
          <cell r="N47">
            <v>1391</v>
          </cell>
          <cell r="Q47">
            <v>-31</v>
          </cell>
          <cell r="U47">
            <v>1217</v>
          </cell>
        </row>
        <row r="48">
          <cell r="N48">
            <v>441</v>
          </cell>
          <cell r="Q48">
            <v>-51</v>
          </cell>
          <cell r="U48">
            <v>1689</v>
          </cell>
        </row>
        <row r="49">
          <cell r="N49">
            <v>4046</v>
          </cell>
          <cell r="Q49">
            <v>-44</v>
          </cell>
          <cell r="U49">
            <v>1381</v>
          </cell>
        </row>
        <row r="50">
          <cell r="N50">
            <v>218</v>
          </cell>
          <cell r="Q50">
            <v>-60</v>
          </cell>
          <cell r="U50">
            <v>1255</v>
          </cell>
        </row>
        <row r="51">
          <cell r="N51">
            <v>11647</v>
          </cell>
          <cell r="Q51">
            <v>-421</v>
          </cell>
          <cell r="U51">
            <v>14578</v>
          </cell>
        </row>
        <row r="52">
          <cell r="N52">
            <v>19080</v>
          </cell>
          <cell r="Q52">
            <v>-242</v>
          </cell>
          <cell r="U52">
            <v>8125</v>
          </cell>
        </row>
        <row r="53">
          <cell r="N53">
            <v>3598</v>
          </cell>
          <cell r="Q53">
            <v>-63</v>
          </cell>
          <cell r="U53">
            <v>1810</v>
          </cell>
        </row>
        <row r="54">
          <cell r="N54">
            <v>-613</v>
          </cell>
          <cell r="Q54">
            <v>-9</v>
          </cell>
          <cell r="U54">
            <v>-443</v>
          </cell>
        </row>
        <row r="55">
          <cell r="N55">
            <v>29865</v>
          </cell>
          <cell r="Q55">
            <v>-748</v>
          </cell>
          <cell r="U55">
            <v>25595</v>
          </cell>
        </row>
        <row r="56">
          <cell r="N56">
            <v>21544</v>
          </cell>
          <cell r="Q56">
            <v>-243</v>
          </cell>
          <cell r="U56">
            <v>8301</v>
          </cell>
        </row>
        <row r="57">
          <cell r="N57">
            <v>0</v>
          </cell>
          <cell r="Q57">
            <v>0</v>
          </cell>
          <cell r="U57">
            <v>0</v>
          </cell>
        </row>
        <row r="58">
          <cell r="N58">
            <v>6997</v>
          </cell>
          <cell r="Q58">
            <v>-149</v>
          </cell>
          <cell r="U58">
            <v>4620</v>
          </cell>
        </row>
        <row r="59">
          <cell r="N59">
            <v>2495</v>
          </cell>
          <cell r="Q59">
            <v>-44</v>
          </cell>
          <cell r="U59">
            <v>1237</v>
          </cell>
        </row>
        <row r="60">
          <cell r="N60">
            <v>3730</v>
          </cell>
          <cell r="Q60">
            <v>-70</v>
          </cell>
          <cell r="U60">
            <v>2211</v>
          </cell>
        </row>
        <row r="61">
          <cell r="N61">
            <v>15609</v>
          </cell>
          <cell r="Q61">
            <v>-142</v>
          </cell>
          <cell r="U61">
            <v>5249</v>
          </cell>
        </row>
        <row r="62">
          <cell r="N62">
            <v>6748</v>
          </cell>
          <cell r="Q62">
            <v>-44</v>
          </cell>
          <cell r="U62">
            <v>1345</v>
          </cell>
        </row>
        <row r="63">
          <cell r="N63">
            <v>6255</v>
          </cell>
          <cell r="Q63">
            <v>-145</v>
          </cell>
          <cell r="U63">
            <v>4245</v>
          </cell>
        </row>
        <row r="64">
          <cell r="N64">
            <v>1734</v>
          </cell>
          <cell r="Q64">
            <v>-89</v>
          </cell>
          <cell r="U64">
            <v>3402</v>
          </cell>
        </row>
        <row r="65">
          <cell r="N65">
            <v>236</v>
          </cell>
          <cell r="Q65">
            <v>-4</v>
          </cell>
          <cell r="U65">
            <v>82</v>
          </cell>
        </row>
        <row r="66">
          <cell r="N66">
            <v>-1126</v>
          </cell>
          <cell r="Q66">
            <v>0</v>
          </cell>
          <cell r="U66">
            <v>-1571</v>
          </cell>
        </row>
        <row r="67">
          <cell r="N67">
            <v>490</v>
          </cell>
          <cell r="Q67">
            <v>-7</v>
          </cell>
          <cell r="U67">
            <v>217</v>
          </cell>
        </row>
        <row r="68">
          <cell r="N68">
            <v>-801</v>
          </cell>
          <cell r="Q68">
            <v>0</v>
          </cell>
          <cell r="U68">
            <v>-701</v>
          </cell>
        </row>
        <row r="69">
          <cell r="N69">
            <v>738</v>
          </cell>
          <cell r="Q69">
            <v>-23</v>
          </cell>
          <cell r="U69">
            <v>638</v>
          </cell>
        </row>
        <row r="70">
          <cell r="N70">
            <v>-5</v>
          </cell>
          <cell r="Q70">
            <v>-12</v>
          </cell>
          <cell r="U70">
            <v>64</v>
          </cell>
        </row>
        <row r="71">
          <cell r="N71">
            <v>1294</v>
          </cell>
          <cell r="Q71">
            <v>-18</v>
          </cell>
          <cell r="U71">
            <v>493</v>
          </cell>
        </row>
        <row r="72">
          <cell r="N72">
            <v>4457</v>
          </cell>
          <cell r="Q72">
            <v>-51</v>
          </cell>
          <cell r="U72">
            <v>2330</v>
          </cell>
        </row>
      </sheetData>
      <sheetData sheetId="26">
        <row r="4">
          <cell r="C4">
            <v>18</v>
          </cell>
          <cell r="N4">
            <v>7238</v>
          </cell>
          <cell r="Q4">
            <v>-88</v>
          </cell>
          <cell r="U4">
            <v>2919</v>
          </cell>
        </row>
        <row r="5">
          <cell r="N5">
            <v>1051</v>
          </cell>
          <cell r="Q5">
            <v>-12</v>
          </cell>
          <cell r="U5">
            <v>393</v>
          </cell>
        </row>
        <row r="6">
          <cell r="N6">
            <v>9703</v>
          </cell>
          <cell r="Q6">
            <v>-330</v>
          </cell>
          <cell r="U6">
            <v>10970</v>
          </cell>
        </row>
        <row r="7">
          <cell r="N7">
            <v>1475</v>
          </cell>
          <cell r="Q7">
            <v>-20</v>
          </cell>
          <cell r="U7">
            <v>680</v>
          </cell>
        </row>
        <row r="8">
          <cell r="N8">
            <v>5805</v>
          </cell>
          <cell r="Q8">
            <v>-55</v>
          </cell>
          <cell r="U8">
            <v>1834</v>
          </cell>
        </row>
        <row r="9">
          <cell r="N9">
            <v>9807</v>
          </cell>
          <cell r="Q9">
            <v>-185</v>
          </cell>
          <cell r="U9">
            <v>6147</v>
          </cell>
        </row>
        <row r="10">
          <cell r="N10">
            <v>1510</v>
          </cell>
          <cell r="Q10">
            <v>-204</v>
          </cell>
          <cell r="U10">
            <v>6780</v>
          </cell>
        </row>
        <row r="11">
          <cell r="N11">
            <v>16884</v>
          </cell>
          <cell r="Q11">
            <v>-396</v>
          </cell>
          <cell r="U11">
            <v>13180</v>
          </cell>
        </row>
        <row r="12">
          <cell r="N12">
            <v>24997</v>
          </cell>
          <cell r="Q12">
            <v>-677</v>
          </cell>
          <cell r="U12">
            <v>22500</v>
          </cell>
        </row>
        <row r="13">
          <cell r="N13">
            <v>19277</v>
          </cell>
          <cell r="Q13">
            <v>-535</v>
          </cell>
          <cell r="U13">
            <v>17795</v>
          </cell>
        </row>
        <row r="14">
          <cell r="N14">
            <v>1131</v>
          </cell>
          <cell r="Q14">
            <v>-16</v>
          </cell>
          <cell r="U14">
            <v>547</v>
          </cell>
        </row>
        <row r="15">
          <cell r="N15">
            <v>209</v>
          </cell>
          <cell r="Q15">
            <v>-31</v>
          </cell>
          <cell r="U15">
            <v>1030</v>
          </cell>
        </row>
        <row r="16">
          <cell r="N16">
            <v>1572</v>
          </cell>
          <cell r="Q16">
            <v>-17</v>
          </cell>
          <cell r="U16">
            <v>567</v>
          </cell>
        </row>
        <row r="17">
          <cell r="N17">
            <v>5092</v>
          </cell>
          <cell r="Q17">
            <v>-99</v>
          </cell>
          <cell r="U17">
            <v>3280</v>
          </cell>
        </row>
        <row r="18">
          <cell r="N18">
            <v>1365</v>
          </cell>
          <cell r="Q18">
            <v>-17</v>
          </cell>
          <cell r="U18">
            <v>571</v>
          </cell>
        </row>
        <row r="19">
          <cell r="N19">
            <v>995</v>
          </cell>
          <cell r="Q19">
            <v>-164</v>
          </cell>
          <cell r="U19">
            <v>5446</v>
          </cell>
        </row>
        <row r="20">
          <cell r="N20">
            <v>23079</v>
          </cell>
          <cell r="Q20">
            <v>-1156</v>
          </cell>
          <cell r="U20">
            <v>37958</v>
          </cell>
        </row>
        <row r="21">
          <cell r="N21">
            <v>0</v>
          </cell>
          <cell r="Q21">
            <v>0</v>
          </cell>
          <cell r="U21">
            <v>0</v>
          </cell>
        </row>
        <row r="22">
          <cell r="N22">
            <v>2793</v>
          </cell>
          <cell r="Q22">
            <v>-35</v>
          </cell>
          <cell r="U22">
            <v>1153</v>
          </cell>
        </row>
        <row r="23">
          <cell r="N23">
            <v>1797</v>
          </cell>
          <cell r="Q23">
            <v>-22</v>
          </cell>
          <cell r="U23">
            <v>724</v>
          </cell>
        </row>
        <row r="24">
          <cell r="N24">
            <v>4739</v>
          </cell>
          <cell r="Q24">
            <v>-51</v>
          </cell>
          <cell r="U24">
            <v>1694</v>
          </cell>
        </row>
        <row r="25">
          <cell r="N25">
            <v>2506</v>
          </cell>
          <cell r="Q25">
            <v>-16</v>
          </cell>
          <cell r="U25">
            <v>538</v>
          </cell>
        </row>
        <row r="26">
          <cell r="N26">
            <v>7453</v>
          </cell>
          <cell r="Q26">
            <v>-137</v>
          </cell>
          <cell r="U26">
            <v>4560</v>
          </cell>
        </row>
        <row r="27">
          <cell r="N27">
            <v>271</v>
          </cell>
          <cell r="Q27">
            <v>-22</v>
          </cell>
          <cell r="U27">
            <v>730</v>
          </cell>
        </row>
        <row r="28">
          <cell r="N28">
            <v>338</v>
          </cell>
          <cell r="Q28">
            <v>-11</v>
          </cell>
          <cell r="U28">
            <v>362</v>
          </cell>
        </row>
        <row r="29">
          <cell r="N29">
            <v>30282</v>
          </cell>
          <cell r="Q29">
            <v>-1169</v>
          </cell>
          <cell r="U29">
            <v>38858</v>
          </cell>
        </row>
        <row r="30">
          <cell r="N30">
            <v>3338</v>
          </cell>
          <cell r="Q30">
            <v>-51</v>
          </cell>
          <cell r="U30">
            <v>1703</v>
          </cell>
        </row>
        <row r="31">
          <cell r="N31">
            <v>13275</v>
          </cell>
          <cell r="Q31">
            <v>-555</v>
          </cell>
          <cell r="U31">
            <v>18446</v>
          </cell>
        </row>
        <row r="32">
          <cell r="N32">
            <v>2817</v>
          </cell>
          <cell r="Q32">
            <v>-86</v>
          </cell>
          <cell r="U32">
            <v>2851</v>
          </cell>
        </row>
        <row r="33">
          <cell r="N33">
            <v>954</v>
          </cell>
          <cell r="Q33">
            <v>-15</v>
          </cell>
          <cell r="U33">
            <v>484</v>
          </cell>
        </row>
        <row r="34">
          <cell r="N34">
            <v>1487</v>
          </cell>
          <cell r="Q34">
            <v>-43</v>
          </cell>
          <cell r="U34">
            <v>1435</v>
          </cell>
        </row>
        <row r="35">
          <cell r="N35">
            <v>34633</v>
          </cell>
          <cell r="Q35">
            <v>-361</v>
          </cell>
          <cell r="U35">
            <v>11991</v>
          </cell>
        </row>
        <row r="36">
          <cell r="N36">
            <v>1791</v>
          </cell>
          <cell r="Q36">
            <v>-24</v>
          </cell>
          <cell r="U36">
            <v>793</v>
          </cell>
        </row>
        <row r="37">
          <cell r="N37">
            <v>3481</v>
          </cell>
          <cell r="Q37">
            <v>-44</v>
          </cell>
          <cell r="U37">
            <v>1475</v>
          </cell>
        </row>
        <row r="38">
          <cell r="N38">
            <v>6159</v>
          </cell>
          <cell r="Q38">
            <v>-119</v>
          </cell>
          <cell r="U38">
            <v>3948</v>
          </cell>
        </row>
        <row r="39">
          <cell r="N39">
            <v>13725</v>
          </cell>
          <cell r="Q39">
            <v>-526</v>
          </cell>
          <cell r="U39">
            <v>17503</v>
          </cell>
        </row>
        <row r="40">
          <cell r="N40">
            <v>7831</v>
          </cell>
          <cell r="Q40">
            <v>-123</v>
          </cell>
          <cell r="U40">
            <v>4104</v>
          </cell>
        </row>
        <row r="41">
          <cell r="N41">
            <v>1357</v>
          </cell>
          <cell r="Q41">
            <v>-147</v>
          </cell>
          <cell r="U41">
            <v>4878</v>
          </cell>
        </row>
        <row r="42">
          <cell r="N42">
            <v>1653</v>
          </cell>
          <cell r="Q42">
            <v>-49</v>
          </cell>
          <cell r="U42">
            <v>1617</v>
          </cell>
        </row>
        <row r="43">
          <cell r="N43">
            <v>11370</v>
          </cell>
          <cell r="Q43">
            <v>-183</v>
          </cell>
          <cell r="U43">
            <v>6074</v>
          </cell>
        </row>
        <row r="44">
          <cell r="N44">
            <v>187</v>
          </cell>
          <cell r="Q44">
            <v>-20</v>
          </cell>
          <cell r="U44">
            <v>680</v>
          </cell>
        </row>
        <row r="45">
          <cell r="N45">
            <v>2103</v>
          </cell>
          <cell r="Q45">
            <v>-32</v>
          </cell>
          <cell r="U45">
            <v>1072</v>
          </cell>
        </row>
        <row r="46">
          <cell r="N46">
            <v>2376</v>
          </cell>
          <cell r="Q46">
            <v>-48</v>
          </cell>
          <cell r="U46">
            <v>1610</v>
          </cell>
        </row>
        <row r="47">
          <cell r="N47">
            <v>3609</v>
          </cell>
          <cell r="Q47">
            <v>-92</v>
          </cell>
          <cell r="U47">
            <v>3070</v>
          </cell>
        </row>
        <row r="48">
          <cell r="N48">
            <v>4188</v>
          </cell>
          <cell r="Q48">
            <v>-482</v>
          </cell>
          <cell r="U48">
            <v>16042</v>
          </cell>
        </row>
        <row r="49">
          <cell r="N49">
            <v>2384</v>
          </cell>
          <cell r="Q49">
            <v>-24</v>
          </cell>
          <cell r="U49">
            <v>804</v>
          </cell>
        </row>
        <row r="50">
          <cell r="N50">
            <v>272</v>
          </cell>
          <cell r="Q50">
            <v>-30</v>
          </cell>
          <cell r="U50">
            <v>994</v>
          </cell>
        </row>
        <row r="51">
          <cell r="N51">
            <v>6927</v>
          </cell>
          <cell r="Q51">
            <v>-261</v>
          </cell>
          <cell r="U51">
            <v>8690</v>
          </cell>
        </row>
        <row r="52">
          <cell r="N52">
            <v>12954</v>
          </cell>
          <cell r="Q52">
            <v>-165</v>
          </cell>
          <cell r="U52">
            <v>5475</v>
          </cell>
        </row>
        <row r="53">
          <cell r="N53">
            <v>4664</v>
          </cell>
          <cell r="Q53">
            <v>-69</v>
          </cell>
          <cell r="U53">
            <v>2305</v>
          </cell>
        </row>
        <row r="54">
          <cell r="N54">
            <v>371</v>
          </cell>
          <cell r="Q54">
            <v>-9</v>
          </cell>
          <cell r="U54">
            <v>315</v>
          </cell>
        </row>
        <row r="55">
          <cell r="N55">
            <v>45403</v>
          </cell>
          <cell r="Q55">
            <v>-1177</v>
          </cell>
          <cell r="U55">
            <v>39136</v>
          </cell>
        </row>
        <row r="56">
          <cell r="N56">
            <v>22488</v>
          </cell>
          <cell r="Q56">
            <v>-262</v>
          </cell>
          <cell r="U56">
            <v>8719</v>
          </cell>
        </row>
        <row r="57">
          <cell r="N57">
            <v>2582</v>
          </cell>
          <cell r="Q57">
            <v>-42</v>
          </cell>
          <cell r="U57">
            <v>1380</v>
          </cell>
        </row>
        <row r="58">
          <cell r="N58">
            <v>14490</v>
          </cell>
          <cell r="Q58">
            <v>-277</v>
          </cell>
          <cell r="U58">
            <v>9211</v>
          </cell>
        </row>
        <row r="59">
          <cell r="N59">
            <v>2088</v>
          </cell>
          <cell r="Q59">
            <v>-31</v>
          </cell>
          <cell r="U59">
            <v>1040</v>
          </cell>
        </row>
        <row r="60">
          <cell r="N60">
            <v>2357</v>
          </cell>
          <cell r="Q60">
            <v>-42</v>
          </cell>
          <cell r="U60">
            <v>1395</v>
          </cell>
        </row>
        <row r="61">
          <cell r="N61">
            <v>12893</v>
          </cell>
          <cell r="Q61">
            <v>-133</v>
          </cell>
          <cell r="U61">
            <v>4409</v>
          </cell>
        </row>
        <row r="62">
          <cell r="N62">
            <v>6915</v>
          </cell>
          <cell r="Q62">
            <v>-48</v>
          </cell>
          <cell r="U62">
            <v>1335</v>
          </cell>
        </row>
        <row r="63">
          <cell r="N63">
            <v>10766</v>
          </cell>
          <cell r="Q63">
            <v>-222</v>
          </cell>
          <cell r="U63">
            <v>7378</v>
          </cell>
        </row>
        <row r="64">
          <cell r="N64">
            <v>2519</v>
          </cell>
          <cell r="Q64">
            <v>-133</v>
          </cell>
          <cell r="U64">
            <v>4423</v>
          </cell>
        </row>
        <row r="65">
          <cell r="N65">
            <v>461</v>
          </cell>
          <cell r="Q65">
            <v>-4</v>
          </cell>
          <cell r="U65">
            <v>145</v>
          </cell>
        </row>
        <row r="66">
          <cell r="N66">
            <v>383</v>
          </cell>
          <cell r="Q66">
            <v>-16</v>
          </cell>
          <cell r="U66">
            <v>527</v>
          </cell>
        </row>
        <row r="67">
          <cell r="N67">
            <v>1961</v>
          </cell>
          <cell r="Q67">
            <v>-26</v>
          </cell>
          <cell r="U67">
            <v>868</v>
          </cell>
        </row>
        <row r="68">
          <cell r="N68">
            <v>1618</v>
          </cell>
          <cell r="Q68">
            <v>-45</v>
          </cell>
          <cell r="U68">
            <v>1497</v>
          </cell>
        </row>
        <row r="69">
          <cell r="N69">
            <v>1300</v>
          </cell>
          <cell r="Q69">
            <v>-15</v>
          </cell>
          <cell r="U69">
            <v>1025</v>
          </cell>
        </row>
        <row r="70">
          <cell r="N70">
            <v>1272</v>
          </cell>
          <cell r="Q70">
            <v>-35</v>
          </cell>
          <cell r="U70">
            <v>1172</v>
          </cell>
        </row>
        <row r="71">
          <cell r="N71">
            <v>5658</v>
          </cell>
          <cell r="Q71">
            <v>-66</v>
          </cell>
          <cell r="U71">
            <v>2206</v>
          </cell>
        </row>
        <row r="72">
          <cell r="N72">
            <v>941</v>
          </cell>
          <cell r="Q72">
            <v>-15</v>
          </cell>
          <cell r="U72">
            <v>488</v>
          </cell>
        </row>
        <row r="73">
          <cell r="J73">
            <v>-13893</v>
          </cell>
        </row>
      </sheetData>
      <sheetData sheetId="27">
        <row r="10">
          <cell r="F10">
            <v>716.29552188552179</v>
          </cell>
          <cell r="M10">
            <v>273033</v>
          </cell>
        </row>
        <row r="11">
          <cell r="M11">
            <v>271857</v>
          </cell>
        </row>
        <row r="12">
          <cell r="M12">
            <v>544208</v>
          </cell>
        </row>
        <row r="13">
          <cell r="M13">
            <v>419625</v>
          </cell>
        </row>
        <row r="14">
          <cell r="M14">
            <v>475516</v>
          </cell>
        </row>
        <row r="15">
          <cell r="M15">
            <v>1094762</v>
          </cell>
        </row>
        <row r="16">
          <cell r="M16">
            <v>368044</v>
          </cell>
        </row>
        <row r="17">
          <cell r="M17">
            <v>88058</v>
          </cell>
        </row>
      </sheetData>
      <sheetData sheetId="28">
        <row r="7">
          <cell r="K7">
            <v>1581</v>
          </cell>
          <cell r="S7">
            <v>397</v>
          </cell>
        </row>
        <row r="8">
          <cell r="K8">
            <v>0</v>
          </cell>
          <cell r="S8">
            <v>0</v>
          </cell>
        </row>
        <row r="9">
          <cell r="K9">
            <v>865</v>
          </cell>
          <cell r="S9">
            <v>380</v>
          </cell>
        </row>
        <row r="10">
          <cell r="K10">
            <v>108</v>
          </cell>
          <cell r="S10">
            <v>34</v>
          </cell>
        </row>
        <row r="11">
          <cell r="K11">
            <v>1828</v>
          </cell>
          <cell r="S11">
            <v>323</v>
          </cell>
        </row>
        <row r="12">
          <cell r="K12">
            <v>1685</v>
          </cell>
          <cell r="S12">
            <v>569</v>
          </cell>
        </row>
        <row r="13">
          <cell r="K13">
            <v>113</v>
          </cell>
          <cell r="S13">
            <v>141</v>
          </cell>
        </row>
        <row r="14">
          <cell r="K14">
            <v>5342</v>
          </cell>
          <cell r="S14">
            <v>2276</v>
          </cell>
        </row>
        <row r="15">
          <cell r="K15">
            <v>24629</v>
          </cell>
          <cell r="S15">
            <v>10261</v>
          </cell>
        </row>
        <row r="16">
          <cell r="K16">
            <v>9041</v>
          </cell>
          <cell r="S16">
            <v>4390</v>
          </cell>
        </row>
        <row r="17">
          <cell r="K17">
            <v>0</v>
          </cell>
          <cell r="S17">
            <v>0</v>
          </cell>
        </row>
        <row r="18">
          <cell r="K18">
            <v>0</v>
          </cell>
          <cell r="S18">
            <v>0</v>
          </cell>
        </row>
        <row r="19">
          <cell r="K19">
            <v>0</v>
          </cell>
          <cell r="S19">
            <v>0</v>
          </cell>
        </row>
        <row r="20">
          <cell r="K20">
            <v>1412</v>
          </cell>
          <cell r="S20">
            <v>594</v>
          </cell>
        </row>
        <row r="21">
          <cell r="K21">
            <v>1305</v>
          </cell>
          <cell r="S21">
            <v>387</v>
          </cell>
        </row>
        <row r="22">
          <cell r="K22">
            <v>480</v>
          </cell>
          <cell r="S22">
            <v>657</v>
          </cell>
        </row>
        <row r="23">
          <cell r="K23">
            <v>20273</v>
          </cell>
          <cell r="S23">
            <v>13541</v>
          </cell>
        </row>
        <row r="24">
          <cell r="K24">
            <v>43</v>
          </cell>
          <cell r="S24">
            <v>9</v>
          </cell>
        </row>
        <row r="25">
          <cell r="K25">
            <v>600</v>
          </cell>
          <cell r="S25">
            <v>171</v>
          </cell>
        </row>
        <row r="26">
          <cell r="K26">
            <v>7165</v>
          </cell>
          <cell r="S26">
            <v>1864</v>
          </cell>
        </row>
        <row r="27">
          <cell r="K27">
            <v>2805</v>
          </cell>
          <cell r="S27">
            <v>650</v>
          </cell>
        </row>
        <row r="28">
          <cell r="K28">
            <v>1235</v>
          </cell>
          <cell r="S28">
            <v>194</v>
          </cell>
        </row>
        <row r="29">
          <cell r="K29">
            <v>4221</v>
          </cell>
          <cell r="S29">
            <v>1603</v>
          </cell>
        </row>
        <row r="30">
          <cell r="K30">
            <v>599</v>
          </cell>
          <cell r="S30">
            <v>496</v>
          </cell>
        </row>
        <row r="31">
          <cell r="K31">
            <v>567</v>
          </cell>
          <cell r="S31">
            <v>338</v>
          </cell>
        </row>
        <row r="32">
          <cell r="K32">
            <v>15559</v>
          </cell>
          <cell r="S32">
            <v>10634</v>
          </cell>
        </row>
        <row r="33">
          <cell r="K33">
            <v>3129</v>
          </cell>
          <cell r="S33">
            <v>975</v>
          </cell>
        </row>
        <row r="34">
          <cell r="K34">
            <v>5495</v>
          </cell>
          <cell r="S34">
            <v>3483</v>
          </cell>
        </row>
        <row r="35">
          <cell r="K35">
            <v>6346</v>
          </cell>
          <cell r="S35">
            <v>2914</v>
          </cell>
        </row>
        <row r="36">
          <cell r="K36">
            <v>0</v>
          </cell>
          <cell r="S36">
            <v>0</v>
          </cell>
        </row>
        <row r="37">
          <cell r="K37">
            <v>953</v>
          </cell>
          <cell r="S37">
            <v>441</v>
          </cell>
        </row>
        <row r="38">
          <cell r="K38">
            <v>1729</v>
          </cell>
          <cell r="S38">
            <v>366</v>
          </cell>
        </row>
        <row r="39">
          <cell r="K39">
            <v>1965</v>
          </cell>
          <cell r="S39">
            <v>623</v>
          </cell>
        </row>
        <row r="40">
          <cell r="K40">
            <v>1875</v>
          </cell>
          <cell r="S40">
            <v>528</v>
          </cell>
        </row>
        <row r="41">
          <cell r="K41">
            <v>3027</v>
          </cell>
          <cell r="S41">
            <v>1317</v>
          </cell>
        </row>
        <row r="42">
          <cell r="K42">
            <v>19564</v>
          </cell>
          <cell r="S42">
            <v>11949</v>
          </cell>
        </row>
        <row r="43">
          <cell r="K43">
            <v>4067</v>
          </cell>
          <cell r="S43">
            <v>1209</v>
          </cell>
        </row>
        <row r="44">
          <cell r="K44">
            <v>252</v>
          </cell>
          <cell r="S44">
            <v>287</v>
          </cell>
        </row>
        <row r="45">
          <cell r="K45">
            <v>1699</v>
          </cell>
          <cell r="S45">
            <v>1045</v>
          </cell>
        </row>
        <row r="46">
          <cell r="K46">
            <v>5793</v>
          </cell>
          <cell r="S46">
            <v>1966</v>
          </cell>
        </row>
        <row r="47">
          <cell r="K47">
            <v>0</v>
          </cell>
          <cell r="S47">
            <v>0</v>
          </cell>
        </row>
        <row r="48">
          <cell r="K48">
            <v>477</v>
          </cell>
          <cell r="S48">
            <v>158</v>
          </cell>
        </row>
        <row r="49">
          <cell r="K49">
            <v>1952</v>
          </cell>
          <cell r="S49">
            <v>899</v>
          </cell>
        </row>
        <row r="50">
          <cell r="K50">
            <v>542</v>
          </cell>
          <cell r="S50">
            <v>222</v>
          </cell>
        </row>
        <row r="51">
          <cell r="K51">
            <v>1276</v>
          </cell>
          <cell r="S51">
            <v>1240</v>
          </cell>
        </row>
        <row r="52">
          <cell r="K52">
            <v>0</v>
          </cell>
          <cell r="S52">
            <v>0</v>
          </cell>
        </row>
        <row r="53">
          <cell r="K53">
            <v>0</v>
          </cell>
          <cell r="S53">
            <v>0</v>
          </cell>
        </row>
        <row r="54">
          <cell r="K54">
            <v>649</v>
          </cell>
          <cell r="S54">
            <v>341</v>
          </cell>
        </row>
        <row r="55">
          <cell r="K55">
            <v>5688</v>
          </cell>
          <cell r="S55">
            <v>1586</v>
          </cell>
        </row>
        <row r="56">
          <cell r="K56">
            <v>3179</v>
          </cell>
          <cell r="S56">
            <v>1026</v>
          </cell>
        </row>
        <row r="57">
          <cell r="K57">
            <v>2445</v>
          </cell>
          <cell r="S57">
            <v>1217</v>
          </cell>
        </row>
        <row r="58">
          <cell r="K58">
            <v>9043</v>
          </cell>
          <cell r="S58">
            <v>3546</v>
          </cell>
        </row>
        <row r="59">
          <cell r="K59">
            <v>7096</v>
          </cell>
          <cell r="S59">
            <v>1595</v>
          </cell>
        </row>
        <row r="60">
          <cell r="K60">
            <v>2221</v>
          </cell>
          <cell r="S60">
            <v>736</v>
          </cell>
        </row>
        <row r="61">
          <cell r="K61">
            <v>9467</v>
          </cell>
          <cell r="S61">
            <v>3733</v>
          </cell>
        </row>
        <row r="62">
          <cell r="K62">
            <v>0</v>
          </cell>
          <cell r="S62">
            <v>0</v>
          </cell>
        </row>
        <row r="63">
          <cell r="K63">
            <v>1812</v>
          </cell>
          <cell r="S63">
            <v>615</v>
          </cell>
        </row>
        <row r="64">
          <cell r="K64">
            <v>463</v>
          </cell>
          <cell r="S64">
            <v>105</v>
          </cell>
        </row>
        <row r="65">
          <cell r="K65">
            <v>2829</v>
          </cell>
          <cell r="S65">
            <v>417</v>
          </cell>
        </row>
        <row r="66">
          <cell r="K66">
            <v>2797</v>
          </cell>
          <cell r="S66">
            <v>1063</v>
          </cell>
        </row>
        <row r="67">
          <cell r="K67">
            <v>1590</v>
          </cell>
          <cell r="S67">
            <v>1215</v>
          </cell>
        </row>
        <row r="68">
          <cell r="K68">
            <v>66</v>
          </cell>
          <cell r="S68">
            <v>13</v>
          </cell>
        </row>
        <row r="69">
          <cell r="K69">
            <v>0</v>
          </cell>
          <cell r="S69">
            <v>0</v>
          </cell>
        </row>
        <row r="70">
          <cell r="K70">
            <v>448</v>
          </cell>
          <cell r="S70">
            <v>127</v>
          </cell>
        </row>
        <row r="71">
          <cell r="K71">
            <v>578</v>
          </cell>
          <cell r="S71">
            <v>265</v>
          </cell>
        </row>
        <row r="72">
          <cell r="K72">
            <v>645</v>
          </cell>
          <cell r="S72">
            <v>219</v>
          </cell>
        </row>
        <row r="73">
          <cell r="K73">
            <v>0</v>
          </cell>
          <cell r="S73">
            <v>0</v>
          </cell>
        </row>
        <row r="74">
          <cell r="K74">
            <v>0</v>
          </cell>
          <cell r="S74">
            <v>0</v>
          </cell>
        </row>
        <row r="75">
          <cell r="K75">
            <v>0</v>
          </cell>
          <cell r="S75">
            <v>0</v>
          </cell>
        </row>
      </sheetData>
      <sheetData sheetId="29"/>
      <sheetData sheetId="30"/>
      <sheetData sheetId="31">
        <row r="78">
          <cell r="T78">
            <v>1376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_Scholarship Only_byLEA"/>
      <sheetName val="Sheet1"/>
    </sheetNames>
    <sheetDataSet>
      <sheetData sheetId="0">
        <row r="16">
          <cell r="F16">
            <v>3</v>
          </cell>
        </row>
        <row r="18">
          <cell r="F18">
            <v>63</v>
          </cell>
        </row>
        <row r="19">
          <cell r="F19">
            <v>10</v>
          </cell>
        </row>
        <row r="22">
          <cell r="F22">
            <v>7</v>
          </cell>
        </row>
        <row r="23">
          <cell r="F23">
            <v>2</v>
          </cell>
        </row>
        <row r="24">
          <cell r="F24">
            <v>81</v>
          </cell>
        </row>
        <row r="25">
          <cell r="F25">
            <v>22</v>
          </cell>
        </row>
        <row r="26">
          <cell r="F26">
            <v>12</v>
          </cell>
        </row>
        <row r="32">
          <cell r="F32">
            <v>628</v>
          </cell>
        </row>
        <row r="36">
          <cell r="F36">
            <v>39</v>
          </cell>
        </row>
        <row r="37">
          <cell r="F37">
            <v>1</v>
          </cell>
        </row>
        <row r="38">
          <cell r="F38">
            <v>1</v>
          </cell>
        </row>
        <row r="39">
          <cell r="F39">
            <v>28</v>
          </cell>
        </row>
        <row r="40">
          <cell r="F40">
            <v>7</v>
          </cell>
        </row>
        <row r="41">
          <cell r="F41">
            <v>406</v>
          </cell>
        </row>
        <row r="43">
          <cell r="F43">
            <v>136</v>
          </cell>
        </row>
        <row r="44">
          <cell r="F44">
            <v>40</v>
          </cell>
        </row>
        <row r="46">
          <cell r="F46">
            <v>75</v>
          </cell>
        </row>
        <row r="47">
          <cell r="F47">
            <v>1</v>
          </cell>
        </row>
        <row r="49">
          <cell r="F49">
            <v>4</v>
          </cell>
        </row>
        <row r="50">
          <cell r="F50">
            <v>2</v>
          </cell>
        </row>
        <row r="51">
          <cell r="F51">
            <v>2388</v>
          </cell>
        </row>
        <row r="52">
          <cell r="F52">
            <v>44</v>
          </cell>
        </row>
        <row r="53">
          <cell r="F53">
            <v>1</v>
          </cell>
        </row>
        <row r="54">
          <cell r="F54">
            <v>29</v>
          </cell>
        </row>
        <row r="55">
          <cell r="F55">
            <v>74</v>
          </cell>
        </row>
        <row r="57">
          <cell r="F57">
            <v>6</v>
          </cell>
        </row>
        <row r="59">
          <cell r="F59">
            <v>19</v>
          </cell>
        </row>
        <row r="60">
          <cell r="F60">
            <v>20</v>
          </cell>
        </row>
        <row r="62">
          <cell r="F62">
            <v>6</v>
          </cell>
        </row>
        <row r="63">
          <cell r="F63">
            <v>206</v>
          </cell>
        </row>
        <row r="64">
          <cell r="F64">
            <v>63</v>
          </cell>
        </row>
        <row r="65">
          <cell r="F65">
            <v>25</v>
          </cell>
        </row>
        <row r="66">
          <cell r="F66">
            <v>4</v>
          </cell>
        </row>
        <row r="67">
          <cell r="F67">
            <v>41</v>
          </cell>
        </row>
        <row r="68">
          <cell r="F68">
            <v>49</v>
          </cell>
        </row>
        <row r="70">
          <cell r="F70">
            <v>20</v>
          </cell>
        </row>
        <row r="71">
          <cell r="F71">
            <v>13</v>
          </cell>
        </row>
        <row r="72">
          <cell r="F72">
            <v>8</v>
          </cell>
        </row>
        <row r="74">
          <cell r="F74">
            <v>2</v>
          </cell>
        </row>
        <row r="76">
          <cell r="F76">
            <v>12</v>
          </cell>
        </row>
        <row r="80">
          <cell r="F80">
            <v>37</v>
          </cell>
        </row>
        <row r="81">
          <cell r="F81">
            <v>9</v>
          </cell>
        </row>
        <row r="83">
          <cell r="F83">
            <v>35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s"/>
      <sheetName val="Table 1 State Summary "/>
      <sheetName val="Table 2_State Distrib and Adjs"/>
      <sheetName val="Table 2A-1_EFT (Annual)"/>
      <sheetName val="Table 2A-2 EFT (Monthly)"/>
      <sheetName val="Table 3 Levels 1&amp;2"/>
      <sheetName val="Table 4 Level 3"/>
      <sheetName val="Table 4A Stipends"/>
      <sheetName val="Table 5A Labs, NOCCA,LSMSA"/>
      <sheetName val="Table 5B1_RSD_Orleans"/>
      <sheetName val="Table 5B2_RSD_LA"/>
      <sheetName val="Table 5C1A-Madison Prep"/>
      <sheetName val="Table 5C1B-DArbonne"/>
      <sheetName val="Table 5C1C-Intl_VIBE"/>
      <sheetName val="Table 5C1D-NOMMA"/>
      <sheetName val="Table 5C1E-LFNO"/>
      <sheetName val="Table 5C1F-Lake Charles Charter"/>
      <sheetName val="Table 5C1G-JS Clark Academy"/>
      <sheetName val="Table 5C1H-Southwest LA Charter"/>
      <sheetName val="Table 5C1I-LA Key Academy"/>
      <sheetName val="Table 5C1J-Jefferson Chamber"/>
      <sheetName val="Table 5C1K-Tallulah Charter"/>
      <sheetName val="Table 5C1L-Northshore Charter"/>
      <sheetName val="Table 5C1M-B.R. Charter"/>
      <sheetName val="Table 5C1N-Delta Charter"/>
      <sheetName val="Table 5C2 - LA Virtual Admy"/>
      <sheetName val="Table 5C3 - LA Connections EBR"/>
      <sheetName val="Table 5D- Legacy Type 2"/>
      <sheetName val="Table 5E_OJJ"/>
      <sheetName val="Table 6 (Local Deduct Calc.)"/>
      <sheetName val="Table 7 Local Revenue"/>
      <sheetName val="2-1-13 SIS"/>
    </sheetNames>
    <sheetDataSet>
      <sheetData sheetId="0"/>
      <sheetData sheetId="1"/>
      <sheetData sheetId="2">
        <row r="7">
          <cell r="AD7">
            <v>4279450</v>
          </cell>
        </row>
        <row r="8">
          <cell r="AD8">
            <v>2386652</v>
          </cell>
        </row>
        <row r="9">
          <cell r="AD9">
            <v>8216074</v>
          </cell>
        </row>
        <row r="10">
          <cell r="AD10">
            <v>1944087</v>
          </cell>
        </row>
        <row r="11">
          <cell r="AD11">
            <v>2641906</v>
          </cell>
        </row>
        <row r="12">
          <cell r="AD12">
            <v>2941188</v>
          </cell>
        </row>
        <row r="13">
          <cell r="AD13">
            <v>460586</v>
          </cell>
        </row>
        <row r="14">
          <cell r="AD14">
            <v>8822715</v>
          </cell>
        </row>
        <row r="15">
          <cell r="AD15">
            <v>17140252</v>
          </cell>
        </row>
        <row r="16">
          <cell r="AD16">
            <v>12411401</v>
          </cell>
        </row>
        <row r="17">
          <cell r="AD17">
            <v>972021</v>
          </cell>
        </row>
        <row r="18">
          <cell r="AD18">
            <v>282519</v>
          </cell>
        </row>
        <row r="19">
          <cell r="AD19">
            <v>877302</v>
          </cell>
        </row>
        <row r="20">
          <cell r="AD20">
            <v>956897</v>
          </cell>
        </row>
        <row r="21">
          <cell r="AD21">
            <v>1834605</v>
          </cell>
        </row>
        <row r="22">
          <cell r="AD22">
            <v>912426</v>
          </cell>
        </row>
        <row r="23">
          <cell r="AD23">
            <v>13840722</v>
          </cell>
        </row>
        <row r="24">
          <cell r="AD24">
            <v>635467</v>
          </cell>
        </row>
        <row r="25">
          <cell r="AD25">
            <v>987703</v>
          </cell>
        </row>
        <row r="26">
          <cell r="AD26">
            <v>2944625</v>
          </cell>
        </row>
        <row r="27">
          <cell r="AD27">
            <v>1559439</v>
          </cell>
        </row>
        <row r="28">
          <cell r="AD28">
            <v>1788249</v>
          </cell>
        </row>
        <row r="29">
          <cell r="AD29">
            <v>6179219</v>
          </cell>
        </row>
        <row r="30">
          <cell r="AD30">
            <v>1357191</v>
          </cell>
        </row>
        <row r="31">
          <cell r="AD31">
            <v>835665</v>
          </cell>
        </row>
        <row r="32">
          <cell r="AD32">
            <v>14955963</v>
          </cell>
        </row>
        <row r="33">
          <cell r="AD33">
            <v>2972330</v>
          </cell>
        </row>
        <row r="34">
          <cell r="AD34">
            <v>9618194</v>
          </cell>
        </row>
        <row r="35">
          <cell r="AD35">
            <v>5358321</v>
          </cell>
        </row>
        <row r="36">
          <cell r="AD36">
            <v>1312356</v>
          </cell>
        </row>
        <row r="37">
          <cell r="AD37">
            <v>2646596</v>
          </cell>
        </row>
        <row r="38">
          <cell r="AD38">
            <v>12541450</v>
          </cell>
        </row>
        <row r="39">
          <cell r="AD39">
            <v>529167</v>
          </cell>
        </row>
        <row r="40">
          <cell r="AD40">
            <v>2354241</v>
          </cell>
        </row>
        <row r="41">
          <cell r="AD41">
            <v>2768389</v>
          </cell>
        </row>
        <row r="42">
          <cell r="AD42">
            <v>3891884</v>
          </cell>
        </row>
        <row r="43">
          <cell r="AD43">
            <v>10029438</v>
          </cell>
        </row>
        <row r="44">
          <cell r="AD44">
            <v>950746</v>
          </cell>
        </row>
        <row r="45">
          <cell r="AD45">
            <v>957591</v>
          </cell>
        </row>
        <row r="46">
          <cell r="AD46">
            <v>10737864</v>
          </cell>
        </row>
        <row r="47">
          <cell r="AD47">
            <v>293755</v>
          </cell>
        </row>
        <row r="48">
          <cell r="AD48">
            <v>1605225</v>
          </cell>
        </row>
        <row r="49">
          <cell r="AD49">
            <v>1769002</v>
          </cell>
        </row>
        <row r="50">
          <cell r="AD50">
            <v>2840285</v>
          </cell>
        </row>
        <row r="51">
          <cell r="AD51">
            <v>2321312</v>
          </cell>
        </row>
        <row r="52">
          <cell r="AD52">
            <v>389398</v>
          </cell>
        </row>
        <row r="53">
          <cell r="AD53">
            <v>1097974</v>
          </cell>
        </row>
        <row r="54">
          <cell r="AD54">
            <v>2466168</v>
          </cell>
        </row>
        <row r="55">
          <cell r="AD55">
            <v>6431070</v>
          </cell>
        </row>
        <row r="56">
          <cell r="AD56">
            <v>3715860</v>
          </cell>
        </row>
        <row r="57">
          <cell r="AD57">
            <v>3710718</v>
          </cell>
        </row>
        <row r="58">
          <cell r="AD58">
            <v>17425072</v>
          </cell>
        </row>
        <row r="59">
          <cell r="AD59">
            <v>8671469</v>
          </cell>
        </row>
        <row r="60">
          <cell r="AD60">
            <v>389459</v>
          </cell>
        </row>
        <row r="61">
          <cell r="AD61">
            <v>7321880</v>
          </cell>
        </row>
        <row r="62">
          <cell r="AD62">
            <v>980791</v>
          </cell>
        </row>
        <row r="63">
          <cell r="AD63">
            <v>3951226</v>
          </cell>
        </row>
        <row r="64">
          <cell r="AD64">
            <v>4631908</v>
          </cell>
        </row>
        <row r="65">
          <cell r="AD65">
            <v>3029253</v>
          </cell>
        </row>
        <row r="66">
          <cell r="AD66">
            <v>2974431</v>
          </cell>
        </row>
        <row r="67">
          <cell r="AD67">
            <v>1123770</v>
          </cell>
        </row>
        <row r="68">
          <cell r="AD68">
            <v>1080987</v>
          </cell>
        </row>
        <row r="69">
          <cell r="AD69">
            <v>868965</v>
          </cell>
        </row>
        <row r="70">
          <cell r="AD70">
            <v>1305092</v>
          </cell>
        </row>
        <row r="71">
          <cell r="AD71">
            <v>3714205</v>
          </cell>
        </row>
        <row r="72">
          <cell r="AD72">
            <v>999607</v>
          </cell>
        </row>
        <row r="73">
          <cell r="AD73">
            <v>2404786</v>
          </cell>
        </row>
        <row r="74">
          <cell r="AD74">
            <v>975282</v>
          </cell>
        </row>
        <row r="75">
          <cell r="AD75">
            <v>2193664</v>
          </cell>
        </row>
      </sheetData>
      <sheetData sheetId="3"/>
      <sheetData sheetId="4"/>
      <sheetData sheetId="5">
        <row r="16">
          <cell r="AL16">
            <v>4395.6154516889328</v>
          </cell>
        </row>
      </sheetData>
      <sheetData sheetId="6"/>
      <sheetData sheetId="7"/>
      <sheetData sheetId="8"/>
      <sheetData sheetId="9"/>
      <sheetData sheetId="10">
        <row r="10">
          <cell r="V10">
            <v>53132.510873471452</v>
          </cell>
          <cell r="AJ10">
            <v>76091.5</v>
          </cell>
        </row>
        <row r="11">
          <cell r="V11">
            <v>56095.006390691451</v>
          </cell>
          <cell r="AJ11">
            <v>80286.599999999991</v>
          </cell>
        </row>
        <row r="12">
          <cell r="V12">
            <v>21114.422217552928</v>
          </cell>
          <cell r="AJ12">
            <v>30242.699999999993</v>
          </cell>
        </row>
        <row r="13">
          <cell r="V13">
            <v>130355.60944455366</v>
          </cell>
          <cell r="AJ13">
            <v>186595.80000000002</v>
          </cell>
        </row>
        <row r="14">
          <cell r="V14">
            <v>140230.58901887227</v>
          </cell>
          <cell r="AJ14">
            <v>200729.4</v>
          </cell>
        </row>
        <row r="15">
          <cell r="V15">
            <v>63445.933547491593</v>
          </cell>
          <cell r="AJ15">
            <v>90987.5</v>
          </cell>
        </row>
        <row r="16">
          <cell r="V16">
            <v>67019.639327290599</v>
          </cell>
          <cell r="AJ16">
            <v>97662</v>
          </cell>
        </row>
        <row r="17">
          <cell r="V17">
            <v>164159.95936159362</v>
          </cell>
        </row>
        <row r="23">
          <cell r="V23">
            <v>60761.431085581986</v>
          </cell>
          <cell r="AJ23">
            <v>57627.299999999996</v>
          </cell>
        </row>
        <row r="28">
          <cell r="V28">
            <v>51233.676437895665</v>
          </cell>
          <cell r="AJ28">
            <v>39478.783333333333</v>
          </cell>
        </row>
        <row r="29">
          <cell r="V29">
            <v>213898.56088730498</v>
          </cell>
        </row>
        <row r="35">
          <cell r="V35">
            <v>141877.35634585135</v>
          </cell>
          <cell r="AJ35">
            <v>35966.1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T7">
            <v>0</v>
          </cell>
          <cell r="AF7">
            <v>0</v>
          </cell>
        </row>
        <row r="8">
          <cell r="T8">
            <v>0</v>
          </cell>
          <cell r="AF8">
            <v>0</v>
          </cell>
        </row>
        <row r="9">
          <cell r="T9">
            <v>0</v>
          </cell>
          <cell r="AF9">
            <v>0</v>
          </cell>
        </row>
        <row r="10">
          <cell r="T10">
            <v>0</v>
          </cell>
          <cell r="AF10">
            <v>0</v>
          </cell>
        </row>
        <row r="11">
          <cell r="T11">
            <v>0</v>
          </cell>
          <cell r="AF11">
            <v>0</v>
          </cell>
        </row>
        <row r="12">
          <cell r="T12">
            <v>0</v>
          </cell>
          <cell r="AF12">
            <v>0</v>
          </cell>
        </row>
        <row r="13">
          <cell r="T13">
            <v>0</v>
          </cell>
          <cell r="AF13">
            <v>0</v>
          </cell>
        </row>
        <row r="14">
          <cell r="T14">
            <v>0</v>
          </cell>
          <cell r="AF14">
            <v>0</v>
          </cell>
        </row>
        <row r="15">
          <cell r="T15">
            <v>0</v>
          </cell>
          <cell r="AF15">
            <v>0</v>
          </cell>
        </row>
        <row r="16">
          <cell r="T16">
            <v>0</v>
          </cell>
          <cell r="AF16">
            <v>0</v>
          </cell>
        </row>
        <row r="17">
          <cell r="T17">
            <v>0</v>
          </cell>
          <cell r="AF17">
            <v>0</v>
          </cell>
        </row>
        <row r="18">
          <cell r="T18">
            <v>0</v>
          </cell>
          <cell r="AF18">
            <v>0</v>
          </cell>
        </row>
        <row r="19">
          <cell r="T19">
            <v>0</v>
          </cell>
          <cell r="AF19">
            <v>0</v>
          </cell>
        </row>
        <row r="20">
          <cell r="T20">
            <v>0</v>
          </cell>
          <cell r="AF20">
            <v>0</v>
          </cell>
        </row>
        <row r="21">
          <cell r="T21">
            <v>0</v>
          </cell>
          <cell r="AF21">
            <v>0</v>
          </cell>
        </row>
        <row r="22">
          <cell r="T22">
            <v>0</v>
          </cell>
          <cell r="AF22">
            <v>0</v>
          </cell>
        </row>
        <row r="23">
          <cell r="T23">
            <v>146971.52080538301</v>
          </cell>
          <cell r="AF23">
            <v>241574.36000000002</v>
          </cell>
        </row>
        <row r="24">
          <cell r="T24">
            <v>0</v>
          </cell>
          <cell r="AF24">
            <v>0</v>
          </cell>
        </row>
        <row r="25">
          <cell r="T25">
            <v>0</v>
          </cell>
          <cell r="AF25">
            <v>0</v>
          </cell>
        </row>
        <row r="26">
          <cell r="T26">
            <v>0</v>
          </cell>
          <cell r="AF26">
            <v>0</v>
          </cell>
        </row>
        <row r="27">
          <cell r="T27">
            <v>0</v>
          </cell>
          <cell r="AF27">
            <v>0</v>
          </cell>
        </row>
        <row r="28">
          <cell r="T28">
            <v>0</v>
          </cell>
          <cell r="AF28">
            <v>0</v>
          </cell>
        </row>
        <row r="29">
          <cell r="T29">
            <v>0</v>
          </cell>
          <cell r="AF29">
            <v>0</v>
          </cell>
        </row>
        <row r="30">
          <cell r="T30">
            <v>0</v>
          </cell>
          <cell r="AF30">
            <v>0</v>
          </cell>
        </row>
        <row r="31">
          <cell r="T31">
            <v>0</v>
          </cell>
          <cell r="AF31">
            <v>0</v>
          </cell>
        </row>
        <row r="32">
          <cell r="T32">
            <v>0</v>
          </cell>
          <cell r="AF32">
            <v>0</v>
          </cell>
        </row>
        <row r="33">
          <cell r="T33">
            <v>0</v>
          </cell>
          <cell r="AF33">
            <v>0</v>
          </cell>
        </row>
        <row r="34">
          <cell r="T34">
            <v>0</v>
          </cell>
          <cell r="AF34">
            <v>0</v>
          </cell>
        </row>
        <row r="35">
          <cell r="T35">
            <v>0</v>
          </cell>
          <cell r="AF35">
            <v>0</v>
          </cell>
        </row>
        <row r="36">
          <cell r="T36">
            <v>0</v>
          </cell>
          <cell r="AF36">
            <v>0</v>
          </cell>
        </row>
        <row r="37">
          <cell r="T37">
            <v>0</v>
          </cell>
          <cell r="AF37">
            <v>0</v>
          </cell>
        </row>
        <row r="38">
          <cell r="T38">
            <v>0</v>
          </cell>
          <cell r="AF38">
            <v>0</v>
          </cell>
        </row>
        <row r="39">
          <cell r="T39">
            <v>0</v>
          </cell>
          <cell r="AF39">
            <v>0</v>
          </cell>
        </row>
        <row r="40">
          <cell r="T40">
            <v>0</v>
          </cell>
          <cell r="AF40">
            <v>0</v>
          </cell>
        </row>
        <row r="41">
          <cell r="T41">
            <v>0</v>
          </cell>
          <cell r="AF41">
            <v>0</v>
          </cell>
        </row>
        <row r="42">
          <cell r="T42">
            <v>0</v>
          </cell>
          <cell r="AF42">
            <v>0</v>
          </cell>
        </row>
        <row r="43">
          <cell r="T43">
            <v>0</v>
          </cell>
          <cell r="AF43">
            <v>0</v>
          </cell>
        </row>
        <row r="44">
          <cell r="T44">
            <v>0</v>
          </cell>
          <cell r="AF44">
            <v>0</v>
          </cell>
        </row>
        <row r="45">
          <cell r="T45">
            <v>0</v>
          </cell>
          <cell r="AF45">
            <v>0</v>
          </cell>
        </row>
        <row r="46">
          <cell r="T46">
            <v>0</v>
          </cell>
          <cell r="AF46">
            <v>0</v>
          </cell>
        </row>
        <row r="47">
          <cell r="T47">
            <v>0</v>
          </cell>
          <cell r="AF47">
            <v>0</v>
          </cell>
        </row>
        <row r="48">
          <cell r="T48">
            <v>0</v>
          </cell>
          <cell r="AF48">
            <v>0</v>
          </cell>
        </row>
        <row r="49">
          <cell r="T49">
            <v>0</v>
          </cell>
          <cell r="AF49">
            <v>0</v>
          </cell>
        </row>
        <row r="50">
          <cell r="T50">
            <v>0</v>
          </cell>
          <cell r="AF50">
            <v>0</v>
          </cell>
        </row>
        <row r="51">
          <cell r="T51">
            <v>0</v>
          </cell>
          <cell r="AF51">
            <v>0</v>
          </cell>
        </row>
        <row r="52">
          <cell r="T52">
            <v>0</v>
          </cell>
          <cell r="AF52">
            <v>0</v>
          </cell>
        </row>
        <row r="53">
          <cell r="T53">
            <v>0</v>
          </cell>
          <cell r="AF53">
            <v>0</v>
          </cell>
        </row>
        <row r="54">
          <cell r="T54">
            <v>0</v>
          </cell>
          <cell r="AF54">
            <v>0</v>
          </cell>
        </row>
        <row r="55">
          <cell r="T55">
            <v>0</v>
          </cell>
          <cell r="AF55">
            <v>0</v>
          </cell>
        </row>
        <row r="56">
          <cell r="T56">
            <v>0</v>
          </cell>
          <cell r="AF56">
            <v>0</v>
          </cell>
        </row>
        <row r="57">
          <cell r="T57">
            <v>0</v>
          </cell>
          <cell r="AF57">
            <v>0</v>
          </cell>
        </row>
        <row r="58">
          <cell r="T58">
            <v>0</v>
          </cell>
          <cell r="AF58">
            <v>0</v>
          </cell>
        </row>
        <row r="59">
          <cell r="T59">
            <v>0</v>
          </cell>
          <cell r="AF59">
            <v>0</v>
          </cell>
        </row>
        <row r="60">
          <cell r="T60">
            <v>0</v>
          </cell>
          <cell r="AF60">
            <v>0</v>
          </cell>
        </row>
        <row r="61">
          <cell r="T61">
            <v>0</v>
          </cell>
          <cell r="AF61">
            <v>0</v>
          </cell>
        </row>
        <row r="62">
          <cell r="T62">
            <v>0</v>
          </cell>
          <cell r="AF62">
            <v>0</v>
          </cell>
        </row>
        <row r="63">
          <cell r="T63">
            <v>0</v>
          </cell>
          <cell r="AF63">
            <v>0</v>
          </cell>
        </row>
        <row r="64">
          <cell r="T64">
            <v>0</v>
          </cell>
          <cell r="AF64">
            <v>0</v>
          </cell>
        </row>
        <row r="65">
          <cell r="T65">
            <v>0</v>
          </cell>
          <cell r="AF65">
            <v>0</v>
          </cell>
        </row>
        <row r="66">
          <cell r="T66">
            <v>0</v>
          </cell>
          <cell r="AF66">
            <v>0</v>
          </cell>
        </row>
        <row r="67">
          <cell r="T67">
            <v>0</v>
          </cell>
          <cell r="AF67">
            <v>0</v>
          </cell>
        </row>
        <row r="68">
          <cell r="T68">
            <v>0</v>
          </cell>
          <cell r="AF68">
            <v>0</v>
          </cell>
        </row>
        <row r="69">
          <cell r="T69">
            <v>0</v>
          </cell>
          <cell r="AF69">
            <v>0</v>
          </cell>
        </row>
        <row r="70">
          <cell r="T70">
            <v>0</v>
          </cell>
          <cell r="AF70">
            <v>0</v>
          </cell>
        </row>
        <row r="71">
          <cell r="T71">
            <v>0</v>
          </cell>
          <cell r="AF71">
            <v>0</v>
          </cell>
        </row>
        <row r="72">
          <cell r="T72">
            <v>0</v>
          </cell>
          <cell r="AF72">
            <v>0</v>
          </cell>
        </row>
        <row r="73">
          <cell r="T73">
            <v>0</v>
          </cell>
          <cell r="AF73">
            <v>0</v>
          </cell>
        </row>
        <row r="74">
          <cell r="T74">
            <v>-2449.5535798880255</v>
          </cell>
          <cell r="AF74">
            <v>-954.74999999999989</v>
          </cell>
        </row>
        <row r="75">
          <cell r="T75">
            <v>0</v>
          </cell>
          <cell r="AF75">
            <v>0</v>
          </cell>
        </row>
      </sheetData>
      <sheetData sheetId="24"/>
      <sheetData sheetId="25"/>
      <sheetData sheetId="26"/>
      <sheetData sheetId="27">
        <row r="10">
          <cell r="T10">
            <v>273033</v>
          </cell>
        </row>
        <row r="11">
          <cell r="T11">
            <v>271857</v>
          </cell>
        </row>
        <row r="14">
          <cell r="T14">
            <v>681301</v>
          </cell>
        </row>
        <row r="15">
          <cell r="T15">
            <v>440138</v>
          </cell>
        </row>
        <row r="16">
          <cell r="T16">
            <v>671487</v>
          </cell>
        </row>
        <row r="17">
          <cell r="T17">
            <v>1094763</v>
          </cell>
        </row>
        <row r="18">
          <cell r="T18">
            <v>199980</v>
          </cell>
        </row>
        <row r="19">
          <cell r="T19">
            <v>88059</v>
          </cell>
        </row>
      </sheetData>
      <sheetData sheetId="28"/>
      <sheetData sheetId="29"/>
      <sheetData sheetId="30"/>
      <sheetData sheetId="31">
        <row r="15">
          <cell r="C15">
            <v>40150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-1-13-Supreme Court Ruling"/>
      <sheetName val="All-Reformatted"/>
      <sheetName val="ALL"/>
      <sheetName val="SSD"/>
      <sheetName val="LSDVI"/>
      <sheetName val="OJJ"/>
      <sheetName val="Raw Data"/>
    </sheetNames>
    <sheetDataSet>
      <sheetData sheetId="0">
        <row r="6">
          <cell r="AE6">
            <v>6654</v>
          </cell>
        </row>
        <row r="7">
          <cell r="AE7">
            <v>2659</v>
          </cell>
        </row>
        <row r="8">
          <cell r="AE8">
            <v>9983</v>
          </cell>
        </row>
        <row r="9">
          <cell r="AE9">
            <v>2382</v>
          </cell>
        </row>
        <row r="10">
          <cell r="AE10">
            <v>4845</v>
          </cell>
        </row>
        <row r="11">
          <cell r="AE11">
            <v>3285</v>
          </cell>
        </row>
        <row r="12">
          <cell r="AE12">
            <v>1551</v>
          </cell>
        </row>
        <row r="13">
          <cell r="AE13">
            <v>9893</v>
          </cell>
        </row>
        <row r="14">
          <cell r="AE14">
            <v>27222</v>
          </cell>
        </row>
        <row r="15">
          <cell r="AE15">
            <v>18965</v>
          </cell>
        </row>
        <row r="16">
          <cell r="AE16">
            <v>1038</v>
          </cell>
        </row>
        <row r="17">
          <cell r="AE17">
            <v>559</v>
          </cell>
        </row>
        <row r="18">
          <cell r="AE18">
            <v>1160</v>
          </cell>
        </row>
        <row r="19">
          <cell r="AE19">
            <v>1492</v>
          </cell>
        </row>
        <row r="20">
          <cell r="AE20">
            <v>2783</v>
          </cell>
        </row>
        <row r="21">
          <cell r="AE21">
            <v>3183</v>
          </cell>
        </row>
        <row r="22">
          <cell r="AE22">
            <v>36413</v>
          </cell>
        </row>
        <row r="23">
          <cell r="AE23">
            <v>1039</v>
          </cell>
        </row>
        <row r="24">
          <cell r="AE24">
            <v>1594</v>
          </cell>
        </row>
        <row r="25">
          <cell r="AE25">
            <v>4512</v>
          </cell>
        </row>
        <row r="26">
          <cell r="AE26">
            <v>2473</v>
          </cell>
        </row>
        <row r="27">
          <cell r="AE27">
            <v>2119</v>
          </cell>
        </row>
        <row r="28">
          <cell r="AE28">
            <v>9534</v>
          </cell>
        </row>
        <row r="29">
          <cell r="AE29">
            <v>3734</v>
          </cell>
        </row>
        <row r="30">
          <cell r="AE30">
            <v>1403</v>
          </cell>
        </row>
        <row r="31">
          <cell r="AE31">
            <v>34549</v>
          </cell>
        </row>
        <row r="32">
          <cell r="AE32">
            <v>3354</v>
          </cell>
        </row>
        <row r="33">
          <cell r="AE33">
            <v>18378</v>
          </cell>
        </row>
        <row r="34">
          <cell r="AE34">
            <v>8281</v>
          </cell>
        </row>
        <row r="35">
          <cell r="AE35">
            <v>1351</v>
          </cell>
        </row>
        <row r="36">
          <cell r="AE36">
            <v>3895</v>
          </cell>
        </row>
        <row r="37">
          <cell r="AE37">
            <v>12760</v>
          </cell>
        </row>
        <row r="38">
          <cell r="AE38">
            <v>1634</v>
          </cell>
        </row>
        <row r="39">
          <cell r="AE39">
            <v>3643</v>
          </cell>
        </row>
        <row r="40">
          <cell r="AE40">
            <v>4857</v>
          </cell>
        </row>
        <row r="41">
          <cell r="AE41">
            <v>34713</v>
          </cell>
        </row>
        <row r="42">
          <cell r="AE42">
            <v>11606</v>
          </cell>
        </row>
        <row r="43">
          <cell r="AE43">
            <v>2392</v>
          </cell>
        </row>
        <row r="44">
          <cell r="AE44">
            <v>2417</v>
          </cell>
        </row>
        <row r="45">
          <cell r="AE45">
            <v>15920</v>
          </cell>
        </row>
        <row r="46">
          <cell r="AE46">
            <v>1224</v>
          </cell>
        </row>
        <row r="47">
          <cell r="AE47">
            <v>2897</v>
          </cell>
        </row>
        <row r="48">
          <cell r="AE48">
            <v>2750</v>
          </cell>
        </row>
        <row r="49">
          <cell r="AE49">
            <v>4886</v>
          </cell>
        </row>
        <row r="50">
          <cell r="AE50">
            <v>5015</v>
          </cell>
        </row>
        <row r="51">
          <cell r="AE51">
            <v>992</v>
          </cell>
        </row>
        <row r="52">
          <cell r="AE52">
            <v>2579</v>
          </cell>
        </row>
        <row r="53">
          <cell r="AE53">
            <v>5728</v>
          </cell>
        </row>
        <row r="54">
          <cell r="AE54">
            <v>11589</v>
          </cell>
        </row>
        <row r="55">
          <cell r="AE55">
            <v>5998</v>
          </cell>
        </row>
        <row r="56">
          <cell r="AE56">
            <v>6563</v>
          </cell>
        </row>
        <row r="57">
          <cell r="AE57">
            <v>17393</v>
          </cell>
        </row>
        <row r="58">
          <cell r="AE58">
            <v>14565</v>
          </cell>
        </row>
        <row r="59">
          <cell r="AE59">
            <v>646</v>
          </cell>
        </row>
        <row r="60">
          <cell r="AE60">
            <v>11839</v>
          </cell>
        </row>
        <row r="61">
          <cell r="AE61">
            <v>2092</v>
          </cell>
        </row>
        <row r="62">
          <cell r="AE62">
            <v>5255</v>
          </cell>
        </row>
        <row r="63">
          <cell r="AE63">
            <v>5332</v>
          </cell>
        </row>
        <row r="64">
          <cell r="AE64">
            <v>4441</v>
          </cell>
        </row>
        <row r="65">
          <cell r="AE65">
            <v>4376</v>
          </cell>
        </row>
        <row r="66">
          <cell r="AE66">
            <v>2522</v>
          </cell>
        </row>
        <row r="67">
          <cell r="AE67">
            <v>1600</v>
          </cell>
        </row>
        <row r="68">
          <cell r="AE68">
            <v>1070</v>
          </cell>
        </row>
        <row r="69">
          <cell r="AE69">
            <v>1727</v>
          </cell>
        </row>
        <row r="70">
          <cell r="AE70">
            <v>6660</v>
          </cell>
        </row>
        <row r="71">
          <cell r="AE71">
            <v>1895</v>
          </cell>
        </row>
        <row r="72">
          <cell r="AE72">
            <v>2264</v>
          </cell>
        </row>
        <row r="73">
          <cell r="AE73">
            <v>1411</v>
          </cell>
        </row>
        <row r="74">
          <cell r="AE74">
            <v>2184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E-Oct 2012-Supreme Court"/>
      <sheetName val="MS5627_CTE -Reformatted"/>
      <sheetName val="MS5627_CTE rollout"/>
    </sheetNames>
    <sheetDataSet>
      <sheetData sheetId="0">
        <row r="7">
          <cell r="AC7">
            <v>2987</v>
          </cell>
        </row>
        <row r="8">
          <cell r="AC8">
            <v>1498</v>
          </cell>
        </row>
        <row r="9">
          <cell r="AC9">
            <v>7749.5</v>
          </cell>
        </row>
        <row r="10">
          <cell r="AC10">
            <v>1685</v>
          </cell>
        </row>
        <row r="11">
          <cell r="AC11">
            <v>2215</v>
          </cell>
        </row>
        <row r="12">
          <cell r="AC12">
            <v>1850.5</v>
          </cell>
        </row>
        <row r="13">
          <cell r="AC13">
            <v>751.5</v>
          </cell>
        </row>
        <row r="14">
          <cell r="AC14">
            <v>6694</v>
          </cell>
        </row>
        <row r="15">
          <cell r="AC15">
            <v>11432.5</v>
          </cell>
        </row>
        <row r="16">
          <cell r="AC16">
            <v>8022.5</v>
          </cell>
        </row>
        <row r="17">
          <cell r="AC17">
            <v>623.5</v>
          </cell>
        </row>
        <row r="18">
          <cell r="AC18">
            <v>513</v>
          </cell>
        </row>
        <row r="19">
          <cell r="AC19">
            <v>729</v>
          </cell>
        </row>
        <row r="20">
          <cell r="AC20">
            <v>518</v>
          </cell>
        </row>
        <row r="21">
          <cell r="AC21">
            <v>1246.5</v>
          </cell>
        </row>
        <row r="22">
          <cell r="AC22">
            <v>1918</v>
          </cell>
        </row>
        <row r="23">
          <cell r="AC23">
            <v>15595.5</v>
          </cell>
        </row>
        <row r="24">
          <cell r="AC24">
            <v>419.5</v>
          </cell>
        </row>
        <row r="25">
          <cell r="AC25">
            <v>683</v>
          </cell>
        </row>
        <row r="26">
          <cell r="AC26">
            <v>1811.5</v>
          </cell>
        </row>
        <row r="27">
          <cell r="AC27">
            <v>1179.5</v>
          </cell>
        </row>
        <row r="28">
          <cell r="AC28">
            <v>920</v>
          </cell>
        </row>
        <row r="29">
          <cell r="AC29">
            <v>5491</v>
          </cell>
        </row>
        <row r="30">
          <cell r="AC30">
            <v>1153.5</v>
          </cell>
        </row>
        <row r="31">
          <cell r="AC31">
            <v>1241.5</v>
          </cell>
        </row>
        <row r="32">
          <cell r="AC32">
            <v>12635</v>
          </cell>
        </row>
        <row r="33">
          <cell r="AC33">
            <v>2317.5</v>
          </cell>
        </row>
        <row r="34">
          <cell r="AC34">
            <v>6269</v>
          </cell>
        </row>
        <row r="35">
          <cell r="AC35">
            <v>5750.5</v>
          </cell>
        </row>
        <row r="36">
          <cell r="AC36">
            <v>906.5</v>
          </cell>
        </row>
        <row r="37">
          <cell r="AC37">
            <v>2323</v>
          </cell>
        </row>
        <row r="38">
          <cell r="AC38">
            <v>10588</v>
          </cell>
        </row>
        <row r="39">
          <cell r="AC39">
            <v>598</v>
          </cell>
        </row>
        <row r="40">
          <cell r="AC40">
            <v>1791</v>
          </cell>
        </row>
        <row r="41">
          <cell r="AC41">
            <v>1874</v>
          </cell>
        </row>
        <row r="42">
          <cell r="AC42">
            <v>4949.5</v>
          </cell>
        </row>
        <row r="43">
          <cell r="AC43">
            <v>3841</v>
          </cell>
        </row>
        <row r="44">
          <cell r="AC44">
            <v>1287.5</v>
          </cell>
        </row>
        <row r="45">
          <cell r="AC45">
            <v>887.5</v>
          </cell>
        </row>
        <row r="46">
          <cell r="AC46">
            <v>10141</v>
          </cell>
        </row>
        <row r="47">
          <cell r="AC47">
            <v>841.5</v>
          </cell>
        </row>
        <row r="48">
          <cell r="AC48">
            <v>858.5</v>
          </cell>
        </row>
        <row r="49">
          <cell r="AC49">
            <v>1513.5</v>
          </cell>
        </row>
        <row r="50">
          <cell r="AC50">
            <v>1797</v>
          </cell>
        </row>
        <row r="51">
          <cell r="AC51">
            <v>4040</v>
          </cell>
        </row>
        <row r="52">
          <cell r="AC52">
            <v>313.5</v>
          </cell>
        </row>
        <row r="53">
          <cell r="AC53">
            <v>1639</v>
          </cell>
        </row>
        <row r="54">
          <cell r="AC54">
            <v>2130.5</v>
          </cell>
        </row>
        <row r="55">
          <cell r="AC55">
            <v>4678</v>
          </cell>
        </row>
        <row r="56">
          <cell r="AC56">
            <v>3473.5</v>
          </cell>
        </row>
        <row r="57">
          <cell r="AC57">
            <v>3065</v>
          </cell>
        </row>
        <row r="58">
          <cell r="AC58">
            <v>18242</v>
          </cell>
        </row>
        <row r="59">
          <cell r="AC59">
            <v>6518</v>
          </cell>
        </row>
        <row r="60">
          <cell r="AC60">
            <v>234</v>
          </cell>
        </row>
        <row r="61">
          <cell r="AC61">
            <v>6229.5</v>
          </cell>
        </row>
        <row r="62">
          <cell r="AC62">
            <v>807</v>
          </cell>
        </row>
        <row r="63">
          <cell r="AC63">
            <v>3235.5</v>
          </cell>
        </row>
        <row r="64">
          <cell r="AC64">
            <v>3275</v>
          </cell>
        </row>
        <row r="65">
          <cell r="AC65">
            <v>2144.5</v>
          </cell>
        </row>
        <row r="66">
          <cell r="AC66">
            <v>2673</v>
          </cell>
        </row>
        <row r="67">
          <cell r="AC67">
            <v>1264</v>
          </cell>
        </row>
        <row r="68">
          <cell r="AC68">
            <v>657.5</v>
          </cell>
        </row>
        <row r="69">
          <cell r="AC69">
            <v>613</v>
          </cell>
        </row>
        <row r="70">
          <cell r="AC70">
            <v>1264</v>
          </cell>
        </row>
        <row r="71">
          <cell r="AC71">
            <v>2275.5</v>
          </cell>
        </row>
        <row r="72">
          <cell r="AC72">
            <v>417</v>
          </cell>
        </row>
        <row r="73">
          <cell r="AC73">
            <v>1467</v>
          </cell>
        </row>
        <row r="74">
          <cell r="AC74">
            <v>679</v>
          </cell>
        </row>
        <row r="75">
          <cell r="AC75">
            <v>1412.5</v>
          </cell>
        </row>
      </sheetData>
      <sheetData sheetId="1">
        <row r="7">
          <cell r="C7">
            <v>2977.5</v>
          </cell>
        </row>
      </sheetData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WD 2-1-13 Supreme Court"/>
      <sheetName val="Rollup_SWD"/>
      <sheetName val="Rollup_GT"/>
      <sheetName val="Student Level Files_SWD"/>
      <sheetName val="Student Level Files_GT"/>
    </sheetNames>
    <sheetDataSet>
      <sheetData sheetId="0" refreshError="1">
        <row r="6">
          <cell r="Z6">
            <v>928</v>
          </cell>
        </row>
        <row r="7">
          <cell r="Z7">
            <v>445</v>
          </cell>
        </row>
        <row r="8">
          <cell r="Z8">
            <v>2246</v>
          </cell>
        </row>
        <row r="9">
          <cell r="Z9">
            <v>485</v>
          </cell>
        </row>
        <row r="10">
          <cell r="Z10">
            <v>553</v>
          </cell>
        </row>
        <row r="11">
          <cell r="Z11">
            <v>936</v>
          </cell>
        </row>
        <row r="12">
          <cell r="Z12">
            <v>210</v>
          </cell>
        </row>
        <row r="13">
          <cell r="Z13">
            <v>2471</v>
          </cell>
        </row>
        <row r="14">
          <cell r="Z14">
            <v>4040</v>
          </cell>
        </row>
        <row r="15">
          <cell r="Z15">
            <v>4952</v>
          </cell>
        </row>
        <row r="16">
          <cell r="Z16">
            <v>303</v>
          </cell>
        </row>
        <row r="17">
          <cell r="Z17">
            <v>148</v>
          </cell>
        </row>
        <row r="18">
          <cell r="Z18">
            <v>170</v>
          </cell>
        </row>
        <row r="19">
          <cell r="Z19">
            <v>347</v>
          </cell>
        </row>
        <row r="20">
          <cell r="Z20">
            <v>356</v>
          </cell>
        </row>
        <row r="21">
          <cell r="Z21">
            <v>565</v>
          </cell>
        </row>
        <row r="22">
          <cell r="Z22">
            <v>4556</v>
          </cell>
        </row>
        <row r="23">
          <cell r="Z23">
            <v>121</v>
          </cell>
        </row>
        <row r="24">
          <cell r="Z24">
            <v>270</v>
          </cell>
        </row>
        <row r="25">
          <cell r="Z25">
            <v>822</v>
          </cell>
        </row>
        <row r="26">
          <cell r="Z26">
            <v>409</v>
          </cell>
        </row>
        <row r="27">
          <cell r="Z27">
            <v>500</v>
          </cell>
        </row>
        <row r="28">
          <cell r="Z28">
            <v>1570</v>
          </cell>
        </row>
        <row r="29">
          <cell r="Z29">
            <v>430</v>
          </cell>
        </row>
        <row r="30">
          <cell r="Z30">
            <v>215</v>
          </cell>
        </row>
        <row r="31">
          <cell r="Z31">
            <v>5343</v>
          </cell>
        </row>
        <row r="32">
          <cell r="Z32">
            <v>804</v>
          </cell>
        </row>
        <row r="33">
          <cell r="Z33">
            <v>2748</v>
          </cell>
        </row>
        <row r="34">
          <cell r="Z34">
            <v>1121</v>
          </cell>
        </row>
        <row r="35">
          <cell r="Z35">
            <v>230</v>
          </cell>
        </row>
        <row r="36">
          <cell r="Z36">
            <v>743</v>
          </cell>
        </row>
        <row r="37">
          <cell r="Z37">
            <v>3207</v>
          </cell>
        </row>
        <row r="38">
          <cell r="Z38">
            <v>198</v>
          </cell>
        </row>
        <row r="39">
          <cell r="Z39">
            <v>705</v>
          </cell>
        </row>
        <row r="40">
          <cell r="Z40">
            <v>740</v>
          </cell>
        </row>
        <row r="41">
          <cell r="Z41">
            <v>4700</v>
          </cell>
        </row>
        <row r="42">
          <cell r="Z42">
            <v>2495</v>
          </cell>
        </row>
        <row r="43">
          <cell r="Z43">
            <v>474</v>
          </cell>
        </row>
        <row r="44">
          <cell r="Z44">
            <v>466</v>
          </cell>
        </row>
        <row r="45">
          <cell r="Z45">
            <v>2554</v>
          </cell>
        </row>
        <row r="46">
          <cell r="Z46">
            <v>124</v>
          </cell>
        </row>
        <row r="47">
          <cell r="Z47">
            <v>378</v>
          </cell>
        </row>
        <row r="48">
          <cell r="Z48">
            <v>535</v>
          </cell>
        </row>
        <row r="49">
          <cell r="Z49">
            <v>694</v>
          </cell>
        </row>
        <row r="50">
          <cell r="Z50">
            <v>929</v>
          </cell>
        </row>
        <row r="51">
          <cell r="Z51">
            <v>135</v>
          </cell>
        </row>
        <row r="52">
          <cell r="Z52">
            <v>504</v>
          </cell>
        </row>
        <row r="53">
          <cell r="Z53">
            <v>847</v>
          </cell>
        </row>
        <row r="54">
          <cell r="Z54">
            <v>1801</v>
          </cell>
        </row>
        <row r="55">
          <cell r="Z55">
            <v>866</v>
          </cell>
        </row>
        <row r="56">
          <cell r="Z56">
            <v>1301</v>
          </cell>
        </row>
        <row r="57">
          <cell r="Z57">
            <v>6201</v>
          </cell>
        </row>
        <row r="58">
          <cell r="Z58">
            <v>2184</v>
          </cell>
        </row>
        <row r="59">
          <cell r="Z59">
            <v>116</v>
          </cell>
        </row>
        <row r="60">
          <cell r="Z60">
            <v>2156</v>
          </cell>
        </row>
        <row r="61">
          <cell r="Z61">
            <v>373</v>
          </cell>
        </row>
        <row r="62">
          <cell r="Z62">
            <v>1093</v>
          </cell>
        </row>
        <row r="63">
          <cell r="Z63">
            <v>1021</v>
          </cell>
        </row>
        <row r="64">
          <cell r="Z64">
            <v>828</v>
          </cell>
        </row>
        <row r="65">
          <cell r="Z65">
            <v>702</v>
          </cell>
        </row>
        <row r="66">
          <cell r="Z66">
            <v>363</v>
          </cell>
        </row>
        <row r="67">
          <cell r="Z67">
            <v>232</v>
          </cell>
        </row>
        <row r="68">
          <cell r="Z68">
            <v>259</v>
          </cell>
        </row>
        <row r="69">
          <cell r="Z69">
            <v>320</v>
          </cell>
        </row>
        <row r="70">
          <cell r="Z70">
            <v>1288</v>
          </cell>
        </row>
        <row r="71">
          <cell r="Z71">
            <v>500</v>
          </cell>
        </row>
        <row r="72">
          <cell r="Z72">
            <v>418</v>
          </cell>
        </row>
        <row r="73">
          <cell r="Z73">
            <v>212</v>
          </cell>
        </row>
        <row r="74">
          <cell r="Z74">
            <v>278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_PS-12th Supreme Court"/>
      <sheetName val="Rollup_PS-8th"/>
      <sheetName val="Rollup_9th-12th"/>
      <sheetName val="Rollup_PS-12th"/>
      <sheetName val="Student Level_PS-Grade08_GT"/>
      <sheetName val="Student Level_Grade09thru12_GT"/>
      <sheetName val="Student Level File_Total"/>
    </sheetNames>
    <sheetDataSet>
      <sheetData sheetId="0">
        <row r="5">
          <cell r="T5">
            <v>84</v>
          </cell>
        </row>
        <row r="6">
          <cell r="T6">
            <v>54</v>
          </cell>
        </row>
        <row r="7">
          <cell r="T7">
            <v>546</v>
          </cell>
        </row>
        <row r="8">
          <cell r="T8">
            <v>90</v>
          </cell>
        </row>
        <row r="9">
          <cell r="T9">
            <v>5</v>
          </cell>
        </row>
        <row r="10">
          <cell r="T10">
            <v>76</v>
          </cell>
        </row>
        <row r="11">
          <cell r="T11">
            <v>31</v>
          </cell>
        </row>
        <row r="12">
          <cell r="T12">
            <v>963</v>
          </cell>
        </row>
        <row r="13">
          <cell r="T13">
            <v>1727</v>
          </cell>
        </row>
        <row r="14">
          <cell r="T14">
            <v>1285</v>
          </cell>
        </row>
        <row r="15">
          <cell r="T15">
            <v>27</v>
          </cell>
        </row>
        <row r="16">
          <cell r="T16">
            <v>91</v>
          </cell>
        </row>
        <row r="17">
          <cell r="T17">
            <v>30</v>
          </cell>
        </row>
        <row r="18">
          <cell r="T18">
            <v>104</v>
          </cell>
        </row>
        <row r="19">
          <cell r="T19">
            <v>83</v>
          </cell>
        </row>
        <row r="20">
          <cell r="T20">
            <v>210</v>
          </cell>
        </row>
        <row r="21">
          <cell r="T21">
            <v>1973</v>
          </cell>
        </row>
        <row r="22">
          <cell r="T22">
            <v>1</v>
          </cell>
        </row>
        <row r="23">
          <cell r="T23">
            <v>19</v>
          </cell>
        </row>
        <row r="24">
          <cell r="T24">
            <v>71</v>
          </cell>
        </row>
        <row r="25">
          <cell r="T25">
            <v>25</v>
          </cell>
        </row>
        <row r="26">
          <cell r="T26">
            <v>28</v>
          </cell>
        </row>
        <row r="27">
          <cell r="T27">
            <v>407</v>
          </cell>
        </row>
        <row r="28">
          <cell r="T28">
            <v>116</v>
          </cell>
        </row>
        <row r="29">
          <cell r="T29">
            <v>86</v>
          </cell>
        </row>
        <row r="30">
          <cell r="T30">
            <v>3456</v>
          </cell>
        </row>
        <row r="31">
          <cell r="T31">
            <v>143</v>
          </cell>
        </row>
        <row r="32">
          <cell r="T32">
            <v>1336</v>
          </cell>
        </row>
        <row r="33">
          <cell r="T33">
            <v>217</v>
          </cell>
        </row>
        <row r="34">
          <cell r="T34">
            <v>37</v>
          </cell>
        </row>
        <row r="35">
          <cell r="T35">
            <v>347</v>
          </cell>
        </row>
        <row r="36">
          <cell r="T36">
            <v>1158</v>
          </cell>
        </row>
        <row r="37">
          <cell r="T37">
            <v>10</v>
          </cell>
        </row>
        <row r="38">
          <cell r="T38">
            <v>49</v>
          </cell>
        </row>
        <row r="39">
          <cell r="T39">
            <v>224</v>
          </cell>
        </row>
        <row r="40">
          <cell r="T40">
            <v>2742</v>
          </cell>
        </row>
        <row r="41">
          <cell r="T41">
            <v>967</v>
          </cell>
        </row>
        <row r="42">
          <cell r="T42">
            <v>202</v>
          </cell>
        </row>
        <row r="43">
          <cell r="T43">
            <v>33</v>
          </cell>
        </row>
        <row r="44">
          <cell r="T44">
            <v>570</v>
          </cell>
        </row>
        <row r="45">
          <cell r="T45">
            <v>3</v>
          </cell>
        </row>
        <row r="46">
          <cell r="T46">
            <v>51</v>
          </cell>
        </row>
        <row r="47">
          <cell r="T47">
            <v>108</v>
          </cell>
        </row>
        <row r="48">
          <cell r="T48">
            <v>138</v>
          </cell>
        </row>
        <row r="49">
          <cell r="T49">
            <v>492</v>
          </cell>
        </row>
        <row r="50">
          <cell r="T50">
            <v>14</v>
          </cell>
        </row>
        <row r="51">
          <cell r="T51">
            <v>74</v>
          </cell>
        </row>
        <row r="52">
          <cell r="T52">
            <v>124</v>
          </cell>
        </row>
        <row r="53">
          <cell r="T53">
            <v>334</v>
          </cell>
        </row>
        <row r="54">
          <cell r="T54">
            <v>157</v>
          </cell>
        </row>
        <row r="55">
          <cell r="T55">
            <v>579</v>
          </cell>
        </row>
        <row r="56">
          <cell r="T56">
            <v>3396</v>
          </cell>
        </row>
        <row r="57">
          <cell r="T57">
            <v>414</v>
          </cell>
        </row>
        <row r="58">
          <cell r="T58">
            <v>30</v>
          </cell>
        </row>
        <row r="59">
          <cell r="T59">
            <v>690</v>
          </cell>
        </row>
        <row r="60">
          <cell r="T60">
            <v>22</v>
          </cell>
        </row>
        <row r="61">
          <cell r="T61">
            <v>187</v>
          </cell>
        </row>
        <row r="62">
          <cell r="T62">
            <v>233</v>
          </cell>
        </row>
        <row r="63">
          <cell r="T63">
            <v>327</v>
          </cell>
        </row>
        <row r="64">
          <cell r="T64">
            <v>302</v>
          </cell>
        </row>
        <row r="65">
          <cell r="T65">
            <v>139</v>
          </cell>
        </row>
        <row r="66">
          <cell r="T66">
            <v>18</v>
          </cell>
        </row>
        <row r="67">
          <cell r="T67">
            <v>139</v>
          </cell>
        </row>
        <row r="68">
          <cell r="T68">
            <v>82</v>
          </cell>
        </row>
        <row r="69">
          <cell r="T69">
            <v>592</v>
          </cell>
        </row>
        <row r="70">
          <cell r="T70">
            <v>108</v>
          </cell>
        </row>
        <row r="71">
          <cell r="T71">
            <v>427</v>
          </cell>
        </row>
        <row r="72">
          <cell r="T72">
            <v>4</v>
          </cell>
        </row>
        <row r="73">
          <cell r="T73">
            <v>272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5"/>
  <sheetViews>
    <sheetView showGridLines="0" tabSelected="1" view="pageBreakPreview" zoomScale="80" zoomScaleNormal="80" zoomScaleSheetLayoutView="80" workbookViewId="0">
      <pane xSplit="3" ySplit="9" topLeftCell="D10" activePane="bottomRight" state="frozen"/>
      <selection activeCell="B3" sqref="B3:B5"/>
      <selection pane="topRight" activeCell="B3" sqref="B3:B5"/>
      <selection pane="bottomLeft" activeCell="B3" sqref="B3:B5"/>
      <selection pane="bottomRight" activeCell="J6" sqref="J6"/>
    </sheetView>
  </sheetViews>
  <sheetFormatPr defaultRowHeight="12.75"/>
  <cols>
    <col min="1" max="1" width="3.85546875" customWidth="1"/>
    <col min="2" max="2" width="6.42578125" customWidth="1"/>
    <col min="3" max="3" width="75.28515625" customWidth="1"/>
    <col min="4" max="4" width="17.28515625" customWidth="1"/>
    <col min="5" max="5" width="16.5703125" customWidth="1"/>
    <col min="6" max="6" width="0.28515625" customWidth="1"/>
    <col min="7" max="7" width="15.85546875" customWidth="1"/>
    <col min="8" max="8" width="12.85546875" customWidth="1"/>
    <col min="9" max="9" width="3" customWidth="1"/>
    <col min="10" max="10" width="9.85546875" bestFit="1" customWidth="1"/>
  </cols>
  <sheetData>
    <row r="1" spans="1:12" ht="7.5" customHeight="1"/>
    <row r="2" spans="1:12" ht="24" customHeight="1">
      <c r="A2" s="2084" t="s">
        <v>768</v>
      </c>
      <c r="B2" s="2085"/>
      <c r="C2" s="2085"/>
      <c r="D2" s="2085"/>
      <c r="E2" s="2085"/>
      <c r="F2" s="2085"/>
      <c r="G2" s="2085"/>
      <c r="H2" s="2085"/>
    </row>
    <row r="3" spans="1:12" ht="29.25" customHeight="1">
      <c r="A3" s="2086" t="s">
        <v>1011</v>
      </c>
      <c r="B3" s="2086"/>
      <c r="C3" s="2086"/>
      <c r="D3" s="2086"/>
      <c r="E3" s="2086"/>
      <c r="F3" s="2086"/>
      <c r="G3" s="2086"/>
      <c r="H3" s="2086"/>
    </row>
    <row r="4" spans="1:12" ht="6.75" customHeight="1" thickBot="1">
      <c r="A4" s="2087"/>
      <c r="B4" s="2088"/>
      <c r="C4" s="2088"/>
      <c r="D4" s="2088"/>
      <c r="E4" s="2088"/>
      <c r="F4" s="2088"/>
      <c r="G4" s="2088"/>
      <c r="H4" s="2088"/>
    </row>
    <row r="5" spans="1:12" s="35" customFormat="1" ht="12" customHeight="1" thickTop="1">
      <c r="A5" s="24"/>
      <c r="B5" s="25"/>
      <c r="C5" s="41"/>
      <c r="D5" s="2089" t="s">
        <v>458</v>
      </c>
      <c r="E5" s="2098" t="s">
        <v>767</v>
      </c>
      <c r="F5" s="2099"/>
      <c r="G5" s="2092" t="s">
        <v>488</v>
      </c>
      <c r="H5" s="2095" t="s">
        <v>20</v>
      </c>
    </row>
    <row r="6" spans="1:12" ht="24" customHeight="1">
      <c r="A6" s="180"/>
      <c r="B6" s="174"/>
      <c r="C6" s="175"/>
      <c r="D6" s="2090"/>
      <c r="E6" s="2100"/>
      <c r="F6" s="2101"/>
      <c r="G6" s="2093"/>
      <c r="H6" s="2096"/>
    </row>
    <row r="7" spans="1:12" s="35" customFormat="1" ht="20.100000000000001" customHeight="1">
      <c r="A7" s="180"/>
      <c r="B7" s="174"/>
      <c r="C7" s="42"/>
      <c r="D7" s="2090"/>
      <c r="E7" s="2100"/>
      <c r="F7" s="2101"/>
      <c r="G7" s="2093"/>
      <c r="H7" s="2096"/>
    </row>
    <row r="8" spans="1:12" s="35" customFormat="1" ht="54.75" customHeight="1" thickBot="1">
      <c r="A8" s="181"/>
      <c r="B8" s="26"/>
      <c r="C8" s="111" t="s">
        <v>174</v>
      </c>
      <c r="D8" s="2091"/>
      <c r="E8" s="2102"/>
      <c r="F8" s="2103"/>
      <c r="G8" s="2094"/>
      <c r="H8" s="2097"/>
    </row>
    <row r="9" spans="1:12" s="35" customFormat="1" ht="18.75" customHeight="1" thickTop="1" thickBot="1">
      <c r="A9" s="182" t="s">
        <v>167</v>
      </c>
      <c r="B9" s="50" t="s">
        <v>158</v>
      </c>
      <c r="C9" s="51"/>
      <c r="D9" s="788">
        <v>3855</v>
      </c>
      <c r="E9" s="788">
        <f>'Table 3 Levels 1&amp;2'!Q77</f>
        <v>3855</v>
      </c>
      <c r="F9" s="789"/>
      <c r="G9" s="217">
        <f>E9-D9</f>
        <v>0</v>
      </c>
      <c r="H9" s="503">
        <f t="shared" ref="H9:H24" si="0">ROUND((E9/D9)-1,4)</f>
        <v>0</v>
      </c>
    </row>
    <row r="10" spans="1:12" s="35" customFormat="1" ht="32.25" customHeight="1">
      <c r="A10" s="759" t="s">
        <v>168</v>
      </c>
      <c r="B10" s="2105" t="s">
        <v>727</v>
      </c>
      <c r="C10" s="2106"/>
      <c r="D10" s="963">
        <v>944883</v>
      </c>
      <c r="E10" s="963">
        <f>E12+E20+E21+E22+E23+E24</f>
        <v>940547.9</v>
      </c>
      <c r="F10" s="964"/>
      <c r="G10" s="965">
        <f>E10-D10</f>
        <v>-4335.0999999999767</v>
      </c>
      <c r="H10" s="504">
        <f t="shared" si="0"/>
        <v>-4.5999999999999999E-3</v>
      </c>
    </row>
    <row r="11" spans="1:12" s="35" customFormat="1" ht="21.75" customHeight="1">
      <c r="A11" s="183"/>
      <c r="B11" s="30" t="s">
        <v>159</v>
      </c>
      <c r="C11" s="29" t="s">
        <v>506</v>
      </c>
      <c r="D11" s="790"/>
      <c r="E11" s="790"/>
      <c r="F11" s="791"/>
      <c r="G11" s="139"/>
      <c r="H11" s="505"/>
    </row>
    <row r="12" spans="1:12" s="35" customFormat="1" ht="31.5" customHeight="1">
      <c r="A12" s="183"/>
      <c r="B12" s="966" t="s">
        <v>431</v>
      </c>
      <c r="C12" s="967" t="s">
        <v>728</v>
      </c>
      <c r="D12" s="961">
        <v>676830</v>
      </c>
      <c r="E12" s="961">
        <f>'Table 3 Levels 1&amp;2'!C77</f>
        <v>673908</v>
      </c>
      <c r="F12" s="962"/>
      <c r="G12" s="205">
        <f t="shared" ref="G12:G24" si="1">E12-D12</f>
        <v>-2922</v>
      </c>
      <c r="H12" s="505">
        <f t="shared" si="0"/>
        <v>-4.3E-3</v>
      </c>
    </row>
    <row r="13" spans="1:12" s="35" customFormat="1" ht="21.75" customHeight="1">
      <c r="A13" s="183"/>
      <c r="B13" s="960" t="s">
        <v>426</v>
      </c>
      <c r="C13" s="29" t="s">
        <v>362</v>
      </c>
      <c r="D13" s="790">
        <v>1625</v>
      </c>
      <c r="E13" s="790">
        <f>'Table 5A Labs, NOCCA,LSMSA'!B10</f>
        <v>1767</v>
      </c>
      <c r="F13" s="791"/>
      <c r="G13" s="139">
        <f t="shared" si="1"/>
        <v>142</v>
      </c>
      <c r="H13" s="505">
        <f t="shared" si="0"/>
        <v>8.7400000000000005E-2</v>
      </c>
    </row>
    <row r="14" spans="1:12" s="35" customFormat="1" ht="18" customHeight="1">
      <c r="A14" s="183"/>
      <c r="B14" s="960" t="s">
        <v>427</v>
      </c>
      <c r="C14" s="29" t="s">
        <v>363</v>
      </c>
      <c r="D14" s="790">
        <v>310.69909400000006</v>
      </c>
      <c r="E14" s="790">
        <f>'Table 5E_OJJ'!C77</f>
        <v>337.74073299999992</v>
      </c>
      <c r="F14" s="791"/>
      <c r="G14" s="139">
        <f t="shared" si="1"/>
        <v>27.041638999999861</v>
      </c>
      <c r="H14" s="505">
        <f t="shared" si="0"/>
        <v>8.6999999999999994E-2</v>
      </c>
      <c r="L14" s="1646"/>
    </row>
    <row r="15" spans="1:12" s="35" customFormat="1" ht="18" customHeight="1">
      <c r="A15" s="183"/>
      <c r="B15" s="960" t="s">
        <v>428</v>
      </c>
      <c r="C15" s="29" t="s">
        <v>726</v>
      </c>
      <c r="D15" s="790">
        <v>630</v>
      </c>
      <c r="E15" s="790">
        <f>'Table 5C1I-LA Key Academy'!C77+'Table 5C1J-Jefferson Chamber'!C77+'Table 5C1K-Tallulah Charter'!C77+'Table 5C1L-Northshore Charter'!C77+'Table 5C1M-B.R. Charter'!C77+'Table 5C1N-Delta Charter'!C77</f>
        <v>1644</v>
      </c>
      <c r="F15" s="791"/>
      <c r="G15" s="139">
        <f t="shared" si="1"/>
        <v>1014</v>
      </c>
      <c r="H15" s="505">
        <f t="shared" si="0"/>
        <v>1.6094999999999999</v>
      </c>
      <c r="L15" s="1646"/>
    </row>
    <row r="16" spans="1:12" s="35" customFormat="1" ht="18" customHeight="1">
      <c r="A16" s="183"/>
      <c r="B16" s="960" t="s">
        <v>429</v>
      </c>
      <c r="C16" s="29" t="s">
        <v>375</v>
      </c>
      <c r="D16" s="790">
        <v>294.99442900000003</v>
      </c>
      <c r="E16" s="790">
        <v>275</v>
      </c>
      <c r="F16" s="791"/>
      <c r="G16" s="139">
        <f t="shared" si="1"/>
        <v>-19.994429000000025</v>
      </c>
      <c r="H16" s="505">
        <f t="shared" si="0"/>
        <v>-6.7799999999999999E-2</v>
      </c>
      <c r="L16" s="1646"/>
    </row>
    <row r="17" spans="1:12" s="35" customFormat="1" ht="18" customHeight="1">
      <c r="A17" s="183"/>
      <c r="B17" s="960" t="s">
        <v>430</v>
      </c>
      <c r="C17" s="29" t="s">
        <v>376</v>
      </c>
      <c r="D17" s="790">
        <v>112</v>
      </c>
      <c r="E17" s="790">
        <v>114</v>
      </c>
      <c r="F17" s="791"/>
      <c r="G17" s="139">
        <f t="shared" si="1"/>
        <v>2</v>
      </c>
      <c r="H17" s="505">
        <f t="shared" si="0"/>
        <v>1.7899999999999999E-2</v>
      </c>
      <c r="L17" s="1646"/>
    </row>
    <row r="18" spans="1:12" s="35" customFormat="1" ht="18" customHeight="1">
      <c r="A18" s="183"/>
      <c r="B18" s="1286" t="s">
        <v>737</v>
      </c>
      <c r="C18" s="1287" t="s">
        <v>738</v>
      </c>
      <c r="D18" s="1284"/>
      <c r="E18" s="1284">
        <f>'Table 5D- Legacy Type 2'!C20</f>
        <v>4306</v>
      </c>
      <c r="F18" s="1285"/>
      <c r="G18" s="139">
        <f t="shared" si="1"/>
        <v>4306</v>
      </c>
      <c r="H18" s="505"/>
      <c r="L18" s="1646"/>
    </row>
    <row r="19" spans="1:12" s="35" customFormat="1" ht="18" customHeight="1">
      <c r="A19" s="183"/>
      <c r="B19" s="960" t="s">
        <v>739</v>
      </c>
      <c r="C19" s="29" t="s">
        <v>361</v>
      </c>
      <c r="D19" s="961">
        <v>679802.69352299999</v>
      </c>
      <c r="E19" s="961">
        <f>SUM(E12:E18)</f>
        <v>682351.74073299998</v>
      </c>
      <c r="F19" s="962"/>
      <c r="G19" s="205">
        <f t="shared" si="1"/>
        <v>2549.0472099999897</v>
      </c>
      <c r="H19" s="505">
        <f t="shared" si="0"/>
        <v>3.7000000000000002E-3</v>
      </c>
      <c r="L19" s="1646"/>
    </row>
    <row r="20" spans="1:12" s="35" customFormat="1" ht="18.75" customHeight="1">
      <c r="A20" s="183"/>
      <c r="B20" s="208" t="s">
        <v>160</v>
      </c>
      <c r="C20" s="29" t="s">
        <v>495</v>
      </c>
      <c r="D20" s="790">
        <v>101295</v>
      </c>
      <c r="E20" s="790">
        <f>'Table 3 Levels 1&amp;2'!E77</f>
        <v>100693</v>
      </c>
      <c r="F20" s="791"/>
      <c r="G20" s="139">
        <f t="shared" si="1"/>
        <v>-602</v>
      </c>
      <c r="H20" s="506">
        <f t="shared" si="0"/>
        <v>-5.8999999999999999E-3</v>
      </c>
      <c r="K20" s="1646"/>
      <c r="L20" s="1646"/>
    </row>
    <row r="21" spans="1:12" s="35" customFormat="1" ht="18.75" customHeight="1">
      <c r="A21" s="183"/>
      <c r="B21" s="30" t="s">
        <v>161</v>
      </c>
      <c r="C21" s="29" t="s">
        <v>492</v>
      </c>
      <c r="D21" s="790">
        <v>12888</v>
      </c>
      <c r="E21" s="790">
        <f>'Table 3 Levels 1&amp;2'!G77</f>
        <v>13368</v>
      </c>
      <c r="F21" s="791"/>
      <c r="G21" s="139">
        <f t="shared" si="1"/>
        <v>480</v>
      </c>
      <c r="H21" s="505">
        <f t="shared" si="0"/>
        <v>3.7199999999999997E-2</v>
      </c>
      <c r="J21" s="1646"/>
      <c r="K21" s="1646"/>
      <c r="L21" s="1646"/>
    </row>
    <row r="22" spans="1:12" s="35" customFormat="1" ht="18.75" customHeight="1">
      <c r="A22" s="183"/>
      <c r="B22" s="30" t="s">
        <v>162</v>
      </c>
      <c r="C22" s="29" t="s">
        <v>507</v>
      </c>
      <c r="D22" s="790">
        <v>123582</v>
      </c>
      <c r="E22" s="790">
        <f>'Table 3 Levels 1&amp;2'!I77</f>
        <v>121906.5</v>
      </c>
      <c r="F22" s="791"/>
      <c r="G22" s="139">
        <f t="shared" si="1"/>
        <v>-1675.5</v>
      </c>
      <c r="H22" s="505">
        <f t="shared" si="0"/>
        <v>-1.3599999999999999E-2</v>
      </c>
      <c r="K22" s="1646"/>
      <c r="L22" s="1646"/>
    </row>
    <row r="23" spans="1:12" s="35" customFormat="1" ht="18.75" customHeight="1">
      <c r="A23" s="183"/>
      <c r="B23" s="30" t="s">
        <v>163</v>
      </c>
      <c r="C23" s="29" t="s">
        <v>493</v>
      </c>
      <c r="D23" s="790">
        <v>17047</v>
      </c>
      <c r="E23" s="790">
        <f>'Table 3 Levels 1&amp;2'!K77</f>
        <v>17447.400000000005</v>
      </c>
      <c r="F23" s="791"/>
      <c r="G23" s="139">
        <f t="shared" si="1"/>
        <v>400.40000000000509</v>
      </c>
      <c r="H23" s="505">
        <f t="shared" si="0"/>
        <v>2.35E-2</v>
      </c>
      <c r="K23" s="1646"/>
      <c r="L23" s="1646"/>
    </row>
    <row r="24" spans="1:12" s="35" customFormat="1" ht="16.5" thickBot="1">
      <c r="A24" s="184"/>
      <c r="B24" s="1139" t="s">
        <v>164</v>
      </c>
      <c r="C24" s="792" t="s">
        <v>175</v>
      </c>
      <c r="D24" s="793">
        <v>13241</v>
      </c>
      <c r="E24" s="793">
        <f>'Table 3 Levels 1&amp;2'!N77</f>
        <v>13225</v>
      </c>
      <c r="F24" s="794"/>
      <c r="G24" s="795">
        <f t="shared" si="1"/>
        <v>-16</v>
      </c>
      <c r="H24" s="509">
        <f t="shared" si="0"/>
        <v>-1.1999999999999999E-3</v>
      </c>
      <c r="K24" s="1646"/>
      <c r="L24" s="1646"/>
    </row>
    <row r="25" spans="1:12" s="35" customFormat="1" ht="15.75">
      <c r="A25" s="183" t="s">
        <v>169</v>
      </c>
      <c r="B25" s="27" t="s">
        <v>165</v>
      </c>
      <c r="C25" s="32"/>
      <c r="D25" s="809">
        <v>3642523965</v>
      </c>
      <c r="E25" s="809">
        <f>'Table 3 Levels 1&amp;2'!R77</f>
        <v>3625812169</v>
      </c>
      <c r="F25" s="810"/>
      <c r="G25" s="28">
        <f t="shared" ref="G25:G37" si="2">E25-D25</f>
        <v>-16711796</v>
      </c>
      <c r="H25" s="505">
        <f t="shared" ref="H25:H37" si="3">ROUND((E25/D25)-1,4)</f>
        <v>-4.5999999999999999E-3</v>
      </c>
      <c r="K25" s="1646"/>
      <c r="L25" s="1646"/>
    </row>
    <row r="26" spans="1:12" s="35" customFormat="1" ht="21.75" customHeight="1">
      <c r="A26" s="183"/>
      <c r="B26" s="83" t="s">
        <v>159</v>
      </c>
      <c r="C26" s="84" t="s">
        <v>508</v>
      </c>
      <c r="D26" s="811">
        <v>2367547410</v>
      </c>
      <c r="E26" s="811">
        <f>'Table 3 Levels 1&amp;2'!U77</f>
        <v>2356737142.75</v>
      </c>
      <c r="F26" s="812"/>
      <c r="G26" s="85">
        <f t="shared" si="2"/>
        <v>-10810267.25</v>
      </c>
      <c r="H26" s="508">
        <f t="shared" si="3"/>
        <v>-4.5999999999999999E-3</v>
      </c>
      <c r="K26" s="1646"/>
      <c r="L26" s="1646"/>
    </row>
    <row r="27" spans="1:12" s="35" customFormat="1" ht="18.75" customHeight="1" thickBot="1">
      <c r="A27" s="184"/>
      <c r="B27" s="52" t="s">
        <v>160</v>
      </c>
      <c r="C27" s="53" t="s">
        <v>509</v>
      </c>
      <c r="D27" s="813">
        <v>1274976555</v>
      </c>
      <c r="E27" s="813">
        <f>'Table 3 Levels 1&amp;2'!T77</f>
        <v>1269075026.25</v>
      </c>
      <c r="F27" s="814"/>
      <c r="G27" s="54">
        <f t="shared" si="2"/>
        <v>-5901528.75</v>
      </c>
      <c r="H27" s="507">
        <f t="shared" si="3"/>
        <v>-4.5999999999999999E-3</v>
      </c>
      <c r="K27" s="1646"/>
      <c r="L27" s="1646"/>
    </row>
    <row r="28" spans="1:12" s="35" customFormat="1" ht="18.75" customHeight="1">
      <c r="A28" s="185" t="s">
        <v>170</v>
      </c>
      <c r="B28" s="27" t="s">
        <v>176</v>
      </c>
      <c r="C28" s="72"/>
      <c r="D28" s="809">
        <v>2990718502.5</v>
      </c>
      <c r="E28" s="809">
        <f>'Table 7 Local Revenue'!AQ77</f>
        <v>3078646125.5</v>
      </c>
      <c r="F28" s="810"/>
      <c r="G28" s="28">
        <f t="shared" si="2"/>
        <v>87927623</v>
      </c>
      <c r="H28" s="505">
        <f t="shared" si="3"/>
        <v>2.9399999999999999E-2</v>
      </c>
      <c r="K28" s="1646"/>
      <c r="L28" s="1646"/>
    </row>
    <row r="29" spans="1:12" s="35" customFormat="1" ht="19.5" customHeight="1">
      <c r="A29" s="183"/>
      <c r="B29" s="33" t="s">
        <v>159</v>
      </c>
      <c r="C29" s="27" t="s">
        <v>222</v>
      </c>
      <c r="D29" s="815">
        <v>32368249012.300007</v>
      </c>
      <c r="E29" s="815">
        <f>'Table 7 Local Revenue'!H77</f>
        <v>33628503076.299995</v>
      </c>
      <c r="F29" s="816"/>
      <c r="G29" s="28">
        <f t="shared" si="2"/>
        <v>1260254063.9999886</v>
      </c>
      <c r="H29" s="505">
        <f t="shared" si="3"/>
        <v>3.8899999999999997E-2</v>
      </c>
      <c r="K29" s="1646"/>
      <c r="L29" s="1646"/>
    </row>
    <row r="30" spans="1:12" s="35" customFormat="1" ht="18.75" customHeight="1">
      <c r="A30" s="183"/>
      <c r="B30" s="33" t="s">
        <v>160</v>
      </c>
      <c r="C30" s="27" t="s">
        <v>223</v>
      </c>
      <c r="D30" s="815">
        <v>81720840432.400009</v>
      </c>
      <c r="E30" s="815">
        <f>'Table 7 Local Revenue'!AM77</f>
        <v>83696655339.525009</v>
      </c>
      <c r="F30" s="816"/>
      <c r="G30" s="28">
        <f t="shared" si="2"/>
        <v>1975814907.125</v>
      </c>
      <c r="H30" s="505">
        <f t="shared" si="3"/>
        <v>2.4199999999999999E-2</v>
      </c>
      <c r="K30" s="1646"/>
      <c r="L30" s="1646"/>
    </row>
    <row r="31" spans="1:12" s="35" customFormat="1" ht="18.75" customHeight="1">
      <c r="A31" s="183"/>
      <c r="B31" s="33" t="s">
        <v>161</v>
      </c>
      <c r="C31" s="27" t="s">
        <v>177</v>
      </c>
      <c r="D31" s="796" t="s">
        <v>465</v>
      </c>
      <c r="E31" s="796" t="s">
        <v>729</v>
      </c>
      <c r="F31" s="817"/>
      <c r="G31" s="137"/>
      <c r="H31" s="505"/>
    </row>
    <row r="32" spans="1:12" s="35" customFormat="1" ht="15.75">
      <c r="A32" s="183"/>
      <c r="B32" s="33" t="s">
        <v>162</v>
      </c>
      <c r="C32" s="27" t="s">
        <v>178</v>
      </c>
      <c r="D32" s="797" t="s">
        <v>466</v>
      </c>
      <c r="E32" s="797" t="s">
        <v>730</v>
      </c>
      <c r="F32" s="818"/>
      <c r="G32" s="136"/>
      <c r="H32" s="505"/>
    </row>
    <row r="33" spans="1:10" s="35" customFormat="1" ht="15.75">
      <c r="A33" s="183"/>
      <c r="B33" s="33" t="s">
        <v>163</v>
      </c>
      <c r="C33" s="27" t="s">
        <v>179</v>
      </c>
      <c r="D33" s="815">
        <v>1308298117</v>
      </c>
      <c r="E33" s="815">
        <f>'Table 7 Local Revenue'!AE77</f>
        <v>1371935890</v>
      </c>
      <c r="F33" s="816"/>
      <c r="G33" s="28">
        <f t="shared" si="2"/>
        <v>63637773</v>
      </c>
      <c r="H33" s="505">
        <f t="shared" si="3"/>
        <v>4.8599999999999997E-2</v>
      </c>
    </row>
    <row r="34" spans="1:10" s="35" customFormat="1" ht="18.75" customHeight="1">
      <c r="A34" s="183"/>
      <c r="B34" s="33" t="s">
        <v>164</v>
      </c>
      <c r="C34" s="27" t="s">
        <v>180</v>
      </c>
      <c r="D34" s="815">
        <v>1644278388</v>
      </c>
      <c r="E34" s="815">
        <f>'Table 7 Local Revenue'!AI77</f>
        <v>1669272600</v>
      </c>
      <c r="F34" s="816"/>
      <c r="G34" s="28">
        <f t="shared" si="2"/>
        <v>24994212</v>
      </c>
      <c r="H34" s="505">
        <f t="shared" si="3"/>
        <v>1.52E-2</v>
      </c>
    </row>
    <row r="35" spans="1:10" s="35" customFormat="1" ht="18.75" customHeight="1" thickBot="1">
      <c r="A35" s="184"/>
      <c r="B35" s="55" t="s">
        <v>181</v>
      </c>
      <c r="C35" s="56" t="s">
        <v>182</v>
      </c>
      <c r="D35" s="813">
        <v>38141997.5</v>
      </c>
      <c r="E35" s="813">
        <f>'Table 7 Local Revenue'!AP77</f>
        <v>37437635.5</v>
      </c>
      <c r="F35" s="814"/>
      <c r="G35" s="57">
        <f t="shared" si="2"/>
        <v>-704362</v>
      </c>
      <c r="H35" s="509">
        <f t="shared" si="3"/>
        <v>-1.8499999999999999E-2</v>
      </c>
    </row>
    <row r="36" spans="1:10" s="35" customFormat="1" ht="18.75" customHeight="1">
      <c r="A36" s="183" t="s">
        <v>171</v>
      </c>
      <c r="B36" s="31" t="s">
        <v>166</v>
      </c>
      <c r="C36" s="27"/>
      <c r="D36" s="809">
        <v>1098298863.3000002</v>
      </c>
      <c r="E36" s="809">
        <f>'Table 3 Levels 1&amp;2'!AC77</f>
        <v>1119541066.3200002</v>
      </c>
      <c r="F36" s="810"/>
      <c r="G36" s="28">
        <f t="shared" si="2"/>
        <v>21242203.019999981</v>
      </c>
      <c r="H36" s="505">
        <f t="shared" si="3"/>
        <v>1.9300000000000001E-2</v>
      </c>
    </row>
    <row r="37" spans="1:10" s="35" customFormat="1" ht="23.25" customHeight="1" thickBot="1">
      <c r="A37" s="186"/>
      <c r="B37" s="83" t="s">
        <v>159</v>
      </c>
      <c r="C37" s="86" t="s">
        <v>224</v>
      </c>
      <c r="D37" s="819">
        <v>415212961.69691807</v>
      </c>
      <c r="E37" s="819">
        <f>'Table 3 Levels 1&amp;2'!AE77</f>
        <v>430268294.70514941</v>
      </c>
      <c r="F37" s="820"/>
      <c r="G37" s="85">
        <f t="shared" si="2"/>
        <v>15055333.008231342</v>
      </c>
      <c r="H37" s="508">
        <f t="shared" si="3"/>
        <v>3.6299999999999999E-2</v>
      </c>
    </row>
    <row r="38" spans="1:10" s="35" customFormat="1" ht="18.75" customHeight="1" thickBot="1">
      <c r="A38" s="187" t="s">
        <v>197</v>
      </c>
      <c r="B38" s="87" t="s">
        <v>554</v>
      </c>
      <c r="C38" s="88"/>
      <c r="D38" s="821">
        <v>2782760371.696918</v>
      </c>
      <c r="E38" s="821">
        <f>E26+E37</f>
        <v>2787005437.4551497</v>
      </c>
      <c r="F38" s="822"/>
      <c r="G38" s="89">
        <f>E38-D38</f>
        <v>4245065.7582316399</v>
      </c>
      <c r="H38" s="510">
        <f>ROUND((E38/D38)-1,4)</f>
        <v>1.5E-3</v>
      </c>
    </row>
    <row r="39" spans="1:10" s="35" customFormat="1" ht="27.75" customHeight="1">
      <c r="A39" s="188" t="s">
        <v>172</v>
      </c>
      <c r="B39" s="2107" t="s">
        <v>494</v>
      </c>
      <c r="C39" s="2108"/>
      <c r="D39" s="823">
        <f>SUM(D40:D43)</f>
        <v>622165098.84266078</v>
      </c>
      <c r="E39" s="823">
        <f>E40+E41+E42+E43</f>
        <v>623185581.67210746</v>
      </c>
      <c r="F39" s="824"/>
      <c r="G39" s="453">
        <f>E39-D39</f>
        <v>1020482.8294466734</v>
      </c>
      <c r="H39" s="511">
        <f>ROUND((E39/D39)-1,4)</f>
        <v>1.6000000000000001E-3</v>
      </c>
    </row>
    <row r="40" spans="1:10" s="35" customFormat="1" ht="27" customHeight="1">
      <c r="A40" s="189"/>
      <c r="B40" s="286" t="s">
        <v>159</v>
      </c>
      <c r="C40" s="166" t="s">
        <v>351</v>
      </c>
      <c r="D40" s="825">
        <v>477048859.84266078</v>
      </c>
      <c r="E40" s="825">
        <f>+'Table 4 Level 3'!Q75</f>
        <v>474761850.67210752</v>
      </c>
      <c r="F40" s="826"/>
      <c r="G40" s="79">
        <f>E40-D40</f>
        <v>-2287009.170553267</v>
      </c>
      <c r="H40" s="512">
        <f>ROUND((E40/D40)-1,4)</f>
        <v>-4.7999999999999996E-3</v>
      </c>
    </row>
    <row r="41" spans="1:10" s="35" customFormat="1" ht="27" customHeight="1">
      <c r="A41" s="189"/>
      <c r="B41" s="286" t="s">
        <v>160</v>
      </c>
      <c r="C41" s="202" t="s">
        <v>31</v>
      </c>
      <c r="D41" s="1220">
        <v>4360000</v>
      </c>
      <c r="E41" s="1220">
        <f>'Table 4 Level 3'!L75</f>
        <v>4240000</v>
      </c>
      <c r="F41" s="1221"/>
      <c r="G41" s="79">
        <f>E41-D41</f>
        <v>-120000</v>
      </c>
      <c r="H41" s="512"/>
    </row>
    <row r="42" spans="1:10" s="35" customFormat="1" ht="18" customHeight="1">
      <c r="A42" s="189"/>
      <c r="B42" s="286" t="s">
        <v>161</v>
      </c>
      <c r="C42" s="202" t="s">
        <v>192</v>
      </c>
      <c r="D42" s="827">
        <v>67683000</v>
      </c>
      <c r="E42" s="827">
        <f>'Table 4 Level 3'!N75</f>
        <v>67390800</v>
      </c>
      <c r="F42" s="828"/>
      <c r="G42" s="204">
        <f t="shared" ref="G42:G47" si="4">E42-D42</f>
        <v>-292200</v>
      </c>
      <c r="H42" s="512">
        <f t="shared" ref="H42:H77" si="5">ROUND((E42/D42)-1,4)</f>
        <v>-4.3E-3</v>
      </c>
    </row>
    <row r="43" spans="1:10" s="35" customFormat="1" ht="18" customHeight="1">
      <c r="A43" s="189"/>
      <c r="B43" s="286" t="s">
        <v>162</v>
      </c>
      <c r="C43" s="202" t="s">
        <v>215</v>
      </c>
      <c r="D43" s="829">
        <v>73073239</v>
      </c>
      <c r="E43" s="829">
        <f>SUM(E44:E47)</f>
        <v>76792931</v>
      </c>
      <c r="F43" s="830"/>
      <c r="G43" s="204">
        <f t="shared" si="4"/>
        <v>3719692</v>
      </c>
      <c r="H43" s="512">
        <f t="shared" si="5"/>
        <v>5.0900000000000001E-2</v>
      </c>
    </row>
    <row r="44" spans="1:10" s="35" customFormat="1" ht="18" customHeight="1">
      <c r="A44" s="189"/>
      <c r="B44" s="451"/>
      <c r="C44" s="520" t="s">
        <v>257</v>
      </c>
      <c r="D44" s="831">
        <v>38336714</v>
      </c>
      <c r="E44" s="831">
        <f>'Table 4 Level 3'!D75</f>
        <v>38336714</v>
      </c>
      <c r="F44" s="832"/>
      <c r="G44" s="521">
        <f t="shared" si="4"/>
        <v>0</v>
      </c>
      <c r="H44" s="522">
        <f t="shared" si="5"/>
        <v>0</v>
      </c>
    </row>
    <row r="45" spans="1:10" s="35" customFormat="1" ht="18" customHeight="1">
      <c r="A45" s="189"/>
      <c r="B45" s="451"/>
      <c r="C45" s="520" t="s">
        <v>258</v>
      </c>
      <c r="D45" s="833">
        <v>38456219</v>
      </c>
      <c r="E45" s="833">
        <f>'Table 4 Level 3'!E75</f>
        <v>38456219</v>
      </c>
      <c r="F45" s="834"/>
      <c r="G45" s="521">
        <f t="shared" si="4"/>
        <v>0</v>
      </c>
      <c r="H45" s="522">
        <f t="shared" si="5"/>
        <v>0</v>
      </c>
      <c r="J45" s="693"/>
    </row>
    <row r="46" spans="1:10" s="35" customFormat="1" ht="26.25" customHeight="1">
      <c r="A46" s="189"/>
      <c r="B46" s="451"/>
      <c r="C46" s="525" t="s">
        <v>392</v>
      </c>
      <c r="D46" s="833">
        <v>-23577426</v>
      </c>
      <c r="E46" s="833">
        <f>'Table 4 Level 3'!F75+'Table 4 Level 3'!H75</f>
        <v>-27297127</v>
      </c>
      <c r="F46" s="834"/>
      <c r="G46" s="526">
        <f t="shared" si="4"/>
        <v>-3719701</v>
      </c>
      <c r="H46" s="527">
        <f t="shared" si="5"/>
        <v>0.1578</v>
      </c>
      <c r="J46" s="693"/>
    </row>
    <row r="47" spans="1:10" s="35" customFormat="1" ht="18" customHeight="1" thickBot="1">
      <c r="A47" s="189"/>
      <c r="B47" s="450"/>
      <c r="C47" s="202" t="s">
        <v>259</v>
      </c>
      <c r="D47" s="1140">
        <v>19857732</v>
      </c>
      <c r="E47" s="1140">
        <f>'Table 4 Level 3'!J75</f>
        <v>27297125</v>
      </c>
      <c r="F47" s="1141"/>
      <c r="G47" s="203">
        <f t="shared" si="4"/>
        <v>7439393</v>
      </c>
      <c r="H47" s="512">
        <f t="shared" si="5"/>
        <v>0.37459999999999999</v>
      </c>
    </row>
    <row r="48" spans="1:10" s="35" customFormat="1" ht="17.25" customHeight="1">
      <c r="A48" s="708" t="s">
        <v>574</v>
      </c>
      <c r="B48" s="349" t="s">
        <v>575</v>
      </c>
      <c r="C48" s="350"/>
      <c r="D48" s="835">
        <f>D39+D38</f>
        <v>3404925470.5395789</v>
      </c>
      <c r="E48" s="835">
        <f>E38+E39</f>
        <v>3410191019.1272573</v>
      </c>
      <c r="F48" s="836"/>
      <c r="G48" s="706">
        <f t="shared" ref="G48:G49" si="6">E48-D48</f>
        <v>5265548.5876784325</v>
      </c>
      <c r="H48" s="707">
        <f t="shared" si="5"/>
        <v>1.5E-3</v>
      </c>
    </row>
    <row r="49" spans="1:8" s="35" customFormat="1" ht="16.5" thickBot="1">
      <c r="A49" s="190"/>
      <c r="B49" s="90"/>
      <c r="C49" s="91" t="s">
        <v>220</v>
      </c>
      <c r="D49" s="800">
        <v>5030.6952566221626</v>
      </c>
      <c r="E49" s="800">
        <f>'Table 3 Levels 1&amp;2'!AP77</f>
        <v>5060.3213185290233</v>
      </c>
      <c r="F49" s="801"/>
      <c r="G49" s="334">
        <f t="shared" si="6"/>
        <v>29.626061906860741</v>
      </c>
      <c r="H49" s="513">
        <f t="shared" si="5"/>
        <v>5.8999999999999999E-3</v>
      </c>
    </row>
    <row r="50" spans="1:8" s="35" customFormat="1" ht="15.75">
      <c r="A50" s="194" t="s">
        <v>63</v>
      </c>
      <c r="B50" s="2109" t="s">
        <v>371</v>
      </c>
      <c r="C50" s="2109"/>
      <c r="D50" s="1113"/>
      <c r="E50" s="1114"/>
      <c r="F50" s="1115"/>
      <c r="G50" s="172"/>
      <c r="H50" s="514"/>
    </row>
    <row r="51" spans="1:8" s="35" customFormat="1" ht="17.25" customHeight="1">
      <c r="A51" s="191"/>
      <c r="B51" s="171" t="s">
        <v>199</v>
      </c>
      <c r="C51" s="84"/>
      <c r="D51" s="85">
        <v>8039438.7114330698</v>
      </c>
      <c r="E51" s="798">
        <f>E53+E52</f>
        <v>8804529.524108069</v>
      </c>
      <c r="F51" s="799"/>
      <c r="G51" s="85">
        <f t="shared" ref="G51:G75" si="7">E51-D51</f>
        <v>765090.81267499924</v>
      </c>
      <c r="H51" s="508">
        <f t="shared" si="5"/>
        <v>9.5200000000000007E-2</v>
      </c>
    </row>
    <row r="52" spans="1:8" s="35" customFormat="1" ht="19.5" customHeight="1">
      <c r="A52" s="192"/>
      <c r="B52" s="442" t="s">
        <v>159</v>
      </c>
      <c r="C52" s="443" t="s">
        <v>369</v>
      </c>
      <c r="D52" s="444">
        <v>6702549.7560223052</v>
      </c>
      <c r="E52" s="802">
        <f>'Table 5A Labs, NOCCA,LSMSA'!G8</f>
        <v>6827673.2776208175</v>
      </c>
      <c r="F52" s="803"/>
      <c r="G52" s="444">
        <f t="shared" si="7"/>
        <v>125123.52159851231</v>
      </c>
      <c r="H52" s="515">
        <f t="shared" si="5"/>
        <v>1.8700000000000001E-2</v>
      </c>
    </row>
    <row r="53" spans="1:8" s="35" customFormat="1" ht="15.75">
      <c r="A53" s="192"/>
      <c r="B53" s="177" t="s">
        <v>160</v>
      </c>
      <c r="C53" s="170" t="s">
        <v>370</v>
      </c>
      <c r="D53" s="445">
        <v>1336888.9554107648</v>
      </c>
      <c r="E53" s="837">
        <f>'Table 5A Labs, NOCCA,LSMSA'!G9</f>
        <v>1976856.2464872522</v>
      </c>
      <c r="F53" s="843"/>
      <c r="G53" s="804">
        <f t="shared" si="7"/>
        <v>639967.2910764874</v>
      </c>
      <c r="H53" s="516">
        <f t="shared" si="5"/>
        <v>0.47870000000000001</v>
      </c>
    </row>
    <row r="54" spans="1:8" s="35" customFormat="1" ht="15.75">
      <c r="A54" s="194" t="s">
        <v>456</v>
      </c>
      <c r="B54" s="178" t="s">
        <v>1004</v>
      </c>
      <c r="C54" s="173"/>
      <c r="D54" s="85">
        <v>3176086.9604448481</v>
      </c>
      <c r="E54" s="839">
        <f>'Table 5C1I-LA Key Academy'!H77+'Table 5C1J-Jefferson Chamber'!H77+'Table 5C1K-Tallulah Charter'!H77+'Table 5C1L-Northshore Charter'!H77+'Table 5C1M-B.R. Charter'!H77+'Table 5C1N-Delta Charter'!H77</f>
        <v>8605242.3658612631</v>
      </c>
      <c r="F54" s="849"/>
      <c r="G54" s="805">
        <f t="shared" si="7"/>
        <v>5429155.4054164151</v>
      </c>
      <c r="H54" s="508">
        <f t="shared" si="5"/>
        <v>1.7094</v>
      </c>
    </row>
    <row r="55" spans="1:8" s="35" customFormat="1" ht="15.75">
      <c r="A55" s="194" t="s">
        <v>82</v>
      </c>
      <c r="B55" s="178" t="s">
        <v>315</v>
      </c>
      <c r="C55" s="173"/>
      <c r="D55" s="85">
        <v>2434331.2008444211</v>
      </c>
      <c r="E55" s="840">
        <f>'Table 5E_OJJ'!G77</f>
        <v>2686802.673341406</v>
      </c>
      <c r="F55" s="849"/>
      <c r="G55" s="805">
        <f t="shared" si="7"/>
        <v>252471.47249698499</v>
      </c>
      <c r="H55" s="508">
        <f t="shared" si="5"/>
        <v>0.1037</v>
      </c>
    </row>
    <row r="56" spans="1:8" s="35" customFormat="1" ht="15.75">
      <c r="A56" s="194" t="s">
        <v>84</v>
      </c>
      <c r="B56" s="178" t="s">
        <v>64</v>
      </c>
      <c r="C56" s="173"/>
      <c r="D56" s="85">
        <v>656000</v>
      </c>
      <c r="E56" s="840">
        <f>'Table 4A Stipends'!G77</f>
        <v>734000</v>
      </c>
      <c r="F56" s="849"/>
      <c r="G56" s="805">
        <f>E56-D56</f>
        <v>78000</v>
      </c>
      <c r="H56" s="508">
        <f>ROUND((E56/D56)-1,4)</f>
        <v>0.11890000000000001</v>
      </c>
    </row>
    <row r="57" spans="1:8" s="758" customFormat="1" ht="15.75">
      <c r="A57" s="947" t="s">
        <v>84</v>
      </c>
      <c r="B57" s="948" t="s">
        <v>393</v>
      </c>
      <c r="C57" s="949"/>
      <c r="D57" s="950">
        <v>23256254.492751442</v>
      </c>
      <c r="E57" s="951">
        <f>'Table 5D- Legacy Type 2'!H20</f>
        <v>44788110</v>
      </c>
      <c r="F57" s="952"/>
      <c r="G57" s="953">
        <f t="shared" si="7"/>
        <v>21531855.507248558</v>
      </c>
      <c r="H57" s="954">
        <f t="shared" si="5"/>
        <v>0.92589999999999995</v>
      </c>
    </row>
    <row r="58" spans="1:8" s="758" customFormat="1" ht="15.75">
      <c r="A58" s="947" t="s">
        <v>260</v>
      </c>
      <c r="B58" s="948" t="s">
        <v>374</v>
      </c>
      <c r="C58" s="949"/>
      <c r="D58" s="950">
        <v>992132.68253089651</v>
      </c>
      <c r="E58" s="951">
        <f>'Table 5A Labs, NOCCA,LSMSA'!G20</f>
        <v>1391634.9147581414</v>
      </c>
      <c r="F58" s="952"/>
      <c r="G58" s="953">
        <f t="shared" si="7"/>
        <v>399502.23222724488</v>
      </c>
      <c r="H58" s="954">
        <f t="shared" si="5"/>
        <v>0.4027</v>
      </c>
    </row>
    <row r="59" spans="1:8" s="758" customFormat="1" ht="16.5" thickBot="1">
      <c r="A59" s="947" t="s">
        <v>264</v>
      </c>
      <c r="B59" s="948" t="s">
        <v>377</v>
      </c>
      <c r="C59" s="949"/>
      <c r="D59" s="950">
        <v>291081.05824341497</v>
      </c>
      <c r="E59" s="951">
        <f>'Table 5A Labs, NOCCA,LSMSA'!G21</f>
        <v>576895.92829973868</v>
      </c>
      <c r="F59" s="952"/>
      <c r="G59" s="953">
        <f t="shared" si="7"/>
        <v>285814.87005632371</v>
      </c>
      <c r="H59" s="954">
        <f t="shared" si="5"/>
        <v>0.9819</v>
      </c>
    </row>
    <row r="60" spans="1:8" s="35" customFormat="1" ht="16.5" thickBot="1">
      <c r="A60" s="193" t="s">
        <v>390</v>
      </c>
      <c r="B60" s="98" t="s">
        <v>489</v>
      </c>
      <c r="C60" s="93"/>
      <c r="D60" s="92">
        <v>3615506048.185647</v>
      </c>
      <c r="E60" s="841">
        <f>E48+E51+E54+E55+E56+E57+E58+E59</f>
        <v>3477778234.5336261</v>
      </c>
      <c r="F60" s="845"/>
      <c r="G60" s="806">
        <f t="shared" si="7"/>
        <v>-137727813.65202093</v>
      </c>
      <c r="H60" s="517">
        <f t="shared" si="5"/>
        <v>-3.8100000000000002E-2</v>
      </c>
    </row>
    <row r="61" spans="1:8" s="35" customFormat="1" ht="23.25" customHeight="1">
      <c r="A61" s="194" t="s">
        <v>411</v>
      </c>
      <c r="B61" s="84" t="s">
        <v>83</v>
      </c>
      <c r="C61" s="84"/>
      <c r="D61" s="956">
        <f>SUM(D62:D76)</f>
        <v>32245419.681725889</v>
      </c>
      <c r="E61" s="838">
        <f>SUM(E62:F76)</f>
        <v>18930711.627079222</v>
      </c>
      <c r="F61" s="844"/>
      <c r="G61" s="805">
        <f t="shared" si="7"/>
        <v>-13314708.054646667</v>
      </c>
      <c r="H61" s="518">
        <f t="shared" si="5"/>
        <v>-0.41289999999999999</v>
      </c>
    </row>
    <row r="62" spans="1:8" s="35" customFormat="1" ht="20.25" customHeight="1">
      <c r="A62" s="183"/>
      <c r="B62" s="33" t="s">
        <v>159</v>
      </c>
      <c r="C62" s="27" t="s">
        <v>364</v>
      </c>
      <c r="D62" s="957">
        <v>-2944326.8587162076</v>
      </c>
      <c r="E62" s="842">
        <f>'Table 2_State Distrib and Adjs'!F77</f>
        <v>-2392245.0927018928</v>
      </c>
      <c r="F62" s="846"/>
      <c r="G62" s="807">
        <f t="shared" si="7"/>
        <v>552081.76601431472</v>
      </c>
      <c r="H62" s="505">
        <f t="shared" si="5"/>
        <v>-0.1875</v>
      </c>
    </row>
    <row r="63" spans="1:8" s="35" customFormat="1" ht="20.25" customHeight="1">
      <c r="A63" s="183"/>
      <c r="B63" s="198" t="s">
        <v>160</v>
      </c>
      <c r="C63" s="359" t="s">
        <v>251</v>
      </c>
      <c r="D63" s="958">
        <v>-2510.7525593164992</v>
      </c>
      <c r="E63" s="842">
        <f>'Table 5A Labs, NOCCA,LSMSA'!L10</f>
        <v>2515.1664215795245</v>
      </c>
      <c r="F63" s="1001"/>
      <c r="G63" s="807">
        <f t="shared" si="7"/>
        <v>5025.9189808960236</v>
      </c>
      <c r="H63" s="505">
        <f t="shared" si="5"/>
        <v>-2.0017999999999998</v>
      </c>
    </row>
    <row r="64" spans="1:8" s="35" customFormat="1" ht="20.25" customHeight="1">
      <c r="A64" s="183"/>
      <c r="B64" s="198" t="s">
        <v>161</v>
      </c>
      <c r="C64" s="955" t="s">
        <v>263</v>
      </c>
      <c r="D64" s="959">
        <v>-988730.66145798902</v>
      </c>
      <c r="E64" s="842">
        <f>'Table 5B1_RSD_Orleans'!Q70+'Table 5B2_RSD_LA'!Q38+'Table 5B1_RSD_Orleans'!R70+'Table 5B2_RSD_LA'!R38</f>
        <v>-902384.11062668241</v>
      </c>
      <c r="F64" s="1001"/>
      <c r="G64" s="807">
        <f t="shared" si="7"/>
        <v>86346.550831306609</v>
      </c>
      <c r="H64" s="505">
        <f t="shared" si="5"/>
        <v>-8.7300000000000003E-2</v>
      </c>
    </row>
    <row r="65" spans="1:8" s="35" customFormat="1" ht="20.25" customHeight="1">
      <c r="A65" s="183"/>
      <c r="B65" s="198" t="s">
        <v>162</v>
      </c>
      <c r="C65" s="955" t="s">
        <v>394</v>
      </c>
      <c r="D65" s="959">
        <v>-52028.625194067157</v>
      </c>
      <c r="E65" s="842">
        <f>'Table 5C1A-Madison Prep'!O77+'Table 5C1B-DArbonne'!O78+'Table 5C1C-Intl_VIBE'!O77+'Table 5C1D-NOMMA'!O77+'Table 5C1E-LFNO'!O77+'Table 5C1F-Lake Charles Charter'!O77+'Table 5C2 - LA Virtual Admy'!P75+'Table 5C3 - LA Connections EBR'!P75+'Table 5C1G-JS Clark Academy'!O77</f>
        <v>-45508.371878513033</v>
      </c>
      <c r="F65" s="1001"/>
      <c r="G65" s="807">
        <f t="shared" si="7"/>
        <v>6520.2533155541241</v>
      </c>
      <c r="H65" s="505">
        <f t="shared" si="5"/>
        <v>-0.12529999999999999</v>
      </c>
    </row>
    <row r="66" spans="1:8" s="35" customFormat="1" ht="20.25" customHeight="1">
      <c r="A66" s="183"/>
      <c r="B66" s="198" t="s">
        <v>163</v>
      </c>
      <c r="C66" s="955" t="s">
        <v>746</v>
      </c>
      <c r="D66" s="982">
        <v>0</v>
      </c>
      <c r="E66" s="837">
        <f>'Table 5D- Legacy Type 2'!O20</f>
        <v>-4508.0545995861094</v>
      </c>
      <c r="F66" s="1001"/>
      <c r="G66" s="807">
        <f t="shared" si="7"/>
        <v>-4508.0545995861094</v>
      </c>
      <c r="H66" s="505" t="e">
        <f t="shared" si="5"/>
        <v>#DIV/0!</v>
      </c>
    </row>
    <row r="67" spans="1:8" s="35" customFormat="1" ht="20.25" customHeight="1">
      <c r="A67" s="183"/>
      <c r="B67" s="2081" t="s">
        <v>164</v>
      </c>
      <c r="C67" s="359" t="s">
        <v>437</v>
      </c>
      <c r="D67" s="958">
        <v>-5928.4203465283663</v>
      </c>
      <c r="E67" s="2072">
        <f>'Table 5E_OJJ'!H77</f>
        <v>0</v>
      </c>
      <c r="F67" s="847"/>
      <c r="G67" s="2073">
        <f t="shared" si="7"/>
        <v>5928.4203465283663</v>
      </c>
      <c r="H67" s="2074">
        <f t="shared" si="5"/>
        <v>-1</v>
      </c>
    </row>
    <row r="68" spans="1:8" s="1646" customFormat="1" ht="20.25" customHeight="1">
      <c r="A68" s="183"/>
      <c r="B68" s="177" t="s">
        <v>181</v>
      </c>
      <c r="C68" s="2075" t="s">
        <v>986</v>
      </c>
      <c r="D68" s="2076">
        <v>35288125</v>
      </c>
      <c r="E68" s="2077">
        <f>'Table 2_State Distrib and Adjs'!I77</f>
        <v>22826779.242837369</v>
      </c>
      <c r="F68" s="2078"/>
      <c r="G68" s="2079">
        <f t="shared" si="7"/>
        <v>-12461345.757162631</v>
      </c>
      <c r="H68" s="2080">
        <f t="shared" si="5"/>
        <v>-0.35310000000000002</v>
      </c>
    </row>
    <row r="69" spans="1:8" s="1646" customFormat="1" ht="20.25" customHeight="1">
      <c r="A69" s="183"/>
      <c r="B69" s="2082" t="s">
        <v>987</v>
      </c>
      <c r="C69" s="2075" t="s">
        <v>990</v>
      </c>
      <c r="D69" s="2076">
        <v>-167770</v>
      </c>
      <c r="E69" s="2077">
        <f>'Table 5B1_RSD_Orleans'!I9+'Table 5B1_RSD_Orleans'!I69+'Table 5B2_RSD_LA'!I38</f>
        <v>15663.746036030934</v>
      </c>
      <c r="F69" s="2078"/>
      <c r="G69" s="2079">
        <f t="shared" si="7"/>
        <v>183433.74603603093</v>
      </c>
      <c r="H69" s="2080">
        <f t="shared" si="5"/>
        <v>-1.0933999999999999</v>
      </c>
    </row>
    <row r="70" spans="1:8" s="1646" customFormat="1" ht="20.25" customHeight="1">
      <c r="A70" s="183"/>
      <c r="B70" s="2082" t="s">
        <v>988</v>
      </c>
      <c r="C70" s="2075" t="s">
        <v>991</v>
      </c>
      <c r="D70" s="2076">
        <f>7198124+1526386</f>
        <v>8724510</v>
      </c>
      <c r="E70" s="2077">
        <f>'Table 5D- Legacy Type 2'!I24+'Table 5C1A-Madison Prep'!I77+'Table 5C1B-DArbonne'!I78+'Table 5C1C-Intl_VIBE'!I77+'Table 5C1D-NOMMA'!I77+'Table 5C1E-LFNO'!I77+'Table 5C1F-Lake Charles Charter'!I77+'Table 5C1G-JS Clark Academy'!I77+'Table 5C1H-Southwest LA Charter'!I77+'Table 5C1I-LA Key Academy'!I77+'Table 5C1J-Jefferson Chamber'!I77+'Table 5C1K-Tallulah Charter'!I77+'Table 5C1L-Northshore Charter'!I77+'Table 5C1M-B.R. Charter'!I77+'Table 5C1N-Delta Charter'!I77+'Table 5C2 - LA Virtual Admy'!J75+'Table 5C3 - LA Connections EBR'!J75</f>
        <v>8652107.8899977133</v>
      </c>
      <c r="F70" s="2078"/>
      <c r="G70" s="2079">
        <f t="shared" si="7"/>
        <v>-72402.110002286732</v>
      </c>
      <c r="H70" s="2080">
        <f t="shared" si="5"/>
        <v>-8.3000000000000001E-3</v>
      </c>
    </row>
    <row r="71" spans="1:8" s="1646" customFormat="1" ht="20.25" customHeight="1">
      <c r="A71" s="183"/>
      <c r="B71" s="2082" t="s">
        <v>989</v>
      </c>
      <c r="C71" s="2075" t="s">
        <v>992</v>
      </c>
      <c r="D71" s="2076">
        <f>636957-3271-3020+31729</f>
        <v>662395</v>
      </c>
      <c r="E71" s="2077">
        <f>'Table 5A Labs, NOCCA,LSMSA'!H10+'Table 5A Labs, NOCCA,LSMSA'!H22</f>
        <v>1262260.8149315738</v>
      </c>
      <c r="F71" s="2078"/>
      <c r="G71" s="2079">
        <f t="shared" si="7"/>
        <v>599865.81493157381</v>
      </c>
      <c r="H71" s="2080">
        <f t="shared" si="5"/>
        <v>0.90559999999999996</v>
      </c>
    </row>
    <row r="72" spans="1:8" s="1646" customFormat="1" ht="20.25" customHeight="1">
      <c r="A72" s="183"/>
      <c r="B72" s="177" t="s">
        <v>993</v>
      </c>
      <c r="C72" s="2075" t="s">
        <v>997</v>
      </c>
      <c r="D72" s="2076">
        <v>-7085312</v>
      </c>
      <c r="E72" s="2077">
        <f>'Table 2_State Distrib and Adjs'!J77</f>
        <v>-8890289.3757084254</v>
      </c>
      <c r="F72" s="2078"/>
      <c r="G72" s="2079">
        <f t="shared" si="7"/>
        <v>-1804977.3757084254</v>
      </c>
      <c r="H72" s="2080">
        <f t="shared" si="5"/>
        <v>0.25469999999999998</v>
      </c>
    </row>
    <row r="73" spans="1:8" s="1646" customFormat="1" ht="20.25" customHeight="1">
      <c r="A73" s="183"/>
      <c r="B73" s="2082" t="s">
        <v>994</v>
      </c>
      <c r="C73" s="2075" t="s">
        <v>998</v>
      </c>
      <c r="D73" s="2076">
        <v>-421245</v>
      </c>
      <c r="E73" s="2077">
        <f>'Table 5B1_RSD_Orleans'!J9+'Table 5B1_RSD_Orleans'!J69+'Table 5B2_RSD_LA'!J38</f>
        <v>-61667.300279838848</v>
      </c>
      <c r="F73" s="2078"/>
      <c r="G73" s="2079">
        <f t="shared" si="7"/>
        <v>359577.69972016115</v>
      </c>
      <c r="H73" s="2080">
        <f t="shared" si="5"/>
        <v>-0.85360000000000003</v>
      </c>
    </row>
    <row r="74" spans="1:8" s="1646" customFormat="1" ht="20.25" customHeight="1">
      <c r="A74" s="183"/>
      <c r="B74" s="2082" t="s">
        <v>995</v>
      </c>
      <c r="C74" s="2075" t="s">
        <v>999</v>
      </c>
      <c r="D74" s="2076">
        <f>-616419-134955</f>
        <v>-751374</v>
      </c>
      <c r="E74" s="2077">
        <f>'Table 5D- Legacy Type 2'!J24+'Table 5C1A-Madison Prep'!J77+'Table 5C1B-DArbonne'!J78+'Table 5C1C-Intl_VIBE'!J77+'Table 5C1D-NOMMA'!J77+'Table 5C1E-LFNO'!J77+'Table 5C1F-Lake Charles Charter'!J77+'Table 5C1G-JS Clark Academy'!J77+'Table 5C1H-Southwest LA Charter'!J77+'Table 5C1I-LA Key Academy'!J77+'Table 5C1J-Jefferson Chamber'!J77+'Table 5C1K-Tallulah Charter'!J77+'Table 5C1L-Northshore Charter'!J77+'Table 5C1M-B.R. Charter'!J77+'Table 5C1N-Delta Charter'!J77+'Table 5C2 - LA Virtual Admy'!K75+'Table 5C3 - LA Connections EBR'!K75</f>
        <v>-409024.66684392298</v>
      </c>
      <c r="F74" s="2078"/>
      <c r="G74" s="2079">
        <f t="shared" si="7"/>
        <v>342349.33315607702</v>
      </c>
      <c r="H74" s="2080">
        <f t="shared" si="5"/>
        <v>-0.4556</v>
      </c>
    </row>
    <row r="75" spans="1:8" s="1646" customFormat="1" ht="20.25" customHeight="1">
      <c r="A75" s="183"/>
      <c r="B75" s="177" t="s">
        <v>996</v>
      </c>
      <c r="C75" s="2075" t="s">
        <v>1000</v>
      </c>
      <c r="D75" s="2076">
        <f>37552-41748-6188</f>
        <v>-10384</v>
      </c>
      <c r="E75" s="2077">
        <f>'Table 5A Labs, NOCCA,LSMSA'!I10+'Table 5A Labs, NOCCA,LSMSA'!I22</f>
        <v>73445.409160452778</v>
      </c>
      <c r="F75" s="2078"/>
      <c r="G75" s="2079">
        <f t="shared" si="7"/>
        <v>83829.409160452778</v>
      </c>
      <c r="H75" s="2080">
        <f t="shared" si="5"/>
        <v>-8.0729000000000006</v>
      </c>
    </row>
    <row r="76" spans="1:8" s="35" customFormat="1" ht="20.25" customHeight="1" thickBot="1">
      <c r="A76" s="183"/>
      <c r="B76" s="945">
        <v>9</v>
      </c>
      <c r="C76" s="1380" t="s">
        <v>1003</v>
      </c>
      <c r="D76" s="1385"/>
      <c r="E76" s="1386">
        <f>-('Table 5C2 - LA Virtual Admy'!I75+'Table 5C3 - LA Connections EBR'!I75)</f>
        <v>-1196433.6696666409</v>
      </c>
      <c r="F76" s="1387"/>
      <c r="G76" s="1388"/>
      <c r="H76" s="507"/>
    </row>
    <row r="77" spans="1:8" s="35" customFormat="1" ht="23.25" customHeight="1" thickBot="1">
      <c r="A77" s="434" t="s">
        <v>412</v>
      </c>
      <c r="B77" s="2110" t="s">
        <v>490</v>
      </c>
      <c r="C77" s="2111"/>
      <c r="D77" s="1381">
        <v>3419813114.5606341</v>
      </c>
      <c r="E77" s="1382">
        <f>E60+E61</f>
        <v>3496708946.1607051</v>
      </c>
      <c r="F77" s="916"/>
      <c r="G77" s="1383">
        <f t="shared" ref="G77:G78" si="8">E77-D77</f>
        <v>76895831.600070953</v>
      </c>
      <c r="H77" s="1384">
        <f t="shared" si="5"/>
        <v>2.2499999999999999E-2</v>
      </c>
    </row>
    <row r="78" spans="1:8" s="430" customFormat="1" ht="24" customHeight="1" thickBot="1">
      <c r="A78" s="523" t="s">
        <v>414</v>
      </c>
      <c r="B78" s="2112" t="s">
        <v>438</v>
      </c>
      <c r="C78" s="2113"/>
      <c r="D78" s="524">
        <v>3422265205</v>
      </c>
      <c r="E78" s="524">
        <v>3441025205</v>
      </c>
      <c r="F78" s="848"/>
      <c r="G78" s="943">
        <f t="shared" si="8"/>
        <v>18760000</v>
      </c>
      <c r="H78" s="944"/>
    </row>
    <row r="79" spans="1:8" s="35" customFormat="1" ht="18.75" customHeight="1" thickBot="1">
      <c r="A79" s="786" t="s">
        <v>415</v>
      </c>
      <c r="B79" s="39" t="s">
        <v>439</v>
      </c>
      <c r="C79" s="39"/>
      <c r="D79" s="40">
        <v>-2452090.4393658638</v>
      </c>
      <c r="E79" s="851">
        <f>E77-E78</f>
        <v>55683741.16070509</v>
      </c>
      <c r="F79" s="850"/>
      <c r="G79" s="808">
        <f>E79-D79</f>
        <v>58135831.600070953</v>
      </c>
      <c r="H79" s="519"/>
    </row>
    <row r="80" spans="1:8" s="35" customFormat="1" ht="19.5" customHeight="1" thickTop="1">
      <c r="A80" s="858"/>
      <c r="B80" s="2104"/>
      <c r="C80" s="2104"/>
      <c r="D80" s="2104"/>
      <c r="E80" s="2104"/>
      <c r="F80" s="2104"/>
      <c r="G80" s="2104"/>
      <c r="H80" s="2104"/>
    </row>
    <row r="81" spans="1:10" ht="4.5" customHeight="1">
      <c r="A81" s="787"/>
      <c r="B81" s="787"/>
      <c r="C81" s="787"/>
      <c r="D81" s="206"/>
      <c r="E81" s="433"/>
      <c r="F81" s="433"/>
    </row>
    <row r="82" spans="1:10" ht="17.25" customHeight="1">
      <c r="D82" s="59"/>
      <c r="E82" s="431">
        <f>'Table 3 Levels 1&amp;2'!V77</f>
        <v>0.65</v>
      </c>
      <c r="F82" s="431"/>
      <c r="G82" s="431">
        <f>'Table 3 Levels 1&amp;2'!W77</f>
        <v>0.35</v>
      </c>
    </row>
    <row r="83" spans="1:10" s="423" customFormat="1" ht="17.25" customHeight="1">
      <c r="B83" s="424"/>
      <c r="C83" s="554"/>
      <c r="D83" s="59"/>
      <c r="E83" s="59"/>
      <c r="F83" s="59"/>
      <c r="G83"/>
      <c r="H83"/>
      <c r="I83"/>
    </row>
    <row r="84" spans="1:10" s="423" customFormat="1" ht="17.25" customHeight="1">
      <c r="A84"/>
      <c r="B84"/>
      <c r="C84" s="209"/>
      <c r="D84" s="59"/>
      <c r="E84"/>
      <c r="F84"/>
      <c r="G84"/>
      <c r="H84"/>
      <c r="I84"/>
      <c r="J84"/>
    </row>
    <row r="85" spans="1:10" ht="17.25" customHeight="1">
      <c r="B85" s="692"/>
      <c r="C85" s="1069"/>
      <c r="D85" s="59"/>
      <c r="E85" s="2"/>
      <c r="F85" s="2"/>
    </row>
  </sheetData>
  <mergeCells count="13">
    <mergeCell ref="B80:H80"/>
    <mergeCell ref="B10:C10"/>
    <mergeCell ref="B39:C39"/>
    <mergeCell ref="B50:C50"/>
    <mergeCell ref="B77:C77"/>
    <mergeCell ref="B78:C78"/>
    <mergeCell ref="A2:H2"/>
    <mergeCell ref="A3:H3"/>
    <mergeCell ref="A4:H4"/>
    <mergeCell ref="D5:D8"/>
    <mergeCell ref="G5:G8"/>
    <mergeCell ref="H5:H8"/>
    <mergeCell ref="E5:F8"/>
  </mergeCells>
  <printOptions horizontalCentered="1"/>
  <pageMargins left="0.25" right="0.25" top="0.19" bottom="0.16" header="0.17" footer="0.16"/>
  <pageSetup paperSize="5" scale="70" orientation="portrait" useFirstPageNumber="1" r:id="rId1"/>
  <headerFooter alignWithMargins="0">
    <oddFooter>&amp;R&amp;12&amp;P</oddFooter>
  </headerFooter>
  <rowBreaks count="1" manualBreakCount="1">
    <brk id="60" max="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5"/>
  <sheetViews>
    <sheetView view="pageBreakPreview" zoomScale="70" zoomScaleNormal="75" zoomScaleSheetLayoutView="7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A2" sqref="A2"/>
    </sheetView>
  </sheetViews>
  <sheetFormatPr defaultRowHeight="12.75"/>
  <cols>
    <col min="1" max="1" width="8.42578125" customWidth="1"/>
    <col min="2" max="2" width="35.28515625" customWidth="1"/>
    <col min="3" max="3" width="13.140625" customWidth="1"/>
    <col min="4" max="4" width="13.5703125" customWidth="1"/>
    <col min="5" max="5" width="16.140625" bestFit="1" customWidth="1"/>
    <col min="6" max="6" width="18.42578125" customWidth="1"/>
    <col min="7" max="7" width="15.42578125" bestFit="1" customWidth="1"/>
    <col min="8" max="8" width="16.42578125" bestFit="1" customWidth="1"/>
    <col min="9" max="9" width="12.42578125" style="1464" bestFit="1" customWidth="1"/>
    <col min="10" max="10" width="12.42578125" style="1464" customWidth="1"/>
    <col min="11" max="11" width="13.42578125" style="1464" customWidth="1"/>
    <col min="12" max="12" width="16" style="1464" bestFit="1" customWidth="1"/>
    <col min="13" max="15" width="18.28515625" customWidth="1"/>
    <col min="16" max="16" width="19.42578125" customWidth="1"/>
    <col min="17" max="17" width="17.7109375" customWidth="1"/>
    <col min="18" max="18" width="17.7109375" style="1464" customWidth="1"/>
    <col min="19" max="19" width="20.85546875" customWidth="1"/>
    <col min="20" max="20" width="17.5703125" style="1464" bestFit="1" customWidth="1"/>
    <col min="21" max="21" width="14.42578125" style="1464" bestFit="1" customWidth="1"/>
    <col min="22" max="22" width="18.7109375" bestFit="1" customWidth="1"/>
    <col min="23" max="23" width="11.42578125" bestFit="1" customWidth="1"/>
    <col min="24" max="24" width="14.85546875" bestFit="1" customWidth="1"/>
    <col min="25" max="25" width="14.140625" style="1464" customWidth="1"/>
    <col min="26" max="26" width="13.5703125" style="1464" customWidth="1"/>
    <col min="27" max="27" width="14.140625" style="1464" customWidth="1"/>
    <col min="28" max="28" width="13.28515625" style="1464" customWidth="1"/>
    <col min="29" max="29" width="14.28515625" style="1464" bestFit="1" customWidth="1"/>
    <col min="30" max="30" width="16.140625" style="1464" customWidth="1"/>
    <col min="31" max="32" width="20.85546875" customWidth="1"/>
    <col min="33" max="33" width="12.28515625" bestFit="1" customWidth="1"/>
    <col min="34" max="34" width="16.42578125" bestFit="1" customWidth="1"/>
    <col min="35" max="35" width="20.85546875" customWidth="1"/>
    <col min="36" max="36" width="20.85546875" style="1464" customWidth="1"/>
    <col min="37" max="37" width="20.85546875" customWidth="1"/>
    <col min="38" max="38" width="16.7109375" style="1464" bestFit="1" customWidth="1"/>
    <col min="39" max="39" width="18.28515625" style="1464" bestFit="1" customWidth="1"/>
    <col min="40" max="40" width="18.7109375" bestFit="1" customWidth="1"/>
    <col min="41" max="41" width="14.85546875" bestFit="1" customWidth="1"/>
    <col min="42" max="42" width="13.5703125" bestFit="1" customWidth="1"/>
  </cols>
  <sheetData>
    <row r="1" spans="1:42" ht="15.75">
      <c r="A1" s="268"/>
      <c r="B1" s="268"/>
    </row>
    <row r="2" spans="1:42" ht="22.5" customHeight="1">
      <c r="B2" s="2296"/>
      <c r="C2" s="2296"/>
      <c r="D2" s="2296"/>
      <c r="E2" s="2296"/>
      <c r="F2" s="2296"/>
      <c r="G2" s="2296"/>
      <c r="H2" s="2296"/>
      <c r="I2" s="2296"/>
      <c r="J2" s="2296"/>
      <c r="K2" s="2296"/>
      <c r="L2" s="2296"/>
      <c r="M2" s="2296"/>
      <c r="N2" s="2296"/>
      <c r="O2" s="2296"/>
      <c r="P2" s="2296"/>
      <c r="Q2" s="2296"/>
      <c r="R2" s="2296"/>
      <c r="S2" s="2296"/>
      <c r="T2" s="1514"/>
      <c r="U2" s="1514"/>
      <c r="V2" s="344"/>
      <c r="W2" s="344"/>
      <c r="X2" s="344"/>
      <c r="Y2" s="344"/>
      <c r="Z2" s="344"/>
      <c r="AA2" s="344"/>
      <c r="AB2" s="344"/>
      <c r="AC2" s="344"/>
      <c r="AD2" s="344"/>
    </row>
    <row r="3" spans="1:42" ht="41.25" customHeight="1">
      <c r="C3" s="73"/>
      <c r="D3" s="436"/>
      <c r="E3" s="75"/>
      <c r="F3" s="2297" t="s">
        <v>346</v>
      </c>
      <c r="G3" s="2298"/>
      <c r="H3" s="75"/>
      <c r="I3" s="2275" t="s">
        <v>772</v>
      </c>
      <c r="J3" s="2276"/>
      <c r="K3" s="2277"/>
      <c r="L3" s="75"/>
      <c r="M3" s="2291" t="s">
        <v>382</v>
      </c>
      <c r="N3" s="2291"/>
      <c r="O3" s="2291"/>
      <c r="P3" s="737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2291" t="s">
        <v>387</v>
      </c>
      <c r="AF3" s="2291"/>
      <c r="AG3" s="2291"/>
      <c r="AH3" s="75"/>
      <c r="AI3" s="75"/>
      <c r="AJ3" s="75"/>
      <c r="AK3" s="75"/>
      <c r="AL3" s="75"/>
      <c r="AM3" s="75"/>
      <c r="AN3" s="75"/>
    </row>
    <row r="4" spans="1:42" ht="105" customHeight="1">
      <c r="A4" s="2207" t="s">
        <v>386</v>
      </c>
      <c r="B4" s="2207" t="s">
        <v>183</v>
      </c>
      <c r="C4" s="2299" t="s">
        <v>825</v>
      </c>
      <c r="D4" s="2207" t="s">
        <v>570</v>
      </c>
      <c r="E4" s="2181" t="s">
        <v>533</v>
      </c>
      <c r="F4" s="2207" t="s">
        <v>354</v>
      </c>
      <c r="G4" s="2207" t="s">
        <v>347</v>
      </c>
      <c r="H4" s="2181" t="s">
        <v>797</v>
      </c>
      <c r="I4" s="2278" t="s">
        <v>784</v>
      </c>
      <c r="J4" s="2278" t="s">
        <v>785</v>
      </c>
      <c r="K4" s="2278" t="s">
        <v>786</v>
      </c>
      <c r="L4" s="2292" t="s">
        <v>800</v>
      </c>
      <c r="M4" s="332" t="s">
        <v>383</v>
      </c>
      <c r="N4" s="332" t="s">
        <v>933</v>
      </c>
      <c r="O4" s="2281" t="s">
        <v>385</v>
      </c>
      <c r="P4" s="2181" t="s">
        <v>801</v>
      </c>
      <c r="Q4" s="2294" t="s">
        <v>760</v>
      </c>
      <c r="R4" s="2294" t="s">
        <v>1001</v>
      </c>
      <c r="S4" s="2181" t="s">
        <v>802</v>
      </c>
      <c r="T4" s="1517" t="s">
        <v>781</v>
      </c>
      <c r="U4" s="1517" t="s">
        <v>795</v>
      </c>
      <c r="V4" s="2181" t="s">
        <v>535</v>
      </c>
      <c r="W4" s="2303" t="s">
        <v>798</v>
      </c>
      <c r="X4" s="2303" t="s">
        <v>534</v>
      </c>
      <c r="Y4" s="2244" t="s">
        <v>789</v>
      </c>
      <c r="Z4" s="2181" t="s">
        <v>787</v>
      </c>
      <c r="AA4" s="2244" t="s">
        <v>788</v>
      </c>
      <c r="AB4" s="2181" t="s">
        <v>790</v>
      </c>
      <c r="AC4" s="1517" t="s">
        <v>791</v>
      </c>
      <c r="AD4" s="1518" t="s">
        <v>799</v>
      </c>
      <c r="AE4" s="332" t="s">
        <v>383</v>
      </c>
      <c r="AF4" s="332" t="s">
        <v>384</v>
      </c>
      <c r="AG4" s="2281" t="s">
        <v>385</v>
      </c>
      <c r="AH4" s="2303" t="s">
        <v>803</v>
      </c>
      <c r="AI4" s="2181" t="s">
        <v>760</v>
      </c>
      <c r="AJ4" s="2181" t="s">
        <v>985</v>
      </c>
      <c r="AK4" s="2305" t="s">
        <v>804</v>
      </c>
      <c r="AL4" s="1518" t="s">
        <v>929</v>
      </c>
      <c r="AM4" s="1518" t="s">
        <v>930</v>
      </c>
      <c r="AN4" s="2303" t="s">
        <v>536</v>
      </c>
      <c r="AO4" s="2301" t="s">
        <v>461</v>
      </c>
      <c r="AP4" s="2301" t="s">
        <v>462</v>
      </c>
    </row>
    <row r="5" spans="1:42" ht="41.45" customHeight="1">
      <c r="A5" s="2153" t="s">
        <v>77</v>
      </c>
      <c r="B5" s="2153"/>
      <c r="C5" s="2300"/>
      <c r="D5" s="2153"/>
      <c r="E5" s="2150"/>
      <c r="F5" s="2153"/>
      <c r="G5" s="2153"/>
      <c r="H5" s="2150"/>
      <c r="I5" s="2279"/>
      <c r="J5" s="2279"/>
      <c r="K5" s="2279"/>
      <c r="L5" s="2293"/>
      <c r="M5" s="736">
        <v>1.7500000000000002E-2</v>
      </c>
      <c r="N5" s="736">
        <v>2.5000000000000001E-3</v>
      </c>
      <c r="O5" s="2282"/>
      <c r="P5" s="2150"/>
      <c r="Q5" s="2295"/>
      <c r="R5" s="2295"/>
      <c r="S5" s="2150"/>
      <c r="T5" s="1512"/>
      <c r="U5" s="1512"/>
      <c r="V5" s="2150"/>
      <c r="W5" s="2304"/>
      <c r="X5" s="2304"/>
      <c r="Y5" s="2150"/>
      <c r="Z5" s="2150"/>
      <c r="AA5" s="2150"/>
      <c r="AB5" s="2150"/>
      <c r="AC5" s="1568"/>
      <c r="AD5" s="1522"/>
      <c r="AE5" s="736">
        <v>1.7500000000000002E-2</v>
      </c>
      <c r="AF5" s="736">
        <v>2.5000000000000001E-3</v>
      </c>
      <c r="AG5" s="2282"/>
      <c r="AH5" s="2304"/>
      <c r="AI5" s="2150"/>
      <c r="AJ5" s="2150"/>
      <c r="AK5" s="2306"/>
      <c r="AL5" s="1513"/>
      <c r="AM5" s="1513"/>
      <c r="AN5" s="2304"/>
      <c r="AO5" s="2302"/>
      <c r="AP5" s="2302"/>
    </row>
    <row r="6" spans="1:42">
      <c r="A6" s="114"/>
      <c r="B6" s="114"/>
      <c r="C6" s="221">
        <v>1</v>
      </c>
      <c r="D6" s="221">
        <f t="shared" ref="D6:H6" si="0">C6+1</f>
        <v>2</v>
      </c>
      <c r="E6" s="221">
        <f t="shared" si="0"/>
        <v>3</v>
      </c>
      <c r="F6" s="221">
        <f t="shared" si="0"/>
        <v>4</v>
      </c>
      <c r="G6" s="221">
        <f t="shared" si="0"/>
        <v>5</v>
      </c>
      <c r="H6" s="221">
        <f t="shared" si="0"/>
        <v>6</v>
      </c>
      <c r="I6" s="221">
        <f t="shared" ref="I6" si="1">H6+1</f>
        <v>7</v>
      </c>
      <c r="J6" s="221">
        <f t="shared" ref="J6" si="2">I6+1</f>
        <v>8</v>
      </c>
      <c r="K6" s="221">
        <f t="shared" ref="K6" si="3">J6+1</f>
        <v>9</v>
      </c>
      <c r="L6" s="221">
        <f t="shared" ref="L6" si="4">K6+1</f>
        <v>10</v>
      </c>
      <c r="M6" s="221">
        <f t="shared" ref="M6" si="5">L6+1</f>
        <v>11</v>
      </c>
      <c r="N6" s="221">
        <f t="shared" ref="N6" si="6">M6+1</f>
        <v>12</v>
      </c>
      <c r="O6" s="221">
        <f t="shared" ref="O6" si="7">N6+1</f>
        <v>13</v>
      </c>
      <c r="P6" s="221">
        <f t="shared" ref="P6" si="8">O6+1</f>
        <v>14</v>
      </c>
      <c r="Q6" s="221">
        <f t="shared" ref="Q6" si="9">P6+1</f>
        <v>15</v>
      </c>
      <c r="R6" s="221">
        <f t="shared" ref="R6" si="10">Q6+1</f>
        <v>16</v>
      </c>
      <c r="S6" s="221">
        <f t="shared" ref="S6" si="11">R6+1</f>
        <v>17</v>
      </c>
      <c r="T6" s="221">
        <f t="shared" ref="T6" si="12">S6+1</f>
        <v>18</v>
      </c>
      <c r="U6" s="221">
        <f t="shared" ref="U6" si="13">T6+1</f>
        <v>19</v>
      </c>
      <c r="V6" s="221">
        <f t="shared" ref="V6" si="14">U6+1</f>
        <v>20</v>
      </c>
      <c r="W6" s="221">
        <f t="shared" ref="W6" si="15">V6+1</f>
        <v>21</v>
      </c>
      <c r="X6" s="221">
        <f t="shared" ref="X6" si="16">W6+1</f>
        <v>22</v>
      </c>
      <c r="Y6" s="221">
        <f t="shared" ref="Y6" si="17">X6+1</f>
        <v>23</v>
      </c>
      <c r="Z6" s="221">
        <f t="shared" ref="Z6" si="18">Y6+1</f>
        <v>24</v>
      </c>
      <c r="AA6" s="221">
        <f t="shared" ref="AA6" si="19">Z6+1</f>
        <v>25</v>
      </c>
      <c r="AB6" s="221">
        <f t="shared" ref="AB6" si="20">AA6+1</f>
        <v>26</v>
      </c>
      <c r="AC6" s="221">
        <f t="shared" ref="AC6" si="21">AB6+1</f>
        <v>27</v>
      </c>
      <c r="AD6" s="221">
        <f t="shared" ref="AD6" si="22">AC6+1</f>
        <v>28</v>
      </c>
      <c r="AE6" s="221">
        <f t="shared" ref="AE6" si="23">AD6+1</f>
        <v>29</v>
      </c>
      <c r="AF6" s="221">
        <f t="shared" ref="AF6" si="24">AE6+1</f>
        <v>30</v>
      </c>
      <c r="AG6" s="221">
        <f t="shared" ref="AG6" si="25">AF6+1</f>
        <v>31</v>
      </c>
      <c r="AH6" s="221">
        <f t="shared" ref="AH6" si="26">AG6+1</f>
        <v>32</v>
      </c>
      <c r="AI6" s="221">
        <f t="shared" ref="AI6" si="27">AH6+1</f>
        <v>33</v>
      </c>
      <c r="AJ6" s="221">
        <f t="shared" ref="AJ6" si="28">AI6+1</f>
        <v>34</v>
      </c>
      <c r="AK6" s="221">
        <f t="shared" ref="AK6" si="29">AJ6+1</f>
        <v>35</v>
      </c>
      <c r="AL6" s="221">
        <f t="shared" ref="AL6" si="30">AK6+1</f>
        <v>36</v>
      </c>
      <c r="AM6" s="221">
        <f t="shared" ref="AM6" si="31">AL6+1</f>
        <v>37</v>
      </c>
      <c r="AN6" s="221">
        <f t="shared" ref="AN6" si="32">AM6+1</f>
        <v>38</v>
      </c>
      <c r="AO6" s="221">
        <f t="shared" ref="AO6" si="33">AN6+1</f>
        <v>39</v>
      </c>
      <c r="AP6" s="221">
        <f t="shared" ref="AP6" si="34">AO6+1</f>
        <v>40</v>
      </c>
    </row>
    <row r="7" spans="1:42" s="107" customFormat="1" ht="30" customHeight="1">
      <c r="A7" s="582"/>
      <c r="B7" s="582" t="s">
        <v>743</v>
      </c>
      <c r="C7" s="914">
        <f>'2-1-13 SIS'!C23+'2-1-13 SIS'!R23</f>
        <v>40427</v>
      </c>
      <c r="D7" s="497">
        <f>'Table 3 Levels 1&amp;2'!$AL$24</f>
        <v>3313.0666313017805</v>
      </c>
      <c r="E7" s="496">
        <f>ROUND(C7*D7,0)</f>
        <v>133937345</v>
      </c>
      <c r="F7" s="496">
        <v>801.47762416806802</v>
      </c>
      <c r="G7" s="496">
        <f>F7*C7</f>
        <v>32401335.912242487</v>
      </c>
      <c r="H7" s="1998">
        <f>E7+G7</f>
        <v>166338680.91224247</v>
      </c>
      <c r="I7" s="1710"/>
      <c r="J7" s="1710"/>
      <c r="K7" s="1710"/>
      <c r="L7" s="1710"/>
      <c r="M7" s="1710"/>
      <c r="N7" s="1710"/>
      <c r="O7" s="1710"/>
      <c r="P7" s="1710"/>
      <c r="Q7" s="1711" t="s">
        <v>255</v>
      </c>
      <c r="R7" s="1711"/>
      <c r="S7" s="1712" t="s">
        <v>255</v>
      </c>
      <c r="T7" s="1712"/>
      <c r="U7" s="1712"/>
      <c r="V7" s="1712"/>
      <c r="W7" s="1711"/>
      <c r="X7" s="1711"/>
      <c r="Y7" s="1711"/>
      <c r="Z7" s="1711"/>
      <c r="AA7" s="1711"/>
      <c r="AB7" s="1711"/>
      <c r="AC7" s="1711"/>
      <c r="AD7" s="1711"/>
      <c r="AE7" s="1711"/>
      <c r="AF7" s="1711"/>
      <c r="AG7" s="1711"/>
      <c r="AH7" s="1711"/>
      <c r="AI7" s="1713" t="s">
        <v>398</v>
      </c>
      <c r="AJ7" s="1713"/>
      <c r="AK7" s="1711"/>
      <c r="AL7" s="1711"/>
      <c r="AM7" s="1711"/>
      <c r="AN7" s="1711"/>
      <c r="AO7" s="1711"/>
      <c r="AP7" s="1711"/>
    </row>
    <row r="8" spans="1:42" s="75" customFormat="1" ht="6" customHeight="1">
      <c r="A8" s="484"/>
      <c r="B8" s="484"/>
      <c r="C8" s="485"/>
      <c r="D8" s="486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7"/>
      <c r="W8" s="487"/>
      <c r="X8" s="487"/>
      <c r="Y8" s="487"/>
      <c r="Z8" s="487"/>
      <c r="AA8" s="487"/>
      <c r="AB8" s="487"/>
      <c r="AC8" s="487"/>
      <c r="AD8" s="487"/>
      <c r="AE8" s="487"/>
      <c r="AF8" s="487"/>
      <c r="AG8" s="487"/>
      <c r="AH8" s="487"/>
      <c r="AI8" s="487"/>
      <c r="AJ8" s="487"/>
      <c r="AK8" s="487"/>
      <c r="AL8" s="487"/>
      <c r="AM8" s="487"/>
      <c r="AN8" s="487"/>
      <c r="AO8" s="487"/>
      <c r="AP8" s="487"/>
    </row>
    <row r="9" spans="1:42"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</row>
    <row r="10" spans="1:42" ht="30.75" customHeight="1">
      <c r="A10" s="582">
        <v>396210</v>
      </c>
      <c r="B10" s="770" t="s">
        <v>454</v>
      </c>
      <c r="C10" s="1103">
        <f>'[25]RSD by Site'!$C$27</f>
        <v>165</v>
      </c>
      <c r="D10" s="452">
        <f>'Table 3 Levels 1&amp;2'!$AL$24</f>
        <v>3313.0666313017805</v>
      </c>
      <c r="E10" s="439">
        <f t="shared" ref="E10:E17" si="35">ROUND(C10*D10,0)</f>
        <v>546656</v>
      </c>
      <c r="F10" s="439">
        <f>F7</f>
        <v>801.47762416806802</v>
      </c>
      <c r="G10" s="439">
        <f t="shared" ref="G10:G17" si="36">F10*C10</f>
        <v>132243.80798773121</v>
      </c>
      <c r="H10" s="547">
        <f t="shared" ref="H10:H17" si="37">E10+G10</f>
        <v>678899.80798773118</v>
      </c>
      <c r="I10" s="739">
        <f>+'[3]October midyear adj'!$K$138</f>
        <v>-32916.354043758787</v>
      </c>
      <c r="J10" s="739">
        <f>'[3]February midyear adj '!$K$138</f>
        <v>-10286.360638674621</v>
      </c>
      <c r="K10" s="2014">
        <f>SUM(I10:J10)</f>
        <v>-43202.714682433405</v>
      </c>
      <c r="L10" s="547">
        <f t="shared" ref="L10:L17" si="38">+K10+H10</f>
        <v>635697.09330529778</v>
      </c>
      <c r="M10" s="739" t="s">
        <v>398</v>
      </c>
      <c r="N10" s="739" t="s">
        <v>398</v>
      </c>
      <c r="O10" s="739">
        <v>0</v>
      </c>
      <c r="P10" s="547">
        <f>L10+O10</f>
        <v>635697.09330529778</v>
      </c>
      <c r="Q10" s="739">
        <f>'[15]Adjusted Amounts'!$I$159</f>
        <v>-8394.4042165508727</v>
      </c>
      <c r="R10" s="739">
        <v>4197</v>
      </c>
      <c r="S10" s="547">
        <f>SUM(P10:R10)</f>
        <v>631499.68908874691</v>
      </c>
      <c r="T10" s="1061">
        <f>'[4]Table 5B2_RSD_LA'!O10*2+'[26]Table 5B2_RSD_LA'!V10*4+'[5]Table 5B2_RSD_LA'!V10*2</f>
        <v>425059.90686206572</v>
      </c>
      <c r="U10" s="1061">
        <f>S10-T10</f>
        <v>206439.78222668119</v>
      </c>
      <c r="V10" s="2029">
        <f>ROUND(U10/4,0)</f>
        <v>51610</v>
      </c>
      <c r="W10" s="739">
        <f>'[14]FY2013-14 Final'!$D$24</f>
        <v>5968</v>
      </c>
      <c r="X10" s="439">
        <f t="shared" ref="X10:X17" si="39">W10*C10</f>
        <v>984720</v>
      </c>
      <c r="Y10" s="1525">
        <f>+'[3]October midyear adj'!$E$138</f>
        <v>-8</v>
      </c>
      <c r="Z10" s="439">
        <f>Y10*W10</f>
        <v>-47744</v>
      </c>
      <c r="AA10" s="2062">
        <f>'[3]February midyear adj '!$E$138</f>
        <v>-5</v>
      </c>
      <c r="AB10" s="439">
        <f>(W10*AA10)*0.5</f>
        <v>-14920</v>
      </c>
      <c r="AC10" s="1992">
        <f>+AB10+Z10</f>
        <v>-62664</v>
      </c>
      <c r="AD10" s="743">
        <f>X10+AC10</f>
        <v>922056</v>
      </c>
      <c r="AE10" s="439" t="s">
        <v>398</v>
      </c>
      <c r="AF10" s="439" t="s">
        <v>398</v>
      </c>
      <c r="AG10" s="439">
        <v>0</v>
      </c>
      <c r="AH10" s="743">
        <f>AD10+AG10</f>
        <v>922056</v>
      </c>
      <c r="AI10" s="739">
        <f>'[15]Adjusted Amounts'!$Q$159</f>
        <v>-11476</v>
      </c>
      <c r="AJ10" s="739">
        <v>5738</v>
      </c>
      <c r="AK10" s="743">
        <f>SUM(AH10:AJ10)</f>
        <v>916318</v>
      </c>
      <c r="AL10" s="1061">
        <f>('[4]Table 5B2_RSD_LA'!X10*2)+('[26]Table 5B2_RSD_LA'!AJ10*4)+('[5]Table 5B2_RSD_LA'!AJ10*2)</f>
        <v>608731.83333333337</v>
      </c>
      <c r="AM10" s="1061">
        <f>AK10-AL10</f>
        <v>307586.16666666663</v>
      </c>
      <c r="AN10" s="743">
        <f>ROUND(AM10/4,0)</f>
        <v>76897</v>
      </c>
      <c r="AO10" s="743">
        <f>S10+AK10</f>
        <v>1547817.6890887469</v>
      </c>
      <c r="AP10" s="743">
        <f>V10+AN10</f>
        <v>128507</v>
      </c>
    </row>
    <row r="11" spans="1:42" ht="30.75" customHeight="1">
      <c r="A11" s="582">
        <v>396205</v>
      </c>
      <c r="B11" s="770" t="s">
        <v>453</v>
      </c>
      <c r="C11" s="1103">
        <f>'[25]RSD by Site'!$C$22</f>
        <v>202</v>
      </c>
      <c r="D11" s="452">
        <f>'Table 3 Levels 1&amp;2'!$AL$24</f>
        <v>3313.0666313017805</v>
      </c>
      <c r="E11" s="439">
        <f t="shared" si="35"/>
        <v>669239</v>
      </c>
      <c r="F11" s="1061">
        <f>F7</f>
        <v>801.47762416806802</v>
      </c>
      <c r="G11" s="439">
        <f t="shared" si="36"/>
        <v>161898.48008194973</v>
      </c>
      <c r="H11" s="547">
        <f t="shared" si="37"/>
        <v>831137.48008194973</v>
      </c>
      <c r="I11" s="739">
        <f>+'[3]October midyear adj'!$K$133</f>
        <v>-57603.619576577876</v>
      </c>
      <c r="J11" s="739">
        <f>'[3]February midyear adj '!$K$133</f>
        <v>-14400.904894144469</v>
      </c>
      <c r="K11" s="2014">
        <f t="shared" ref="K11:K17" si="40">SUM(I11:J11)</f>
        <v>-72004.524470722346</v>
      </c>
      <c r="L11" s="547">
        <f t="shared" si="38"/>
        <v>759132.95561122743</v>
      </c>
      <c r="M11" s="739" t="s">
        <v>398</v>
      </c>
      <c r="N11" s="739" t="s">
        <v>398</v>
      </c>
      <c r="O11" s="739">
        <v>0</v>
      </c>
      <c r="P11" s="547">
        <f t="shared" ref="P11:P17" si="41">L11+O11</f>
        <v>759132.95561122743</v>
      </c>
      <c r="Q11" s="739">
        <f>'[15]Adjusted Amounts'!$I$154</f>
        <v>0</v>
      </c>
      <c r="R11" s="739">
        <v>0</v>
      </c>
      <c r="S11" s="547">
        <f>SUM(P11:R11)</f>
        <v>759132.95561122743</v>
      </c>
      <c r="T11" s="1061">
        <f>'[4]Table 5B2_RSD_LA'!O11*2+'[26]Table 5B2_RSD_LA'!V11*4+'[5]Table 5B2_RSD_LA'!V11*2</f>
        <v>549154.74828959757</v>
      </c>
      <c r="U11" s="1061">
        <f t="shared" ref="U11:U17" si="42">S11-T11</f>
        <v>209978.20732162986</v>
      </c>
      <c r="V11" s="741">
        <f t="shared" ref="V11:V17" si="43">ROUND(U11/4,0)</f>
        <v>52495</v>
      </c>
      <c r="W11" s="739">
        <f>'[14]FY2013-14 Final'!$D$24</f>
        <v>5968</v>
      </c>
      <c r="X11" s="439">
        <f t="shared" si="39"/>
        <v>1205536</v>
      </c>
      <c r="Y11" s="1525">
        <f>+'[3]October midyear adj'!$E$133</f>
        <v>-14</v>
      </c>
      <c r="Z11" s="439">
        <f t="shared" ref="Z11:Z17" si="44">Y11*W11</f>
        <v>-83552</v>
      </c>
      <c r="AA11" s="2062">
        <f>'[3]February midyear adj '!$E$133</f>
        <v>-7</v>
      </c>
      <c r="AB11" s="439">
        <f t="shared" ref="AB11:AB17" si="45">(W11*AA11)*0.5</f>
        <v>-20888</v>
      </c>
      <c r="AC11" s="1992">
        <f t="shared" ref="AC11:AC17" si="46">+AB11+Z11</f>
        <v>-104440</v>
      </c>
      <c r="AD11" s="743">
        <f t="shared" ref="AD11:AD17" si="47">X11+AC11</f>
        <v>1101096</v>
      </c>
      <c r="AE11" s="439" t="s">
        <v>398</v>
      </c>
      <c r="AF11" s="439" t="s">
        <v>398</v>
      </c>
      <c r="AG11" s="439">
        <v>0</v>
      </c>
      <c r="AH11" s="743">
        <f t="shared" ref="AH11:AH16" si="48">AD11+AG11</f>
        <v>1101096</v>
      </c>
      <c r="AI11" s="739">
        <f>'[15]Adjusted Amounts'!$Q$154</f>
        <v>0</v>
      </c>
      <c r="AJ11" s="739">
        <v>0</v>
      </c>
      <c r="AK11" s="743">
        <f t="shared" ref="AK11:AK17" si="49">SUM(AH11:AJ11)</f>
        <v>1101096</v>
      </c>
      <c r="AL11" s="1061">
        <f>('[4]Table 5B2_RSD_LA'!X11*2)+('[26]Table 5B2_RSD_LA'!AJ11*4)+('[5]Table 5B2_RSD_LA'!AJ11*2)</f>
        <v>785984.6</v>
      </c>
      <c r="AM11" s="1061">
        <f t="shared" ref="AM11:AM17" si="50">AK11-AL11</f>
        <v>315111.40000000002</v>
      </c>
      <c r="AN11" s="743">
        <f t="shared" ref="AN11:AN17" si="51">ROUND(AM11/4,0)</f>
        <v>78778</v>
      </c>
      <c r="AO11" s="743">
        <f t="shared" ref="AO11:AO17" si="52">S11+AK11</f>
        <v>1860228.9556112275</v>
      </c>
      <c r="AP11" s="743">
        <f t="shared" ref="AP11:AP17" si="53">V11+AN11</f>
        <v>131273</v>
      </c>
    </row>
    <row r="12" spans="1:42" ht="30.75" customHeight="1">
      <c r="A12" s="582">
        <v>396206</v>
      </c>
      <c r="B12" s="770" t="s">
        <v>452</v>
      </c>
      <c r="C12" s="1103">
        <f>'[25]RSD by Site'!$C$23</f>
        <v>209</v>
      </c>
      <c r="D12" s="452">
        <f>'Table 3 Levels 1&amp;2'!$AL$24</f>
        <v>3313.0666313017805</v>
      </c>
      <c r="E12" s="439">
        <f t="shared" si="35"/>
        <v>692431</v>
      </c>
      <c r="F12" s="1061">
        <f>F7</f>
        <v>801.47762416806802</v>
      </c>
      <c r="G12" s="439">
        <f t="shared" si="36"/>
        <v>167508.82345112623</v>
      </c>
      <c r="H12" s="547">
        <f t="shared" si="37"/>
        <v>859939.82345112623</v>
      </c>
      <c r="I12" s="739">
        <f>+'[3]October midyear adj'!$K$134</f>
        <v>-312705.36341570847</v>
      </c>
      <c r="J12" s="739">
        <f>'[3]February midyear adj '!$K$134</f>
        <v>14400.904894144469</v>
      </c>
      <c r="K12" s="2014">
        <f t="shared" si="40"/>
        <v>-298304.45852156403</v>
      </c>
      <c r="L12" s="547">
        <f t="shared" si="38"/>
        <v>561635.3649295622</v>
      </c>
      <c r="M12" s="739" t="s">
        <v>398</v>
      </c>
      <c r="N12" s="739" t="s">
        <v>398</v>
      </c>
      <c r="O12" s="739">
        <v>0</v>
      </c>
      <c r="P12" s="547">
        <f t="shared" si="41"/>
        <v>561635.3649295622</v>
      </c>
      <c r="Q12" s="739">
        <f>'[15]Adjusted Amounts'!$I$155</f>
        <v>-4197.2021082754363</v>
      </c>
      <c r="R12" s="739">
        <v>2099</v>
      </c>
      <c r="S12" s="547">
        <f t="shared" ref="S12:S17" si="54">SUM(P12:R12)</f>
        <v>559537.16282128682</v>
      </c>
      <c r="T12" s="1061">
        <f>'[4]Table 5B2_RSD_LA'!O12*2+'[26]Table 5B2_RSD_LA'!V12*4+'[5]Table 5B2_RSD_LA'!V12*2</f>
        <v>458579.33928073908</v>
      </c>
      <c r="U12" s="1061">
        <f t="shared" si="42"/>
        <v>100957.82354054775</v>
      </c>
      <c r="V12" s="547">
        <f t="shared" si="43"/>
        <v>25239</v>
      </c>
      <c r="W12" s="739">
        <f>'[14]FY2013-14 Final'!$D$24</f>
        <v>5968</v>
      </c>
      <c r="X12" s="439">
        <f t="shared" si="39"/>
        <v>1247312</v>
      </c>
      <c r="Y12" s="1525">
        <f>+'[3]October midyear adj'!$E$134</f>
        <v>-76</v>
      </c>
      <c r="Z12" s="439">
        <f t="shared" si="44"/>
        <v>-453568</v>
      </c>
      <c r="AA12" s="2062">
        <f>'[3]February midyear adj '!$E$134</f>
        <v>7</v>
      </c>
      <c r="AB12" s="439">
        <f t="shared" si="45"/>
        <v>20888</v>
      </c>
      <c r="AC12" s="1992">
        <f t="shared" si="46"/>
        <v>-432680</v>
      </c>
      <c r="AD12" s="743">
        <f t="shared" si="47"/>
        <v>814632</v>
      </c>
      <c r="AE12" s="439" t="s">
        <v>398</v>
      </c>
      <c r="AF12" s="439" t="s">
        <v>398</v>
      </c>
      <c r="AG12" s="439">
        <v>0</v>
      </c>
      <c r="AH12" s="743">
        <f t="shared" si="48"/>
        <v>814632</v>
      </c>
      <c r="AI12" s="739">
        <f>'[15]Adjusted Amounts'!$Q$155</f>
        <v>-5738</v>
      </c>
      <c r="AJ12" s="739">
        <v>2869</v>
      </c>
      <c r="AK12" s="743">
        <f t="shared" si="49"/>
        <v>811763</v>
      </c>
      <c r="AL12" s="1061">
        <f>('[4]Table 5B2_RSD_LA'!X12*2)+('[26]Table 5B2_RSD_LA'!AJ12*4)+('[5]Table 5B2_RSD_LA'!AJ12*2)</f>
        <v>656527.3666666667</v>
      </c>
      <c r="AM12" s="1061">
        <f t="shared" si="50"/>
        <v>155235.6333333333</v>
      </c>
      <c r="AN12" s="743">
        <f t="shared" si="51"/>
        <v>38809</v>
      </c>
      <c r="AO12" s="743">
        <f t="shared" si="52"/>
        <v>1371300.1628212868</v>
      </c>
      <c r="AP12" s="743">
        <f t="shared" si="53"/>
        <v>64048</v>
      </c>
    </row>
    <row r="13" spans="1:42" ht="30.75" customHeight="1">
      <c r="A13" s="582">
        <v>396208</v>
      </c>
      <c r="B13" s="770" t="s">
        <v>451</v>
      </c>
      <c r="C13" s="1103">
        <f>'[25]RSD by Site'!$C$25</f>
        <v>266</v>
      </c>
      <c r="D13" s="452">
        <f>'Table 3 Levels 1&amp;2'!$AL$24</f>
        <v>3313.0666313017805</v>
      </c>
      <c r="E13" s="439">
        <f t="shared" si="35"/>
        <v>881276</v>
      </c>
      <c r="F13" s="1061">
        <f>F7</f>
        <v>801.47762416806802</v>
      </c>
      <c r="G13" s="439">
        <f t="shared" si="36"/>
        <v>213193.04802870611</v>
      </c>
      <c r="H13" s="547">
        <f t="shared" si="37"/>
        <v>1094469.0480287061</v>
      </c>
      <c r="I13" s="739">
        <f>+'[3]October midyear adj'!$K$136</f>
        <v>230414.4783063115</v>
      </c>
      <c r="J13" s="739">
        <f>'[3]February midyear adj '!$K$136</f>
        <v>-34973.626171493714</v>
      </c>
      <c r="K13" s="2014">
        <f t="shared" si="40"/>
        <v>195440.8521348178</v>
      </c>
      <c r="L13" s="547">
        <f t="shared" si="38"/>
        <v>1289909.9001635239</v>
      </c>
      <c r="M13" s="739" t="s">
        <v>398</v>
      </c>
      <c r="N13" s="739" t="s">
        <v>398</v>
      </c>
      <c r="O13" s="739">
        <v>0</v>
      </c>
      <c r="P13" s="547">
        <f t="shared" si="41"/>
        <v>1289909.9001635239</v>
      </c>
      <c r="Q13" s="739">
        <f>'[15]Adjusted Amounts'!$I$157</f>
        <v>-4197.2021082754363</v>
      </c>
      <c r="R13" s="739">
        <v>2099</v>
      </c>
      <c r="S13" s="547">
        <f t="shared" si="54"/>
        <v>1287811.6980552485</v>
      </c>
      <c r="T13" s="1061">
        <f>'[4]Table 5B2_RSD_LA'!O13*2+'[26]Table 5B2_RSD_LA'!V13*4+'[5]Table 5B2_RSD_LA'!V13*2</f>
        <v>799263.86076859967</v>
      </c>
      <c r="U13" s="1061">
        <f t="shared" si="42"/>
        <v>488547.83728664881</v>
      </c>
      <c r="V13" s="547">
        <f t="shared" si="43"/>
        <v>122137</v>
      </c>
      <c r="W13" s="739">
        <f>'[14]FY2013-14 Final'!$D$24</f>
        <v>5968</v>
      </c>
      <c r="X13" s="439">
        <f t="shared" si="39"/>
        <v>1587488</v>
      </c>
      <c r="Y13" s="1525">
        <f>+'[3]October midyear adj'!$E$136</f>
        <v>56</v>
      </c>
      <c r="Z13" s="439">
        <f t="shared" si="44"/>
        <v>334208</v>
      </c>
      <c r="AA13" s="2062">
        <f>'[3]February midyear adj '!$E$136</f>
        <v>-17</v>
      </c>
      <c r="AB13" s="439">
        <f t="shared" si="45"/>
        <v>-50728</v>
      </c>
      <c r="AC13" s="1992">
        <f t="shared" si="46"/>
        <v>283480</v>
      </c>
      <c r="AD13" s="743">
        <f t="shared" si="47"/>
        <v>1870968</v>
      </c>
      <c r="AE13" s="439" t="s">
        <v>398</v>
      </c>
      <c r="AF13" s="439" t="s">
        <v>398</v>
      </c>
      <c r="AG13" s="439">
        <v>0</v>
      </c>
      <c r="AH13" s="743">
        <f t="shared" si="48"/>
        <v>1870968</v>
      </c>
      <c r="AI13" s="739">
        <f>'[15]Adjusted Amounts'!$Q$157</f>
        <v>-5738</v>
      </c>
      <c r="AJ13" s="739">
        <v>2869</v>
      </c>
      <c r="AK13" s="743">
        <f t="shared" si="49"/>
        <v>1868099</v>
      </c>
      <c r="AL13" s="1061">
        <f>('[4]Table 5B2_RSD_LA'!X13*2)+('[26]Table 5B2_RSD_LA'!AJ13*4)+('[5]Table 5B2_RSD_LA'!AJ13*2)</f>
        <v>1144137.4666666668</v>
      </c>
      <c r="AM13" s="1061">
        <f t="shared" si="50"/>
        <v>723961.53333333321</v>
      </c>
      <c r="AN13" s="743">
        <f t="shared" si="51"/>
        <v>180990</v>
      </c>
      <c r="AO13" s="743">
        <f t="shared" si="52"/>
        <v>3155910.6980552487</v>
      </c>
      <c r="AP13" s="743">
        <f t="shared" si="53"/>
        <v>303127</v>
      </c>
    </row>
    <row r="14" spans="1:42" ht="30.75" customHeight="1">
      <c r="A14" s="582">
        <v>396209</v>
      </c>
      <c r="B14" s="770" t="s">
        <v>448</v>
      </c>
      <c r="C14" s="1103">
        <f>'[25]RSD by Site'!$C$26</f>
        <v>338</v>
      </c>
      <c r="D14" s="452">
        <f>'Table 3 Levels 1&amp;2'!$AL$24</f>
        <v>3313.0666313017805</v>
      </c>
      <c r="E14" s="439">
        <f t="shared" si="35"/>
        <v>1119817</v>
      </c>
      <c r="F14" s="1061">
        <f>F7</f>
        <v>801.47762416806802</v>
      </c>
      <c r="G14" s="439">
        <f t="shared" si="36"/>
        <v>270899.43696880701</v>
      </c>
      <c r="H14" s="547">
        <f t="shared" si="37"/>
        <v>1390716.4369688071</v>
      </c>
      <c r="I14" s="739">
        <f>+'[3]October midyear adj'!$K$137</f>
        <v>139894.50468597485</v>
      </c>
      <c r="J14" s="739">
        <f>'[3]February midyear adj '!$K$137</f>
        <v>-45259.986810168331</v>
      </c>
      <c r="K14" s="2014">
        <f t="shared" si="40"/>
        <v>94634.517875806516</v>
      </c>
      <c r="L14" s="547">
        <f t="shared" si="38"/>
        <v>1485350.9548446136</v>
      </c>
      <c r="M14" s="739" t="s">
        <v>398</v>
      </c>
      <c r="N14" s="739" t="s">
        <v>398</v>
      </c>
      <c r="O14" s="739">
        <v>0</v>
      </c>
      <c r="P14" s="547">
        <f t="shared" si="41"/>
        <v>1485350.9548446136</v>
      </c>
      <c r="Q14" s="739">
        <f>'[15]Adjusted Amounts'!$I$158</f>
        <v>-4197.2021082754363</v>
      </c>
      <c r="R14" s="739">
        <v>-921</v>
      </c>
      <c r="S14" s="547">
        <f t="shared" si="54"/>
        <v>1480232.7527363382</v>
      </c>
      <c r="T14" s="1061">
        <f>'[4]Table 5B2_RSD_LA'!O14*2+'[26]Table 5B2_RSD_LA'!V14*4+'[5]Table 5B2_RSD_LA'!V14*2</f>
        <v>965491.92261443962</v>
      </c>
      <c r="U14" s="1061">
        <f t="shared" si="42"/>
        <v>514740.83012189856</v>
      </c>
      <c r="V14" s="547">
        <f t="shared" si="43"/>
        <v>128685</v>
      </c>
      <c r="W14" s="739">
        <f>'[14]FY2013-14 Final'!$D$24</f>
        <v>5968</v>
      </c>
      <c r="X14" s="439">
        <f t="shared" si="39"/>
        <v>2017184</v>
      </c>
      <c r="Y14" s="1525">
        <f>+'[3]October midyear adj'!$E$137</f>
        <v>34</v>
      </c>
      <c r="Z14" s="439">
        <f t="shared" si="44"/>
        <v>202912</v>
      </c>
      <c r="AA14" s="2062">
        <f>'[3]February midyear adj '!$E$137</f>
        <v>-22</v>
      </c>
      <c r="AB14" s="439">
        <f t="shared" si="45"/>
        <v>-65648</v>
      </c>
      <c r="AC14" s="1992">
        <f t="shared" si="46"/>
        <v>137264</v>
      </c>
      <c r="AD14" s="743">
        <f t="shared" si="47"/>
        <v>2154448</v>
      </c>
      <c r="AE14" s="439" t="s">
        <v>398</v>
      </c>
      <c r="AF14" s="439" t="s">
        <v>398</v>
      </c>
      <c r="AG14" s="439">
        <v>0</v>
      </c>
      <c r="AH14" s="743">
        <f t="shared" si="48"/>
        <v>2154448</v>
      </c>
      <c r="AI14" s="739">
        <f>'[15]Adjusted Amounts'!$Q$158</f>
        <v>-5738</v>
      </c>
      <c r="AJ14" s="739">
        <v>2869</v>
      </c>
      <c r="AK14" s="743">
        <f t="shared" si="49"/>
        <v>2151579</v>
      </c>
      <c r="AL14" s="1061">
        <f>('[4]Table 5B2_RSD_LA'!X14*2)+('[26]Table 5B2_RSD_LA'!AJ14*4)+('[5]Table 5B2_RSD_LA'!AJ14*2)</f>
        <v>1382053.0666666667</v>
      </c>
      <c r="AM14" s="1061">
        <f t="shared" si="50"/>
        <v>769525.93333333335</v>
      </c>
      <c r="AN14" s="743">
        <f t="shared" si="51"/>
        <v>192381</v>
      </c>
      <c r="AO14" s="743">
        <f t="shared" si="52"/>
        <v>3631811.7527363384</v>
      </c>
      <c r="AP14" s="743">
        <f t="shared" si="53"/>
        <v>321066</v>
      </c>
    </row>
    <row r="15" spans="1:42" ht="32.25" customHeight="1">
      <c r="A15" s="582">
        <v>396204</v>
      </c>
      <c r="B15" s="770" t="s">
        <v>449</v>
      </c>
      <c r="C15" s="1103">
        <f>'[25]RSD by Site'!$C$21</f>
        <v>332</v>
      </c>
      <c r="D15" s="452">
        <f>'Table 3 Levels 1&amp;2'!$AL$24</f>
        <v>3313.0666313017805</v>
      </c>
      <c r="E15" s="439">
        <f t="shared" ref="E15" si="55">ROUND(C15*D15,0)</f>
        <v>1099938</v>
      </c>
      <c r="F15" s="1061">
        <f>F7</f>
        <v>801.47762416806802</v>
      </c>
      <c r="G15" s="439">
        <f t="shared" si="36"/>
        <v>266090.57122379856</v>
      </c>
      <c r="H15" s="547">
        <f t="shared" ref="H15" si="56">E15+G15</f>
        <v>1366028.5712237987</v>
      </c>
      <c r="I15" s="739">
        <f>+'[3]October midyear adj'!$K$132</f>
        <v>-308590.81916023861</v>
      </c>
      <c r="J15" s="739">
        <f>'[3]February midyear adj '!$K$132</f>
        <v>-43202.714682433405</v>
      </c>
      <c r="K15" s="2014">
        <f t="shared" si="40"/>
        <v>-351793.53384267201</v>
      </c>
      <c r="L15" s="547">
        <f t="shared" si="38"/>
        <v>1014235.0373811267</v>
      </c>
      <c r="M15" s="739" t="s">
        <v>398</v>
      </c>
      <c r="N15" s="739" t="s">
        <v>398</v>
      </c>
      <c r="O15" s="739">
        <v>0</v>
      </c>
      <c r="P15" s="547">
        <f t="shared" si="41"/>
        <v>1014235.0373811267</v>
      </c>
      <c r="Q15" s="739">
        <f>'[15]Adjusted Amounts'!$I$153</f>
        <v>-33577.616866203491</v>
      </c>
      <c r="R15" s="739">
        <v>11551</v>
      </c>
      <c r="S15" s="547">
        <f t="shared" si="54"/>
        <v>992208.42051492317</v>
      </c>
      <c r="T15" s="1061">
        <f>'[4]Table 5B2_RSD_LA'!O15*2+'[26]Table 5B2_RSD_LA'!V15*4+'[5]Table 5B2_RSD_LA'!V15*2</f>
        <v>770075.56006698939</v>
      </c>
      <c r="U15" s="1061">
        <f t="shared" si="42"/>
        <v>222132.86044793378</v>
      </c>
      <c r="V15" s="547">
        <f t="shared" si="43"/>
        <v>55533</v>
      </c>
      <c r="W15" s="739">
        <f>'[14]FY2013-14 Final'!$D$24</f>
        <v>5968</v>
      </c>
      <c r="X15" s="439">
        <f t="shared" si="39"/>
        <v>1981376</v>
      </c>
      <c r="Y15" s="1525">
        <f>+'[3]October midyear adj'!$E$132</f>
        <v>-75</v>
      </c>
      <c r="Z15" s="439">
        <f t="shared" si="44"/>
        <v>-447600</v>
      </c>
      <c r="AA15" s="2062">
        <f>'[3]February midyear adj '!$E$132</f>
        <v>-21</v>
      </c>
      <c r="AB15" s="439">
        <f t="shared" si="45"/>
        <v>-62664</v>
      </c>
      <c r="AC15" s="1992">
        <f t="shared" si="46"/>
        <v>-510264</v>
      </c>
      <c r="AD15" s="743">
        <f t="shared" si="47"/>
        <v>1471112</v>
      </c>
      <c r="AE15" s="439" t="s">
        <v>398</v>
      </c>
      <c r="AF15" s="439" t="s">
        <v>398</v>
      </c>
      <c r="AG15" s="439">
        <v>0</v>
      </c>
      <c r="AH15" s="743">
        <f t="shared" si="48"/>
        <v>1471112</v>
      </c>
      <c r="AI15" s="739">
        <f>'[15]Adjusted Amounts'!$Q$153</f>
        <v>-45904</v>
      </c>
      <c r="AJ15" s="739">
        <v>14345</v>
      </c>
      <c r="AK15" s="743">
        <f t="shared" si="49"/>
        <v>1439553</v>
      </c>
      <c r="AL15" s="1061">
        <f>('[4]Table 5B2_RSD_LA'!X15*2)+('[26]Table 5B2_RSD_LA'!AJ15*4)+('[5]Table 5B2_RSD_LA'!AJ15*2)</f>
        <v>1103618.3333333333</v>
      </c>
      <c r="AM15" s="1061">
        <f t="shared" si="50"/>
        <v>335934.66666666674</v>
      </c>
      <c r="AN15" s="743">
        <f t="shared" si="51"/>
        <v>83984</v>
      </c>
      <c r="AO15" s="743">
        <f t="shared" ref="AO15" si="57">S15+AK15</f>
        <v>2431761.4205149231</v>
      </c>
      <c r="AP15" s="743">
        <f t="shared" ref="AP15" si="58">V15+AN15</f>
        <v>139517</v>
      </c>
    </row>
    <row r="16" spans="1:42" ht="35.25" customHeight="1">
      <c r="A16" s="582">
        <v>396202</v>
      </c>
      <c r="B16" s="770" t="s">
        <v>450</v>
      </c>
      <c r="C16" s="1103">
        <f>'[25]RSD by Site'!$C$19</f>
        <v>239</v>
      </c>
      <c r="D16" s="452">
        <f>'Table 3 Levels 1&amp;2'!$AL$24</f>
        <v>3313.0666313017805</v>
      </c>
      <c r="E16" s="439">
        <f t="shared" si="35"/>
        <v>791823</v>
      </c>
      <c r="F16" s="1061">
        <f>F7</f>
        <v>801.47762416806802</v>
      </c>
      <c r="G16" s="439">
        <f t="shared" si="36"/>
        <v>191553.15217616825</v>
      </c>
      <c r="H16" s="547">
        <f t="shared" si="37"/>
        <v>983376.15217616828</v>
      </c>
      <c r="I16" s="739">
        <f>+'[3]October midyear adj'!$K$131</f>
        <v>-20572.721277349243</v>
      </c>
      <c r="J16" s="739">
        <f>'[3]February midyear adj '!$K$131</f>
        <v>-10286.360638674621</v>
      </c>
      <c r="K16" s="2014">
        <f t="shared" si="40"/>
        <v>-30859.081916023864</v>
      </c>
      <c r="L16" s="547">
        <f t="shared" si="38"/>
        <v>952517.07026014442</v>
      </c>
      <c r="M16" s="739" t="s">
        <v>398</v>
      </c>
      <c r="N16" s="739" t="s">
        <v>398</v>
      </c>
      <c r="O16" s="739">
        <v>0</v>
      </c>
      <c r="P16" s="547">
        <f t="shared" si="41"/>
        <v>952517.07026014442</v>
      </c>
      <c r="Q16" s="739">
        <f>'[15]Adjusted Amounts'!$I$152</f>
        <v>-62288.211523809267</v>
      </c>
      <c r="R16" s="739">
        <v>19240</v>
      </c>
      <c r="S16" s="547">
        <f t="shared" si="54"/>
        <v>909468.85873633518</v>
      </c>
      <c r="T16" s="1061">
        <f>'[4]Table 5B2_RSD_LA'!O16*2+'[26]Table 5B2_RSD_LA'!V16*4+'[5]Table 5B2_RSD_LA'!V16*2</f>
        <v>632437.3188412406</v>
      </c>
      <c r="U16" s="1061">
        <f t="shared" si="42"/>
        <v>277031.53989509458</v>
      </c>
      <c r="V16" s="547">
        <f t="shared" si="43"/>
        <v>69258</v>
      </c>
      <c r="W16" s="739">
        <f>'[14]FY2013-14 Final'!$D$24</f>
        <v>5968</v>
      </c>
      <c r="X16" s="439">
        <f t="shared" si="39"/>
        <v>1426352</v>
      </c>
      <c r="Y16" s="1525">
        <f>+'[3]October midyear adj'!$E$131</f>
        <v>-5</v>
      </c>
      <c r="Z16" s="439">
        <f t="shared" si="44"/>
        <v>-29840</v>
      </c>
      <c r="AA16" s="2062">
        <f>'[3]February midyear adj '!$E$131</f>
        <v>-5</v>
      </c>
      <c r="AB16" s="439">
        <f t="shared" si="45"/>
        <v>-14920</v>
      </c>
      <c r="AC16" s="1992">
        <f t="shared" si="46"/>
        <v>-44760</v>
      </c>
      <c r="AD16" s="743">
        <f t="shared" si="47"/>
        <v>1381592</v>
      </c>
      <c r="AE16" s="439" t="s">
        <v>398</v>
      </c>
      <c r="AF16" s="439" t="s">
        <v>398</v>
      </c>
      <c r="AG16" s="439">
        <v>0</v>
      </c>
      <c r="AH16" s="743">
        <f t="shared" si="48"/>
        <v>1381592</v>
      </c>
      <c r="AI16" s="439">
        <f>'[15]Adjusted Amounts'!$Q$152</f>
        <v>-68280</v>
      </c>
      <c r="AJ16" s="439">
        <v>25821</v>
      </c>
      <c r="AK16" s="743">
        <f t="shared" si="49"/>
        <v>1339133</v>
      </c>
      <c r="AL16" s="1061">
        <f>('[4]Table 5B2_RSD_LA'!X16*2)+('[26]Table 5B2_RSD_LA'!AJ16*4)+('[5]Table 5B2_RSD_LA'!AJ16*2)</f>
        <v>919098.5</v>
      </c>
      <c r="AM16" s="1061">
        <f t="shared" si="50"/>
        <v>420034.5</v>
      </c>
      <c r="AN16" s="743">
        <f t="shared" si="51"/>
        <v>105009</v>
      </c>
      <c r="AO16" s="743">
        <f t="shared" si="52"/>
        <v>2248601.8587363353</v>
      </c>
      <c r="AP16" s="743">
        <f t="shared" si="53"/>
        <v>174267</v>
      </c>
    </row>
    <row r="17" spans="1:42" ht="32.25" customHeight="1">
      <c r="A17" s="580">
        <v>389002</v>
      </c>
      <c r="B17" s="1005" t="s">
        <v>313</v>
      </c>
      <c r="C17" s="1103">
        <f>'[12]ALL-Reformatted'!$D$22</f>
        <v>497</v>
      </c>
      <c r="D17" s="452">
        <f>'Table 3 Levels 1&amp;2'!$AL$24</f>
        <v>3313.0666313017805</v>
      </c>
      <c r="E17" s="439">
        <f t="shared" si="35"/>
        <v>1646594</v>
      </c>
      <c r="F17" s="1061">
        <f>F7</f>
        <v>801.47762416806802</v>
      </c>
      <c r="G17" s="439">
        <f t="shared" si="36"/>
        <v>398334.3792115298</v>
      </c>
      <c r="H17" s="547">
        <f t="shared" si="37"/>
        <v>2044928.3792115299</v>
      </c>
      <c r="I17" s="739">
        <f>+'[3]October midyear adj'!$K$200</f>
        <v>283903.55362741952</v>
      </c>
      <c r="J17" s="739">
        <f>'[3]February midyear adj '!$K$200</f>
        <v>-74061.796598457266</v>
      </c>
      <c r="K17" s="2014">
        <f t="shared" si="40"/>
        <v>209841.75702896225</v>
      </c>
      <c r="L17" s="547">
        <f t="shared" si="38"/>
        <v>2254770.1362404921</v>
      </c>
      <c r="M17" s="739">
        <f>-L17*$M$5</f>
        <v>-39458.477384208614</v>
      </c>
      <c r="N17" s="739">
        <f>-L17*$N$5</f>
        <v>-5636.9253406012303</v>
      </c>
      <c r="O17" s="739">
        <f t="shared" ref="O17" si="59">M17+N17</f>
        <v>-45095.402724809843</v>
      </c>
      <c r="P17" s="547">
        <f t="shared" si="41"/>
        <v>2209674.7335156822</v>
      </c>
      <c r="Q17" s="739">
        <f>'[15]Adjusted Amounts'!$I$221</f>
        <v>-34110.218011362987</v>
      </c>
      <c r="R17" s="739">
        <v>0</v>
      </c>
      <c r="S17" s="547">
        <f t="shared" si="54"/>
        <v>2175564.5155043192</v>
      </c>
      <c r="T17" s="1061">
        <f>'[4]Table 5B2_RSD_LA'!O17*2+'[26]Table 5B2_RSD_LA'!V17*4+'[5]Table 5B2_RSD_LA'!V17*2</f>
        <v>1313279.6884388844</v>
      </c>
      <c r="U17" s="1061">
        <f t="shared" si="42"/>
        <v>862284.82706543477</v>
      </c>
      <c r="V17" s="547">
        <f t="shared" si="43"/>
        <v>215571</v>
      </c>
      <c r="W17" s="739">
        <f>'[14]FY2013-14 Final'!$D$24</f>
        <v>5968</v>
      </c>
      <c r="X17" s="439">
        <f t="shared" si="39"/>
        <v>2966096</v>
      </c>
      <c r="Y17" s="1525">
        <f>+'[3]October midyear adj'!$E$200</f>
        <v>69</v>
      </c>
      <c r="Z17" s="439">
        <f t="shared" si="44"/>
        <v>411792</v>
      </c>
      <c r="AA17" s="2062">
        <f>'[3]February midyear adj '!$E$200</f>
        <v>-36</v>
      </c>
      <c r="AB17" s="439">
        <f t="shared" si="45"/>
        <v>-107424</v>
      </c>
      <c r="AC17" s="1992">
        <f t="shared" si="46"/>
        <v>304368</v>
      </c>
      <c r="AD17" s="743">
        <f t="shared" si="47"/>
        <v>3270464</v>
      </c>
      <c r="AE17" s="439">
        <f>-AD17*$AE$5</f>
        <v>-57233.120000000003</v>
      </c>
      <c r="AF17" s="439">
        <f>-AD17*$AF$5</f>
        <v>-8176.16</v>
      </c>
      <c r="AG17" s="439">
        <f t="shared" ref="AG17" si="60">AE17+AF17</f>
        <v>-65409.279999999999</v>
      </c>
      <c r="AH17" s="743">
        <f>AD17+AG17</f>
        <v>3205054.72</v>
      </c>
      <c r="AI17" s="439">
        <f>'[15]Adjusted Amounts'!$Q$221</f>
        <v>0</v>
      </c>
      <c r="AJ17" s="439">
        <v>0</v>
      </c>
      <c r="AK17" s="743">
        <f t="shared" si="49"/>
        <v>3205054.72</v>
      </c>
      <c r="AL17" s="1061">
        <f>'[4]Table 5B2_RSD_LA'!$X$17+'[27]Table 5B2_RSD_LA'!$AB$17+'[28]Table 5B2_RSD_LA'!$AJ$17*3+'[29]Table 5B2_RSD_LA'!$AJ$17+'[30]Table 5B2_RSD_LA'!$AJ$17+'[31]Table 5B2_RSD_LA'!$AJ$17</f>
        <v>1912197.1662727275</v>
      </c>
      <c r="AM17" s="1061">
        <f t="shared" si="50"/>
        <v>1292857.5537272727</v>
      </c>
      <c r="AN17" s="743">
        <f t="shared" si="51"/>
        <v>323214</v>
      </c>
      <c r="AO17" s="743">
        <f t="shared" si="52"/>
        <v>5380619.2355043199</v>
      </c>
      <c r="AP17" s="743">
        <f t="shared" si="53"/>
        <v>538785</v>
      </c>
    </row>
    <row r="18" spans="1:42" s="8" customFormat="1" ht="32.25" customHeight="1">
      <c r="A18" s="435"/>
      <c r="B18" s="435" t="s">
        <v>252</v>
      </c>
      <c r="C18" s="488">
        <f>SUM(C10:C17)</f>
        <v>2248</v>
      </c>
      <c r="D18" s="489"/>
      <c r="E18" s="490">
        <f>SUM(E10:E17)</f>
        <v>7447774</v>
      </c>
      <c r="F18" s="490"/>
      <c r="G18" s="490">
        <f t="shared" ref="G18:V18" si="61">SUM(G10:G17)</f>
        <v>1801721.6991298168</v>
      </c>
      <c r="H18" s="1993">
        <f t="shared" si="61"/>
        <v>9249495.699129818</v>
      </c>
      <c r="I18" s="699">
        <f t="shared" ref="I18:L18" si="62">SUM(I10:I17)</f>
        <v>-78176.340853927133</v>
      </c>
      <c r="J18" s="699">
        <f t="shared" si="62"/>
        <v>-218070.84553990196</v>
      </c>
      <c r="K18" s="2015">
        <f t="shared" si="62"/>
        <v>-296247.18639382906</v>
      </c>
      <c r="L18" s="1993">
        <f t="shared" si="62"/>
        <v>8953248.5127359889</v>
      </c>
      <c r="M18" s="699">
        <f t="shared" si="61"/>
        <v>-39458.477384208614</v>
      </c>
      <c r="N18" s="699">
        <f t="shared" si="61"/>
        <v>-5636.9253406012303</v>
      </c>
      <c r="O18" s="699">
        <f t="shared" si="61"/>
        <v>-45095.402724809843</v>
      </c>
      <c r="P18" s="1993">
        <f t="shared" si="61"/>
        <v>8908153.110011179</v>
      </c>
      <c r="Q18" s="490">
        <f t="shared" si="61"/>
        <v>-150962.05694275291</v>
      </c>
      <c r="R18" s="490">
        <f t="shared" si="61"/>
        <v>38265</v>
      </c>
      <c r="S18" s="490">
        <f t="shared" si="61"/>
        <v>8795456.0530684255</v>
      </c>
      <c r="T18" s="490">
        <f t="shared" si="61"/>
        <v>5913342.3451625556</v>
      </c>
      <c r="U18" s="490">
        <f t="shared" si="61"/>
        <v>2882113.707905869</v>
      </c>
      <c r="V18" s="490">
        <f t="shared" si="61"/>
        <v>720528</v>
      </c>
      <c r="W18" s="490"/>
      <c r="X18" s="490">
        <f t="shared" ref="X18:AP18" si="63">SUM(X10:X17)</f>
        <v>13416064</v>
      </c>
      <c r="Y18" s="1528">
        <f t="shared" si="63"/>
        <v>-19</v>
      </c>
      <c r="Z18" s="490">
        <f t="shared" si="63"/>
        <v>-113392</v>
      </c>
      <c r="AA18" s="1528">
        <f t="shared" si="63"/>
        <v>-106</v>
      </c>
      <c r="AB18" s="490">
        <f t="shared" si="63"/>
        <v>-316304</v>
      </c>
      <c r="AC18" s="1993">
        <f t="shared" si="63"/>
        <v>-429696</v>
      </c>
      <c r="AD18" s="744">
        <f t="shared" si="63"/>
        <v>12986368</v>
      </c>
      <c r="AE18" s="490">
        <f t="shared" si="63"/>
        <v>-57233.120000000003</v>
      </c>
      <c r="AF18" s="490">
        <f t="shared" si="63"/>
        <v>-8176.16</v>
      </c>
      <c r="AG18" s="490">
        <f t="shared" si="63"/>
        <v>-65409.279999999999</v>
      </c>
      <c r="AH18" s="744">
        <f t="shared" si="63"/>
        <v>12920958.720000001</v>
      </c>
      <c r="AI18" s="490">
        <f t="shared" si="63"/>
        <v>-142874</v>
      </c>
      <c r="AJ18" s="490">
        <f t="shared" si="63"/>
        <v>54511</v>
      </c>
      <c r="AK18" s="744">
        <f t="shared" si="63"/>
        <v>12832595.720000001</v>
      </c>
      <c r="AL18" s="1991">
        <f t="shared" si="63"/>
        <v>8512348.3329393938</v>
      </c>
      <c r="AM18" s="1991">
        <f t="shared" si="63"/>
        <v>4320247.3870606059</v>
      </c>
      <c r="AN18" s="744">
        <f t="shared" si="63"/>
        <v>1080062</v>
      </c>
      <c r="AO18" s="744">
        <f t="shared" si="63"/>
        <v>21628051.773068428</v>
      </c>
      <c r="AP18" s="744">
        <f t="shared" si="63"/>
        <v>1800590</v>
      </c>
    </row>
    <row r="19" spans="1:42" s="8" customFormat="1" ht="36" customHeight="1">
      <c r="A19" s="764"/>
      <c r="B19" s="764" t="s">
        <v>262</v>
      </c>
      <c r="C19" s="765">
        <f>C18+C7</f>
        <v>42675</v>
      </c>
      <c r="D19" s="766"/>
      <c r="E19" s="766">
        <f>E18+E7</f>
        <v>141385119</v>
      </c>
      <c r="F19" s="766"/>
      <c r="G19" s="766">
        <f>G18+G7</f>
        <v>34203057.611372307</v>
      </c>
      <c r="H19" s="766">
        <f>H18+H7</f>
        <v>175588176.61137229</v>
      </c>
      <c r="I19" s="766"/>
      <c r="J19" s="766"/>
      <c r="K19" s="766"/>
      <c r="L19" s="766"/>
      <c r="M19" s="766"/>
      <c r="N19" s="766"/>
      <c r="O19" s="766"/>
      <c r="P19" s="766"/>
      <c r="Q19" s="766"/>
      <c r="R19" s="766"/>
      <c r="S19" s="766"/>
      <c r="T19" s="766"/>
      <c r="U19" s="766"/>
      <c r="V19" s="766"/>
      <c r="W19" s="766"/>
      <c r="X19" s="766"/>
      <c r="Y19" s="1524"/>
      <c r="Z19" s="766"/>
      <c r="AA19" s="2063"/>
      <c r="AB19" s="766"/>
      <c r="AC19" s="766"/>
      <c r="AD19" s="766"/>
      <c r="AE19" s="766"/>
      <c r="AF19" s="766"/>
      <c r="AG19" s="766"/>
      <c r="AH19" s="766"/>
      <c r="AI19" s="766"/>
      <c r="AJ19" s="766"/>
      <c r="AK19" s="766"/>
      <c r="AL19" s="766"/>
      <c r="AM19" s="766"/>
      <c r="AN19" s="766"/>
      <c r="AO19" s="766"/>
      <c r="AP19" s="766"/>
    </row>
    <row r="20" spans="1:42" ht="6.75" customHeight="1">
      <c r="A20" s="491"/>
      <c r="B20" s="491"/>
      <c r="C20" s="492"/>
      <c r="D20" s="493"/>
      <c r="E20" s="493"/>
      <c r="F20" s="493"/>
      <c r="G20" s="493"/>
      <c r="H20" s="493"/>
      <c r="I20" s="493"/>
      <c r="J20" s="493"/>
      <c r="K20" s="493"/>
      <c r="L20" s="493"/>
      <c r="M20" s="493"/>
      <c r="N20" s="493"/>
      <c r="O20" s="493"/>
      <c r="P20" s="493"/>
      <c r="Q20" s="493"/>
      <c r="R20" s="493"/>
      <c r="S20" s="493"/>
      <c r="T20" s="493"/>
      <c r="U20" s="493"/>
      <c r="V20" s="493"/>
      <c r="W20" s="493"/>
      <c r="X20" s="493"/>
      <c r="Y20" s="550"/>
      <c r="Z20" s="493"/>
      <c r="AA20" s="2064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</row>
    <row r="21" spans="1:42" s="494" customFormat="1" ht="40.5" customHeight="1">
      <c r="A21" s="704"/>
      <c r="B21" s="704" t="s">
        <v>762</v>
      </c>
      <c r="C21" s="1104">
        <f>'2-1-13 SIS'!C45+'2-1-13 SIS'!R45</f>
        <v>2600</v>
      </c>
      <c r="D21" s="439">
        <f>'Table 3 Levels 1&amp;2'!$AL$46</f>
        <v>3639.9942778062696</v>
      </c>
      <c r="E21" s="439">
        <f>ROUND(C21*D21,0)</f>
        <v>9463985</v>
      </c>
      <c r="F21" s="496">
        <v>779.65573042776441</v>
      </c>
      <c r="G21" s="496">
        <f>F21*C21</f>
        <v>2027104.8991121876</v>
      </c>
      <c r="H21" s="546">
        <f>E21+G21</f>
        <v>11491089.899112187</v>
      </c>
      <c r="I21" s="738"/>
      <c r="J21" s="738"/>
      <c r="K21" s="2016">
        <f t="shared" ref="K21" si="64">SUM(I21:J21)</f>
        <v>0</v>
      </c>
      <c r="L21" s="546">
        <f>+K21+H21</f>
        <v>11491089.899112187</v>
      </c>
      <c r="M21" s="738"/>
      <c r="N21" s="738"/>
      <c r="O21" s="738"/>
      <c r="P21" s="546"/>
      <c r="Q21" s="495" t="s">
        <v>255</v>
      </c>
      <c r="R21" s="495"/>
      <c r="S21" s="546" t="s">
        <v>255</v>
      </c>
      <c r="T21" s="1996"/>
      <c r="U21" s="1996"/>
      <c r="V21" s="546"/>
      <c r="W21" s="784"/>
      <c r="X21" s="495"/>
      <c r="Y21" s="1526"/>
      <c r="Z21" s="495"/>
      <c r="AA21" s="2065"/>
      <c r="AB21" s="495"/>
      <c r="AC21" s="1994"/>
      <c r="AD21" s="742"/>
      <c r="AE21" s="495"/>
      <c r="AF21" s="495"/>
      <c r="AG21" s="495"/>
      <c r="AH21" s="742"/>
      <c r="AI21" s="767" t="s">
        <v>398</v>
      </c>
      <c r="AJ21" s="767"/>
      <c r="AK21" s="742"/>
      <c r="AL21" s="495"/>
      <c r="AM21" s="495"/>
      <c r="AN21" s="742"/>
      <c r="AO21" s="742"/>
      <c r="AP21" s="742"/>
    </row>
    <row r="22" spans="1:42" s="75" customFormat="1" ht="6" customHeight="1">
      <c r="A22" s="484"/>
      <c r="B22" s="484"/>
      <c r="C22" s="485"/>
      <c r="D22" s="485"/>
      <c r="E22" s="487"/>
      <c r="F22" s="487"/>
      <c r="G22" s="487"/>
      <c r="H22" s="549"/>
      <c r="I22" s="698"/>
      <c r="J22" s="698"/>
      <c r="K22" s="2017"/>
      <c r="L22" s="549"/>
      <c r="M22" s="698"/>
      <c r="N22" s="698"/>
      <c r="O22" s="698"/>
      <c r="P22" s="549"/>
      <c r="Q22" s="487"/>
      <c r="R22" s="487"/>
      <c r="S22" s="549"/>
      <c r="T22" s="1997"/>
      <c r="U22" s="1997"/>
      <c r="V22" s="549"/>
      <c r="W22" s="487"/>
      <c r="X22" s="487"/>
      <c r="Y22" s="1527"/>
      <c r="Z22" s="487"/>
      <c r="AA22" s="2066"/>
      <c r="AB22" s="487">
        <f t="shared" ref="AB22" si="65">+W22*AA22</f>
        <v>0</v>
      </c>
      <c r="AC22" s="487">
        <f t="shared" ref="AC22:AC23" si="66">+AB22+Z22</f>
        <v>0</v>
      </c>
      <c r="AD22" s="487"/>
      <c r="AE22" s="487"/>
      <c r="AF22" s="487"/>
      <c r="AG22" s="487"/>
      <c r="AH22" s="487"/>
      <c r="AI22" s="487"/>
      <c r="AJ22" s="487"/>
      <c r="AK22" s="487"/>
      <c r="AL22" s="487"/>
      <c r="AM22" s="487"/>
      <c r="AN22" s="487"/>
      <c r="AO22" s="487"/>
      <c r="AP22" s="487"/>
    </row>
    <row r="23" spans="1:42" ht="38.25" customHeight="1">
      <c r="A23" s="1062">
        <v>369207</v>
      </c>
      <c r="B23" s="769" t="s">
        <v>761</v>
      </c>
      <c r="C23" s="438">
        <f>'[12]ALL-Reformatted'!$F$44</f>
        <v>231</v>
      </c>
      <c r="D23" s="439">
        <f>'Table 3 Levels 1&amp;2'!$AL$46</f>
        <v>3639.9942778062696</v>
      </c>
      <c r="E23" s="439">
        <f>ROUND(C23*D23,0)</f>
        <v>840839</v>
      </c>
      <c r="F23" s="1061">
        <f>F21</f>
        <v>779.65573042776441</v>
      </c>
      <c r="G23" s="439">
        <f>F23*C23</f>
        <v>180100.47372881358</v>
      </c>
      <c r="H23" s="547">
        <f>E23+G23</f>
        <v>1020939.4737288136</v>
      </c>
      <c r="I23" s="739">
        <f>+'[3]October midyear adj'!$K$135</f>
        <v>-203303.90037876554</v>
      </c>
      <c r="J23" s="739">
        <f>'[3]February midyear adj '!$K$135</f>
        <v>-6629.4750123510503</v>
      </c>
      <c r="K23" s="2014">
        <f t="shared" ref="K23" si="67">SUM(I23:J23)</f>
        <v>-209933.3753911166</v>
      </c>
      <c r="L23" s="547">
        <f>+K23+H23</f>
        <v>811006.09833769698</v>
      </c>
      <c r="M23" s="739" t="s">
        <v>398</v>
      </c>
      <c r="N23" s="739" t="s">
        <v>398</v>
      </c>
      <c r="O23" s="739">
        <v>0</v>
      </c>
      <c r="P23" s="547">
        <f>L23+O23</f>
        <v>811006.09833769698</v>
      </c>
      <c r="Q23" s="739">
        <f>'[15]Adjusted Amounts'!$I$156</f>
        <v>-8944.4957671786251</v>
      </c>
      <c r="R23" s="739">
        <v>4472</v>
      </c>
      <c r="S23" s="547">
        <f>SUM(P23:R23)</f>
        <v>806533.60257051839</v>
      </c>
      <c r="T23" s="1061">
        <f>'[4]Table 5B2_RSD_LA'!O23*2+'[26]Table 5B2_RSD_LA'!V23*4+'[5]Table 5B2_RSD_LA'!V23*2</f>
        <v>565645.18290081399</v>
      </c>
      <c r="U23" s="1061">
        <f t="shared" ref="U23" si="68">S23-T23</f>
        <v>240888.4196697044</v>
      </c>
      <c r="V23" s="547">
        <f>ROUND(U23/4,0)</f>
        <v>60222</v>
      </c>
      <c r="W23" s="739">
        <f>'[14]FY2013-14 Final'!$D$46</f>
        <v>4275</v>
      </c>
      <c r="X23" s="439">
        <f>W23*C23</f>
        <v>987525</v>
      </c>
      <c r="Y23" s="1525">
        <f>+'[3]October midyear adj'!$E$135</f>
        <v>-46</v>
      </c>
      <c r="Z23" s="439">
        <f>Y23*W23</f>
        <v>-196650</v>
      </c>
      <c r="AA23" s="2062">
        <f>'[3]February midyear adj '!$E$135</f>
        <v>-3</v>
      </c>
      <c r="AB23" s="439">
        <f t="shared" ref="AB23" si="69">(W23*AA23)*0.5</f>
        <v>-6412.5</v>
      </c>
      <c r="AC23" s="1992">
        <f t="shared" si="66"/>
        <v>-203062.5</v>
      </c>
      <c r="AD23" s="743">
        <f>X23+AC23</f>
        <v>784462.5</v>
      </c>
      <c r="AE23" s="439" t="s">
        <v>398</v>
      </c>
      <c r="AF23" s="439" t="s">
        <v>398</v>
      </c>
      <c r="AG23" s="439">
        <v>0</v>
      </c>
      <c r="AH23" s="743">
        <f>AD23+AG23</f>
        <v>784462.5</v>
      </c>
      <c r="AI23" s="439">
        <f>'[15]Adjusted Amounts'!$Q$156</f>
        <v>-8370</v>
      </c>
      <c r="AJ23" s="439">
        <v>4185</v>
      </c>
      <c r="AK23" s="743">
        <f>SUM(AH23:AJ23)</f>
        <v>780277.5</v>
      </c>
      <c r="AL23" s="1061">
        <f>('[4]Table 5B2_RSD_LA'!X23*2)+('[26]Table 5B2_RSD_LA'!AJ23*4)+('[5]Table 5B2_RSD_LA'!AJ23*2)</f>
        <v>536456.30000000005</v>
      </c>
      <c r="AM23" s="1061">
        <f>AK23-AL23</f>
        <v>243821.19999999995</v>
      </c>
      <c r="AN23" s="743">
        <f>ROUND(AM23/4,0)</f>
        <v>60955</v>
      </c>
      <c r="AO23" s="743">
        <f t="shared" ref="AO23" si="70">S23+AK23</f>
        <v>1586811.1025705184</v>
      </c>
      <c r="AP23" s="743">
        <f t="shared" ref="AP23" si="71">V23+AN23</f>
        <v>121177</v>
      </c>
    </row>
    <row r="24" spans="1:42" s="8" customFormat="1" ht="39.75" customHeight="1">
      <c r="A24" s="760"/>
      <c r="B24" s="760" t="s">
        <v>365</v>
      </c>
      <c r="C24" s="761">
        <f>SUM(C21:C23)</f>
        <v>2831</v>
      </c>
      <c r="D24" s="762"/>
      <c r="E24" s="762">
        <f>SUM(E21:E23)</f>
        <v>10304824</v>
      </c>
      <c r="F24" s="762"/>
      <c r="G24" s="762">
        <f>SUM(G21:G23)</f>
        <v>2207205.372841001</v>
      </c>
      <c r="H24" s="762">
        <f>SUM(H21:H23)</f>
        <v>12512029.372841001</v>
      </c>
      <c r="I24" s="762"/>
      <c r="J24" s="762"/>
      <c r="K24" s="762"/>
      <c r="L24" s="762"/>
      <c r="M24" s="762"/>
      <c r="N24" s="762"/>
      <c r="O24" s="762"/>
      <c r="P24" s="762"/>
      <c r="Q24" s="762"/>
      <c r="R24" s="762"/>
      <c r="S24" s="762"/>
      <c r="T24" s="762"/>
      <c r="U24" s="762"/>
      <c r="V24" s="762"/>
      <c r="W24" s="762"/>
      <c r="X24" s="762"/>
      <c r="Y24" s="763"/>
      <c r="Z24" s="762"/>
      <c r="AA24" s="2067"/>
      <c r="AB24" s="762"/>
      <c r="AC24" s="762"/>
      <c r="AD24" s="762"/>
      <c r="AE24" s="762"/>
      <c r="AF24" s="762"/>
      <c r="AG24" s="762"/>
      <c r="AH24" s="762"/>
      <c r="AI24" s="762"/>
      <c r="AJ24" s="762"/>
      <c r="AK24" s="762"/>
      <c r="AL24" s="762"/>
      <c r="AM24" s="762"/>
      <c r="AN24" s="762"/>
      <c r="AO24" s="762"/>
      <c r="AP24" s="762"/>
    </row>
    <row r="25" spans="1:42" ht="6.75" customHeight="1">
      <c r="A25" s="491"/>
      <c r="B25" s="491"/>
      <c r="C25" s="492"/>
      <c r="D25" s="493"/>
      <c r="E25" s="493"/>
      <c r="F25" s="493"/>
      <c r="G25" s="493"/>
      <c r="H25" s="493"/>
      <c r="I25" s="493"/>
      <c r="J25" s="493"/>
      <c r="K25" s="493"/>
      <c r="L25" s="493"/>
      <c r="M25" s="493"/>
      <c r="N25" s="493"/>
      <c r="O25" s="493"/>
      <c r="P25" s="493"/>
      <c r="Q25" s="493"/>
      <c r="R25" s="493"/>
      <c r="S25" s="493"/>
      <c r="T25" s="493"/>
      <c r="U25" s="493"/>
      <c r="V25" s="493"/>
      <c r="W25" s="493"/>
      <c r="X25" s="493"/>
      <c r="Y25" s="550"/>
      <c r="Z25" s="493"/>
      <c r="AA25" s="2064"/>
      <c r="AB25" s="493"/>
      <c r="AC25" s="493"/>
      <c r="AD25" s="493"/>
      <c r="AE25" s="493"/>
      <c r="AF25" s="493"/>
      <c r="AG25" s="493"/>
      <c r="AH25" s="493"/>
      <c r="AI25" s="493"/>
      <c r="AJ25" s="493"/>
      <c r="AK25" s="493"/>
      <c r="AL25" s="493"/>
      <c r="AM25" s="493"/>
      <c r="AN25" s="493"/>
      <c r="AO25" s="493"/>
      <c r="AP25" s="493"/>
    </row>
    <row r="26" spans="1:42" s="107" customFormat="1" ht="45">
      <c r="A26" s="582"/>
      <c r="B26" s="582" t="s">
        <v>744</v>
      </c>
      <c r="C26" s="1104">
        <f>'2-1-13 SIS'!C15+'2-1-13 SIS'!R15</f>
        <v>40069</v>
      </c>
      <c r="D26" s="452">
        <f>'Table 3 Levels 1&amp;2'!$AL$16</f>
        <v>4395.6154516889328</v>
      </c>
      <c r="E26" s="439">
        <f>ROUND(C26*D26,0)</f>
        <v>176127916</v>
      </c>
      <c r="F26" s="697">
        <v>744.76</v>
      </c>
      <c r="G26" s="439">
        <f>F26*C26</f>
        <v>29841788.440000001</v>
      </c>
      <c r="H26" s="547">
        <f>E26+G26</f>
        <v>205969704.44</v>
      </c>
      <c r="I26" s="739"/>
      <c r="J26" s="739"/>
      <c r="K26" s="2014">
        <f t="shared" ref="K26" si="72">SUM(I26:J26)</f>
        <v>0</v>
      </c>
      <c r="L26" s="547">
        <f>+K26+H26</f>
        <v>205969704.44</v>
      </c>
      <c r="M26" s="739"/>
      <c r="N26" s="739"/>
      <c r="O26" s="739"/>
      <c r="P26" s="547"/>
      <c r="Q26" s="495" t="s">
        <v>255</v>
      </c>
      <c r="R26" s="495"/>
      <c r="S26" s="547" t="s">
        <v>255</v>
      </c>
      <c r="T26" s="1061"/>
      <c r="U26" s="1061"/>
      <c r="V26" s="547"/>
      <c r="W26" s="495"/>
      <c r="X26" s="495"/>
      <c r="Y26" s="1526"/>
      <c r="Z26" s="495"/>
      <c r="AA26" s="2065"/>
      <c r="AB26" s="495"/>
      <c r="AC26" s="1994">
        <f t="shared" ref="AC26:AC29" si="73">+AB26+Z26</f>
        <v>0</v>
      </c>
      <c r="AD26" s="742"/>
      <c r="AE26" s="495"/>
      <c r="AF26" s="495"/>
      <c r="AG26" s="495"/>
      <c r="AH26" s="742"/>
      <c r="AI26" s="495"/>
      <c r="AJ26" s="495"/>
      <c r="AK26" s="742"/>
      <c r="AL26" s="495"/>
      <c r="AM26" s="495"/>
      <c r="AN26" s="742"/>
      <c r="AO26" s="742"/>
      <c r="AP26" s="742"/>
    </row>
    <row r="27" spans="1:42" s="75" customFormat="1" ht="6" customHeight="1">
      <c r="A27" s="484"/>
      <c r="B27" s="484"/>
      <c r="C27" s="485"/>
      <c r="D27" s="486"/>
      <c r="E27" s="487"/>
      <c r="F27" s="698"/>
      <c r="G27" s="487"/>
      <c r="H27" s="549"/>
      <c r="I27" s="698"/>
      <c r="J27" s="698"/>
      <c r="K27" s="2017"/>
      <c r="L27" s="549"/>
      <c r="M27" s="698"/>
      <c r="N27" s="698"/>
      <c r="O27" s="698"/>
      <c r="P27" s="549"/>
      <c r="Q27" s="487"/>
      <c r="R27" s="487"/>
      <c r="S27" s="549"/>
      <c r="T27" s="1997"/>
      <c r="U27" s="1997"/>
      <c r="V27" s="549"/>
      <c r="W27" s="487"/>
      <c r="X27" s="487"/>
      <c r="Y27" s="1527"/>
      <c r="Z27" s="487"/>
      <c r="AA27" s="2066"/>
      <c r="AB27" s="487"/>
      <c r="AC27" s="487">
        <f t="shared" si="73"/>
        <v>0</v>
      </c>
      <c r="AD27" s="487"/>
      <c r="AE27" s="487"/>
      <c r="AF27" s="487"/>
      <c r="AG27" s="487"/>
      <c r="AH27" s="487"/>
      <c r="AI27" s="487"/>
      <c r="AJ27" s="487"/>
      <c r="AK27" s="487"/>
      <c r="AL27" s="487"/>
      <c r="AM27" s="487"/>
      <c r="AN27" s="487"/>
      <c r="AO27" s="487"/>
      <c r="AP27" s="487"/>
    </row>
    <row r="28" spans="1:42" ht="32.25" customHeight="1">
      <c r="A28" s="580">
        <v>396201</v>
      </c>
      <c r="B28" s="770" t="s">
        <v>378</v>
      </c>
      <c r="C28" s="1103">
        <f>'[12]ALL-Reformatted'!$F$14</f>
        <v>147</v>
      </c>
      <c r="D28" s="452">
        <f>'Table 3 Levels 1&amp;2'!$AL$16</f>
        <v>4395.6154516889328</v>
      </c>
      <c r="E28" s="439">
        <f>ROUND(C28*D28,0)</f>
        <v>646155</v>
      </c>
      <c r="F28" s="697">
        <f>F26</f>
        <v>744.76</v>
      </c>
      <c r="G28" s="439">
        <f>F28*C28</f>
        <v>109479.72</v>
      </c>
      <c r="H28" s="547">
        <f>E28+G28</f>
        <v>755634.72</v>
      </c>
      <c r="I28" s="739">
        <f>+'[3]October midyear adj'!$K$130</f>
        <v>-30842.252710133598</v>
      </c>
      <c r="J28" s="739">
        <f>'[3]February midyear adj '!$K$130</f>
        <v>5140.375451688933</v>
      </c>
      <c r="K28" s="2014">
        <f t="shared" ref="K28:K29" si="74">SUM(I28:J28)</f>
        <v>-25701.877258444663</v>
      </c>
      <c r="L28" s="547">
        <f>+K28+H28</f>
        <v>729932.8427415553</v>
      </c>
      <c r="M28" s="739" t="s">
        <v>398</v>
      </c>
      <c r="N28" s="739" t="s">
        <v>398</v>
      </c>
      <c r="O28" s="739">
        <v>0</v>
      </c>
      <c r="P28" s="547">
        <f t="shared" ref="P28:P29" si="75">L28+O28</f>
        <v>729932.8427415553</v>
      </c>
      <c r="Q28" s="739">
        <f>'[15]Adjusted Amounts'!$I$151</f>
        <v>-21573.363555057345</v>
      </c>
      <c r="R28" s="739">
        <v>2791</v>
      </c>
      <c r="S28" s="547">
        <f>SUM(P28:R28)</f>
        <v>711150.47918649798</v>
      </c>
      <c r="T28" s="1061">
        <f>'[4]Table 5B2_RSD_LA'!O28*2+'[26]Table 5B2_RSD_LA'!V28*4+'[5]Table 5B2_RSD_LA'!V28*2</f>
        <v>498283.95739071682</v>
      </c>
      <c r="U28" s="1061">
        <f t="shared" ref="U28:U29" si="76">S28-T28</f>
        <v>212866.52179578115</v>
      </c>
      <c r="V28" s="547">
        <f t="shared" ref="V28:V29" si="77">ROUND(U28/4,0)</f>
        <v>53217</v>
      </c>
      <c r="W28" s="739">
        <f>'[14]FY2013-14 Final'!$D$16</f>
        <v>3988</v>
      </c>
      <c r="X28" s="439">
        <f>W28*C28</f>
        <v>586236</v>
      </c>
      <c r="Y28" s="1525">
        <f>+'[3]October midyear adj'!$E$130</f>
        <v>-6</v>
      </c>
      <c r="Z28" s="439">
        <f t="shared" ref="Z28:Z29" si="78">Y28*W28</f>
        <v>-23928</v>
      </c>
      <c r="AA28" s="2062">
        <f>'[3]February midyear adj '!$E$130</f>
        <v>2</v>
      </c>
      <c r="AB28" s="439">
        <f t="shared" ref="AB28:AB29" si="79">(W28*AA28)*0.5</f>
        <v>3988</v>
      </c>
      <c r="AC28" s="1992">
        <f t="shared" si="73"/>
        <v>-19940</v>
      </c>
      <c r="AD28" s="743">
        <f>X28+AC28</f>
        <v>566296</v>
      </c>
      <c r="AE28" s="439" t="s">
        <v>398</v>
      </c>
      <c r="AF28" s="439" t="s">
        <v>398</v>
      </c>
      <c r="AG28" s="439">
        <v>0</v>
      </c>
      <c r="AH28" s="743">
        <f t="shared" ref="AH28:AH29" si="80">AD28+AG28</f>
        <v>566296</v>
      </c>
      <c r="AI28" s="439">
        <f>'[15]Adjusted Amounts'!$Q$151</f>
        <v>-13779.5</v>
      </c>
      <c r="AJ28" s="439">
        <v>5913</v>
      </c>
      <c r="AK28" s="743">
        <f>SUM(AH28:AJ28)</f>
        <v>558429.5</v>
      </c>
      <c r="AL28" s="1061">
        <f>('[4]Table 5B2_RSD_LA'!X28*2)+('[26]Table 5B2_RSD_LA'!AJ28*4)+('[5]Table 5B2_RSD_LA'!AJ28*2)</f>
        <v>383563.78333333333</v>
      </c>
      <c r="AM28" s="1061">
        <f t="shared" ref="AM28:AM29" si="81">AK28-AL28</f>
        <v>174865.71666666667</v>
      </c>
      <c r="AN28" s="743">
        <f t="shared" ref="AN28:AN29" si="82">ROUND(AM28/4,0)</f>
        <v>43716</v>
      </c>
      <c r="AO28" s="743">
        <f t="shared" ref="AO28:AO29" si="83">S28+AK28</f>
        <v>1269579.9791864981</v>
      </c>
      <c r="AP28" s="743">
        <f t="shared" ref="AP28:AP29" si="84">V28+AN28</f>
        <v>96933</v>
      </c>
    </row>
    <row r="29" spans="1:42" ht="33.75" customHeight="1">
      <c r="A29" s="580">
        <v>371001</v>
      </c>
      <c r="B29" s="1005" t="s">
        <v>314</v>
      </c>
      <c r="C29" s="1103">
        <f>'[12]ALL-Reformatted'!$D$14</f>
        <v>508</v>
      </c>
      <c r="D29" s="452">
        <f>'Table 3 Levels 1&amp;2'!$AL$16</f>
        <v>4395.6154516889328</v>
      </c>
      <c r="E29" s="439">
        <f>ROUND(C29*D29,0)</f>
        <v>2232973</v>
      </c>
      <c r="F29" s="697">
        <f>F26</f>
        <v>744.76</v>
      </c>
      <c r="G29" s="439">
        <f>F29*C29</f>
        <v>378338.08</v>
      </c>
      <c r="H29" s="547">
        <f>E29+G29</f>
        <v>2611311.08</v>
      </c>
      <c r="I29" s="739">
        <f>+'[3]October midyear adj'!$K$203</f>
        <v>97667.133582089722</v>
      </c>
      <c r="J29" s="739">
        <f>'[3]February midyear adj '!$K$203</f>
        <v>-48833.566791044861</v>
      </c>
      <c r="K29" s="2014">
        <f t="shared" si="74"/>
        <v>48833.566791044861</v>
      </c>
      <c r="L29" s="547">
        <f>+K29+H29</f>
        <v>2660144.6467910451</v>
      </c>
      <c r="M29" s="739">
        <f>-L29*$M$5</f>
        <v>-46552.531318843292</v>
      </c>
      <c r="N29" s="739">
        <f>-L29*$N$5</f>
        <v>-6650.3616169776133</v>
      </c>
      <c r="O29" s="739">
        <f>M29+N29</f>
        <v>-53202.892935820906</v>
      </c>
      <c r="P29" s="547">
        <f t="shared" si="75"/>
        <v>2606941.7538552242</v>
      </c>
      <c r="Q29" s="739">
        <f>'[15]Adjusted Amounts'!$I$224</f>
        <v>7694.5069238298493</v>
      </c>
      <c r="R29" s="739">
        <v>0</v>
      </c>
      <c r="S29" s="547">
        <f>SUM(P29:R29)</f>
        <v>2614636.2607790539</v>
      </c>
      <c r="T29" s="1061">
        <f>'[4]Table 5B2_RSD_LA'!O29*2+'[26]Table 5B2_RSD_LA'!V29*4+'[5]Table 5B2_RSD_LA'!V29*2</f>
        <v>1711187.0287914469</v>
      </c>
      <c r="U29" s="1061">
        <f t="shared" si="76"/>
        <v>903449.23198760697</v>
      </c>
      <c r="V29" s="547">
        <f t="shared" si="77"/>
        <v>225862</v>
      </c>
      <c r="W29" s="739">
        <f>'[14]FY2013-14 Final'!$D$16</f>
        <v>3988</v>
      </c>
      <c r="X29" s="439">
        <f>W29*C29</f>
        <v>2025904</v>
      </c>
      <c r="Y29" s="1525">
        <f>+'[3]October midyear adj'!$E$203</f>
        <v>19</v>
      </c>
      <c r="Z29" s="439">
        <f t="shared" si="78"/>
        <v>75772</v>
      </c>
      <c r="AA29" s="2062">
        <f>'[3]February midyear adj '!$E$203</f>
        <v>-19</v>
      </c>
      <c r="AB29" s="439">
        <f t="shared" si="79"/>
        <v>-37886</v>
      </c>
      <c r="AC29" s="1992">
        <f t="shared" si="73"/>
        <v>37886</v>
      </c>
      <c r="AD29" s="743">
        <f>X29+AC29</f>
        <v>2063790</v>
      </c>
      <c r="AE29" s="439">
        <f>-AD29*$AE$5</f>
        <v>-36116.325000000004</v>
      </c>
      <c r="AF29" s="439">
        <f>-AD29*$AF$5</f>
        <v>-5159.4750000000004</v>
      </c>
      <c r="AG29" s="439">
        <f>AE29+AF29</f>
        <v>-41275.800000000003</v>
      </c>
      <c r="AH29" s="743">
        <f t="shared" si="80"/>
        <v>2022514.2</v>
      </c>
      <c r="AI29" s="439">
        <f>'[15]Adjusted Amounts'!$Q$224</f>
        <v>5860.5</v>
      </c>
      <c r="AJ29" s="439">
        <v>0</v>
      </c>
      <c r="AK29" s="743">
        <f>SUM(AH29:AJ29)</f>
        <v>2028374.7</v>
      </c>
      <c r="AL29" s="1061">
        <f>'[4]Table 5B2_RSD_LA'!$X$29+'[27]Table 5B2_RSD_LA'!$AB$29+'[28]Table 5B2_RSD_LA'!$AJ$29*3+'[29]Table 5B2_RSD_LA'!$AJ$29+'[30]Table 5B2_RSD_LA'!$AJ$29+'[31]Table 5B2_RSD_LA'!$AJ$29</f>
        <v>1310902.5660303028</v>
      </c>
      <c r="AM29" s="1061">
        <f t="shared" si="81"/>
        <v>717472.13396969717</v>
      </c>
      <c r="AN29" s="743">
        <f t="shared" si="82"/>
        <v>179368</v>
      </c>
      <c r="AO29" s="743">
        <f t="shared" si="83"/>
        <v>4643010.9607790541</v>
      </c>
      <c r="AP29" s="743">
        <f t="shared" si="84"/>
        <v>405230</v>
      </c>
    </row>
    <row r="30" spans="1:42" s="8" customFormat="1" ht="32.25" customHeight="1">
      <c r="A30" s="435"/>
      <c r="B30" s="435" t="s">
        <v>253</v>
      </c>
      <c r="C30" s="488">
        <f>SUM(C28:C29)</f>
        <v>655</v>
      </c>
      <c r="D30" s="489"/>
      <c r="E30" s="490">
        <f>SUM(E28:E29)</f>
        <v>2879128</v>
      </c>
      <c r="F30" s="699"/>
      <c r="G30" s="490">
        <f t="shared" ref="G30:V30" si="85">SUM(G28:G29)</f>
        <v>487817.80000000005</v>
      </c>
      <c r="H30" s="548">
        <f t="shared" si="85"/>
        <v>3366945.8</v>
      </c>
      <c r="I30" s="699">
        <f t="shared" si="85"/>
        <v>66824.88087195612</v>
      </c>
      <c r="J30" s="699">
        <f t="shared" si="85"/>
        <v>-43693.19133935593</v>
      </c>
      <c r="K30" s="2015">
        <f t="shared" si="85"/>
        <v>23131.689532600198</v>
      </c>
      <c r="L30" s="548">
        <f t="shared" si="85"/>
        <v>3390077.4895326002</v>
      </c>
      <c r="M30" s="699">
        <f t="shared" si="85"/>
        <v>-46552.531318843292</v>
      </c>
      <c r="N30" s="699">
        <f t="shared" si="85"/>
        <v>-6650.3616169776133</v>
      </c>
      <c r="O30" s="699">
        <f t="shared" si="85"/>
        <v>-53202.892935820906</v>
      </c>
      <c r="P30" s="548">
        <f t="shared" si="85"/>
        <v>3336874.5965967793</v>
      </c>
      <c r="Q30" s="490">
        <f t="shared" si="85"/>
        <v>-13878.856631227496</v>
      </c>
      <c r="R30" s="490">
        <f t="shared" si="85"/>
        <v>2791</v>
      </c>
      <c r="S30" s="548">
        <f t="shared" si="85"/>
        <v>3325786.739965552</v>
      </c>
      <c r="T30" s="1991">
        <f t="shared" si="85"/>
        <v>2209470.9861821639</v>
      </c>
      <c r="U30" s="1991">
        <f t="shared" si="85"/>
        <v>1116315.7537833881</v>
      </c>
      <c r="V30" s="548">
        <f t="shared" si="85"/>
        <v>279079</v>
      </c>
      <c r="W30" s="490"/>
      <c r="X30" s="490">
        <f>SUM(X28:X29)</f>
        <v>2612140</v>
      </c>
      <c r="Y30" s="1586">
        <f t="shared" ref="Y30:AD30" si="86">SUM(Y28:Y29)</f>
        <v>13</v>
      </c>
      <c r="Z30" s="490">
        <f t="shared" si="86"/>
        <v>51844</v>
      </c>
      <c r="AA30" s="1528">
        <f t="shared" si="86"/>
        <v>-17</v>
      </c>
      <c r="AB30" s="490">
        <f t="shared" si="86"/>
        <v>-33898</v>
      </c>
      <c r="AC30" s="1993">
        <f t="shared" si="86"/>
        <v>17946</v>
      </c>
      <c r="AD30" s="744">
        <f t="shared" si="86"/>
        <v>2630086</v>
      </c>
      <c r="AE30" s="490">
        <f t="shared" ref="AE30:AP30" si="87">SUM(AE28:AE29)</f>
        <v>-36116.325000000004</v>
      </c>
      <c r="AF30" s="490">
        <f t="shared" si="87"/>
        <v>-5159.4750000000004</v>
      </c>
      <c r="AG30" s="490">
        <f t="shared" si="87"/>
        <v>-41275.800000000003</v>
      </c>
      <c r="AH30" s="744">
        <f t="shared" si="87"/>
        <v>2588810.2000000002</v>
      </c>
      <c r="AI30" s="490">
        <f t="shared" si="87"/>
        <v>-7919</v>
      </c>
      <c r="AJ30" s="490">
        <f t="shared" si="87"/>
        <v>5913</v>
      </c>
      <c r="AK30" s="744">
        <f t="shared" si="87"/>
        <v>2586804.2000000002</v>
      </c>
      <c r="AL30" s="1991">
        <f t="shared" si="87"/>
        <v>1694466.3493636362</v>
      </c>
      <c r="AM30" s="1991">
        <f t="shared" si="87"/>
        <v>892337.85063636384</v>
      </c>
      <c r="AN30" s="744">
        <f t="shared" si="87"/>
        <v>223084</v>
      </c>
      <c r="AO30" s="744">
        <f t="shared" si="87"/>
        <v>5912590.9399655517</v>
      </c>
      <c r="AP30" s="744">
        <f t="shared" si="87"/>
        <v>502163</v>
      </c>
    </row>
    <row r="31" spans="1:42" s="8" customFormat="1" ht="33.75" customHeight="1">
      <c r="A31" s="760"/>
      <c r="B31" s="760" t="s">
        <v>366</v>
      </c>
      <c r="C31" s="761">
        <f>C30+C26</f>
        <v>40724</v>
      </c>
      <c r="D31" s="763"/>
      <c r="E31" s="762">
        <f>E30+E26</f>
        <v>179007044</v>
      </c>
      <c r="F31" s="762"/>
      <c r="G31" s="762">
        <f>G30+G26</f>
        <v>30329606.240000002</v>
      </c>
      <c r="H31" s="762">
        <f>H30+H26</f>
        <v>209336650.24000001</v>
      </c>
      <c r="I31" s="762"/>
      <c r="J31" s="762"/>
      <c r="K31" s="762"/>
      <c r="L31" s="762"/>
      <c r="M31" s="762"/>
      <c r="N31" s="762"/>
      <c r="O31" s="762"/>
      <c r="P31" s="762"/>
      <c r="Q31" s="762"/>
      <c r="R31" s="762"/>
      <c r="S31" s="762"/>
      <c r="T31" s="762"/>
      <c r="U31" s="762"/>
      <c r="V31" s="762"/>
      <c r="W31" s="762"/>
      <c r="X31" s="762"/>
      <c r="Y31" s="763"/>
      <c r="Z31" s="762"/>
      <c r="AA31" s="2067"/>
      <c r="AB31" s="762"/>
      <c r="AC31" s="762"/>
      <c r="AD31" s="762"/>
      <c r="AE31" s="762"/>
      <c r="AF31" s="762"/>
      <c r="AG31" s="762"/>
      <c r="AH31" s="762"/>
      <c r="AI31" s="762"/>
      <c r="AJ31" s="762"/>
      <c r="AK31" s="762"/>
      <c r="AL31" s="762"/>
      <c r="AM31" s="762"/>
      <c r="AN31" s="762"/>
      <c r="AO31" s="762"/>
      <c r="AP31" s="762"/>
    </row>
    <row r="32" spans="1:42" s="694" customFormat="1" ht="6.75" customHeight="1">
      <c r="A32" s="700"/>
      <c r="B32" s="700"/>
      <c r="C32" s="701"/>
      <c r="D32" s="702"/>
      <c r="E32" s="703"/>
      <c r="F32" s="703"/>
      <c r="G32" s="703"/>
      <c r="H32" s="703"/>
      <c r="I32" s="703"/>
      <c r="J32" s="703"/>
      <c r="K32" s="703"/>
      <c r="L32" s="703"/>
      <c r="M32" s="703"/>
      <c r="N32" s="703"/>
      <c r="O32" s="703"/>
      <c r="P32" s="703"/>
      <c r="Q32" s="703"/>
      <c r="R32" s="703"/>
      <c r="S32" s="703"/>
      <c r="T32" s="703"/>
      <c r="U32" s="703"/>
      <c r="V32" s="703"/>
      <c r="W32" s="703"/>
      <c r="X32" s="703"/>
      <c r="Y32" s="702"/>
      <c r="Z32" s="703"/>
      <c r="AA32" s="2068"/>
      <c r="AB32" s="703"/>
      <c r="AC32" s="703"/>
      <c r="AD32" s="703"/>
      <c r="AE32" s="703"/>
      <c r="AF32" s="703"/>
      <c r="AG32" s="703"/>
      <c r="AH32" s="703"/>
      <c r="AI32" s="703"/>
      <c r="AJ32" s="703"/>
      <c r="AK32" s="703"/>
      <c r="AL32" s="703"/>
      <c r="AM32" s="703"/>
      <c r="AN32" s="703"/>
      <c r="AO32" s="703"/>
      <c r="AP32" s="703"/>
    </row>
    <row r="33" spans="1:42" s="694" customFormat="1" ht="30.75" customHeight="1">
      <c r="A33" s="582"/>
      <c r="B33" s="582" t="s">
        <v>745</v>
      </c>
      <c r="C33" s="1104">
        <f>'2-1-13 SIS'!C52+'2-1-13 SIS'!R52</f>
        <v>746</v>
      </c>
      <c r="D33" s="439">
        <f>'Table 3 Levels 1&amp;2'!AL53</f>
        <v>5644.6599115241634</v>
      </c>
      <c r="E33" s="439">
        <f>ROUND(C33*D33,0)</f>
        <v>4210916</v>
      </c>
      <c r="F33" s="496">
        <v>728.06</v>
      </c>
      <c r="G33" s="496">
        <f>F33*C33</f>
        <v>543132.76</v>
      </c>
      <c r="H33" s="546">
        <f>E33+G33</f>
        <v>4754048.76</v>
      </c>
      <c r="I33" s="738"/>
      <c r="J33" s="738"/>
      <c r="K33" s="2016">
        <f t="shared" ref="K33" si="88">SUM(I33:J33)</f>
        <v>0</v>
      </c>
      <c r="L33" s="546">
        <f>+K33+H33</f>
        <v>4754048.76</v>
      </c>
      <c r="M33" s="738"/>
      <c r="N33" s="738"/>
      <c r="O33" s="739"/>
      <c r="P33" s="546"/>
      <c r="Q33" s="495" t="s">
        <v>255</v>
      </c>
      <c r="R33" s="495"/>
      <c r="S33" s="546" t="s">
        <v>255</v>
      </c>
      <c r="T33" s="1996"/>
      <c r="U33" s="1996"/>
      <c r="V33" s="546"/>
      <c r="W33" s="495"/>
      <c r="X33" s="495"/>
      <c r="Y33" s="1526"/>
      <c r="Z33" s="495"/>
      <c r="AA33" s="2065"/>
      <c r="AB33" s="495"/>
      <c r="AC33" s="1994"/>
      <c r="AD33" s="742"/>
      <c r="AE33" s="495"/>
      <c r="AF33" s="495"/>
      <c r="AG33" s="495"/>
      <c r="AH33" s="742"/>
      <c r="AI33" s="495"/>
      <c r="AJ33" s="495"/>
      <c r="AK33" s="742"/>
      <c r="AL33" s="495"/>
      <c r="AM33" s="495"/>
      <c r="AN33" s="742"/>
      <c r="AO33" s="742"/>
      <c r="AP33" s="742"/>
    </row>
    <row r="34" spans="1:42" s="694" customFormat="1" ht="6.75" customHeight="1">
      <c r="A34" s="484"/>
      <c r="B34" s="484"/>
      <c r="C34" s="485"/>
      <c r="D34" s="486"/>
      <c r="E34" s="487"/>
      <c r="F34" s="487"/>
      <c r="G34" s="487"/>
      <c r="H34" s="549"/>
      <c r="I34" s="698"/>
      <c r="J34" s="698"/>
      <c r="K34" s="2017"/>
      <c r="L34" s="549"/>
      <c r="M34" s="698"/>
      <c r="N34" s="698"/>
      <c r="O34" s="698"/>
      <c r="P34" s="549"/>
      <c r="Q34" s="487"/>
      <c r="R34" s="487"/>
      <c r="S34" s="549"/>
      <c r="T34" s="1997"/>
      <c r="U34" s="1997"/>
      <c r="V34" s="549"/>
      <c r="W34" s="487"/>
      <c r="X34" s="487"/>
      <c r="Y34" s="1527"/>
      <c r="Z34" s="487"/>
      <c r="AA34" s="2066"/>
      <c r="AB34" s="487"/>
      <c r="AC34" s="487"/>
      <c r="AD34" s="487"/>
      <c r="AE34" s="487"/>
      <c r="AF34" s="487"/>
      <c r="AG34" s="487"/>
      <c r="AH34" s="487"/>
      <c r="AI34" s="487"/>
      <c r="AJ34" s="487"/>
      <c r="AK34" s="487"/>
      <c r="AL34" s="487"/>
      <c r="AM34" s="487"/>
      <c r="AN34" s="487"/>
      <c r="AO34" s="487"/>
      <c r="AP34" s="487"/>
    </row>
    <row r="35" spans="1:42" s="694" customFormat="1" ht="34.5" customHeight="1">
      <c r="A35" s="581">
        <v>396200</v>
      </c>
      <c r="B35" s="769" t="s">
        <v>368</v>
      </c>
      <c r="C35" s="438">
        <f>'[12]ALL-Reformatted'!$F$51</f>
        <v>316</v>
      </c>
      <c r="D35" s="439">
        <f>'Table 3 Levels 1&amp;2'!AL53</f>
        <v>5644.6599115241634</v>
      </c>
      <c r="E35" s="439">
        <f>ROUND(C35*D35,0)</f>
        <v>1783713</v>
      </c>
      <c r="F35" s="439">
        <v>728.06</v>
      </c>
      <c r="G35" s="439">
        <f>F35*C35</f>
        <v>230066.96</v>
      </c>
      <c r="H35" s="547">
        <f>E35+G35</f>
        <v>2013779.96</v>
      </c>
      <c r="I35" s="739">
        <f>+'[3]October midyear adj'!$K$129</f>
        <v>-152945.27787657993</v>
      </c>
      <c r="J35" s="739">
        <f>'[3]February midyear adj '!$K$129</f>
        <v>54168.119247955394</v>
      </c>
      <c r="K35" s="2014">
        <f t="shared" ref="K35" si="89">SUM(I35:J35)</f>
        <v>-98777.158628624544</v>
      </c>
      <c r="L35" s="547">
        <f>+K35+H35</f>
        <v>1915002.8013713753</v>
      </c>
      <c r="M35" s="739" t="s">
        <v>398</v>
      </c>
      <c r="N35" s="739" t="s">
        <v>398</v>
      </c>
      <c r="O35" s="739">
        <v>0</v>
      </c>
      <c r="P35" s="547">
        <f>L35+O35</f>
        <v>1915002.8013713753</v>
      </c>
      <c r="Q35" s="739">
        <f>'[15]Adjusted Amounts'!$I$150</f>
        <v>-25753.519844584098</v>
      </c>
      <c r="R35" s="739">
        <v>1364</v>
      </c>
      <c r="S35" s="547">
        <f>SUM(P35:R35)</f>
        <v>1890613.2815267912</v>
      </c>
      <c r="T35" s="1061">
        <f>'[4]Table 5B2_RSD_LA'!O35*2+'[26]Table 5B2_RSD_LA'!V35*4+'[5]Table 5B2_RSD_LA'!V35*2</f>
        <v>1267571.476921333</v>
      </c>
      <c r="U35" s="1061">
        <f t="shared" ref="U35" si="90">S35-T35</f>
        <v>623041.80460545816</v>
      </c>
      <c r="V35" s="547">
        <f>ROUND(U35/4,0)</f>
        <v>155760</v>
      </c>
      <c r="W35" s="739">
        <f>'[14]FY2013-14 Final'!$D$53</f>
        <v>1414</v>
      </c>
      <c r="X35" s="439">
        <f>W35*C35</f>
        <v>446824</v>
      </c>
      <c r="Y35" s="1525">
        <f>+'[3]October midyear adj'!$E$129</f>
        <v>-24</v>
      </c>
      <c r="Z35" s="439">
        <f>Y35*W35</f>
        <v>-33936</v>
      </c>
      <c r="AA35" s="2062">
        <f>'[3]February midyear adj '!$E$129</f>
        <v>17</v>
      </c>
      <c r="AB35" s="439">
        <f t="shared" ref="AB35" si="91">(W35*AA35)*0.5</f>
        <v>12019</v>
      </c>
      <c r="AC35" s="1992">
        <f t="shared" ref="AC35" si="92">+AB35+Z35</f>
        <v>-21917</v>
      </c>
      <c r="AD35" s="743">
        <f>X35+AC35</f>
        <v>424907</v>
      </c>
      <c r="AE35" s="439" t="s">
        <v>398</v>
      </c>
      <c r="AF35" s="439" t="s">
        <v>398</v>
      </c>
      <c r="AG35" s="439">
        <v>0</v>
      </c>
      <c r="AH35" s="743">
        <f>AD35+AG35</f>
        <v>424907</v>
      </c>
      <c r="AI35" s="439">
        <f>'[15]Adjusted Amounts'!$Q$150</f>
        <v>-1243</v>
      </c>
      <c r="AJ35" s="439">
        <v>1106</v>
      </c>
      <c r="AK35" s="743">
        <f>SUM(AH35:AJ35)</f>
        <v>424770</v>
      </c>
      <c r="AL35" s="1061">
        <f>('[4]Table 5B2_RSD_LA'!X35*2)+('[26]Table 5B2_RSD_LA'!AJ35*4)+('[5]Table 5B2_RSD_LA'!AJ35*2)</f>
        <v>320925.43333333335</v>
      </c>
      <c r="AM35" s="1061">
        <f>AK35-AL35</f>
        <v>103844.56666666665</v>
      </c>
      <c r="AN35" s="743">
        <f>ROUND(AM35/4,0)</f>
        <v>25961</v>
      </c>
      <c r="AO35" s="743">
        <f t="shared" ref="AO35" si="93">S35+AK35</f>
        <v>2315383.2815267909</v>
      </c>
      <c r="AP35" s="743">
        <f t="shared" ref="AP35" si="94">V35+AN35</f>
        <v>181721</v>
      </c>
    </row>
    <row r="36" spans="1:42" s="694" customFormat="1" ht="40.5" customHeight="1">
      <c r="A36" s="760"/>
      <c r="B36" s="760" t="s">
        <v>367</v>
      </c>
      <c r="C36" s="761">
        <f>SUM(C33:C35)</f>
        <v>1062</v>
      </c>
      <c r="D36" s="762"/>
      <c r="E36" s="762">
        <f>SUM(E33:E35)</f>
        <v>5994629</v>
      </c>
      <c r="F36" s="762"/>
      <c r="G36" s="762">
        <f>SUM(G33:G35)</f>
        <v>773199.72</v>
      </c>
      <c r="H36" s="762">
        <f>SUM(H33:H35)</f>
        <v>6767828.7199999997</v>
      </c>
      <c r="I36" s="762">
        <f t="shared" ref="I36:L36" si="95">SUM(I33:I35)</f>
        <v>-152945.27787657993</v>
      </c>
      <c r="J36" s="762">
        <f t="shared" si="95"/>
        <v>54168.119247955394</v>
      </c>
      <c r="K36" s="762">
        <f t="shared" si="95"/>
        <v>-98777.158628624544</v>
      </c>
      <c r="L36" s="762">
        <f t="shared" si="95"/>
        <v>6669051.5613713749</v>
      </c>
      <c r="M36" s="762"/>
      <c r="N36" s="762"/>
      <c r="O36" s="762"/>
      <c r="P36" s="762"/>
      <c r="Q36" s="762"/>
      <c r="R36" s="762"/>
      <c r="S36" s="762"/>
      <c r="T36" s="762"/>
      <c r="U36" s="762"/>
      <c r="V36" s="762"/>
      <c r="W36" s="762"/>
      <c r="X36" s="762"/>
      <c r="Y36" s="762"/>
      <c r="Z36" s="762"/>
      <c r="AA36" s="2067"/>
      <c r="AB36" s="762"/>
      <c r="AC36" s="762"/>
      <c r="AD36" s="762"/>
      <c r="AE36" s="762"/>
      <c r="AF36" s="762"/>
      <c r="AG36" s="762"/>
      <c r="AH36" s="762"/>
      <c r="AI36" s="762"/>
      <c r="AJ36" s="762"/>
      <c r="AK36" s="762"/>
      <c r="AL36" s="762"/>
      <c r="AM36" s="762"/>
      <c r="AN36" s="762"/>
      <c r="AO36" s="762"/>
      <c r="AP36" s="762"/>
    </row>
    <row r="37" spans="1:42" s="694" customFormat="1" ht="5.25" customHeight="1">
      <c r="A37" s="700"/>
      <c r="B37" s="700"/>
      <c r="C37" s="701"/>
      <c r="D37" s="702"/>
      <c r="E37" s="703"/>
      <c r="F37" s="703"/>
      <c r="G37" s="703"/>
      <c r="H37" s="703"/>
      <c r="I37" s="703"/>
      <c r="J37" s="703"/>
      <c r="K37" s="703"/>
      <c r="L37" s="703"/>
      <c r="M37" s="703"/>
      <c r="N37" s="703"/>
      <c r="O37" s="703"/>
      <c r="P37" s="703"/>
      <c r="Q37" s="703"/>
      <c r="R37" s="703"/>
      <c r="S37" s="703"/>
      <c r="T37" s="703"/>
      <c r="U37" s="703"/>
      <c r="V37" s="703"/>
      <c r="W37" s="703"/>
      <c r="X37" s="703"/>
      <c r="Y37" s="703"/>
      <c r="Z37" s="703"/>
      <c r="AA37" s="2068"/>
      <c r="AB37" s="703"/>
      <c r="AC37" s="703"/>
      <c r="AD37" s="703"/>
      <c r="AE37" s="703"/>
      <c r="AF37" s="703"/>
      <c r="AG37" s="703"/>
      <c r="AH37" s="703"/>
      <c r="AI37" s="703"/>
      <c r="AJ37" s="703"/>
      <c r="AK37" s="703"/>
      <c r="AL37" s="703"/>
      <c r="AM37" s="703"/>
      <c r="AN37" s="703"/>
      <c r="AO37" s="703"/>
      <c r="AP37" s="703"/>
    </row>
    <row r="38" spans="1:42" s="8" customFormat="1" ht="33.75" customHeight="1">
      <c r="A38" s="435"/>
      <c r="B38" s="435" t="s">
        <v>254</v>
      </c>
      <c r="C38" s="498">
        <f>C18+C23+C30+C35</f>
        <v>3450</v>
      </c>
      <c r="D38" s="551"/>
      <c r="E38" s="552">
        <f>E18+E23+E30+E35</f>
        <v>12951454</v>
      </c>
      <c r="F38" s="552"/>
      <c r="G38" s="552">
        <f t="shared" ref="G38:U38" si="96">G18+G23+G30+G35</f>
        <v>2699706.9328586301</v>
      </c>
      <c r="H38" s="553">
        <f t="shared" si="96"/>
        <v>15651160.932858631</v>
      </c>
      <c r="I38" s="1523">
        <f t="shared" si="96"/>
        <v>-367600.63823731651</v>
      </c>
      <c r="J38" s="1523">
        <f t="shared" si="96"/>
        <v>-214225.39264365355</v>
      </c>
      <c r="K38" s="2018">
        <f t="shared" si="96"/>
        <v>-581826.03088096995</v>
      </c>
      <c r="L38" s="553">
        <f t="shared" ref="L38" si="97">L18+L23+L30+L35</f>
        <v>15069334.90197766</v>
      </c>
      <c r="M38" s="740">
        <f>M18+M30</f>
        <v>-86011.008703051906</v>
      </c>
      <c r="N38" s="740">
        <f>N18+N30</f>
        <v>-12287.286957578843</v>
      </c>
      <c r="O38" s="740">
        <f t="shared" si="96"/>
        <v>-98298.295660630742</v>
      </c>
      <c r="P38" s="553">
        <f t="shared" si="96"/>
        <v>14971036.60631703</v>
      </c>
      <c r="Q38" s="490">
        <f t="shared" si="96"/>
        <v>-199538.92918574315</v>
      </c>
      <c r="R38" s="490">
        <f t="shared" si="96"/>
        <v>46892</v>
      </c>
      <c r="S38" s="553">
        <f t="shared" si="96"/>
        <v>14818389.677131288</v>
      </c>
      <c r="T38" s="552">
        <f t="shared" si="96"/>
        <v>9956029.9911668673</v>
      </c>
      <c r="U38" s="552">
        <f t="shared" si="96"/>
        <v>4862359.6859644195</v>
      </c>
      <c r="V38" s="553">
        <f>V18+V23+V30+V35</f>
        <v>1215589</v>
      </c>
      <c r="W38" s="552"/>
      <c r="X38" s="552">
        <f t="shared" ref="X38:AP38" si="98">X18+X23+X30+X35</f>
        <v>17462553</v>
      </c>
      <c r="Y38" s="1677">
        <f t="shared" si="98"/>
        <v>-76</v>
      </c>
      <c r="Z38" s="1519">
        <f t="shared" si="98"/>
        <v>-292134</v>
      </c>
      <c r="AA38" s="1677">
        <f t="shared" si="98"/>
        <v>-109</v>
      </c>
      <c r="AB38" s="1519">
        <f t="shared" si="98"/>
        <v>-344595.5</v>
      </c>
      <c r="AC38" s="1995">
        <f t="shared" si="98"/>
        <v>-636729.5</v>
      </c>
      <c r="AD38" s="745">
        <f t="shared" si="98"/>
        <v>16825823.5</v>
      </c>
      <c r="AE38" s="552">
        <f>AE18+AE30</f>
        <v>-93349.445000000007</v>
      </c>
      <c r="AF38" s="552">
        <f>AF18+AF30</f>
        <v>-13335.635</v>
      </c>
      <c r="AG38" s="552">
        <f t="shared" si="98"/>
        <v>-106685.08</v>
      </c>
      <c r="AH38" s="745">
        <f t="shared" si="98"/>
        <v>16719138.420000002</v>
      </c>
      <c r="AI38" s="552">
        <f t="shared" si="98"/>
        <v>-160406</v>
      </c>
      <c r="AJ38" s="552">
        <f t="shared" si="98"/>
        <v>65715</v>
      </c>
      <c r="AK38" s="745">
        <f t="shared" si="98"/>
        <v>16624447.420000002</v>
      </c>
      <c r="AL38" s="552">
        <f t="shared" si="98"/>
        <v>11064196.415636364</v>
      </c>
      <c r="AM38" s="552">
        <f t="shared" si="98"/>
        <v>5560251.0043636365</v>
      </c>
      <c r="AN38" s="745">
        <f>AN18+AN23+AN30+AN35</f>
        <v>1390062</v>
      </c>
      <c r="AO38" s="745">
        <f t="shared" si="98"/>
        <v>31442837.09713129</v>
      </c>
      <c r="AP38" s="745">
        <f t="shared" si="98"/>
        <v>2605651</v>
      </c>
    </row>
    <row r="39" spans="1:42" s="75" customFormat="1" ht="8.25" customHeight="1">
      <c r="A39" s="491"/>
      <c r="B39" s="491"/>
      <c r="C39" s="492"/>
      <c r="D39" s="550"/>
      <c r="E39" s="493"/>
      <c r="F39" s="493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  <c r="AA39" s="493"/>
      <c r="AB39" s="493"/>
      <c r="AC39" s="493"/>
      <c r="AD39" s="493"/>
      <c r="AE39" s="493"/>
      <c r="AF39" s="493"/>
      <c r="AG39" s="493"/>
      <c r="AH39" s="493"/>
      <c r="AI39" s="493"/>
      <c r="AJ39" s="493"/>
      <c r="AK39" s="493"/>
      <c r="AL39" s="493"/>
      <c r="AM39" s="493"/>
      <c r="AN39" s="493"/>
      <c r="AO39" s="493"/>
      <c r="AP39" s="493"/>
    </row>
    <row r="40" spans="1:42" s="8" customFormat="1" ht="38.25" customHeight="1">
      <c r="A40" s="435"/>
      <c r="B40" s="435" t="s">
        <v>396</v>
      </c>
      <c r="C40" s="498"/>
      <c r="D40" s="551"/>
      <c r="E40" s="552"/>
      <c r="F40" s="552"/>
      <c r="G40" s="552"/>
      <c r="H40" s="548"/>
      <c r="I40" s="699"/>
      <c r="J40" s="699"/>
      <c r="K40" s="2015"/>
      <c r="L40" s="548"/>
      <c r="M40" s="699"/>
      <c r="N40" s="699">
        <f>-N38</f>
        <v>12287.286957578843</v>
      </c>
      <c r="O40" s="699">
        <f>SUM(M40:N40)</f>
        <v>12287.286957578843</v>
      </c>
      <c r="P40" s="548"/>
      <c r="Q40" s="490"/>
      <c r="R40" s="490"/>
      <c r="S40" s="548"/>
      <c r="T40" s="1991">
        <v>11640</v>
      </c>
      <c r="U40" s="1991">
        <f>O40-T40</f>
        <v>647.2869575788427</v>
      </c>
      <c r="V40" s="548"/>
      <c r="W40" s="552"/>
      <c r="X40" s="552"/>
      <c r="Y40" s="1519"/>
      <c r="Z40" s="1519"/>
      <c r="AA40" s="1519"/>
      <c r="AB40" s="1519"/>
      <c r="AC40" s="1995"/>
      <c r="AD40" s="552"/>
      <c r="AE40" s="552"/>
      <c r="AF40" s="552">
        <f>-AF38</f>
        <v>13335.635</v>
      </c>
      <c r="AG40" s="552">
        <f>SUM(AE40:AF40)</f>
        <v>13335.635</v>
      </c>
      <c r="AH40" s="552"/>
      <c r="AI40" s="552"/>
      <c r="AJ40" s="1519"/>
      <c r="AK40" s="552"/>
      <c r="AL40" s="1519">
        <v>12318</v>
      </c>
      <c r="AM40" s="1519">
        <f>AG40-AL40</f>
        <v>1017.6350000000002</v>
      </c>
      <c r="AN40" s="552"/>
      <c r="AO40" s="552"/>
      <c r="AP40" s="552"/>
    </row>
    <row r="41" spans="1:42" s="75" customFormat="1" ht="8.25" customHeight="1">
      <c r="A41" s="491"/>
      <c r="B41" s="491"/>
      <c r="C41" s="492"/>
      <c r="D41" s="550"/>
      <c r="E41" s="493"/>
      <c r="F41" s="493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  <c r="AA41" s="493"/>
      <c r="AB41" s="493"/>
      <c r="AC41" s="493"/>
      <c r="AD41" s="493"/>
      <c r="AE41" s="493"/>
      <c r="AF41" s="493"/>
      <c r="AG41" s="493"/>
      <c r="AH41" s="493"/>
      <c r="AI41" s="493"/>
      <c r="AJ41" s="493"/>
      <c r="AK41" s="493"/>
      <c r="AL41" s="493"/>
      <c r="AM41" s="493"/>
      <c r="AN41" s="493"/>
      <c r="AO41" s="493"/>
      <c r="AP41" s="493"/>
    </row>
    <row r="42" spans="1:42" s="8" customFormat="1" ht="38.25" customHeight="1">
      <c r="A42" s="435"/>
      <c r="B42" s="435" t="s">
        <v>397</v>
      </c>
      <c r="C42" s="498"/>
      <c r="D42" s="551"/>
      <c r="E42" s="552"/>
      <c r="F42" s="552"/>
      <c r="G42" s="552"/>
      <c r="H42" s="548"/>
      <c r="I42" s="699"/>
      <c r="J42" s="699"/>
      <c r="K42" s="2015"/>
      <c r="L42" s="548"/>
      <c r="M42" s="699">
        <f>-M38</f>
        <v>86011.008703051906</v>
      </c>
      <c r="N42" s="699"/>
      <c r="O42" s="699">
        <f>SUM(M42:N42)</f>
        <v>86011.008703051906</v>
      </c>
      <c r="P42" s="548"/>
      <c r="Q42" s="490"/>
      <c r="R42" s="490"/>
      <c r="S42" s="548"/>
      <c r="T42" s="1991">
        <v>81484</v>
      </c>
      <c r="U42" s="1991">
        <f>O42-T42</f>
        <v>4527.0087030519062</v>
      </c>
      <c r="V42" s="548"/>
      <c r="W42" s="552"/>
      <c r="X42" s="552"/>
      <c r="Y42" s="1519"/>
      <c r="Z42" s="1519"/>
      <c r="AA42" s="1519"/>
      <c r="AB42" s="1519"/>
      <c r="AC42" s="1995"/>
      <c r="AD42" s="552"/>
      <c r="AE42" s="552">
        <f>-AE38</f>
        <v>93349.445000000007</v>
      </c>
      <c r="AF42" s="552"/>
      <c r="AG42" s="552">
        <f>SUM(AE42:AF42)</f>
        <v>93349.445000000007</v>
      </c>
      <c r="AH42" s="552"/>
      <c r="AI42" s="552"/>
      <c r="AJ42" s="1519"/>
      <c r="AK42" s="552"/>
      <c r="AL42" s="1519">
        <v>86230</v>
      </c>
      <c r="AM42" s="1519">
        <f>AG42-AL42</f>
        <v>7119.445000000007</v>
      </c>
      <c r="AN42" s="552"/>
      <c r="AO42" s="552"/>
      <c r="AP42" s="552"/>
    </row>
    <row r="43" spans="1:42" s="75" customFormat="1" ht="8.25" customHeight="1">
      <c r="A43" s="491"/>
      <c r="B43" s="491"/>
      <c r="C43" s="492"/>
      <c r="D43" s="550"/>
      <c r="E43" s="493"/>
      <c r="F43" s="493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  <c r="Y43" s="493"/>
      <c r="Z43" s="493"/>
      <c r="AA43" s="493"/>
      <c r="AB43" s="493"/>
      <c r="AC43" s="493"/>
      <c r="AD43" s="493"/>
      <c r="AE43" s="493">
        <f>-AE38</f>
        <v>93349.445000000007</v>
      </c>
      <c r="AF43" s="493"/>
      <c r="AG43" s="493"/>
      <c r="AH43" s="493"/>
      <c r="AI43" s="493"/>
      <c r="AJ43" s="493"/>
      <c r="AK43" s="493"/>
      <c r="AL43" s="493"/>
      <c r="AM43" s="493"/>
      <c r="AN43" s="493"/>
      <c r="AO43" s="493"/>
      <c r="AP43" s="493"/>
    </row>
    <row r="44" spans="1:42" s="8" customFormat="1" ht="30.75" customHeight="1">
      <c r="A44" s="435"/>
      <c r="B44" s="435" t="s">
        <v>778</v>
      </c>
      <c r="C44" s="498"/>
      <c r="D44" s="551"/>
      <c r="E44" s="552"/>
      <c r="F44" s="552"/>
      <c r="G44" s="552"/>
      <c r="H44" s="548"/>
      <c r="I44" s="699"/>
      <c r="J44" s="699"/>
      <c r="K44" s="2015"/>
      <c r="L44" s="548"/>
      <c r="M44" s="699">
        <f>SUM(M38:M42)</f>
        <v>0</v>
      </c>
      <c r="N44" s="699">
        <f>SUM(N38:N42)</f>
        <v>0</v>
      </c>
      <c r="O44" s="699">
        <f>SUM(O38:O42)</f>
        <v>0</v>
      </c>
      <c r="P44" s="548"/>
      <c r="Q44" s="490"/>
      <c r="R44" s="490"/>
      <c r="S44" s="548"/>
      <c r="T44" s="1991">
        <f>SUM(T38:T42)</f>
        <v>10049153.991166867</v>
      </c>
      <c r="U44" s="1991"/>
      <c r="V44" s="548"/>
      <c r="W44" s="552"/>
      <c r="X44" s="552"/>
      <c r="Y44" s="1519"/>
      <c r="Z44" s="1519"/>
      <c r="AA44" s="1519"/>
      <c r="AB44" s="1519"/>
      <c r="AC44" s="1995"/>
      <c r="AD44" s="552"/>
      <c r="AE44" s="552">
        <f>SUM(AE38:AE42)</f>
        <v>0</v>
      </c>
      <c r="AF44" s="552">
        <f>SUM(AF38:AF42)</f>
        <v>0</v>
      </c>
      <c r="AG44" s="552">
        <f>SUM(AG38:AG42)</f>
        <v>0</v>
      </c>
      <c r="AH44" s="552"/>
      <c r="AI44" s="552"/>
      <c r="AJ44" s="1519"/>
      <c r="AK44" s="552"/>
      <c r="AL44" s="1519">
        <f>SUM(AL38:AL42)</f>
        <v>11162744.415636364</v>
      </c>
      <c r="AM44" s="1519"/>
      <c r="AN44" s="552"/>
      <c r="AO44" s="552"/>
      <c r="AP44" s="552"/>
    </row>
    <row r="45" spans="1:42" ht="16.5" customHeight="1">
      <c r="E45" s="49"/>
      <c r="F45" s="440"/>
      <c r="G45" s="440"/>
      <c r="H45" s="440"/>
      <c r="I45" s="440"/>
      <c r="J45" s="440"/>
      <c r="K45" s="440"/>
      <c r="L45" s="440"/>
      <c r="M45" s="440"/>
      <c r="N45" s="440"/>
      <c r="O45" s="440"/>
      <c r="P45" s="440"/>
      <c r="Q45" s="440"/>
      <c r="R45" s="440"/>
      <c r="S45" s="440"/>
      <c r="T45" s="440"/>
      <c r="U45" s="440"/>
      <c r="V45" s="440"/>
      <c r="W45" s="440"/>
      <c r="X45" s="440"/>
      <c r="Y45" s="440"/>
      <c r="Z45" s="440"/>
      <c r="AA45" s="440"/>
      <c r="AB45" s="440"/>
      <c r="AC45" s="440"/>
      <c r="AD45" s="440"/>
      <c r="AE45" s="440"/>
      <c r="AF45" s="440"/>
      <c r="AG45" s="440"/>
      <c r="AH45" s="440"/>
      <c r="AI45" s="768"/>
      <c r="AJ45" s="768"/>
      <c r="AK45" s="440"/>
      <c r="AL45" s="440"/>
      <c r="AM45" s="440"/>
      <c r="AN45" s="440"/>
    </row>
    <row r="46" spans="1:42" ht="20.25" hidden="1">
      <c r="B46" s="2030"/>
      <c r="C46" s="2030"/>
      <c r="D46" s="2030"/>
      <c r="E46" s="2030"/>
      <c r="F46" s="2030"/>
      <c r="G46" s="2030"/>
      <c r="H46" s="2030"/>
      <c r="J46" s="2288" t="s">
        <v>955</v>
      </c>
      <c r="K46" s="2288"/>
      <c r="L46" s="2289" t="s">
        <v>130</v>
      </c>
      <c r="M46" s="2289"/>
      <c r="N46" s="2290" t="s">
        <v>100</v>
      </c>
      <c r="O46" s="2290"/>
      <c r="P46" s="559"/>
      <c r="Q46" s="559"/>
      <c r="R46" s="559"/>
      <c r="S46" s="559"/>
      <c r="T46" s="559"/>
      <c r="U46" s="1515"/>
      <c r="V46" s="733"/>
      <c r="W46" s="733"/>
      <c r="X46" s="733"/>
      <c r="Y46" s="733"/>
      <c r="Z46" s="733"/>
      <c r="AA46" s="733"/>
      <c r="AC46" s="2288" t="s">
        <v>955</v>
      </c>
      <c r="AD46" s="2288"/>
      <c r="AE46" s="2289" t="s">
        <v>130</v>
      </c>
      <c r="AF46" s="2289"/>
      <c r="AG46" s="2290" t="s">
        <v>100</v>
      </c>
      <c r="AH46" s="2290"/>
      <c r="AI46" s="733"/>
      <c r="AJ46" s="733"/>
      <c r="AK46" s="733"/>
      <c r="AL46" s="733"/>
      <c r="AM46" s="733"/>
      <c r="AN46" s="733"/>
    </row>
    <row r="47" spans="1:42" ht="23.25" hidden="1" customHeight="1">
      <c r="A47" s="734"/>
      <c r="B47" s="559"/>
      <c r="C47" s="559"/>
      <c r="D47" s="559"/>
      <c r="E47" s="559"/>
      <c r="F47" s="559"/>
      <c r="G47" s="559"/>
      <c r="H47" s="559"/>
      <c r="I47" s="2046"/>
      <c r="J47" s="2047" t="s">
        <v>956</v>
      </c>
      <c r="K47" s="771" t="s">
        <v>957</v>
      </c>
      <c r="L47" s="2047" t="s">
        <v>956</v>
      </c>
      <c r="M47" s="771" t="s">
        <v>957</v>
      </c>
      <c r="N47" s="2047" t="s">
        <v>956</v>
      </c>
      <c r="O47" s="771" t="s">
        <v>957</v>
      </c>
      <c r="P47" s="559"/>
      <c r="Q47" s="559"/>
      <c r="R47" s="559"/>
      <c r="S47" s="559"/>
      <c r="T47" s="559"/>
      <c r="U47" s="1516"/>
      <c r="V47" s="342"/>
      <c r="W47" s="342"/>
      <c r="X47" s="343"/>
      <c r="Y47" s="343"/>
      <c r="Z47" s="343"/>
      <c r="AA47" s="343"/>
      <c r="AB47" s="2046"/>
      <c r="AC47" s="2047" t="s">
        <v>956</v>
      </c>
      <c r="AD47" s="771" t="s">
        <v>957</v>
      </c>
      <c r="AE47" s="2047" t="s">
        <v>956</v>
      </c>
      <c r="AF47" s="771" t="s">
        <v>957</v>
      </c>
      <c r="AG47" s="2047" t="s">
        <v>956</v>
      </c>
      <c r="AH47" s="771" t="s">
        <v>957</v>
      </c>
    </row>
    <row r="48" spans="1:42" ht="19.5" hidden="1" customHeight="1">
      <c r="B48" s="559"/>
      <c r="C48" s="559"/>
      <c r="D48" s="559"/>
      <c r="E48" s="559"/>
      <c r="F48" s="559"/>
      <c r="G48" s="559"/>
      <c r="H48" s="559"/>
      <c r="I48" s="2052" t="s">
        <v>958</v>
      </c>
      <c r="J48" s="2051">
        <f>-'[4]Table 5B2_RSD_LA'!$I$18</f>
        <v>35786.246636201773</v>
      </c>
      <c r="K48" s="2051">
        <f>-'[4]Table 5B2_RSD_LA'!$J$18</f>
        <v>5112.3209480288251</v>
      </c>
      <c r="L48" s="2052"/>
      <c r="M48" s="2052"/>
      <c r="N48" s="2051">
        <f>-'[4]Table 5B2_RSD_LA'!$I$30</f>
        <v>45697.943900000006</v>
      </c>
      <c r="O48" s="2051">
        <f>-'[4]Table 5B2_RSD_LA'!$J$30</f>
        <v>6528.2777000000006</v>
      </c>
      <c r="P48" s="559"/>
      <c r="Q48" s="559"/>
      <c r="R48" s="559"/>
      <c r="S48" s="559"/>
      <c r="T48" s="559"/>
      <c r="AB48" s="771" t="s">
        <v>958</v>
      </c>
      <c r="AC48" s="2051">
        <f>-'[4]Table 5B2_RSD_LA'!$R$18</f>
        <v>51219.577500000007</v>
      </c>
      <c r="AD48" s="2051">
        <f>-'[4]Table 5B2_RSD_LA'!$S$18</f>
        <v>7317.0825000000004</v>
      </c>
      <c r="AE48" s="2052" t="s">
        <v>398</v>
      </c>
      <c r="AF48" s="2052" t="s">
        <v>398</v>
      </c>
      <c r="AG48" s="2051">
        <f>-'[4]Table 5B2_RSD_LA'!$R$30</f>
        <v>35008.82</v>
      </c>
      <c r="AH48" s="2051">
        <f>-'[4]Table 5B2_RSD_LA'!$S$30</f>
        <v>5001.26</v>
      </c>
    </row>
    <row r="49" spans="2:34" hidden="1">
      <c r="B49" s="559"/>
      <c r="C49" s="559"/>
      <c r="D49" s="559"/>
      <c r="E49" s="559"/>
      <c r="F49" s="559"/>
      <c r="G49" s="559"/>
      <c r="H49" s="559"/>
      <c r="I49" s="2052"/>
      <c r="J49" s="2051"/>
      <c r="K49" s="2051"/>
      <c r="L49" s="2052"/>
      <c r="M49" s="2052"/>
      <c r="N49" s="2051"/>
      <c r="O49" s="2051"/>
      <c r="P49" s="559"/>
      <c r="Q49" s="559"/>
      <c r="R49" s="559"/>
      <c r="S49" s="559"/>
      <c r="T49" s="559"/>
    </row>
    <row r="50" spans="2:34" hidden="1">
      <c r="B50" s="559"/>
      <c r="C50" s="559"/>
      <c r="D50" s="559"/>
      <c r="E50" s="559"/>
      <c r="F50" s="559"/>
      <c r="G50" s="559"/>
      <c r="H50" s="559"/>
      <c r="I50" s="2045" t="s">
        <v>954</v>
      </c>
      <c r="J50" s="2049">
        <f>M18</f>
        <v>-39458.477384208614</v>
      </c>
      <c r="K50" s="2049">
        <f>N18</f>
        <v>-5636.9253406012303</v>
      </c>
      <c r="L50" s="2050" t="s">
        <v>398</v>
      </c>
      <c r="M50" s="2050" t="s">
        <v>961</v>
      </c>
      <c r="N50" s="2049">
        <f>M30</f>
        <v>-46552.531318843292</v>
      </c>
      <c r="O50" s="2049">
        <f>N30</f>
        <v>-6650.3616169776133</v>
      </c>
      <c r="P50" s="559"/>
      <c r="Q50" s="559"/>
      <c r="R50" s="559"/>
      <c r="S50" s="559"/>
      <c r="T50" s="559"/>
      <c r="AB50" s="2045" t="s">
        <v>954</v>
      </c>
      <c r="AC50" s="2049">
        <f>AE18</f>
        <v>-57233.120000000003</v>
      </c>
      <c r="AD50" s="2049">
        <f>AF18</f>
        <v>-8176.16</v>
      </c>
      <c r="AE50" s="2050" t="s">
        <v>398</v>
      </c>
      <c r="AF50" s="2050" t="s">
        <v>398</v>
      </c>
      <c r="AG50" s="2049">
        <f>AE29</f>
        <v>-36116.325000000004</v>
      </c>
      <c r="AH50" s="2049">
        <f>AF29</f>
        <v>-5159.4750000000004</v>
      </c>
    </row>
    <row r="51" spans="2:34" hidden="1">
      <c r="B51" s="559"/>
      <c r="C51" s="559"/>
      <c r="D51" s="559"/>
      <c r="E51" s="559"/>
      <c r="F51" s="559"/>
      <c r="G51" s="559"/>
      <c r="H51" s="559"/>
      <c r="I51" s="771"/>
      <c r="J51" s="2048">
        <f>SUM(J48:J50)</f>
        <v>-3672.2307480068412</v>
      </c>
      <c r="K51" s="2048">
        <f>SUM(K48:K50)</f>
        <v>-524.60439257240523</v>
      </c>
      <c r="L51" s="2048" t="s">
        <v>398</v>
      </c>
      <c r="M51" s="2048" t="s">
        <v>398</v>
      </c>
      <c r="N51" s="2048">
        <f>SUM(N48:N50)</f>
        <v>-854.58741884328629</v>
      </c>
      <c r="O51" s="2048">
        <f>SUM(O48:O50)</f>
        <v>-122.08391697761272</v>
      </c>
      <c r="P51" s="559"/>
      <c r="Q51" s="559"/>
      <c r="R51" s="559"/>
      <c r="S51" s="559"/>
      <c r="T51" s="559"/>
      <c r="AB51" s="771"/>
      <c r="AC51" s="2048">
        <f>SUM(AC48:AC50)</f>
        <v>-6013.5424999999959</v>
      </c>
      <c r="AD51" s="2048">
        <f>SUM(AD48:AD50)</f>
        <v>-859.07749999999942</v>
      </c>
      <c r="AE51" s="771" t="s">
        <v>398</v>
      </c>
      <c r="AF51" s="771" t="s">
        <v>398</v>
      </c>
      <c r="AG51" s="2048">
        <f>SUM(AG48:AG50)</f>
        <v>-1107.5050000000047</v>
      </c>
      <c r="AH51" s="2048">
        <f>SUM(AH48:AH50)</f>
        <v>-158.21500000000015</v>
      </c>
    </row>
    <row r="52" spans="2:34" hidden="1">
      <c r="B52" s="559"/>
      <c r="C52" s="559"/>
      <c r="D52" s="559"/>
      <c r="E52" s="559"/>
      <c r="F52" s="559"/>
      <c r="G52" s="559"/>
      <c r="H52" s="559"/>
      <c r="I52" s="771"/>
      <c r="J52" s="771"/>
      <c r="K52" s="771"/>
      <c r="L52" s="771"/>
      <c r="M52" s="771"/>
      <c r="N52" s="771"/>
      <c r="O52" s="771"/>
      <c r="P52" s="559"/>
      <c r="Q52" s="559"/>
      <c r="R52" s="559"/>
      <c r="S52" s="559"/>
      <c r="T52" s="559"/>
      <c r="AB52" s="771"/>
      <c r="AC52" s="771"/>
      <c r="AD52" s="771"/>
      <c r="AE52" s="771"/>
      <c r="AF52" s="771"/>
      <c r="AG52" s="771"/>
      <c r="AH52" s="771"/>
    </row>
    <row r="53" spans="2:34" hidden="1">
      <c r="I53" s="771" t="s">
        <v>959</v>
      </c>
      <c r="J53" s="2048">
        <f>J51+N51</f>
        <v>-4526.8181668501275</v>
      </c>
      <c r="K53" s="771"/>
      <c r="L53" s="771"/>
      <c r="M53" s="771"/>
      <c r="N53" s="771"/>
      <c r="O53" s="771"/>
      <c r="AB53" s="771" t="s">
        <v>959</v>
      </c>
      <c r="AC53" s="2048">
        <f>AC51+AG51</f>
        <v>-7121.0475000000006</v>
      </c>
      <c r="AD53" s="771"/>
      <c r="AE53" s="771"/>
      <c r="AF53" s="771"/>
      <c r="AG53" s="771"/>
      <c r="AH53" s="771"/>
    </row>
    <row r="54" spans="2:34" hidden="1">
      <c r="I54" s="771" t="s">
        <v>960</v>
      </c>
      <c r="J54" s="2048">
        <f>K51+O51</f>
        <v>-646.68830955001795</v>
      </c>
      <c r="K54" s="771"/>
      <c r="L54" s="771"/>
      <c r="M54" s="771"/>
      <c r="N54" s="771"/>
      <c r="O54" s="771"/>
      <c r="AB54" s="771" t="s">
        <v>960</v>
      </c>
      <c r="AC54" s="2048">
        <f>AD51+AH51</f>
        <v>-1017.2924999999996</v>
      </c>
      <c r="AD54" s="771"/>
      <c r="AE54" s="771"/>
      <c r="AF54" s="771"/>
      <c r="AG54" s="771"/>
      <c r="AH54" s="771"/>
    </row>
    <row r="55" spans="2:34" hidden="1"/>
  </sheetData>
  <mergeCells count="43">
    <mergeCell ref="A4:A5"/>
    <mergeCell ref="V4:V5"/>
    <mergeCell ref="AO4:AO5"/>
    <mergeCell ref="AP4:AP5"/>
    <mergeCell ref="AN4:AN5"/>
    <mergeCell ref="W4:W5"/>
    <mergeCell ref="X4:X5"/>
    <mergeCell ref="Z4:Z5"/>
    <mergeCell ref="AB4:AB5"/>
    <mergeCell ref="Y4:Y5"/>
    <mergeCell ref="AA4:AA5"/>
    <mergeCell ref="AK4:AK5"/>
    <mergeCell ref="AH4:AH5"/>
    <mergeCell ref="AI4:AI5"/>
    <mergeCell ref="AJ4:AJ5"/>
    <mergeCell ref="B2:S2"/>
    <mergeCell ref="F3:G3"/>
    <mergeCell ref="M3:O3"/>
    <mergeCell ref="C4:C5"/>
    <mergeCell ref="G4:G5"/>
    <mergeCell ref="D4:D5"/>
    <mergeCell ref="I3:K3"/>
    <mergeCell ref="B4:B5"/>
    <mergeCell ref="P4:P5"/>
    <mergeCell ref="Q4:Q5"/>
    <mergeCell ref="H4:H5"/>
    <mergeCell ref="F4:F5"/>
    <mergeCell ref="E4:E5"/>
    <mergeCell ref="I4:I5"/>
    <mergeCell ref="J46:K46"/>
    <mergeCell ref="L46:M46"/>
    <mergeCell ref="N46:O46"/>
    <mergeCell ref="AE3:AG3"/>
    <mergeCell ref="AG4:AG5"/>
    <mergeCell ref="AC46:AD46"/>
    <mergeCell ref="AE46:AF46"/>
    <mergeCell ref="AG46:AH46"/>
    <mergeCell ref="S4:S5"/>
    <mergeCell ref="O4:O5"/>
    <mergeCell ref="J4:J5"/>
    <mergeCell ref="K4:K5"/>
    <mergeCell ref="L4:L5"/>
    <mergeCell ref="R4:R5"/>
  </mergeCells>
  <phoneticPr fontId="0" type="noConversion"/>
  <printOptions horizontalCentered="1"/>
  <pageMargins left="0.25" right="0" top="0.83" bottom="0.42" header="0.24" footer="0.31"/>
  <pageSetup paperSize="5" scale="44" firstPageNumber="48" orientation="landscape" useFirstPageNumber="1" r:id="rId1"/>
  <headerFooter alignWithMargins="0">
    <oddHeader xml:space="preserve">&amp;L&amp;"Arial,Bold"&amp;22Table 5B-2:  FY2013-14 MFP Budget Letter (March 2014)
Recovery School District (Allocations for School Boards and Type 5 Charters other than Orleans Parish)&amp;R
</oddHeader>
    <oddFooter>&amp;R&amp;12&amp;P</oddFooter>
  </headerFooter>
  <colBreaks count="1" manualBreakCount="1">
    <brk id="2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view="pageBreakPreview" zoomScale="80" zoomScaleNormal="100" zoomScaleSheetLayoutView="80" workbookViewId="0">
      <pane xSplit="2" ySplit="7" topLeftCell="C8" activePane="bottomRight" state="frozen"/>
      <selection activeCell="AL12" sqref="AL8:AL77"/>
      <selection pane="topRight" activeCell="AL12" sqref="AL8:AL77"/>
      <selection pane="bottomLeft" activeCell="AL12" sqref="AL8:AL77"/>
      <selection pane="bottomRight" activeCell="B1" sqref="B1"/>
    </sheetView>
  </sheetViews>
  <sheetFormatPr defaultRowHeight="12.75"/>
  <cols>
    <col min="1" max="1" width="4.28515625" customWidth="1"/>
    <col min="2" max="2" width="17.85546875" customWidth="1"/>
    <col min="3" max="3" width="13.7109375" customWidth="1"/>
    <col min="4" max="4" width="14" customWidth="1"/>
    <col min="5" max="5" width="10.7109375" customWidth="1"/>
    <col min="6" max="6" width="13" customWidth="1"/>
    <col min="7" max="7" width="13.42578125" customWidth="1"/>
    <col min="8" max="8" width="12.85546875" customWidth="1"/>
    <col min="9" max="9" width="12.5703125" customWidth="1"/>
    <col min="10" max="10" width="13.42578125" bestFit="1" customWidth="1"/>
    <col min="11" max="11" width="12.5703125" customWidth="1"/>
    <col min="12" max="12" width="15.140625" customWidth="1"/>
    <col min="13" max="13" width="14.42578125" bestFit="1" customWidth="1"/>
    <col min="14" max="14" width="13.140625" customWidth="1"/>
    <col min="15" max="15" width="13.42578125" bestFit="1" customWidth="1"/>
    <col min="16" max="16" width="14.7109375" customWidth="1"/>
    <col min="17" max="18" width="14" customWidth="1"/>
    <col min="19" max="19" width="10.7109375" customWidth="1"/>
    <col min="20" max="20" width="11.5703125" customWidth="1"/>
    <col min="21" max="21" width="11.5703125" bestFit="1" customWidth="1"/>
    <col min="22" max="23" width="12" customWidth="1"/>
    <col min="24" max="26" width="12" style="1464" customWidth="1"/>
    <col min="27" max="27" width="13" style="1409" customWidth="1"/>
    <col min="28" max="28" width="12.5703125" customWidth="1"/>
    <col min="29" max="29" width="13" customWidth="1"/>
    <col min="30" max="30" width="13.28515625" customWidth="1"/>
    <col min="31" max="31" width="13" customWidth="1"/>
    <col min="32" max="33" width="13.140625" customWidth="1"/>
    <col min="34" max="34" width="12" customWidth="1"/>
    <col min="35" max="35" width="11" customWidth="1"/>
    <col min="36" max="36" width="12.140625" customWidth="1"/>
    <col min="37" max="37" width="3.28515625" customWidth="1"/>
    <col min="38" max="38" width="0.140625" customWidth="1"/>
    <col min="39" max="39" width="10.42578125" hidden="1" customWidth="1"/>
    <col min="40" max="40" width="9.140625" hidden="1" customWidth="1"/>
  </cols>
  <sheetData>
    <row r="1" spans="1:40"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  <c r="R1" s="271"/>
      <c r="S1" s="271"/>
    </row>
    <row r="2" spans="1:40" ht="45" customHeight="1">
      <c r="A2" s="2324" t="s">
        <v>447</v>
      </c>
      <c r="B2" s="2325"/>
      <c r="C2" s="2332" t="s">
        <v>537</v>
      </c>
      <c r="D2" s="2333"/>
      <c r="E2" s="2333"/>
      <c r="F2" s="2333"/>
      <c r="G2" s="2333"/>
      <c r="H2" s="2333"/>
      <c r="I2" s="2333"/>
      <c r="J2" s="2333"/>
      <c r="K2" s="2333"/>
      <c r="L2" s="2333"/>
      <c r="M2" s="2333"/>
      <c r="N2" s="2333"/>
      <c r="O2" s="2333"/>
      <c r="P2" s="2333"/>
      <c r="Q2" s="2333"/>
      <c r="R2" s="2333"/>
      <c r="S2" s="2334"/>
      <c r="T2" s="2317" t="s">
        <v>529</v>
      </c>
      <c r="U2" s="2318"/>
      <c r="V2" s="2319"/>
      <c r="W2" s="2319"/>
      <c r="X2" s="2320"/>
      <c r="Y2" s="2320"/>
      <c r="Z2" s="2320"/>
      <c r="AA2" s="2319"/>
      <c r="AB2" s="2318"/>
      <c r="AC2" s="2318"/>
      <c r="AD2" s="2318"/>
      <c r="AE2" s="2318"/>
      <c r="AF2" s="2319"/>
      <c r="AG2" s="2319"/>
      <c r="AH2" s="2321"/>
      <c r="AI2" s="2307" t="s">
        <v>541</v>
      </c>
      <c r="AJ2" s="2307" t="s">
        <v>527</v>
      </c>
    </row>
    <row r="3" spans="1:40" s="1464" customFormat="1" ht="22.9" customHeight="1">
      <c r="A3" s="2326"/>
      <c r="B3" s="2327"/>
      <c r="C3" s="1585"/>
      <c r="D3" s="1570"/>
      <c r="E3" s="1570"/>
      <c r="F3" s="1570"/>
      <c r="G3" s="1570"/>
      <c r="H3" s="1570"/>
      <c r="I3" s="2337" t="s">
        <v>772</v>
      </c>
      <c r="J3" s="2338"/>
      <c r="K3" s="2339"/>
      <c r="L3" s="1570"/>
      <c r="M3" s="1570"/>
      <c r="N3" s="1570"/>
      <c r="O3" s="1570"/>
      <c r="P3" s="1570"/>
      <c r="Q3" s="1570"/>
      <c r="R3" s="1570"/>
      <c r="S3" s="1571"/>
      <c r="T3" s="1584"/>
      <c r="U3" s="1582"/>
      <c r="V3" s="2322" t="s">
        <v>772</v>
      </c>
      <c r="W3" s="2323"/>
      <c r="X3" s="2323"/>
      <c r="Y3" s="2323"/>
      <c r="Z3" s="2323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</row>
    <row r="4" spans="1:40" ht="135" customHeight="1">
      <c r="A4" s="2328"/>
      <c r="B4" s="2327"/>
      <c r="C4" s="2311" t="s">
        <v>825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35" t="s">
        <v>784</v>
      </c>
      <c r="J4" s="2335" t="s">
        <v>785</v>
      </c>
      <c r="K4" s="2335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148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986" t="s">
        <v>808</v>
      </c>
      <c r="AC4" s="2314" t="s">
        <v>805</v>
      </c>
      <c r="AD4" s="2314" t="s">
        <v>794</v>
      </c>
      <c r="AE4" s="2314" t="s">
        <v>806</v>
      </c>
      <c r="AF4" s="1402" t="s">
        <v>807</v>
      </c>
      <c r="AG4" s="1402" t="s">
        <v>795</v>
      </c>
      <c r="AH4" s="1148" t="s">
        <v>540</v>
      </c>
      <c r="AI4" s="2309"/>
      <c r="AJ4" s="2309"/>
    </row>
    <row r="5" spans="1:40" ht="22.15" customHeight="1">
      <c r="A5" s="2329"/>
      <c r="B5" s="2330"/>
      <c r="C5" s="231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985"/>
      <c r="V5" s="2285"/>
      <c r="W5" s="2285"/>
      <c r="X5" s="2285"/>
      <c r="Y5" s="2285"/>
      <c r="Z5" s="1591"/>
      <c r="AA5" s="2287" t="s">
        <v>792</v>
      </c>
      <c r="AB5" s="1649">
        <v>2.5000000000000001E-3</v>
      </c>
      <c r="AC5" s="2287"/>
      <c r="AD5" s="2287"/>
      <c r="AE5" s="2287"/>
      <c r="AF5" s="1408"/>
      <c r="AG5" s="1408"/>
      <c r="AH5" s="985"/>
      <c r="AI5" s="2310"/>
      <c r="AJ5" s="2310"/>
      <c r="AL5" s="2036"/>
      <c r="AM5" s="2035"/>
      <c r="AN5" s="2037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" si="1">E6+1</f>
        <v>4</v>
      </c>
      <c r="G6" s="869">
        <f t="shared" ref="G6" si="2">F6+1</f>
        <v>5</v>
      </c>
      <c r="H6" s="869">
        <f t="shared" ref="H6" si="3">G6+1</f>
        <v>6</v>
      </c>
      <c r="I6" s="869">
        <f t="shared" ref="I6" si="4">H6+1</f>
        <v>7</v>
      </c>
      <c r="J6" s="869">
        <f t="shared" ref="J6" si="5">I6+1</f>
        <v>8</v>
      </c>
      <c r="K6" s="869">
        <f t="shared" ref="K6" si="6">J6+1</f>
        <v>9</v>
      </c>
      <c r="L6" s="869">
        <f t="shared" ref="L6" si="7">K6+1</f>
        <v>10</v>
      </c>
      <c r="M6" s="869">
        <f t="shared" ref="M6" si="8">L6+1</f>
        <v>11</v>
      </c>
      <c r="N6" s="869">
        <f t="shared" ref="N6" si="9">M6+1</f>
        <v>12</v>
      </c>
      <c r="O6" s="869">
        <f t="shared" ref="O6" si="10">N6+1</f>
        <v>13</v>
      </c>
      <c r="P6" s="869">
        <f t="shared" ref="P6" si="11">O6+1</f>
        <v>14</v>
      </c>
      <c r="Q6" s="869">
        <f t="shared" ref="Q6" si="12">P6+1</f>
        <v>15</v>
      </c>
      <c r="R6" s="869">
        <f t="shared" ref="R6" si="13">Q6+1</f>
        <v>16</v>
      </c>
      <c r="S6" s="869">
        <f t="shared" ref="S6" si="14">R6+1</f>
        <v>17</v>
      </c>
      <c r="T6" s="869">
        <f t="shared" ref="T6" si="15">S6+1</f>
        <v>18</v>
      </c>
      <c r="U6" s="869">
        <f t="shared" ref="U6" si="16">T6+1</f>
        <v>19</v>
      </c>
      <c r="V6" s="869">
        <f t="shared" ref="V6" si="17">U6+1</f>
        <v>20</v>
      </c>
      <c r="W6" s="869">
        <f t="shared" ref="W6" si="18">V6+1</f>
        <v>21</v>
      </c>
      <c r="X6" s="869">
        <f t="shared" ref="X6" si="19">W6+1</f>
        <v>22</v>
      </c>
      <c r="Y6" s="869">
        <f t="shared" ref="Y6" si="20">X6+1</f>
        <v>23</v>
      </c>
      <c r="Z6" s="869">
        <f t="shared" ref="Z6" si="21">Y6+1</f>
        <v>24</v>
      </c>
      <c r="AA6" s="869">
        <f t="shared" ref="AA6" si="22">Z6+1</f>
        <v>25</v>
      </c>
      <c r="AB6" s="869">
        <f t="shared" ref="AB6" si="23">AA6+1</f>
        <v>26</v>
      </c>
      <c r="AC6" s="869">
        <f t="shared" ref="AC6" si="24">AB6+1</f>
        <v>27</v>
      </c>
      <c r="AD6" s="869">
        <f t="shared" ref="AD6" si="25">AC6+1</f>
        <v>28</v>
      </c>
      <c r="AE6" s="869">
        <f t="shared" ref="AE6" si="26">AD6+1</f>
        <v>29</v>
      </c>
      <c r="AF6" s="869">
        <f t="shared" ref="AF6" si="27">AE6+1</f>
        <v>30</v>
      </c>
      <c r="AG6" s="869">
        <f t="shared" ref="AG6" si="28">AF6+1</f>
        <v>31</v>
      </c>
      <c r="AH6" s="869">
        <f t="shared" ref="AH6" si="29">AG6+1</f>
        <v>32</v>
      </c>
      <c r="AI6" s="869">
        <f t="shared" ref="AI6" si="30">AH6+1</f>
        <v>33</v>
      </c>
      <c r="AJ6" s="869">
        <f t="shared" ref="AJ6" si="31">AI6+1</f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397"/>
      <c r="J7" s="1397"/>
      <c r="K7" s="1397"/>
      <c r="L7" s="1397"/>
      <c r="M7" s="896"/>
      <c r="N7" s="896"/>
      <c r="O7" s="896"/>
      <c r="P7" s="896"/>
      <c r="Q7" s="1406"/>
      <c r="R7" s="1406"/>
      <c r="S7" s="896"/>
      <c r="T7" s="896"/>
      <c r="U7" s="896"/>
      <c r="V7" s="1403"/>
      <c r="W7" s="1403"/>
      <c r="X7" s="1535"/>
      <c r="Y7" s="1535"/>
      <c r="Z7" s="1535"/>
      <c r="AA7" s="1410"/>
      <c r="AB7" s="896"/>
      <c r="AC7" s="896"/>
      <c r="AD7" s="896"/>
      <c r="AE7" s="896"/>
      <c r="AF7" s="1403"/>
      <c r="AG7" s="1403"/>
      <c r="AH7" s="896"/>
      <c r="AI7" s="896"/>
      <c r="AJ7" s="896"/>
      <c r="AL7" s="2036" t="s">
        <v>945</v>
      </c>
      <c r="AM7" s="2035" t="s">
        <v>946</v>
      </c>
      <c r="AN7" s="2035" t="s">
        <v>947</v>
      </c>
    </row>
    <row r="8" spans="1:40">
      <c r="A8" s="870">
        <v>1</v>
      </c>
      <c r="B8" s="871" t="s">
        <v>92</v>
      </c>
      <c r="C8" s="971">
        <f>'2-1-13 SIS'!I7</f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Madison Prep'!K7</f>
        <v>0</v>
      </c>
      <c r="J8" s="1718">
        <f>'[3]Feb midyear Madison Prep'!K7</f>
        <v>0</v>
      </c>
      <c r="K8" s="1542">
        <f>+I8+J8</f>
        <v>0</v>
      </c>
      <c r="L8" s="1399">
        <f t="shared" ref="L8:L39" si="32">K8+H8</f>
        <v>0</v>
      </c>
      <c r="M8" s="928">
        <f>-(0.25%*L8)</f>
        <v>0</v>
      </c>
      <c r="N8" s="873">
        <f>SUM(L8:M8)</f>
        <v>0</v>
      </c>
      <c r="O8" s="872">
        <v>0</v>
      </c>
      <c r="P8" s="998">
        <f>SUM(N8:O8)</f>
        <v>0</v>
      </c>
      <c r="Q8" s="1718">
        <f>'[4]Table 5C1A-Madison Prep'!M7+'[27]Table 5C1A-Madison Prep'!T7+('[26]Table 5C1A-Madison Prep'!T7*6)</f>
        <v>0</v>
      </c>
      <c r="R8" s="1718">
        <f>P8-Q8</f>
        <v>0</v>
      </c>
      <c r="S8" s="998">
        <f>ROUND(R8/4,0)</f>
        <v>0</v>
      </c>
      <c r="T8" s="1802">
        <f>'[14]FY2013-14 Final'!K8</f>
        <v>2180</v>
      </c>
      <c r="U8" s="999">
        <f t="shared" ref="U8:U39" si="33">C8*T8</f>
        <v>0</v>
      </c>
      <c r="V8" s="1754">
        <f>+'[3]Oct midyear Madison Prep'!E7</f>
        <v>0</v>
      </c>
      <c r="W8" s="1755">
        <f>V8*T8</f>
        <v>0</v>
      </c>
      <c r="X8" s="1754">
        <f>'[3]Feb midyear Madison Prep'!E7</f>
        <v>0</v>
      </c>
      <c r="Y8" s="1755">
        <f>(T8*X8)*0.5</f>
        <v>0</v>
      </c>
      <c r="Z8" s="1652">
        <f>+W8+Y8</f>
        <v>0</v>
      </c>
      <c r="AA8" s="999">
        <f>Z8+U8</f>
        <v>0</v>
      </c>
      <c r="AB8" s="936">
        <f>-(0.25%*AA8)</f>
        <v>0</v>
      </c>
      <c r="AC8" s="999">
        <f>SUM(AA8:AB8)</f>
        <v>0</v>
      </c>
      <c r="AD8" s="1755">
        <v>0</v>
      </c>
      <c r="AE8" s="999">
        <f>SUM(AC8:AD8)</f>
        <v>0</v>
      </c>
      <c r="AF8" s="1755">
        <f>'[4]Table 5C1A-Madison Prep'!T7+'[27]Table 5C1A-Madison Prep'!AF7+('[26]Table 5C1A-Madison Prep'!AF7*6)</f>
        <v>0</v>
      </c>
      <c r="AG8" s="1755">
        <f>AE8-AF8</f>
        <v>0</v>
      </c>
      <c r="AH8" s="999">
        <f>ROUND(AG8/4,0)</f>
        <v>0</v>
      </c>
      <c r="AI8" s="1656">
        <f>P8+AE8</f>
        <v>0</v>
      </c>
      <c r="AJ8" s="1656">
        <f t="shared" ref="AJ8:AJ39" si="34">S8+AH8</f>
        <v>0</v>
      </c>
      <c r="AL8" s="49">
        <f>-'[4]Table 5C1A-Madison Prep'!P7</f>
        <v>0</v>
      </c>
      <c r="AM8" s="49">
        <f t="shared" ref="AM8:AM39" si="35">AB8</f>
        <v>0</v>
      </c>
      <c r="AN8" s="49">
        <f>SUM(AL8:AM8)</f>
        <v>0</v>
      </c>
    </row>
    <row r="9" spans="1:40">
      <c r="A9" s="876">
        <v>2</v>
      </c>
      <c r="B9" s="877" t="s">
        <v>93</v>
      </c>
      <c r="C9" s="969">
        <f>'2-1-13 SIS'!I8</f>
        <v>0</v>
      </c>
      <c r="D9" s="878">
        <f>'Table 3 Levels 1&amp;2'!AL9</f>
        <v>6182.4313545138375</v>
      </c>
      <c r="E9" s="919">
        <f t="shared" ref="E9:E72" si="36">C9*D9</f>
        <v>0</v>
      </c>
      <c r="F9" s="919">
        <f>'Table 4 Level 3'!P7</f>
        <v>842.32</v>
      </c>
      <c r="G9" s="919">
        <f t="shared" ref="G9:G72" si="37">C9*F9</f>
        <v>0</v>
      </c>
      <c r="H9" s="898">
        <f t="shared" ref="H9:H72" si="38">E9+G9</f>
        <v>0</v>
      </c>
      <c r="I9" s="1726">
        <f>+'[3]Oct midyear Madison Prep'!K8</f>
        <v>0</v>
      </c>
      <c r="J9" s="1726">
        <f>'[3]Feb midyear Madison Prep'!K8</f>
        <v>0</v>
      </c>
      <c r="K9" s="1700">
        <f t="shared" ref="K9:K72" si="39">+I9+J9</f>
        <v>0</v>
      </c>
      <c r="L9" s="1396">
        <f t="shared" si="32"/>
        <v>0</v>
      </c>
      <c r="M9" s="929">
        <f t="shared" ref="M9:M72" si="40">-(0.25%*L9)</f>
        <v>0</v>
      </c>
      <c r="N9" s="898">
        <f t="shared" ref="N9:N72" si="41">SUM(L9:M9)</f>
        <v>0</v>
      </c>
      <c r="O9" s="878">
        <v>0</v>
      </c>
      <c r="P9" s="1550">
        <f t="shared" ref="P9:P72" si="42">SUM(N9:O9)</f>
        <v>0</v>
      </c>
      <c r="Q9" s="1718">
        <f>'[4]Table 5C1A-Madison Prep'!M8+'[27]Table 5C1A-Madison Prep'!T8+('[26]Table 5C1A-Madison Prep'!T8*6)</f>
        <v>0</v>
      </c>
      <c r="R9" s="1803">
        <f t="shared" ref="R9:R72" si="43">P9-Q9</f>
        <v>0</v>
      </c>
      <c r="S9" s="998">
        <f t="shared" ref="S9:S72" si="44">ROUND(R9/4,0)</f>
        <v>0</v>
      </c>
      <c r="T9" s="1802">
        <f>'[14]FY2013-14 Final'!K9</f>
        <v>2759</v>
      </c>
      <c r="U9" s="1555">
        <f t="shared" si="33"/>
        <v>0</v>
      </c>
      <c r="V9" s="1756">
        <f>+'[3]Oct midyear Madison Prep'!E8</f>
        <v>0</v>
      </c>
      <c r="W9" s="1757">
        <f t="shared" ref="W9:W72" si="45">V9*T9</f>
        <v>0</v>
      </c>
      <c r="X9" s="1758">
        <f>'[3]Feb midyear Madison Prep'!E8</f>
        <v>0</v>
      </c>
      <c r="Y9" s="1759">
        <f t="shared" ref="Y9:Y72" si="46">(T9*X9)*0.5</f>
        <v>0</v>
      </c>
      <c r="Z9" s="1653">
        <f t="shared" ref="Z9:Z72" si="47">+W9+Y9</f>
        <v>0</v>
      </c>
      <c r="AA9" s="1657">
        <f t="shared" ref="AA9:AA72" si="48">Z9+U9</f>
        <v>0</v>
      </c>
      <c r="AB9" s="937">
        <f t="shared" ref="AB9:AB72" si="49">-(0.25%*AA9)</f>
        <v>0</v>
      </c>
      <c r="AC9" s="1555">
        <f t="shared" ref="AC9:AC72" si="50">SUM(AA9:AB9)</f>
        <v>0</v>
      </c>
      <c r="AD9" s="1825">
        <v>0</v>
      </c>
      <c r="AE9" s="1555">
        <f t="shared" ref="AE9:AE72" si="51">SUM(AC9:AD9)</f>
        <v>0</v>
      </c>
      <c r="AF9" s="1755">
        <f>'[4]Table 5C1A-Madison Prep'!T8+'[27]Table 5C1A-Madison Prep'!AF8+('[26]Table 5C1A-Madison Prep'!AF8*6)</f>
        <v>0</v>
      </c>
      <c r="AG9" s="1757">
        <f t="shared" ref="AG9:AG72" si="52">AE9-AF9</f>
        <v>0</v>
      </c>
      <c r="AH9" s="999">
        <f t="shared" ref="AH9:AH72" si="53">ROUND(AG9/4,0)</f>
        <v>0</v>
      </c>
      <c r="AI9" s="1658">
        <f t="shared" ref="AI9:AI39" si="54">P9+AE9</f>
        <v>0</v>
      </c>
      <c r="AJ9" s="1658">
        <f t="shared" si="34"/>
        <v>0</v>
      </c>
      <c r="AL9" s="49">
        <f>-'[4]Table 5C1A-Madison Prep'!P8</f>
        <v>0</v>
      </c>
      <c r="AM9" s="49">
        <f t="shared" si="35"/>
        <v>0</v>
      </c>
      <c r="AN9" s="49">
        <f t="shared" ref="AN9:AN72" si="55">SUM(AL9:AM9)</f>
        <v>0</v>
      </c>
    </row>
    <row r="10" spans="1:40">
      <c r="A10" s="876">
        <v>3</v>
      </c>
      <c r="B10" s="877" t="s">
        <v>94</v>
      </c>
      <c r="C10" s="969">
        <f>'2-1-13 SIS'!I9</f>
        <v>0</v>
      </c>
      <c r="D10" s="878">
        <f>'Table 3 Levels 1&amp;2'!AL10</f>
        <v>4206.710737685361</v>
      </c>
      <c r="E10" s="919">
        <f t="shared" si="36"/>
        <v>0</v>
      </c>
      <c r="F10" s="919">
        <f>'Table 4 Level 3'!P8</f>
        <v>596.84</v>
      </c>
      <c r="G10" s="919">
        <f t="shared" si="37"/>
        <v>0</v>
      </c>
      <c r="H10" s="898">
        <f t="shared" si="38"/>
        <v>0</v>
      </c>
      <c r="I10" s="1726">
        <f>+'[3]Oct midyear Madison Prep'!K9</f>
        <v>0</v>
      </c>
      <c r="J10" s="1726">
        <f>'[3]Feb midyear Madison Prep'!K9</f>
        <v>0</v>
      </c>
      <c r="K10" s="1700">
        <f t="shared" si="39"/>
        <v>0</v>
      </c>
      <c r="L10" s="1396">
        <f t="shared" si="32"/>
        <v>0</v>
      </c>
      <c r="M10" s="929">
        <f t="shared" si="40"/>
        <v>0</v>
      </c>
      <c r="N10" s="898">
        <f t="shared" si="41"/>
        <v>0</v>
      </c>
      <c r="O10" s="878">
        <v>0</v>
      </c>
      <c r="P10" s="1550">
        <f t="shared" si="42"/>
        <v>0</v>
      </c>
      <c r="Q10" s="1718">
        <f>'[4]Table 5C1A-Madison Prep'!M9+'[27]Table 5C1A-Madison Prep'!T9+('[26]Table 5C1A-Madison Prep'!T9*6)</f>
        <v>0</v>
      </c>
      <c r="R10" s="1803">
        <f t="shared" si="43"/>
        <v>0</v>
      </c>
      <c r="S10" s="998">
        <f t="shared" si="44"/>
        <v>0</v>
      </c>
      <c r="T10" s="1802">
        <f>'[14]FY2013-14 Final'!K10</f>
        <v>5538</v>
      </c>
      <c r="U10" s="1555">
        <f t="shared" si="33"/>
        <v>0</v>
      </c>
      <c r="V10" s="1756">
        <f>+'[3]Oct midyear Madison Prep'!E9</f>
        <v>0</v>
      </c>
      <c r="W10" s="1757">
        <f t="shared" si="45"/>
        <v>0</v>
      </c>
      <c r="X10" s="1758">
        <f>'[3]Feb midyear Madison Prep'!E9</f>
        <v>0</v>
      </c>
      <c r="Y10" s="1759">
        <f t="shared" si="46"/>
        <v>0</v>
      </c>
      <c r="Z10" s="1653">
        <f t="shared" si="47"/>
        <v>0</v>
      </c>
      <c r="AA10" s="1657">
        <f t="shared" si="48"/>
        <v>0</v>
      </c>
      <c r="AB10" s="937">
        <f t="shared" si="49"/>
        <v>0</v>
      </c>
      <c r="AC10" s="1555">
        <f t="shared" si="50"/>
        <v>0</v>
      </c>
      <c r="AD10" s="1825">
        <v>0</v>
      </c>
      <c r="AE10" s="1555">
        <f t="shared" si="51"/>
        <v>0</v>
      </c>
      <c r="AF10" s="1755">
        <f>'[4]Table 5C1A-Madison Prep'!T9+'[27]Table 5C1A-Madison Prep'!AF9+('[26]Table 5C1A-Madison Prep'!AF9*6)</f>
        <v>0</v>
      </c>
      <c r="AG10" s="1757">
        <f t="shared" si="52"/>
        <v>0</v>
      </c>
      <c r="AH10" s="999">
        <f t="shared" si="53"/>
        <v>0</v>
      </c>
      <c r="AI10" s="1658">
        <f t="shared" si="54"/>
        <v>0</v>
      </c>
      <c r="AJ10" s="1658">
        <f t="shared" si="34"/>
        <v>0</v>
      </c>
      <c r="AL10" s="49">
        <f>-'[4]Table 5C1A-Madison Prep'!P9</f>
        <v>0</v>
      </c>
      <c r="AM10" s="49">
        <f t="shared" si="35"/>
        <v>0</v>
      </c>
      <c r="AN10" s="49">
        <f t="shared" si="55"/>
        <v>0</v>
      </c>
    </row>
    <row r="11" spans="1:40">
      <c r="A11" s="876">
        <v>4</v>
      </c>
      <c r="B11" s="877" t="s">
        <v>95</v>
      </c>
      <c r="C11" s="969">
        <f>'2-1-13 SIS'!I10</f>
        <v>0</v>
      </c>
      <c r="D11" s="878">
        <f>'Table 3 Levels 1&amp;2'!AL11</f>
        <v>5987.4993535453223</v>
      </c>
      <c r="E11" s="919">
        <f t="shared" si="36"/>
        <v>0</v>
      </c>
      <c r="F11" s="919">
        <f>'Table 4 Level 3'!P9</f>
        <v>585.76</v>
      </c>
      <c r="G11" s="919">
        <f t="shared" si="37"/>
        <v>0</v>
      </c>
      <c r="H11" s="898">
        <f t="shared" si="38"/>
        <v>0</v>
      </c>
      <c r="I11" s="1726">
        <f>+'[3]Oct midyear Madison Prep'!K10</f>
        <v>0</v>
      </c>
      <c r="J11" s="1726">
        <f>'[3]Feb midyear Madison Prep'!K10</f>
        <v>0</v>
      </c>
      <c r="K11" s="1700">
        <f t="shared" si="39"/>
        <v>0</v>
      </c>
      <c r="L11" s="1396">
        <f t="shared" si="32"/>
        <v>0</v>
      </c>
      <c r="M11" s="929">
        <f t="shared" si="40"/>
        <v>0</v>
      </c>
      <c r="N11" s="898">
        <f t="shared" si="41"/>
        <v>0</v>
      </c>
      <c r="O11" s="878">
        <v>0</v>
      </c>
      <c r="P11" s="1550">
        <f t="shared" si="42"/>
        <v>0</v>
      </c>
      <c r="Q11" s="1718">
        <f>'[4]Table 5C1A-Madison Prep'!M10+'[27]Table 5C1A-Madison Prep'!T10+('[26]Table 5C1A-Madison Prep'!T10*6)</f>
        <v>0</v>
      </c>
      <c r="R11" s="1803">
        <f t="shared" si="43"/>
        <v>0</v>
      </c>
      <c r="S11" s="998">
        <f t="shared" si="44"/>
        <v>0</v>
      </c>
      <c r="T11" s="1802">
        <f>'[14]FY2013-14 Final'!K11</f>
        <v>3507</v>
      </c>
      <c r="U11" s="1555">
        <f t="shared" si="33"/>
        <v>0</v>
      </c>
      <c r="V11" s="1756">
        <f>+'[3]Oct midyear Madison Prep'!E10</f>
        <v>0</v>
      </c>
      <c r="W11" s="1757">
        <f t="shared" si="45"/>
        <v>0</v>
      </c>
      <c r="X11" s="1758">
        <f>'[3]Feb midyear Madison Prep'!E10</f>
        <v>0</v>
      </c>
      <c r="Y11" s="1759">
        <f t="shared" si="46"/>
        <v>0</v>
      </c>
      <c r="Z11" s="1653">
        <f t="shared" si="47"/>
        <v>0</v>
      </c>
      <c r="AA11" s="1657">
        <f t="shared" si="48"/>
        <v>0</v>
      </c>
      <c r="AB11" s="937">
        <f t="shared" si="49"/>
        <v>0</v>
      </c>
      <c r="AC11" s="1555">
        <f t="shared" si="50"/>
        <v>0</v>
      </c>
      <c r="AD11" s="1825">
        <v>0</v>
      </c>
      <c r="AE11" s="1555">
        <f t="shared" si="51"/>
        <v>0</v>
      </c>
      <c r="AF11" s="1755">
        <f>'[4]Table 5C1A-Madison Prep'!T10+'[27]Table 5C1A-Madison Prep'!AF10+('[26]Table 5C1A-Madison Prep'!AF10*6)</f>
        <v>0</v>
      </c>
      <c r="AG11" s="1757">
        <f t="shared" si="52"/>
        <v>0</v>
      </c>
      <c r="AH11" s="999">
        <f t="shared" si="53"/>
        <v>0</v>
      </c>
      <c r="AI11" s="1658">
        <f t="shared" si="54"/>
        <v>0</v>
      </c>
      <c r="AJ11" s="1658">
        <f t="shared" si="34"/>
        <v>0</v>
      </c>
      <c r="AL11" s="49">
        <f>-'[4]Table 5C1A-Madison Prep'!P10</f>
        <v>0</v>
      </c>
      <c r="AM11" s="49">
        <f t="shared" si="35"/>
        <v>0</v>
      </c>
      <c r="AN11" s="49">
        <f t="shared" si="55"/>
        <v>0</v>
      </c>
    </row>
    <row r="12" spans="1:40">
      <c r="A12" s="879">
        <v>5</v>
      </c>
      <c r="B12" s="880" t="s">
        <v>96</v>
      </c>
      <c r="C12" s="970">
        <f>'2-1-13 SIS'!I11</f>
        <v>0</v>
      </c>
      <c r="D12" s="881">
        <f>'Table 3 Levels 1&amp;2'!AL12</f>
        <v>4986.8166927080074</v>
      </c>
      <c r="E12" s="920">
        <f t="shared" si="36"/>
        <v>0</v>
      </c>
      <c r="F12" s="920">
        <f>'Table 4 Level 3'!P10</f>
        <v>555.91</v>
      </c>
      <c r="G12" s="920">
        <f t="shared" si="37"/>
        <v>0</v>
      </c>
      <c r="H12" s="901">
        <f t="shared" si="38"/>
        <v>0</v>
      </c>
      <c r="I12" s="1727">
        <f>+'[3]Oct midyear Madison Prep'!K11</f>
        <v>0</v>
      </c>
      <c r="J12" s="1727">
        <f>'[3]Feb midyear Madison Prep'!K11</f>
        <v>0</v>
      </c>
      <c r="K12" s="1701">
        <f t="shared" si="39"/>
        <v>0</v>
      </c>
      <c r="L12" s="1395">
        <f t="shared" si="32"/>
        <v>0</v>
      </c>
      <c r="M12" s="930">
        <f t="shared" si="40"/>
        <v>0</v>
      </c>
      <c r="N12" s="901">
        <f t="shared" si="41"/>
        <v>0</v>
      </c>
      <c r="O12" s="881">
        <v>0</v>
      </c>
      <c r="P12" s="1551">
        <f t="shared" si="42"/>
        <v>0</v>
      </c>
      <c r="Q12" s="1804">
        <f>'[4]Table 5C1A-Madison Prep'!M11+'[27]Table 5C1A-Madison Prep'!T11+('[26]Table 5C1A-Madison Prep'!T11*6)</f>
        <v>0</v>
      </c>
      <c r="R12" s="1805">
        <f t="shared" si="43"/>
        <v>0</v>
      </c>
      <c r="S12" s="1806">
        <f t="shared" si="44"/>
        <v>0</v>
      </c>
      <c r="T12" s="1807">
        <f>'[14]FY2013-14 Final'!K12</f>
        <v>2086</v>
      </c>
      <c r="U12" s="1556">
        <f t="shared" si="33"/>
        <v>0</v>
      </c>
      <c r="V12" s="1760">
        <f>+'[3]Oct midyear Madison Prep'!E11</f>
        <v>0</v>
      </c>
      <c r="W12" s="1761">
        <f t="shared" si="45"/>
        <v>0</v>
      </c>
      <c r="X12" s="1762">
        <f>'[3]Feb midyear Madison Prep'!E11</f>
        <v>0</v>
      </c>
      <c r="Y12" s="1763">
        <f t="shared" si="46"/>
        <v>0</v>
      </c>
      <c r="Z12" s="1654">
        <f t="shared" si="47"/>
        <v>0</v>
      </c>
      <c r="AA12" s="1660">
        <f t="shared" si="48"/>
        <v>0</v>
      </c>
      <c r="AB12" s="938">
        <f t="shared" si="49"/>
        <v>0</v>
      </c>
      <c r="AC12" s="1556">
        <f t="shared" si="50"/>
        <v>0</v>
      </c>
      <c r="AD12" s="1826">
        <v>0</v>
      </c>
      <c r="AE12" s="1556">
        <f t="shared" si="51"/>
        <v>0</v>
      </c>
      <c r="AF12" s="1833">
        <f>'[4]Table 5C1A-Madison Prep'!T11+'[27]Table 5C1A-Madison Prep'!AF11+('[26]Table 5C1A-Madison Prep'!AF11*6)</f>
        <v>0</v>
      </c>
      <c r="AG12" s="1761">
        <f t="shared" si="52"/>
        <v>0</v>
      </c>
      <c r="AH12" s="1659">
        <f t="shared" si="53"/>
        <v>0</v>
      </c>
      <c r="AI12" s="1661">
        <f t="shared" si="54"/>
        <v>0</v>
      </c>
      <c r="AJ12" s="1661">
        <f t="shared" si="34"/>
        <v>0</v>
      </c>
      <c r="AL12" s="49">
        <f>-'[4]Table 5C1A-Madison Prep'!P11</f>
        <v>0</v>
      </c>
      <c r="AM12" s="49">
        <f t="shared" si="35"/>
        <v>0</v>
      </c>
      <c r="AN12" s="49">
        <f t="shared" si="55"/>
        <v>0</v>
      </c>
    </row>
    <row r="13" spans="1:40">
      <c r="A13" s="870">
        <v>6</v>
      </c>
      <c r="B13" s="871" t="s">
        <v>97</v>
      </c>
      <c r="C13" s="971">
        <f>'2-1-13 SIS'!I12</f>
        <v>0</v>
      </c>
      <c r="D13" s="872">
        <f>'Table 3 Levels 1&amp;2'!AL13</f>
        <v>5412.7883404260592</v>
      </c>
      <c r="E13" s="918">
        <f t="shared" si="36"/>
        <v>0</v>
      </c>
      <c r="F13" s="918">
        <f>'Table 4 Level 3'!P11</f>
        <v>545.4799999999999</v>
      </c>
      <c r="G13" s="918">
        <f t="shared" si="37"/>
        <v>0</v>
      </c>
      <c r="H13" s="873">
        <f t="shared" si="38"/>
        <v>0</v>
      </c>
      <c r="I13" s="1718">
        <f>+'[3]Oct midyear Madison Prep'!K12</f>
        <v>0</v>
      </c>
      <c r="J13" s="1718">
        <f>'[3]Feb midyear Madison Prep'!K12</f>
        <v>0</v>
      </c>
      <c r="K13" s="1542">
        <f t="shared" si="39"/>
        <v>0</v>
      </c>
      <c r="L13" s="1399">
        <f t="shared" si="32"/>
        <v>0</v>
      </c>
      <c r="M13" s="928">
        <f t="shared" si="40"/>
        <v>0</v>
      </c>
      <c r="N13" s="873">
        <f t="shared" si="41"/>
        <v>0</v>
      </c>
      <c r="O13" s="872">
        <v>0</v>
      </c>
      <c r="P13" s="998">
        <f t="shared" si="42"/>
        <v>0</v>
      </c>
      <c r="Q13" s="1718">
        <f>'[4]Table 5C1A-Madison Prep'!M12+'[27]Table 5C1A-Madison Prep'!T12+('[26]Table 5C1A-Madison Prep'!T12*6)</f>
        <v>0</v>
      </c>
      <c r="R13" s="1718">
        <f t="shared" si="43"/>
        <v>0</v>
      </c>
      <c r="S13" s="998">
        <f t="shared" si="44"/>
        <v>0</v>
      </c>
      <c r="T13" s="1802">
        <f>'[14]FY2013-14 Final'!K13</f>
        <v>3683</v>
      </c>
      <c r="U13" s="999">
        <f t="shared" si="33"/>
        <v>0</v>
      </c>
      <c r="V13" s="1754">
        <f>+'[3]Oct midyear Madison Prep'!E12</f>
        <v>0</v>
      </c>
      <c r="W13" s="1755">
        <f t="shared" si="45"/>
        <v>0</v>
      </c>
      <c r="X13" s="1754">
        <f>'[3]Feb midyear Madison Prep'!E12</f>
        <v>0</v>
      </c>
      <c r="Y13" s="1755">
        <f t="shared" si="46"/>
        <v>0</v>
      </c>
      <c r="Z13" s="1652">
        <f t="shared" si="47"/>
        <v>0</v>
      </c>
      <c r="AA13" s="999">
        <f t="shared" si="48"/>
        <v>0</v>
      </c>
      <c r="AB13" s="936">
        <f t="shared" si="49"/>
        <v>0</v>
      </c>
      <c r="AC13" s="999">
        <f t="shared" si="50"/>
        <v>0</v>
      </c>
      <c r="AD13" s="1755">
        <v>0</v>
      </c>
      <c r="AE13" s="999">
        <f t="shared" si="51"/>
        <v>0</v>
      </c>
      <c r="AF13" s="1755">
        <f>'[4]Table 5C1A-Madison Prep'!T12+'[27]Table 5C1A-Madison Prep'!AF12+('[26]Table 5C1A-Madison Prep'!AF12*6)</f>
        <v>0</v>
      </c>
      <c r="AG13" s="1755">
        <f t="shared" si="52"/>
        <v>0</v>
      </c>
      <c r="AH13" s="999">
        <f t="shared" si="53"/>
        <v>0</v>
      </c>
      <c r="AI13" s="1656">
        <f t="shared" si="54"/>
        <v>0</v>
      </c>
      <c r="AJ13" s="1656">
        <f t="shared" si="34"/>
        <v>0</v>
      </c>
      <c r="AL13" s="49">
        <f>-'[4]Table 5C1A-Madison Prep'!P12</f>
        <v>0</v>
      </c>
      <c r="AM13" s="49">
        <f t="shared" si="35"/>
        <v>0</v>
      </c>
      <c r="AN13" s="49">
        <f t="shared" si="55"/>
        <v>0</v>
      </c>
    </row>
    <row r="14" spans="1:40">
      <c r="A14" s="876">
        <v>7</v>
      </c>
      <c r="B14" s="877" t="s">
        <v>98</v>
      </c>
      <c r="C14" s="969">
        <f>'2-1-13 SIS'!I13</f>
        <v>0</v>
      </c>
      <c r="D14" s="878">
        <f>'Table 3 Levels 1&amp;2'!AL14</f>
        <v>1766.1023604176123</v>
      </c>
      <c r="E14" s="919">
        <f t="shared" si="36"/>
        <v>0</v>
      </c>
      <c r="F14" s="919">
        <f>'Table 4 Level 3'!P12</f>
        <v>756.91999999999985</v>
      </c>
      <c r="G14" s="919">
        <f t="shared" si="37"/>
        <v>0</v>
      </c>
      <c r="H14" s="898">
        <f t="shared" si="38"/>
        <v>0</v>
      </c>
      <c r="I14" s="1726">
        <f>+'[3]Oct midyear Madison Prep'!K13</f>
        <v>0</v>
      </c>
      <c r="J14" s="1726">
        <f>'[3]Feb midyear Madison Prep'!K13</f>
        <v>0</v>
      </c>
      <c r="K14" s="1700">
        <f t="shared" si="39"/>
        <v>0</v>
      </c>
      <c r="L14" s="1396">
        <f t="shared" si="32"/>
        <v>0</v>
      </c>
      <c r="M14" s="929">
        <f t="shared" si="40"/>
        <v>0</v>
      </c>
      <c r="N14" s="898">
        <f t="shared" si="41"/>
        <v>0</v>
      </c>
      <c r="O14" s="878">
        <v>0</v>
      </c>
      <c r="P14" s="1550">
        <f t="shared" si="42"/>
        <v>0</v>
      </c>
      <c r="Q14" s="1718">
        <f>'[4]Table 5C1A-Madison Prep'!M13+'[27]Table 5C1A-Madison Prep'!T13+('[26]Table 5C1A-Madison Prep'!T13*6)</f>
        <v>0</v>
      </c>
      <c r="R14" s="1803">
        <f t="shared" si="43"/>
        <v>0</v>
      </c>
      <c r="S14" s="998">
        <f t="shared" si="44"/>
        <v>0</v>
      </c>
      <c r="T14" s="1802">
        <f>'[14]FY2013-14 Final'!K14</f>
        <v>11801</v>
      </c>
      <c r="U14" s="1555">
        <f t="shared" si="33"/>
        <v>0</v>
      </c>
      <c r="V14" s="1756">
        <f>+'[3]Oct midyear Madison Prep'!E13</f>
        <v>0</v>
      </c>
      <c r="W14" s="1757">
        <f t="shared" si="45"/>
        <v>0</v>
      </c>
      <c r="X14" s="1758">
        <f>'[3]Feb midyear Madison Prep'!E13</f>
        <v>0</v>
      </c>
      <c r="Y14" s="1759">
        <f t="shared" si="46"/>
        <v>0</v>
      </c>
      <c r="Z14" s="1653">
        <f t="shared" si="47"/>
        <v>0</v>
      </c>
      <c r="AA14" s="1657">
        <f t="shared" si="48"/>
        <v>0</v>
      </c>
      <c r="AB14" s="937">
        <f t="shared" si="49"/>
        <v>0</v>
      </c>
      <c r="AC14" s="1555">
        <f t="shared" si="50"/>
        <v>0</v>
      </c>
      <c r="AD14" s="1825">
        <v>0</v>
      </c>
      <c r="AE14" s="1555">
        <f t="shared" si="51"/>
        <v>0</v>
      </c>
      <c r="AF14" s="1755">
        <f>'[4]Table 5C1A-Madison Prep'!T13+'[27]Table 5C1A-Madison Prep'!AF13+('[26]Table 5C1A-Madison Prep'!AF13*6)</f>
        <v>0</v>
      </c>
      <c r="AG14" s="1757">
        <f t="shared" si="52"/>
        <v>0</v>
      </c>
      <c r="AH14" s="999">
        <f t="shared" si="53"/>
        <v>0</v>
      </c>
      <c r="AI14" s="1658">
        <f t="shared" si="54"/>
        <v>0</v>
      </c>
      <c r="AJ14" s="1658">
        <f t="shared" si="34"/>
        <v>0</v>
      </c>
      <c r="AL14" s="49">
        <f>-'[4]Table 5C1A-Madison Prep'!P13</f>
        <v>0</v>
      </c>
      <c r="AM14" s="49">
        <f t="shared" si="35"/>
        <v>0</v>
      </c>
      <c r="AN14" s="49">
        <f t="shared" si="55"/>
        <v>0</v>
      </c>
    </row>
    <row r="15" spans="1:40">
      <c r="A15" s="876">
        <v>8</v>
      </c>
      <c r="B15" s="877" t="s">
        <v>99</v>
      </c>
      <c r="C15" s="969">
        <f>'2-1-13 SIS'!I14</f>
        <v>0</v>
      </c>
      <c r="D15" s="878">
        <f>'Table 3 Levels 1&amp;2'!AL15</f>
        <v>4289.5073606712331</v>
      </c>
      <c r="E15" s="919">
        <f t="shared" si="36"/>
        <v>0</v>
      </c>
      <c r="F15" s="919">
        <f>'Table 4 Level 3'!P13</f>
        <v>725.76</v>
      </c>
      <c r="G15" s="919">
        <f t="shared" si="37"/>
        <v>0</v>
      </c>
      <c r="H15" s="898">
        <f t="shared" si="38"/>
        <v>0</v>
      </c>
      <c r="I15" s="1726">
        <f>+'[3]Oct midyear Madison Prep'!K14</f>
        <v>0</v>
      </c>
      <c r="J15" s="1726">
        <f>'[3]Feb midyear Madison Prep'!K14</f>
        <v>0</v>
      </c>
      <c r="K15" s="1700">
        <f t="shared" si="39"/>
        <v>0</v>
      </c>
      <c r="L15" s="1396">
        <f t="shared" si="32"/>
        <v>0</v>
      </c>
      <c r="M15" s="929">
        <f t="shared" si="40"/>
        <v>0</v>
      </c>
      <c r="N15" s="898">
        <f t="shared" si="41"/>
        <v>0</v>
      </c>
      <c r="O15" s="878">
        <v>0</v>
      </c>
      <c r="P15" s="1550">
        <f t="shared" si="42"/>
        <v>0</v>
      </c>
      <c r="Q15" s="1718">
        <f>'[4]Table 5C1A-Madison Prep'!M14+'[27]Table 5C1A-Madison Prep'!T14+('[26]Table 5C1A-Madison Prep'!T14*6)</f>
        <v>0</v>
      </c>
      <c r="R15" s="1803">
        <f t="shared" si="43"/>
        <v>0</v>
      </c>
      <c r="S15" s="998">
        <f t="shared" si="44"/>
        <v>0</v>
      </c>
      <c r="T15" s="1802">
        <f>'[14]FY2013-14 Final'!K15</f>
        <v>3988</v>
      </c>
      <c r="U15" s="1555">
        <f t="shared" si="33"/>
        <v>0</v>
      </c>
      <c r="V15" s="1756">
        <f>+'[3]Oct midyear Madison Prep'!E14</f>
        <v>0</v>
      </c>
      <c r="W15" s="1757">
        <f t="shared" si="45"/>
        <v>0</v>
      </c>
      <c r="X15" s="1758">
        <f>'[3]Feb midyear Madison Prep'!E14</f>
        <v>0</v>
      </c>
      <c r="Y15" s="1759">
        <f t="shared" si="46"/>
        <v>0</v>
      </c>
      <c r="Z15" s="1653">
        <f t="shared" si="47"/>
        <v>0</v>
      </c>
      <c r="AA15" s="1657">
        <f t="shared" si="48"/>
        <v>0</v>
      </c>
      <c r="AB15" s="937">
        <f t="shared" si="49"/>
        <v>0</v>
      </c>
      <c r="AC15" s="1555">
        <f t="shared" si="50"/>
        <v>0</v>
      </c>
      <c r="AD15" s="1825">
        <v>0</v>
      </c>
      <c r="AE15" s="1555">
        <f t="shared" si="51"/>
        <v>0</v>
      </c>
      <c r="AF15" s="1755">
        <f>'[4]Table 5C1A-Madison Prep'!T14+'[27]Table 5C1A-Madison Prep'!AF14+('[26]Table 5C1A-Madison Prep'!AF14*6)</f>
        <v>0</v>
      </c>
      <c r="AG15" s="1757">
        <f t="shared" si="52"/>
        <v>0</v>
      </c>
      <c r="AH15" s="999">
        <f t="shared" si="53"/>
        <v>0</v>
      </c>
      <c r="AI15" s="1658">
        <f t="shared" si="54"/>
        <v>0</v>
      </c>
      <c r="AJ15" s="1658">
        <f t="shared" si="34"/>
        <v>0</v>
      </c>
      <c r="AL15" s="49">
        <f>-'[4]Table 5C1A-Madison Prep'!P14</f>
        <v>0</v>
      </c>
      <c r="AM15" s="49">
        <f t="shared" si="35"/>
        <v>0</v>
      </c>
      <c r="AN15" s="49">
        <f t="shared" si="55"/>
        <v>0</v>
      </c>
    </row>
    <row r="16" spans="1:40">
      <c r="A16" s="876">
        <v>9</v>
      </c>
      <c r="B16" s="877" t="s">
        <v>100</v>
      </c>
      <c r="C16" s="969">
        <f>'2-1-13 SIS'!I15</f>
        <v>0</v>
      </c>
      <c r="D16" s="878">
        <f>'Table 3 Levels 1&amp;2'!AL16</f>
        <v>4395.6154516889328</v>
      </c>
      <c r="E16" s="919">
        <f t="shared" si="36"/>
        <v>0</v>
      </c>
      <c r="F16" s="919">
        <f>'Table 4 Level 3'!P14</f>
        <v>744.76</v>
      </c>
      <c r="G16" s="919">
        <f t="shared" si="37"/>
        <v>0</v>
      </c>
      <c r="H16" s="898">
        <f t="shared" si="38"/>
        <v>0</v>
      </c>
      <c r="I16" s="1726">
        <f>+'[3]Oct midyear Madison Prep'!K15</f>
        <v>0</v>
      </c>
      <c r="J16" s="1726">
        <f>'[3]Feb midyear Madison Prep'!K15</f>
        <v>0</v>
      </c>
      <c r="K16" s="1700">
        <f t="shared" si="39"/>
        <v>0</v>
      </c>
      <c r="L16" s="1396">
        <f t="shared" si="32"/>
        <v>0</v>
      </c>
      <c r="M16" s="929">
        <f t="shared" si="40"/>
        <v>0</v>
      </c>
      <c r="N16" s="898">
        <f t="shared" si="41"/>
        <v>0</v>
      </c>
      <c r="O16" s="878">
        <v>0</v>
      </c>
      <c r="P16" s="1550">
        <f t="shared" si="42"/>
        <v>0</v>
      </c>
      <c r="Q16" s="1718">
        <f>'[4]Table 5C1A-Madison Prep'!M15+'[27]Table 5C1A-Madison Prep'!T15+('[26]Table 5C1A-Madison Prep'!T15*6)</f>
        <v>0</v>
      </c>
      <c r="R16" s="1803">
        <f t="shared" si="43"/>
        <v>0</v>
      </c>
      <c r="S16" s="998">
        <f t="shared" si="44"/>
        <v>0</v>
      </c>
      <c r="T16" s="1802">
        <f>'[14]FY2013-14 Final'!K16</f>
        <v>4677</v>
      </c>
      <c r="U16" s="1555">
        <f t="shared" si="33"/>
        <v>0</v>
      </c>
      <c r="V16" s="1756">
        <f>+'[3]Oct midyear Madison Prep'!E15</f>
        <v>0</v>
      </c>
      <c r="W16" s="1757">
        <f t="shared" si="45"/>
        <v>0</v>
      </c>
      <c r="X16" s="1758">
        <f>'[3]Feb midyear Madison Prep'!E15</f>
        <v>0</v>
      </c>
      <c r="Y16" s="1759">
        <f t="shared" si="46"/>
        <v>0</v>
      </c>
      <c r="Z16" s="1653">
        <f t="shared" si="47"/>
        <v>0</v>
      </c>
      <c r="AA16" s="1657">
        <f t="shared" si="48"/>
        <v>0</v>
      </c>
      <c r="AB16" s="937">
        <f t="shared" si="49"/>
        <v>0</v>
      </c>
      <c r="AC16" s="1555">
        <f t="shared" si="50"/>
        <v>0</v>
      </c>
      <c r="AD16" s="1825">
        <v>0</v>
      </c>
      <c r="AE16" s="1555">
        <f t="shared" si="51"/>
        <v>0</v>
      </c>
      <c r="AF16" s="1755">
        <f>'[4]Table 5C1A-Madison Prep'!T15+'[27]Table 5C1A-Madison Prep'!AF15+('[26]Table 5C1A-Madison Prep'!AF15*6)</f>
        <v>0</v>
      </c>
      <c r="AG16" s="1757">
        <f t="shared" si="52"/>
        <v>0</v>
      </c>
      <c r="AH16" s="999">
        <f t="shared" si="53"/>
        <v>0</v>
      </c>
      <c r="AI16" s="1658">
        <f t="shared" si="54"/>
        <v>0</v>
      </c>
      <c r="AJ16" s="1658">
        <f t="shared" si="34"/>
        <v>0</v>
      </c>
      <c r="AL16" s="49">
        <f>-'[4]Table 5C1A-Madison Prep'!P15</f>
        <v>0</v>
      </c>
      <c r="AM16" s="49">
        <f t="shared" si="35"/>
        <v>0</v>
      </c>
      <c r="AN16" s="49">
        <f t="shared" si="55"/>
        <v>0</v>
      </c>
    </row>
    <row r="17" spans="1:40">
      <c r="A17" s="879">
        <v>10</v>
      </c>
      <c r="B17" s="880" t="s">
        <v>101</v>
      </c>
      <c r="C17" s="970">
        <f>'2-1-13 SIS'!I16</f>
        <v>0</v>
      </c>
      <c r="D17" s="881">
        <f>'Table 3 Levels 1&amp;2'!AL17</f>
        <v>4253.5980618992444</v>
      </c>
      <c r="E17" s="920">
        <f t="shared" si="36"/>
        <v>0</v>
      </c>
      <c r="F17" s="920">
        <f>'Table 4 Level 3'!P15</f>
        <v>608.04000000000008</v>
      </c>
      <c r="G17" s="920">
        <f t="shared" si="37"/>
        <v>0</v>
      </c>
      <c r="H17" s="901">
        <f t="shared" si="38"/>
        <v>0</v>
      </c>
      <c r="I17" s="1727">
        <f>+'[3]Oct midyear Madison Prep'!K16</f>
        <v>0</v>
      </c>
      <c r="J17" s="1727">
        <f>'[3]Feb midyear Madison Prep'!K16</f>
        <v>0</v>
      </c>
      <c r="K17" s="1701">
        <f t="shared" si="39"/>
        <v>0</v>
      </c>
      <c r="L17" s="1395">
        <f t="shared" si="32"/>
        <v>0</v>
      </c>
      <c r="M17" s="930">
        <f t="shared" si="40"/>
        <v>0</v>
      </c>
      <c r="N17" s="901">
        <f t="shared" si="41"/>
        <v>0</v>
      </c>
      <c r="O17" s="881">
        <v>0</v>
      </c>
      <c r="P17" s="1551">
        <f t="shared" si="42"/>
        <v>0</v>
      </c>
      <c r="Q17" s="1804">
        <f>'[4]Table 5C1A-Madison Prep'!M16+'[27]Table 5C1A-Madison Prep'!T16+('[26]Table 5C1A-Madison Prep'!T16*6)</f>
        <v>0</v>
      </c>
      <c r="R17" s="1805">
        <f t="shared" si="43"/>
        <v>0</v>
      </c>
      <c r="S17" s="1806">
        <f t="shared" si="44"/>
        <v>0</v>
      </c>
      <c r="T17" s="1807">
        <f>'[14]FY2013-14 Final'!K17</f>
        <v>4502</v>
      </c>
      <c r="U17" s="1556">
        <f t="shared" si="33"/>
        <v>0</v>
      </c>
      <c r="V17" s="1760">
        <f>+'[3]Oct midyear Madison Prep'!E16</f>
        <v>0</v>
      </c>
      <c r="W17" s="1761">
        <f t="shared" si="45"/>
        <v>0</v>
      </c>
      <c r="X17" s="1762">
        <f>'[3]Feb midyear Madison Prep'!E16</f>
        <v>0</v>
      </c>
      <c r="Y17" s="1763">
        <f t="shared" si="46"/>
        <v>0</v>
      </c>
      <c r="Z17" s="1654">
        <f t="shared" si="47"/>
        <v>0</v>
      </c>
      <c r="AA17" s="1660">
        <f t="shared" si="48"/>
        <v>0</v>
      </c>
      <c r="AB17" s="938">
        <f t="shared" si="49"/>
        <v>0</v>
      </c>
      <c r="AC17" s="1556">
        <f t="shared" si="50"/>
        <v>0</v>
      </c>
      <c r="AD17" s="1826">
        <v>0</v>
      </c>
      <c r="AE17" s="1556">
        <f t="shared" si="51"/>
        <v>0</v>
      </c>
      <c r="AF17" s="1833">
        <f>'[4]Table 5C1A-Madison Prep'!T16+'[27]Table 5C1A-Madison Prep'!AF16+('[26]Table 5C1A-Madison Prep'!AF16*6)</f>
        <v>0</v>
      </c>
      <c r="AG17" s="1761">
        <f t="shared" si="52"/>
        <v>0</v>
      </c>
      <c r="AH17" s="1659">
        <f t="shared" si="53"/>
        <v>0</v>
      </c>
      <c r="AI17" s="1661">
        <f t="shared" si="54"/>
        <v>0</v>
      </c>
      <c r="AJ17" s="1661">
        <f t="shared" si="34"/>
        <v>0</v>
      </c>
      <c r="AL17" s="49">
        <f>-'[4]Table 5C1A-Madison Prep'!P16</f>
        <v>0</v>
      </c>
      <c r="AM17" s="49">
        <f t="shared" si="35"/>
        <v>0</v>
      </c>
      <c r="AN17" s="49">
        <f t="shared" si="55"/>
        <v>0</v>
      </c>
    </row>
    <row r="18" spans="1:40">
      <c r="A18" s="870">
        <v>11</v>
      </c>
      <c r="B18" s="871" t="s">
        <v>102</v>
      </c>
      <c r="C18" s="971">
        <f>'2-1-13 SIS'!I17</f>
        <v>0</v>
      </c>
      <c r="D18" s="872">
        <f>'Table 3 Levels 1&amp;2'!AL18</f>
        <v>6852.9138435383502</v>
      </c>
      <c r="E18" s="918">
        <f t="shared" si="36"/>
        <v>0</v>
      </c>
      <c r="F18" s="918">
        <f>'Table 4 Level 3'!P16</f>
        <v>706.55</v>
      </c>
      <c r="G18" s="918">
        <f t="shared" si="37"/>
        <v>0</v>
      </c>
      <c r="H18" s="873">
        <f t="shared" si="38"/>
        <v>0</v>
      </c>
      <c r="I18" s="1718">
        <f>+'[3]Oct midyear Madison Prep'!K17</f>
        <v>0</v>
      </c>
      <c r="J18" s="1718">
        <f>'[3]Feb midyear Madison Prep'!K17</f>
        <v>0</v>
      </c>
      <c r="K18" s="1542">
        <f t="shared" si="39"/>
        <v>0</v>
      </c>
      <c r="L18" s="1399">
        <f t="shared" si="32"/>
        <v>0</v>
      </c>
      <c r="M18" s="928">
        <f t="shared" si="40"/>
        <v>0</v>
      </c>
      <c r="N18" s="873">
        <f t="shared" si="41"/>
        <v>0</v>
      </c>
      <c r="O18" s="872">
        <v>0</v>
      </c>
      <c r="P18" s="998">
        <f t="shared" si="42"/>
        <v>0</v>
      </c>
      <c r="Q18" s="1718">
        <f>'[4]Table 5C1A-Madison Prep'!M17+'[27]Table 5C1A-Madison Prep'!T17+('[26]Table 5C1A-Madison Prep'!T17*6)</f>
        <v>0</v>
      </c>
      <c r="R18" s="1718">
        <f t="shared" si="43"/>
        <v>0</v>
      </c>
      <c r="S18" s="998">
        <f t="shared" si="44"/>
        <v>0</v>
      </c>
      <c r="T18" s="1802">
        <f>'[14]FY2013-14 Final'!K18</f>
        <v>3776</v>
      </c>
      <c r="U18" s="999">
        <f t="shared" si="33"/>
        <v>0</v>
      </c>
      <c r="V18" s="1754">
        <f>+'[3]Oct midyear Madison Prep'!E17</f>
        <v>0</v>
      </c>
      <c r="W18" s="1755">
        <f t="shared" si="45"/>
        <v>0</v>
      </c>
      <c r="X18" s="1754">
        <f>'[3]Feb midyear Madison Prep'!E17</f>
        <v>0</v>
      </c>
      <c r="Y18" s="1755">
        <f t="shared" si="46"/>
        <v>0</v>
      </c>
      <c r="Z18" s="1652">
        <f t="shared" si="47"/>
        <v>0</v>
      </c>
      <c r="AA18" s="999">
        <f t="shared" si="48"/>
        <v>0</v>
      </c>
      <c r="AB18" s="936">
        <f t="shared" si="49"/>
        <v>0</v>
      </c>
      <c r="AC18" s="999">
        <f t="shared" si="50"/>
        <v>0</v>
      </c>
      <c r="AD18" s="1755">
        <v>0</v>
      </c>
      <c r="AE18" s="999">
        <f t="shared" si="51"/>
        <v>0</v>
      </c>
      <c r="AF18" s="1755">
        <f>'[4]Table 5C1A-Madison Prep'!T17+'[27]Table 5C1A-Madison Prep'!AF17+('[26]Table 5C1A-Madison Prep'!AF17*6)</f>
        <v>0</v>
      </c>
      <c r="AG18" s="1755">
        <f t="shared" si="52"/>
        <v>0</v>
      </c>
      <c r="AH18" s="999">
        <f t="shared" si="53"/>
        <v>0</v>
      </c>
      <c r="AI18" s="1656">
        <f t="shared" si="54"/>
        <v>0</v>
      </c>
      <c r="AJ18" s="1656">
        <f t="shared" si="34"/>
        <v>0</v>
      </c>
      <c r="AL18" s="49">
        <f>-'[4]Table 5C1A-Madison Prep'!P17</f>
        <v>0</v>
      </c>
      <c r="AM18" s="49">
        <f t="shared" si="35"/>
        <v>0</v>
      </c>
      <c r="AN18" s="49">
        <f t="shared" si="55"/>
        <v>0</v>
      </c>
    </row>
    <row r="19" spans="1:40">
      <c r="A19" s="876">
        <v>12</v>
      </c>
      <c r="B19" s="877" t="s">
        <v>103</v>
      </c>
      <c r="C19" s="969">
        <f>'2-1-13 SIS'!I18</f>
        <v>0</v>
      </c>
      <c r="D19" s="878">
        <f>'Table 3 Levels 1&amp;2'!AL19</f>
        <v>1733.9056059356967</v>
      </c>
      <c r="E19" s="919">
        <f t="shared" si="36"/>
        <v>0</v>
      </c>
      <c r="F19" s="919">
        <f>'Table 4 Level 3'!P17</f>
        <v>1063.31</v>
      </c>
      <c r="G19" s="919">
        <f t="shared" si="37"/>
        <v>0</v>
      </c>
      <c r="H19" s="898">
        <f t="shared" si="38"/>
        <v>0</v>
      </c>
      <c r="I19" s="1726">
        <f>+'[3]Oct midyear Madison Prep'!K18</f>
        <v>0</v>
      </c>
      <c r="J19" s="1726">
        <f>'[3]Feb midyear Madison Prep'!K18</f>
        <v>0</v>
      </c>
      <c r="K19" s="1700">
        <f t="shared" si="39"/>
        <v>0</v>
      </c>
      <c r="L19" s="1396">
        <f t="shared" si="32"/>
        <v>0</v>
      </c>
      <c r="M19" s="929">
        <f t="shared" si="40"/>
        <v>0</v>
      </c>
      <c r="N19" s="898">
        <f t="shared" si="41"/>
        <v>0</v>
      </c>
      <c r="O19" s="878">
        <v>0</v>
      </c>
      <c r="P19" s="1550">
        <f t="shared" si="42"/>
        <v>0</v>
      </c>
      <c r="Q19" s="1718">
        <f>'[4]Table 5C1A-Madison Prep'!M18+'[27]Table 5C1A-Madison Prep'!T18+('[26]Table 5C1A-Madison Prep'!T18*6)</f>
        <v>0</v>
      </c>
      <c r="R19" s="1803">
        <f t="shared" si="43"/>
        <v>0</v>
      </c>
      <c r="S19" s="998">
        <f t="shared" si="44"/>
        <v>0</v>
      </c>
      <c r="T19" s="1802">
        <f>'[14]FY2013-14 Final'!K19</f>
        <v>13312</v>
      </c>
      <c r="U19" s="1555">
        <f t="shared" si="33"/>
        <v>0</v>
      </c>
      <c r="V19" s="1756">
        <f>+'[3]Oct midyear Madison Prep'!E18</f>
        <v>0</v>
      </c>
      <c r="W19" s="1757">
        <f t="shared" si="45"/>
        <v>0</v>
      </c>
      <c r="X19" s="1758">
        <f>'[3]Feb midyear Madison Prep'!E18</f>
        <v>0</v>
      </c>
      <c r="Y19" s="1759">
        <f t="shared" si="46"/>
        <v>0</v>
      </c>
      <c r="Z19" s="1653">
        <f t="shared" si="47"/>
        <v>0</v>
      </c>
      <c r="AA19" s="1657">
        <f t="shared" si="48"/>
        <v>0</v>
      </c>
      <c r="AB19" s="937">
        <f t="shared" si="49"/>
        <v>0</v>
      </c>
      <c r="AC19" s="1555">
        <f t="shared" si="50"/>
        <v>0</v>
      </c>
      <c r="AD19" s="1825">
        <v>0</v>
      </c>
      <c r="AE19" s="1555">
        <f t="shared" si="51"/>
        <v>0</v>
      </c>
      <c r="AF19" s="1755">
        <f>'[4]Table 5C1A-Madison Prep'!T18+'[27]Table 5C1A-Madison Prep'!AF18+('[26]Table 5C1A-Madison Prep'!AF18*6)</f>
        <v>0</v>
      </c>
      <c r="AG19" s="1757">
        <f t="shared" si="52"/>
        <v>0</v>
      </c>
      <c r="AH19" s="999">
        <f t="shared" si="53"/>
        <v>0</v>
      </c>
      <c r="AI19" s="1658">
        <f t="shared" si="54"/>
        <v>0</v>
      </c>
      <c r="AJ19" s="1658">
        <f t="shared" si="34"/>
        <v>0</v>
      </c>
      <c r="AL19" s="49">
        <f>-'[4]Table 5C1A-Madison Prep'!P18</f>
        <v>0</v>
      </c>
      <c r="AM19" s="49">
        <f t="shared" si="35"/>
        <v>0</v>
      </c>
      <c r="AN19" s="49">
        <f t="shared" si="55"/>
        <v>0</v>
      </c>
    </row>
    <row r="20" spans="1:40">
      <c r="A20" s="876">
        <v>13</v>
      </c>
      <c r="B20" s="877" t="s">
        <v>104</v>
      </c>
      <c r="C20" s="969">
        <f>'2-1-13 SIS'!I19</f>
        <v>0</v>
      </c>
      <c r="D20" s="878">
        <f>'Table 3 Levels 1&amp;2'!AL20</f>
        <v>6254.1238637730876</v>
      </c>
      <c r="E20" s="919">
        <f t="shared" si="36"/>
        <v>0</v>
      </c>
      <c r="F20" s="919">
        <f>'Table 4 Level 3'!P18</f>
        <v>749.43000000000006</v>
      </c>
      <c r="G20" s="919">
        <f t="shared" si="37"/>
        <v>0</v>
      </c>
      <c r="H20" s="898">
        <f t="shared" si="38"/>
        <v>0</v>
      </c>
      <c r="I20" s="1726">
        <f>+'[3]Oct midyear Madison Prep'!K19</f>
        <v>0</v>
      </c>
      <c r="J20" s="1726">
        <f>'[3]Feb midyear Madison Prep'!K19</f>
        <v>0</v>
      </c>
      <c r="K20" s="1700">
        <f t="shared" si="39"/>
        <v>0</v>
      </c>
      <c r="L20" s="1396">
        <f t="shared" si="32"/>
        <v>0</v>
      </c>
      <c r="M20" s="929">
        <f t="shared" si="40"/>
        <v>0</v>
      </c>
      <c r="N20" s="898">
        <f t="shared" si="41"/>
        <v>0</v>
      </c>
      <c r="O20" s="878">
        <v>0</v>
      </c>
      <c r="P20" s="1550">
        <f t="shared" si="42"/>
        <v>0</v>
      </c>
      <c r="Q20" s="1718">
        <f>'[4]Table 5C1A-Madison Prep'!M19+'[27]Table 5C1A-Madison Prep'!T19+('[26]Table 5C1A-Madison Prep'!T19*6)</f>
        <v>0</v>
      </c>
      <c r="R20" s="1803">
        <f t="shared" si="43"/>
        <v>0</v>
      </c>
      <c r="S20" s="998">
        <f t="shared" si="44"/>
        <v>0</v>
      </c>
      <c r="T20" s="1802">
        <f>'[14]FY2013-14 Final'!K20</f>
        <v>2671</v>
      </c>
      <c r="U20" s="1555">
        <f t="shared" si="33"/>
        <v>0</v>
      </c>
      <c r="V20" s="1756">
        <f>+'[3]Oct midyear Madison Prep'!E19</f>
        <v>0</v>
      </c>
      <c r="W20" s="1757">
        <f t="shared" si="45"/>
        <v>0</v>
      </c>
      <c r="X20" s="1758">
        <f>'[3]Feb midyear Madison Prep'!E19</f>
        <v>0</v>
      </c>
      <c r="Y20" s="1759">
        <f t="shared" si="46"/>
        <v>0</v>
      </c>
      <c r="Z20" s="1653">
        <f t="shared" si="47"/>
        <v>0</v>
      </c>
      <c r="AA20" s="1657">
        <f t="shared" si="48"/>
        <v>0</v>
      </c>
      <c r="AB20" s="937">
        <f t="shared" si="49"/>
        <v>0</v>
      </c>
      <c r="AC20" s="1555">
        <f t="shared" si="50"/>
        <v>0</v>
      </c>
      <c r="AD20" s="1825">
        <v>0</v>
      </c>
      <c r="AE20" s="1555">
        <f t="shared" si="51"/>
        <v>0</v>
      </c>
      <c r="AF20" s="1755">
        <f>'[4]Table 5C1A-Madison Prep'!T19+'[27]Table 5C1A-Madison Prep'!AF19+('[26]Table 5C1A-Madison Prep'!AF19*6)</f>
        <v>0</v>
      </c>
      <c r="AG20" s="1757">
        <f t="shared" si="52"/>
        <v>0</v>
      </c>
      <c r="AH20" s="999">
        <f t="shared" si="53"/>
        <v>0</v>
      </c>
      <c r="AI20" s="1658">
        <f t="shared" si="54"/>
        <v>0</v>
      </c>
      <c r="AJ20" s="1658">
        <f t="shared" si="34"/>
        <v>0</v>
      </c>
      <c r="AL20" s="49">
        <f>-'[4]Table 5C1A-Madison Prep'!P19</f>
        <v>0</v>
      </c>
      <c r="AM20" s="49">
        <f t="shared" si="35"/>
        <v>0</v>
      </c>
      <c r="AN20" s="49">
        <f t="shared" si="55"/>
        <v>0</v>
      </c>
    </row>
    <row r="21" spans="1:40">
      <c r="A21" s="876">
        <v>14</v>
      </c>
      <c r="B21" s="877" t="s">
        <v>105</v>
      </c>
      <c r="C21" s="969">
        <f>'2-1-13 SIS'!I20</f>
        <v>0</v>
      </c>
      <c r="D21" s="878">
        <f>'Table 3 Levels 1&amp;2'!AL21</f>
        <v>5377.9187438545459</v>
      </c>
      <c r="E21" s="919">
        <f t="shared" si="36"/>
        <v>0</v>
      </c>
      <c r="F21" s="919">
        <f>'Table 4 Level 3'!P19</f>
        <v>809.9799999999999</v>
      </c>
      <c r="G21" s="919">
        <f t="shared" si="37"/>
        <v>0</v>
      </c>
      <c r="H21" s="898">
        <f t="shared" si="38"/>
        <v>0</v>
      </c>
      <c r="I21" s="1726">
        <f>+'[3]Oct midyear Madison Prep'!K20</f>
        <v>0</v>
      </c>
      <c r="J21" s="1726">
        <f>'[3]Feb midyear Madison Prep'!K20</f>
        <v>0</v>
      </c>
      <c r="K21" s="1700">
        <f t="shared" si="39"/>
        <v>0</v>
      </c>
      <c r="L21" s="1396">
        <f t="shared" si="32"/>
        <v>0</v>
      </c>
      <c r="M21" s="929">
        <f t="shared" si="40"/>
        <v>0</v>
      </c>
      <c r="N21" s="898">
        <f t="shared" si="41"/>
        <v>0</v>
      </c>
      <c r="O21" s="878">
        <v>0</v>
      </c>
      <c r="P21" s="1550">
        <f t="shared" si="42"/>
        <v>0</v>
      </c>
      <c r="Q21" s="1718">
        <f>'[4]Table 5C1A-Madison Prep'!M20+'[27]Table 5C1A-Madison Prep'!T20+('[26]Table 5C1A-Madison Prep'!T20*6)</f>
        <v>0</v>
      </c>
      <c r="R21" s="1803">
        <f t="shared" si="43"/>
        <v>0</v>
      </c>
      <c r="S21" s="998">
        <f t="shared" si="44"/>
        <v>0</v>
      </c>
      <c r="T21" s="1802">
        <f>'[14]FY2013-14 Final'!K21</f>
        <v>4439</v>
      </c>
      <c r="U21" s="1555">
        <f t="shared" si="33"/>
        <v>0</v>
      </c>
      <c r="V21" s="1756">
        <f>+'[3]Oct midyear Madison Prep'!E20</f>
        <v>0</v>
      </c>
      <c r="W21" s="1757">
        <f t="shared" si="45"/>
        <v>0</v>
      </c>
      <c r="X21" s="1758">
        <f>'[3]Feb midyear Madison Prep'!E20</f>
        <v>0</v>
      </c>
      <c r="Y21" s="1759">
        <f t="shared" si="46"/>
        <v>0</v>
      </c>
      <c r="Z21" s="1653">
        <f t="shared" si="47"/>
        <v>0</v>
      </c>
      <c r="AA21" s="1657">
        <f t="shared" si="48"/>
        <v>0</v>
      </c>
      <c r="AB21" s="937">
        <f t="shared" si="49"/>
        <v>0</v>
      </c>
      <c r="AC21" s="1555">
        <f t="shared" si="50"/>
        <v>0</v>
      </c>
      <c r="AD21" s="1825">
        <v>0</v>
      </c>
      <c r="AE21" s="1555">
        <f t="shared" si="51"/>
        <v>0</v>
      </c>
      <c r="AF21" s="1755">
        <f>'[4]Table 5C1A-Madison Prep'!T20+'[27]Table 5C1A-Madison Prep'!AF20+('[26]Table 5C1A-Madison Prep'!AF20*6)</f>
        <v>0</v>
      </c>
      <c r="AG21" s="1757">
        <f t="shared" si="52"/>
        <v>0</v>
      </c>
      <c r="AH21" s="999">
        <f t="shared" si="53"/>
        <v>0</v>
      </c>
      <c r="AI21" s="1658">
        <f t="shared" si="54"/>
        <v>0</v>
      </c>
      <c r="AJ21" s="1658">
        <f t="shared" si="34"/>
        <v>0</v>
      </c>
      <c r="AL21" s="49">
        <f>-'[4]Table 5C1A-Madison Prep'!P20</f>
        <v>0</v>
      </c>
      <c r="AM21" s="49">
        <f t="shared" si="35"/>
        <v>0</v>
      </c>
      <c r="AN21" s="49">
        <f t="shared" si="55"/>
        <v>0</v>
      </c>
    </row>
    <row r="22" spans="1:40">
      <c r="A22" s="879">
        <v>15</v>
      </c>
      <c r="B22" s="880" t="s">
        <v>106</v>
      </c>
      <c r="C22" s="970">
        <f>'2-1-13 SIS'!I21</f>
        <v>0</v>
      </c>
      <c r="D22" s="881">
        <f>'Table 3 Levels 1&amp;2'!AL22</f>
        <v>5527.7651197617861</v>
      </c>
      <c r="E22" s="920">
        <f t="shared" si="36"/>
        <v>0</v>
      </c>
      <c r="F22" s="920">
        <f>'Table 4 Level 3'!P20</f>
        <v>553.79999999999995</v>
      </c>
      <c r="G22" s="920">
        <f t="shared" si="37"/>
        <v>0</v>
      </c>
      <c r="H22" s="901">
        <f t="shared" si="38"/>
        <v>0</v>
      </c>
      <c r="I22" s="1727">
        <f>+'[3]Oct midyear Madison Prep'!K21</f>
        <v>0</v>
      </c>
      <c r="J22" s="1727">
        <f>'[3]Feb midyear Madison Prep'!K21</f>
        <v>0</v>
      </c>
      <c r="K22" s="1701">
        <f t="shared" si="39"/>
        <v>0</v>
      </c>
      <c r="L22" s="1395">
        <f t="shared" si="32"/>
        <v>0</v>
      </c>
      <c r="M22" s="930">
        <f t="shared" si="40"/>
        <v>0</v>
      </c>
      <c r="N22" s="901">
        <f t="shared" si="41"/>
        <v>0</v>
      </c>
      <c r="O22" s="881">
        <v>0</v>
      </c>
      <c r="P22" s="1551">
        <f t="shared" si="42"/>
        <v>0</v>
      </c>
      <c r="Q22" s="1804">
        <f>'[4]Table 5C1A-Madison Prep'!M21+'[27]Table 5C1A-Madison Prep'!T21+('[26]Table 5C1A-Madison Prep'!T21*6)</f>
        <v>0</v>
      </c>
      <c r="R22" s="1805">
        <f t="shared" si="43"/>
        <v>0</v>
      </c>
      <c r="S22" s="1806">
        <f t="shared" si="44"/>
        <v>0</v>
      </c>
      <c r="T22" s="1807">
        <f>'[14]FY2013-14 Final'!K22</f>
        <v>2800</v>
      </c>
      <c r="U22" s="1556">
        <f t="shared" si="33"/>
        <v>0</v>
      </c>
      <c r="V22" s="1760">
        <f>+'[3]Oct midyear Madison Prep'!E21</f>
        <v>0</v>
      </c>
      <c r="W22" s="1761">
        <f t="shared" si="45"/>
        <v>0</v>
      </c>
      <c r="X22" s="1762">
        <f>'[3]Feb midyear Madison Prep'!E21</f>
        <v>0</v>
      </c>
      <c r="Y22" s="1763">
        <f t="shared" si="46"/>
        <v>0</v>
      </c>
      <c r="Z22" s="1654">
        <f t="shared" si="47"/>
        <v>0</v>
      </c>
      <c r="AA22" s="1660">
        <f t="shared" si="48"/>
        <v>0</v>
      </c>
      <c r="AB22" s="938">
        <f t="shared" si="49"/>
        <v>0</v>
      </c>
      <c r="AC22" s="1556">
        <f t="shared" si="50"/>
        <v>0</v>
      </c>
      <c r="AD22" s="1826">
        <v>0</v>
      </c>
      <c r="AE22" s="1556">
        <f t="shared" si="51"/>
        <v>0</v>
      </c>
      <c r="AF22" s="1833">
        <f>'[4]Table 5C1A-Madison Prep'!T21+'[27]Table 5C1A-Madison Prep'!AF21+('[26]Table 5C1A-Madison Prep'!AF21*6)</f>
        <v>0</v>
      </c>
      <c r="AG22" s="1761">
        <f t="shared" si="52"/>
        <v>0</v>
      </c>
      <c r="AH22" s="1659">
        <f t="shared" si="53"/>
        <v>0</v>
      </c>
      <c r="AI22" s="1661">
        <f t="shared" si="54"/>
        <v>0</v>
      </c>
      <c r="AJ22" s="1661">
        <f t="shared" si="34"/>
        <v>0</v>
      </c>
      <c r="AL22" s="49">
        <f>-'[4]Table 5C1A-Madison Prep'!P21</f>
        <v>0</v>
      </c>
      <c r="AM22" s="49">
        <f t="shared" si="35"/>
        <v>0</v>
      </c>
      <c r="AN22" s="49">
        <f t="shared" si="55"/>
        <v>0</v>
      </c>
    </row>
    <row r="23" spans="1:40">
      <c r="A23" s="870">
        <v>16</v>
      </c>
      <c r="B23" s="871" t="s">
        <v>107</v>
      </c>
      <c r="C23" s="971">
        <f>'2-1-13 SIS'!I22</f>
        <v>0</v>
      </c>
      <c r="D23" s="872">
        <f>'Table 3 Levels 1&amp;2'!AL23</f>
        <v>1530.3678845377474</v>
      </c>
      <c r="E23" s="918">
        <f t="shared" si="36"/>
        <v>0</v>
      </c>
      <c r="F23" s="918">
        <f>'Table 4 Level 3'!P21</f>
        <v>686.73</v>
      </c>
      <c r="G23" s="918">
        <f t="shared" si="37"/>
        <v>0</v>
      </c>
      <c r="H23" s="873">
        <f t="shared" si="38"/>
        <v>0</v>
      </c>
      <c r="I23" s="1718">
        <f>+'[3]Oct midyear Madison Prep'!K22</f>
        <v>0</v>
      </c>
      <c r="J23" s="1718">
        <f>'[3]Feb midyear Madison Prep'!K22</f>
        <v>0</v>
      </c>
      <c r="K23" s="1542">
        <f t="shared" si="39"/>
        <v>0</v>
      </c>
      <c r="L23" s="1399">
        <f t="shared" si="32"/>
        <v>0</v>
      </c>
      <c r="M23" s="928">
        <f t="shared" si="40"/>
        <v>0</v>
      </c>
      <c r="N23" s="873">
        <f t="shared" si="41"/>
        <v>0</v>
      </c>
      <c r="O23" s="872">
        <v>0</v>
      </c>
      <c r="P23" s="998">
        <f t="shared" si="42"/>
        <v>0</v>
      </c>
      <c r="Q23" s="1718">
        <f>'[4]Table 5C1A-Madison Prep'!M22+'[27]Table 5C1A-Madison Prep'!T22+('[26]Table 5C1A-Madison Prep'!T22*6)</f>
        <v>0</v>
      </c>
      <c r="R23" s="1718">
        <f t="shared" si="43"/>
        <v>0</v>
      </c>
      <c r="S23" s="998">
        <f t="shared" si="44"/>
        <v>0</v>
      </c>
      <c r="T23" s="1802">
        <f>'[14]FY2013-14 Final'!K23</f>
        <v>12312</v>
      </c>
      <c r="U23" s="999">
        <f t="shared" si="33"/>
        <v>0</v>
      </c>
      <c r="V23" s="1754">
        <f>+'[3]Oct midyear Madison Prep'!E22</f>
        <v>0</v>
      </c>
      <c r="W23" s="1755">
        <f t="shared" si="45"/>
        <v>0</v>
      </c>
      <c r="X23" s="1754">
        <f>'[3]Feb midyear Madison Prep'!E22</f>
        <v>0</v>
      </c>
      <c r="Y23" s="1755">
        <f t="shared" si="46"/>
        <v>0</v>
      </c>
      <c r="Z23" s="1652">
        <f t="shared" si="47"/>
        <v>0</v>
      </c>
      <c r="AA23" s="999">
        <f t="shared" si="48"/>
        <v>0</v>
      </c>
      <c r="AB23" s="936">
        <f t="shared" si="49"/>
        <v>0</v>
      </c>
      <c r="AC23" s="999">
        <f t="shared" si="50"/>
        <v>0</v>
      </c>
      <c r="AD23" s="1755">
        <v>0</v>
      </c>
      <c r="AE23" s="999">
        <f t="shared" si="51"/>
        <v>0</v>
      </c>
      <c r="AF23" s="1755">
        <f>'[4]Table 5C1A-Madison Prep'!T22+'[27]Table 5C1A-Madison Prep'!AF22+('[26]Table 5C1A-Madison Prep'!AF22*6)</f>
        <v>0</v>
      </c>
      <c r="AG23" s="1755">
        <f t="shared" si="52"/>
        <v>0</v>
      </c>
      <c r="AH23" s="999">
        <f t="shared" si="53"/>
        <v>0</v>
      </c>
      <c r="AI23" s="1656">
        <f t="shared" si="54"/>
        <v>0</v>
      </c>
      <c r="AJ23" s="1656">
        <f t="shared" si="34"/>
        <v>0</v>
      </c>
      <c r="AL23" s="49">
        <f>-'[4]Table 5C1A-Madison Prep'!P22</f>
        <v>0</v>
      </c>
      <c r="AM23" s="49">
        <f t="shared" si="35"/>
        <v>0</v>
      </c>
      <c r="AN23" s="49">
        <f t="shared" si="55"/>
        <v>0</v>
      </c>
    </row>
    <row r="24" spans="1:40">
      <c r="A24" s="876">
        <v>17</v>
      </c>
      <c r="B24" s="877" t="s">
        <v>108</v>
      </c>
      <c r="C24" s="969">
        <f>'2-1-13 SIS'!I23</f>
        <v>206</v>
      </c>
      <c r="D24" s="878">
        <f>'Table 3 Levels 1&amp;2'!AL24</f>
        <v>3313.0666313017805</v>
      </c>
      <c r="E24" s="919">
        <f t="shared" si="36"/>
        <v>682491.72604816675</v>
      </c>
      <c r="F24" s="919">
        <f>'Table 5B2_RSD_LA'!F7</f>
        <v>801.47762416806802</v>
      </c>
      <c r="G24" s="919">
        <f t="shared" si="37"/>
        <v>165104.390578622</v>
      </c>
      <c r="H24" s="898">
        <f t="shared" si="38"/>
        <v>847596.11662678875</v>
      </c>
      <c r="I24" s="1726">
        <f>+'[3]Oct midyear Madison Prep'!K23</f>
        <v>234529.02256178137</v>
      </c>
      <c r="J24" s="1726">
        <f>'[3]Feb midyear Madison Prep'!K23</f>
        <v>-2057.2721277349242</v>
      </c>
      <c r="K24" s="1700">
        <f t="shared" si="39"/>
        <v>232471.75043404644</v>
      </c>
      <c r="L24" s="1396">
        <f t="shared" si="32"/>
        <v>1080067.8670608352</v>
      </c>
      <c r="M24" s="929">
        <f>-(0.25%*L24)</f>
        <v>-2700.1696676520883</v>
      </c>
      <c r="N24" s="898">
        <f t="shared" si="41"/>
        <v>1077367.6973931831</v>
      </c>
      <c r="O24" s="878">
        <v>0</v>
      </c>
      <c r="P24" s="1550">
        <f t="shared" si="42"/>
        <v>1077367.6973931831</v>
      </c>
      <c r="Q24" s="1718">
        <f>'[4]Table 5C1A-Madison Prep'!M23+'[27]Table 5C1A-Madison Prep'!T23+('[26]Table 5C1A-Madison Prep'!T23*6)</f>
        <v>701405.23708151164</v>
      </c>
      <c r="R24" s="1803">
        <f t="shared" si="43"/>
        <v>375962.46031167149</v>
      </c>
      <c r="S24" s="998">
        <f t="shared" si="44"/>
        <v>93991</v>
      </c>
      <c r="T24" s="1802">
        <f>'[14]FY2013-14 Final'!K24</f>
        <v>6866</v>
      </c>
      <c r="U24" s="1555">
        <f t="shared" si="33"/>
        <v>1414396</v>
      </c>
      <c r="V24" s="1756">
        <f>+'[3]Oct midyear Madison Prep'!E23</f>
        <v>57</v>
      </c>
      <c r="W24" s="1757">
        <f>V24*T24</f>
        <v>391362</v>
      </c>
      <c r="X24" s="1758">
        <f>'[3]Feb midyear Madison Prep'!E23</f>
        <v>-1</v>
      </c>
      <c r="Y24" s="1759">
        <f t="shared" si="46"/>
        <v>-3433</v>
      </c>
      <c r="Z24" s="1653">
        <f t="shared" si="47"/>
        <v>387929</v>
      </c>
      <c r="AA24" s="1657">
        <f t="shared" si="48"/>
        <v>1802325</v>
      </c>
      <c r="AB24" s="937">
        <f t="shared" si="49"/>
        <v>-4505.8125</v>
      </c>
      <c r="AC24" s="1555">
        <f t="shared" si="50"/>
        <v>1797819.1875</v>
      </c>
      <c r="AD24" s="1825">
        <v>0</v>
      </c>
      <c r="AE24" s="1555">
        <f t="shared" si="51"/>
        <v>1797819.1875</v>
      </c>
      <c r="AF24" s="1755">
        <f>'[4]Table 5C1A-Madison Prep'!T23+'[27]Table 5C1A-Madison Prep'!AF23+('[26]Table 5C1A-Madison Prep'!AF23*6)</f>
        <v>1152886.7655454543</v>
      </c>
      <c r="AG24" s="1757">
        <f t="shared" si="52"/>
        <v>644932.42195454566</v>
      </c>
      <c r="AH24" s="999">
        <f t="shared" si="53"/>
        <v>161233</v>
      </c>
      <c r="AI24" s="1658">
        <f t="shared" si="54"/>
        <v>2875186.8848931831</v>
      </c>
      <c r="AJ24" s="1658">
        <f t="shared" si="34"/>
        <v>255224</v>
      </c>
      <c r="AL24" s="49">
        <f>-'[4]Table 5C1A-Madison Prep'!P23</f>
        <v>3482.9450000000002</v>
      </c>
      <c r="AM24" s="49">
        <f t="shared" si="35"/>
        <v>-4505.8125</v>
      </c>
      <c r="AN24" s="49">
        <f t="shared" si="55"/>
        <v>-1022.8674999999998</v>
      </c>
    </row>
    <row r="25" spans="1:40">
      <c r="A25" s="876">
        <v>18</v>
      </c>
      <c r="B25" s="877" t="s">
        <v>109</v>
      </c>
      <c r="C25" s="969">
        <f>'2-1-13 SIS'!I24</f>
        <v>0</v>
      </c>
      <c r="D25" s="878">
        <f>'Table 3 Levels 1&amp;2'!AL25</f>
        <v>5989.1351892854573</v>
      </c>
      <c r="E25" s="919">
        <f t="shared" si="36"/>
        <v>0</v>
      </c>
      <c r="F25" s="919">
        <f>'Table 4 Level 3'!P23</f>
        <v>845.94999999999993</v>
      </c>
      <c r="G25" s="919">
        <f t="shared" si="37"/>
        <v>0</v>
      </c>
      <c r="H25" s="898">
        <f t="shared" si="38"/>
        <v>0</v>
      </c>
      <c r="I25" s="1726">
        <f>+'[3]Oct midyear Madison Prep'!K24</f>
        <v>0</v>
      </c>
      <c r="J25" s="1726">
        <f>'[3]Feb midyear Madison Prep'!K24</f>
        <v>0</v>
      </c>
      <c r="K25" s="1700">
        <f t="shared" si="39"/>
        <v>0</v>
      </c>
      <c r="L25" s="1396">
        <f t="shared" si="32"/>
        <v>0</v>
      </c>
      <c r="M25" s="929">
        <f t="shared" si="40"/>
        <v>0</v>
      </c>
      <c r="N25" s="898">
        <f t="shared" si="41"/>
        <v>0</v>
      </c>
      <c r="O25" s="878">
        <v>0</v>
      </c>
      <c r="P25" s="1550">
        <f t="shared" si="42"/>
        <v>0</v>
      </c>
      <c r="Q25" s="1718">
        <f>'[4]Table 5C1A-Madison Prep'!M24+'[27]Table 5C1A-Madison Prep'!T24+('[26]Table 5C1A-Madison Prep'!T24*6)</f>
        <v>0</v>
      </c>
      <c r="R25" s="1803">
        <f t="shared" si="43"/>
        <v>0</v>
      </c>
      <c r="S25" s="998">
        <f t="shared" si="44"/>
        <v>0</v>
      </c>
      <c r="T25" s="1802">
        <f>'[14]FY2013-14 Final'!K25</f>
        <v>3071</v>
      </c>
      <c r="U25" s="1555">
        <f t="shared" si="33"/>
        <v>0</v>
      </c>
      <c r="V25" s="1756">
        <f>+'[3]Oct midyear Madison Prep'!E24</f>
        <v>0</v>
      </c>
      <c r="W25" s="1757">
        <f t="shared" si="45"/>
        <v>0</v>
      </c>
      <c r="X25" s="1758">
        <f>'[3]Feb midyear Madison Prep'!E24</f>
        <v>0</v>
      </c>
      <c r="Y25" s="1759">
        <f t="shared" si="46"/>
        <v>0</v>
      </c>
      <c r="Z25" s="1653">
        <f t="shared" si="47"/>
        <v>0</v>
      </c>
      <c r="AA25" s="1657">
        <f t="shared" si="48"/>
        <v>0</v>
      </c>
      <c r="AB25" s="937">
        <f t="shared" si="49"/>
        <v>0</v>
      </c>
      <c r="AC25" s="1555">
        <f t="shared" si="50"/>
        <v>0</v>
      </c>
      <c r="AD25" s="1825">
        <v>0</v>
      </c>
      <c r="AE25" s="1555">
        <f t="shared" si="51"/>
        <v>0</v>
      </c>
      <c r="AF25" s="1755">
        <f>'[4]Table 5C1A-Madison Prep'!T24+'[27]Table 5C1A-Madison Prep'!AF24+('[26]Table 5C1A-Madison Prep'!AF24*6)</f>
        <v>0</v>
      </c>
      <c r="AG25" s="1757">
        <f t="shared" si="52"/>
        <v>0</v>
      </c>
      <c r="AH25" s="999">
        <f t="shared" si="53"/>
        <v>0</v>
      </c>
      <c r="AI25" s="1658">
        <f t="shared" si="54"/>
        <v>0</v>
      </c>
      <c r="AJ25" s="1658">
        <f t="shared" si="34"/>
        <v>0</v>
      </c>
      <c r="AL25" s="49">
        <f>-'[4]Table 5C1A-Madison Prep'!P24</f>
        <v>0</v>
      </c>
      <c r="AM25" s="49">
        <f t="shared" si="35"/>
        <v>0</v>
      </c>
      <c r="AN25" s="49">
        <f t="shared" si="55"/>
        <v>0</v>
      </c>
    </row>
    <row r="26" spans="1:40">
      <c r="A26" s="876">
        <v>19</v>
      </c>
      <c r="B26" s="877" t="s">
        <v>110</v>
      </c>
      <c r="C26" s="969">
        <f>'2-1-13 SIS'!I25</f>
        <v>0</v>
      </c>
      <c r="D26" s="878">
        <f>'Table 3 Levels 1&amp;2'!AL26</f>
        <v>5315.8913399708035</v>
      </c>
      <c r="E26" s="919">
        <f t="shared" si="36"/>
        <v>0</v>
      </c>
      <c r="F26" s="919">
        <f>'Table 4 Level 3'!P24</f>
        <v>905.43</v>
      </c>
      <c r="G26" s="919">
        <f t="shared" si="37"/>
        <v>0</v>
      </c>
      <c r="H26" s="898">
        <f t="shared" si="38"/>
        <v>0</v>
      </c>
      <c r="I26" s="1726">
        <f>+'[3]Oct midyear Madison Prep'!K25</f>
        <v>0</v>
      </c>
      <c r="J26" s="1726">
        <f>'[3]Feb midyear Madison Prep'!K25</f>
        <v>0</v>
      </c>
      <c r="K26" s="1700">
        <f t="shared" si="39"/>
        <v>0</v>
      </c>
      <c r="L26" s="1396">
        <f t="shared" si="32"/>
        <v>0</v>
      </c>
      <c r="M26" s="929">
        <f t="shared" si="40"/>
        <v>0</v>
      </c>
      <c r="N26" s="898">
        <f t="shared" si="41"/>
        <v>0</v>
      </c>
      <c r="O26" s="878">
        <v>0</v>
      </c>
      <c r="P26" s="1550">
        <f t="shared" si="42"/>
        <v>0</v>
      </c>
      <c r="Q26" s="1718">
        <f>'[4]Table 5C1A-Madison Prep'!M25+'[27]Table 5C1A-Madison Prep'!T25+('[26]Table 5C1A-Madison Prep'!T25*6)</f>
        <v>0</v>
      </c>
      <c r="R26" s="1803">
        <f t="shared" si="43"/>
        <v>0</v>
      </c>
      <c r="S26" s="998">
        <f t="shared" si="44"/>
        <v>0</v>
      </c>
      <c r="T26" s="1802">
        <f>'[14]FY2013-14 Final'!K26</f>
        <v>2566</v>
      </c>
      <c r="U26" s="1555">
        <f t="shared" si="33"/>
        <v>0</v>
      </c>
      <c r="V26" s="1756">
        <f>+'[3]Oct midyear Madison Prep'!E25</f>
        <v>0</v>
      </c>
      <c r="W26" s="1757">
        <f t="shared" si="45"/>
        <v>0</v>
      </c>
      <c r="X26" s="1758">
        <f>'[3]Feb midyear Madison Prep'!E25</f>
        <v>0</v>
      </c>
      <c r="Y26" s="1759">
        <f t="shared" si="46"/>
        <v>0</v>
      </c>
      <c r="Z26" s="1653">
        <f t="shared" si="47"/>
        <v>0</v>
      </c>
      <c r="AA26" s="1657">
        <f t="shared" si="48"/>
        <v>0</v>
      </c>
      <c r="AB26" s="937">
        <f t="shared" si="49"/>
        <v>0</v>
      </c>
      <c r="AC26" s="1555">
        <f t="shared" si="50"/>
        <v>0</v>
      </c>
      <c r="AD26" s="1825">
        <v>0</v>
      </c>
      <c r="AE26" s="1555">
        <f t="shared" si="51"/>
        <v>0</v>
      </c>
      <c r="AF26" s="1755">
        <f>'[4]Table 5C1A-Madison Prep'!T25+'[27]Table 5C1A-Madison Prep'!AF25+('[26]Table 5C1A-Madison Prep'!AF25*6)</f>
        <v>0</v>
      </c>
      <c r="AG26" s="1757">
        <f t="shared" si="52"/>
        <v>0</v>
      </c>
      <c r="AH26" s="999">
        <f t="shared" si="53"/>
        <v>0</v>
      </c>
      <c r="AI26" s="1658">
        <f t="shared" si="54"/>
        <v>0</v>
      </c>
      <c r="AJ26" s="1658">
        <f t="shared" si="34"/>
        <v>0</v>
      </c>
      <c r="AL26" s="49">
        <f>-'[4]Table 5C1A-Madison Prep'!P25</f>
        <v>0</v>
      </c>
      <c r="AM26" s="49">
        <f t="shared" si="35"/>
        <v>0</v>
      </c>
      <c r="AN26" s="49">
        <f t="shared" si="55"/>
        <v>0</v>
      </c>
    </row>
    <row r="27" spans="1:40">
      <c r="A27" s="879">
        <v>20</v>
      </c>
      <c r="B27" s="880" t="s">
        <v>111</v>
      </c>
      <c r="C27" s="970">
        <f>'2-1-13 SIS'!I26</f>
        <v>0</v>
      </c>
      <c r="D27" s="881">
        <f>'Table 3 Levels 1&amp;2'!AL27</f>
        <v>5420.2042919205833</v>
      </c>
      <c r="E27" s="920">
        <f t="shared" si="36"/>
        <v>0</v>
      </c>
      <c r="F27" s="920">
        <f>'Table 4 Level 3'!P25</f>
        <v>586.16999999999996</v>
      </c>
      <c r="G27" s="920">
        <f t="shared" si="37"/>
        <v>0</v>
      </c>
      <c r="H27" s="901">
        <f t="shared" si="38"/>
        <v>0</v>
      </c>
      <c r="I27" s="1727">
        <f>+'[3]Oct midyear Madison Prep'!K26</f>
        <v>0</v>
      </c>
      <c r="J27" s="1727">
        <f>'[3]Feb midyear Madison Prep'!K26</f>
        <v>0</v>
      </c>
      <c r="K27" s="1701">
        <f t="shared" si="39"/>
        <v>0</v>
      </c>
      <c r="L27" s="1395">
        <f t="shared" si="32"/>
        <v>0</v>
      </c>
      <c r="M27" s="930">
        <f t="shared" si="40"/>
        <v>0</v>
      </c>
      <c r="N27" s="901">
        <f t="shared" si="41"/>
        <v>0</v>
      </c>
      <c r="O27" s="881">
        <v>0</v>
      </c>
      <c r="P27" s="1551">
        <f t="shared" si="42"/>
        <v>0</v>
      </c>
      <c r="Q27" s="1804">
        <f>'[4]Table 5C1A-Madison Prep'!M26+'[27]Table 5C1A-Madison Prep'!T26+('[26]Table 5C1A-Madison Prep'!T26*6)</f>
        <v>0</v>
      </c>
      <c r="R27" s="1805">
        <f t="shared" si="43"/>
        <v>0</v>
      </c>
      <c r="S27" s="1806">
        <f t="shared" si="44"/>
        <v>0</v>
      </c>
      <c r="T27" s="1807">
        <f>'[14]FY2013-14 Final'!K27</f>
        <v>2621</v>
      </c>
      <c r="U27" s="1556">
        <f t="shared" si="33"/>
        <v>0</v>
      </c>
      <c r="V27" s="1760">
        <f>+'[3]Oct midyear Madison Prep'!E26</f>
        <v>0</v>
      </c>
      <c r="W27" s="1761">
        <f t="shared" si="45"/>
        <v>0</v>
      </c>
      <c r="X27" s="1762">
        <f>'[3]Feb midyear Madison Prep'!E26</f>
        <v>0</v>
      </c>
      <c r="Y27" s="1763">
        <f t="shared" si="46"/>
        <v>0</v>
      </c>
      <c r="Z27" s="1654">
        <f t="shared" si="47"/>
        <v>0</v>
      </c>
      <c r="AA27" s="1660">
        <f t="shared" si="48"/>
        <v>0</v>
      </c>
      <c r="AB27" s="938">
        <f t="shared" si="49"/>
        <v>0</v>
      </c>
      <c r="AC27" s="1556">
        <f t="shared" si="50"/>
        <v>0</v>
      </c>
      <c r="AD27" s="1826">
        <v>0</v>
      </c>
      <c r="AE27" s="1556">
        <f t="shared" si="51"/>
        <v>0</v>
      </c>
      <c r="AF27" s="1833">
        <f>'[4]Table 5C1A-Madison Prep'!T26+'[27]Table 5C1A-Madison Prep'!AF26+('[26]Table 5C1A-Madison Prep'!AF26*6)</f>
        <v>0</v>
      </c>
      <c r="AG27" s="1761">
        <f t="shared" si="52"/>
        <v>0</v>
      </c>
      <c r="AH27" s="1659">
        <f t="shared" si="53"/>
        <v>0</v>
      </c>
      <c r="AI27" s="1661">
        <f t="shared" si="54"/>
        <v>0</v>
      </c>
      <c r="AJ27" s="1661">
        <f t="shared" si="34"/>
        <v>0</v>
      </c>
      <c r="AL27" s="49">
        <f>-'[4]Table 5C1A-Madison Prep'!P26</f>
        <v>0</v>
      </c>
      <c r="AM27" s="49">
        <f t="shared" si="35"/>
        <v>0</v>
      </c>
      <c r="AN27" s="49">
        <f t="shared" si="55"/>
        <v>0</v>
      </c>
    </row>
    <row r="28" spans="1:40">
      <c r="A28" s="870">
        <v>21</v>
      </c>
      <c r="B28" s="871" t="s">
        <v>112</v>
      </c>
      <c r="C28" s="971">
        <f>'2-1-13 SIS'!I27</f>
        <v>0</v>
      </c>
      <c r="D28" s="872">
        <f>'Table 3 Levels 1&amp;2'!AL28</f>
        <v>5724.5404916279067</v>
      </c>
      <c r="E28" s="918">
        <f t="shared" si="36"/>
        <v>0</v>
      </c>
      <c r="F28" s="918">
        <f>'Table 4 Level 3'!P26</f>
        <v>610.35</v>
      </c>
      <c r="G28" s="918">
        <f t="shared" si="37"/>
        <v>0</v>
      </c>
      <c r="H28" s="873">
        <f t="shared" si="38"/>
        <v>0</v>
      </c>
      <c r="I28" s="1718">
        <f>+'[3]Oct midyear Madison Prep'!K27</f>
        <v>0</v>
      </c>
      <c r="J28" s="1718">
        <f>'[3]Feb midyear Madison Prep'!K27</f>
        <v>0</v>
      </c>
      <c r="K28" s="1542">
        <f t="shared" si="39"/>
        <v>0</v>
      </c>
      <c r="L28" s="1399">
        <f t="shared" si="32"/>
        <v>0</v>
      </c>
      <c r="M28" s="928">
        <f t="shared" si="40"/>
        <v>0</v>
      </c>
      <c r="N28" s="873">
        <f t="shared" si="41"/>
        <v>0</v>
      </c>
      <c r="O28" s="872">
        <v>0</v>
      </c>
      <c r="P28" s="998">
        <f t="shared" si="42"/>
        <v>0</v>
      </c>
      <c r="Q28" s="1718">
        <f>'[4]Table 5C1A-Madison Prep'!M27+'[27]Table 5C1A-Madison Prep'!T27+('[26]Table 5C1A-Madison Prep'!T27*6)</f>
        <v>0</v>
      </c>
      <c r="R28" s="1718">
        <f t="shared" si="43"/>
        <v>0</v>
      </c>
      <c r="S28" s="998">
        <f t="shared" si="44"/>
        <v>0</v>
      </c>
      <c r="T28" s="1802">
        <f>'[14]FY2013-14 Final'!K28</f>
        <v>2445</v>
      </c>
      <c r="U28" s="999">
        <f t="shared" si="33"/>
        <v>0</v>
      </c>
      <c r="V28" s="1754">
        <f>+'[3]Oct midyear Madison Prep'!E27</f>
        <v>0</v>
      </c>
      <c r="W28" s="1755">
        <f t="shared" si="45"/>
        <v>0</v>
      </c>
      <c r="X28" s="1754">
        <f>'[3]Feb midyear Madison Prep'!E27</f>
        <v>0</v>
      </c>
      <c r="Y28" s="1755">
        <f t="shared" si="46"/>
        <v>0</v>
      </c>
      <c r="Z28" s="1652">
        <f t="shared" si="47"/>
        <v>0</v>
      </c>
      <c r="AA28" s="999">
        <f t="shared" si="48"/>
        <v>0</v>
      </c>
      <c r="AB28" s="936">
        <f t="shared" si="49"/>
        <v>0</v>
      </c>
      <c r="AC28" s="999">
        <f t="shared" si="50"/>
        <v>0</v>
      </c>
      <c r="AD28" s="1755">
        <v>0</v>
      </c>
      <c r="AE28" s="999">
        <f t="shared" si="51"/>
        <v>0</v>
      </c>
      <c r="AF28" s="1755">
        <f>'[4]Table 5C1A-Madison Prep'!T27+'[27]Table 5C1A-Madison Prep'!AF27+('[26]Table 5C1A-Madison Prep'!AF27*6)</f>
        <v>0</v>
      </c>
      <c r="AG28" s="1755">
        <f t="shared" si="52"/>
        <v>0</v>
      </c>
      <c r="AH28" s="999">
        <f t="shared" si="53"/>
        <v>0</v>
      </c>
      <c r="AI28" s="1656">
        <f t="shared" si="54"/>
        <v>0</v>
      </c>
      <c r="AJ28" s="1656">
        <f t="shared" si="34"/>
        <v>0</v>
      </c>
      <c r="AL28" s="49">
        <f>-'[4]Table 5C1A-Madison Prep'!P27</f>
        <v>0</v>
      </c>
      <c r="AM28" s="49">
        <f t="shared" si="35"/>
        <v>0</v>
      </c>
      <c r="AN28" s="49">
        <f t="shared" si="55"/>
        <v>0</v>
      </c>
    </row>
    <row r="29" spans="1:40">
      <c r="A29" s="876">
        <v>22</v>
      </c>
      <c r="B29" s="877" t="s">
        <v>113</v>
      </c>
      <c r="C29" s="969">
        <f>'2-1-13 SIS'!I28</f>
        <v>0</v>
      </c>
      <c r="D29" s="878">
        <f>'Table 3 Levels 1&amp;2'!AL29</f>
        <v>6203.2933768722742</v>
      </c>
      <c r="E29" s="919">
        <f t="shared" si="36"/>
        <v>0</v>
      </c>
      <c r="F29" s="919">
        <f>'Table 4 Level 3'!P27</f>
        <v>496.36</v>
      </c>
      <c r="G29" s="919">
        <f t="shared" si="37"/>
        <v>0</v>
      </c>
      <c r="H29" s="898">
        <f t="shared" si="38"/>
        <v>0</v>
      </c>
      <c r="I29" s="1726">
        <f>+'[3]Oct midyear Madison Prep'!K28</f>
        <v>0</v>
      </c>
      <c r="J29" s="1726">
        <f>'[3]Feb midyear Madison Prep'!K28</f>
        <v>0</v>
      </c>
      <c r="K29" s="1700">
        <f t="shared" si="39"/>
        <v>0</v>
      </c>
      <c r="L29" s="1396">
        <f t="shared" si="32"/>
        <v>0</v>
      </c>
      <c r="M29" s="929">
        <f t="shared" si="40"/>
        <v>0</v>
      </c>
      <c r="N29" s="898">
        <f t="shared" si="41"/>
        <v>0</v>
      </c>
      <c r="O29" s="878">
        <v>0</v>
      </c>
      <c r="P29" s="1550">
        <f t="shared" si="42"/>
        <v>0</v>
      </c>
      <c r="Q29" s="1718">
        <f>'[4]Table 5C1A-Madison Prep'!M28+'[27]Table 5C1A-Madison Prep'!T28+('[26]Table 5C1A-Madison Prep'!T28*6)</f>
        <v>0</v>
      </c>
      <c r="R29" s="1803">
        <f t="shared" si="43"/>
        <v>0</v>
      </c>
      <c r="S29" s="998">
        <f t="shared" si="44"/>
        <v>0</v>
      </c>
      <c r="T29" s="1802">
        <f>'[14]FY2013-14 Final'!K29</f>
        <v>1519</v>
      </c>
      <c r="U29" s="1555">
        <f t="shared" si="33"/>
        <v>0</v>
      </c>
      <c r="V29" s="1756">
        <f>+'[3]Oct midyear Madison Prep'!E28</f>
        <v>0</v>
      </c>
      <c r="W29" s="1757">
        <f t="shared" si="45"/>
        <v>0</v>
      </c>
      <c r="X29" s="1758">
        <f>'[3]Feb midyear Madison Prep'!E28</f>
        <v>0</v>
      </c>
      <c r="Y29" s="1759">
        <f t="shared" si="46"/>
        <v>0</v>
      </c>
      <c r="Z29" s="1653">
        <f t="shared" si="47"/>
        <v>0</v>
      </c>
      <c r="AA29" s="1657">
        <f t="shared" si="48"/>
        <v>0</v>
      </c>
      <c r="AB29" s="937">
        <f t="shared" si="49"/>
        <v>0</v>
      </c>
      <c r="AC29" s="1555">
        <f t="shared" si="50"/>
        <v>0</v>
      </c>
      <c r="AD29" s="1825">
        <v>0</v>
      </c>
      <c r="AE29" s="1555">
        <f t="shared" si="51"/>
        <v>0</v>
      </c>
      <c r="AF29" s="1755">
        <f>'[4]Table 5C1A-Madison Prep'!T28+'[27]Table 5C1A-Madison Prep'!AF28+('[26]Table 5C1A-Madison Prep'!AF28*6)</f>
        <v>0</v>
      </c>
      <c r="AG29" s="1757">
        <f t="shared" si="52"/>
        <v>0</v>
      </c>
      <c r="AH29" s="999">
        <f t="shared" si="53"/>
        <v>0</v>
      </c>
      <c r="AI29" s="1658">
        <f t="shared" si="54"/>
        <v>0</v>
      </c>
      <c r="AJ29" s="1658">
        <f t="shared" si="34"/>
        <v>0</v>
      </c>
      <c r="AL29" s="49">
        <f>-'[4]Table 5C1A-Madison Prep'!P28</f>
        <v>0</v>
      </c>
      <c r="AM29" s="49">
        <f t="shared" si="35"/>
        <v>0</v>
      </c>
      <c r="AN29" s="49">
        <f t="shared" si="55"/>
        <v>0</v>
      </c>
    </row>
    <row r="30" spans="1:40">
      <c r="A30" s="876">
        <v>23</v>
      </c>
      <c r="B30" s="877" t="s">
        <v>114</v>
      </c>
      <c r="C30" s="969">
        <f>'2-1-13 SIS'!I29</f>
        <v>0</v>
      </c>
      <c r="D30" s="878">
        <f>'Table 3 Levels 1&amp;2'!AL30</f>
        <v>4846.0802490067681</v>
      </c>
      <c r="E30" s="919">
        <f t="shared" si="36"/>
        <v>0</v>
      </c>
      <c r="F30" s="919">
        <f>'Table 4 Level 3'!P28</f>
        <v>688.58</v>
      </c>
      <c r="G30" s="919">
        <f t="shared" si="37"/>
        <v>0</v>
      </c>
      <c r="H30" s="898">
        <f t="shared" si="38"/>
        <v>0</v>
      </c>
      <c r="I30" s="1726">
        <f>+'[3]Oct midyear Madison Prep'!K29</f>
        <v>0</v>
      </c>
      <c r="J30" s="1726">
        <f>'[3]Feb midyear Madison Prep'!K29</f>
        <v>0</v>
      </c>
      <c r="K30" s="1700">
        <f t="shared" si="39"/>
        <v>0</v>
      </c>
      <c r="L30" s="1396">
        <f t="shared" si="32"/>
        <v>0</v>
      </c>
      <c r="M30" s="929">
        <f t="shared" si="40"/>
        <v>0</v>
      </c>
      <c r="N30" s="898">
        <f t="shared" si="41"/>
        <v>0</v>
      </c>
      <c r="O30" s="878">
        <v>0</v>
      </c>
      <c r="P30" s="1550">
        <f t="shared" si="42"/>
        <v>0</v>
      </c>
      <c r="Q30" s="1718">
        <f>'[4]Table 5C1A-Madison Prep'!M29+'[27]Table 5C1A-Madison Prep'!T29+('[26]Table 5C1A-Madison Prep'!T29*6)</f>
        <v>0</v>
      </c>
      <c r="R30" s="1803">
        <f t="shared" si="43"/>
        <v>0</v>
      </c>
      <c r="S30" s="998">
        <f t="shared" si="44"/>
        <v>0</v>
      </c>
      <c r="T30" s="1802">
        <f>'[14]FY2013-14 Final'!K30</f>
        <v>3365</v>
      </c>
      <c r="U30" s="1555">
        <f t="shared" si="33"/>
        <v>0</v>
      </c>
      <c r="V30" s="1756">
        <f>+'[3]Oct midyear Madison Prep'!E29</f>
        <v>0</v>
      </c>
      <c r="W30" s="1757">
        <f t="shared" si="45"/>
        <v>0</v>
      </c>
      <c r="X30" s="1758">
        <f>'[3]Feb midyear Madison Prep'!E29</f>
        <v>0</v>
      </c>
      <c r="Y30" s="1759">
        <f t="shared" si="46"/>
        <v>0</v>
      </c>
      <c r="Z30" s="1653">
        <f t="shared" si="47"/>
        <v>0</v>
      </c>
      <c r="AA30" s="1657">
        <f t="shared" si="48"/>
        <v>0</v>
      </c>
      <c r="AB30" s="937">
        <f t="shared" si="49"/>
        <v>0</v>
      </c>
      <c r="AC30" s="1555">
        <f t="shared" si="50"/>
        <v>0</v>
      </c>
      <c r="AD30" s="1825">
        <v>0</v>
      </c>
      <c r="AE30" s="1555">
        <f t="shared" si="51"/>
        <v>0</v>
      </c>
      <c r="AF30" s="1755">
        <f>'[4]Table 5C1A-Madison Prep'!T29+'[27]Table 5C1A-Madison Prep'!AF29+('[26]Table 5C1A-Madison Prep'!AF29*6)</f>
        <v>0</v>
      </c>
      <c r="AG30" s="1757">
        <f t="shared" si="52"/>
        <v>0</v>
      </c>
      <c r="AH30" s="999">
        <f t="shared" si="53"/>
        <v>0</v>
      </c>
      <c r="AI30" s="1658">
        <f t="shared" si="54"/>
        <v>0</v>
      </c>
      <c r="AJ30" s="1658">
        <f t="shared" si="34"/>
        <v>0</v>
      </c>
      <c r="AL30" s="49">
        <f>-'[4]Table 5C1A-Madison Prep'!P29</f>
        <v>0</v>
      </c>
      <c r="AM30" s="49">
        <f t="shared" si="35"/>
        <v>0</v>
      </c>
      <c r="AN30" s="49">
        <f t="shared" si="55"/>
        <v>0</v>
      </c>
    </row>
    <row r="31" spans="1:40">
      <c r="A31" s="876">
        <v>24</v>
      </c>
      <c r="B31" s="877" t="s">
        <v>115</v>
      </c>
      <c r="C31" s="969">
        <f>'2-1-13 SIS'!I30</f>
        <v>0</v>
      </c>
      <c r="D31" s="878">
        <f>'Table 3 Levels 1&amp;2'!AL31</f>
        <v>2764.1216755319151</v>
      </c>
      <c r="E31" s="919">
        <f t="shared" si="36"/>
        <v>0</v>
      </c>
      <c r="F31" s="919">
        <f>'Table 4 Level 3'!P29</f>
        <v>854.24999999999989</v>
      </c>
      <c r="G31" s="919">
        <f t="shared" si="37"/>
        <v>0</v>
      </c>
      <c r="H31" s="898">
        <f t="shared" si="38"/>
        <v>0</v>
      </c>
      <c r="I31" s="1726">
        <f>+'[3]Oct midyear Madison Prep'!K30</f>
        <v>3618.3716755319151</v>
      </c>
      <c r="J31" s="1726">
        <f>'[3]Feb midyear Madison Prep'!K30</f>
        <v>0</v>
      </c>
      <c r="K31" s="1700">
        <f t="shared" si="39"/>
        <v>3618.3716755319151</v>
      </c>
      <c r="L31" s="1396">
        <f t="shared" si="32"/>
        <v>3618.3716755319151</v>
      </c>
      <c r="M31" s="929">
        <f t="shared" si="40"/>
        <v>-9.0459291888297884</v>
      </c>
      <c r="N31" s="898">
        <f t="shared" si="41"/>
        <v>3609.3257463430855</v>
      </c>
      <c r="O31" s="878">
        <v>0</v>
      </c>
      <c r="P31" s="1550">
        <f t="shared" si="42"/>
        <v>3609.3257463430855</v>
      </c>
      <c r="Q31" s="1718">
        <f>'[4]Table 5C1A-Madison Prep'!M30+'[27]Table 5C1A-Madison Prep'!T30+('[26]Table 5C1A-Madison Prep'!T30*6)</f>
        <v>2165.5954478058511</v>
      </c>
      <c r="R31" s="1803">
        <f t="shared" si="43"/>
        <v>1443.7302985372344</v>
      </c>
      <c r="S31" s="998">
        <f t="shared" si="44"/>
        <v>361</v>
      </c>
      <c r="T31" s="1802">
        <f>'[14]FY2013-14 Final'!K31</f>
        <v>10907</v>
      </c>
      <c r="U31" s="1555">
        <f t="shared" si="33"/>
        <v>0</v>
      </c>
      <c r="V31" s="1756">
        <f>+'[3]Oct midyear Madison Prep'!E30</f>
        <v>1</v>
      </c>
      <c r="W31" s="1757">
        <f t="shared" si="45"/>
        <v>10907</v>
      </c>
      <c r="X31" s="1758">
        <f>'[3]Feb midyear Madison Prep'!E30</f>
        <v>0</v>
      </c>
      <c r="Y31" s="1759">
        <f t="shared" si="46"/>
        <v>0</v>
      </c>
      <c r="Z31" s="1653">
        <f t="shared" si="47"/>
        <v>10907</v>
      </c>
      <c r="AA31" s="1657">
        <f t="shared" si="48"/>
        <v>10907</v>
      </c>
      <c r="AB31" s="937">
        <f t="shared" si="49"/>
        <v>-27.267500000000002</v>
      </c>
      <c r="AC31" s="1555">
        <f t="shared" si="50"/>
        <v>10879.7325</v>
      </c>
      <c r="AD31" s="1825">
        <v>0</v>
      </c>
      <c r="AE31" s="1555">
        <f t="shared" si="51"/>
        <v>10879.7325</v>
      </c>
      <c r="AF31" s="1755">
        <f>'[4]Table 5C1A-Madison Prep'!T30+'[27]Table 5C1A-Madison Prep'!AF30+('[26]Table 5C1A-Madison Prep'!AF30*6)</f>
        <v>5841.9585000000006</v>
      </c>
      <c r="AG31" s="1757">
        <f t="shared" si="52"/>
        <v>5037.7739999999994</v>
      </c>
      <c r="AH31" s="999">
        <f t="shared" si="53"/>
        <v>1259</v>
      </c>
      <c r="AI31" s="1658">
        <f t="shared" si="54"/>
        <v>14489.058246343086</v>
      </c>
      <c r="AJ31" s="1658">
        <f t="shared" si="34"/>
        <v>1620</v>
      </c>
      <c r="AL31" s="49">
        <f>-'[4]Table 5C1A-Madison Prep'!P30</f>
        <v>0</v>
      </c>
      <c r="AM31" s="49">
        <f t="shared" si="35"/>
        <v>-27.267500000000002</v>
      </c>
      <c r="AN31" s="49">
        <f t="shared" si="55"/>
        <v>-27.267500000000002</v>
      </c>
    </row>
    <row r="32" spans="1:40">
      <c r="A32" s="879">
        <v>25</v>
      </c>
      <c r="B32" s="880" t="s">
        <v>116</v>
      </c>
      <c r="C32" s="970">
        <f>'2-1-13 SIS'!I31</f>
        <v>0</v>
      </c>
      <c r="D32" s="881">
        <f>'Table 3 Levels 1&amp;2'!AL32</f>
        <v>3867.4480692053257</v>
      </c>
      <c r="E32" s="920">
        <f t="shared" si="36"/>
        <v>0</v>
      </c>
      <c r="F32" s="920">
        <f>'Table 4 Level 3'!P30</f>
        <v>653.73</v>
      </c>
      <c r="G32" s="920">
        <f t="shared" si="37"/>
        <v>0</v>
      </c>
      <c r="H32" s="901">
        <f t="shared" si="38"/>
        <v>0</v>
      </c>
      <c r="I32" s="1727">
        <f>+'[3]Oct midyear Madison Prep'!K31</f>
        <v>0</v>
      </c>
      <c r="J32" s="1727">
        <f>'[3]Feb midyear Madison Prep'!K31</f>
        <v>0</v>
      </c>
      <c r="K32" s="1701">
        <f t="shared" si="39"/>
        <v>0</v>
      </c>
      <c r="L32" s="1395">
        <f t="shared" si="32"/>
        <v>0</v>
      </c>
      <c r="M32" s="930">
        <f t="shared" si="40"/>
        <v>0</v>
      </c>
      <c r="N32" s="901">
        <f t="shared" si="41"/>
        <v>0</v>
      </c>
      <c r="O32" s="881">
        <v>0</v>
      </c>
      <c r="P32" s="1551">
        <f t="shared" si="42"/>
        <v>0</v>
      </c>
      <c r="Q32" s="1804">
        <f>'[4]Table 5C1A-Madison Prep'!M31+'[27]Table 5C1A-Madison Prep'!T31+('[26]Table 5C1A-Madison Prep'!T31*6)</f>
        <v>0</v>
      </c>
      <c r="R32" s="1805">
        <f t="shared" si="43"/>
        <v>0</v>
      </c>
      <c r="S32" s="1806">
        <f t="shared" si="44"/>
        <v>0</v>
      </c>
      <c r="T32" s="1807">
        <f>'[14]FY2013-14 Final'!K32</f>
        <v>5156</v>
      </c>
      <c r="U32" s="1556">
        <f t="shared" si="33"/>
        <v>0</v>
      </c>
      <c r="V32" s="1760">
        <f>+'[3]Oct midyear Madison Prep'!E31</f>
        <v>0</v>
      </c>
      <c r="W32" s="1761">
        <f t="shared" si="45"/>
        <v>0</v>
      </c>
      <c r="X32" s="1762">
        <f>'[3]Feb midyear Madison Prep'!E31</f>
        <v>0</v>
      </c>
      <c r="Y32" s="1763">
        <f t="shared" si="46"/>
        <v>0</v>
      </c>
      <c r="Z32" s="1654">
        <f t="shared" si="47"/>
        <v>0</v>
      </c>
      <c r="AA32" s="1660">
        <f t="shared" si="48"/>
        <v>0</v>
      </c>
      <c r="AB32" s="938">
        <f t="shared" si="49"/>
        <v>0</v>
      </c>
      <c r="AC32" s="1556">
        <f t="shared" si="50"/>
        <v>0</v>
      </c>
      <c r="AD32" s="1826">
        <v>0</v>
      </c>
      <c r="AE32" s="1556">
        <f t="shared" si="51"/>
        <v>0</v>
      </c>
      <c r="AF32" s="1833">
        <f>'[4]Table 5C1A-Madison Prep'!T31+'[27]Table 5C1A-Madison Prep'!AF31+('[26]Table 5C1A-Madison Prep'!AF31*6)</f>
        <v>0</v>
      </c>
      <c r="AG32" s="1761">
        <f t="shared" si="52"/>
        <v>0</v>
      </c>
      <c r="AH32" s="1659">
        <f t="shared" si="53"/>
        <v>0</v>
      </c>
      <c r="AI32" s="1661">
        <f t="shared" si="54"/>
        <v>0</v>
      </c>
      <c r="AJ32" s="1661">
        <f t="shared" si="34"/>
        <v>0</v>
      </c>
      <c r="AL32" s="49">
        <f>-'[4]Table 5C1A-Madison Prep'!P31</f>
        <v>0</v>
      </c>
      <c r="AM32" s="49">
        <f t="shared" si="35"/>
        <v>0</v>
      </c>
      <c r="AN32" s="49">
        <f t="shared" si="55"/>
        <v>0</v>
      </c>
    </row>
    <row r="33" spans="1:40">
      <c r="A33" s="870">
        <v>26</v>
      </c>
      <c r="B33" s="871" t="s">
        <v>117</v>
      </c>
      <c r="C33" s="971">
        <f>'2-1-13 SIS'!I32</f>
        <v>0</v>
      </c>
      <c r="D33" s="872">
        <f>'Table 3 Levels 1&amp;2'!AL33</f>
        <v>3293.481526790355</v>
      </c>
      <c r="E33" s="918">
        <f t="shared" si="36"/>
        <v>0</v>
      </c>
      <c r="F33" s="918">
        <f>'Table 4 Level 3'!P31</f>
        <v>836.83</v>
      </c>
      <c r="G33" s="918">
        <f t="shared" si="37"/>
        <v>0</v>
      </c>
      <c r="H33" s="873">
        <f t="shared" si="38"/>
        <v>0</v>
      </c>
      <c r="I33" s="1718">
        <f>+'[3]Oct midyear Madison Prep'!K32</f>
        <v>0</v>
      </c>
      <c r="J33" s="1718">
        <f>'[3]Feb midyear Madison Prep'!K32</f>
        <v>0</v>
      </c>
      <c r="K33" s="1542">
        <f t="shared" si="39"/>
        <v>0</v>
      </c>
      <c r="L33" s="1399">
        <f t="shared" si="32"/>
        <v>0</v>
      </c>
      <c r="M33" s="928">
        <f t="shared" si="40"/>
        <v>0</v>
      </c>
      <c r="N33" s="873">
        <f t="shared" si="41"/>
        <v>0</v>
      </c>
      <c r="O33" s="872">
        <v>0</v>
      </c>
      <c r="P33" s="998">
        <f t="shared" si="42"/>
        <v>0</v>
      </c>
      <c r="Q33" s="1718">
        <f>'[4]Table 5C1A-Madison Prep'!M32+'[27]Table 5C1A-Madison Prep'!T32+('[26]Table 5C1A-Madison Prep'!T32*6)</f>
        <v>0</v>
      </c>
      <c r="R33" s="1718">
        <f t="shared" si="43"/>
        <v>0</v>
      </c>
      <c r="S33" s="998">
        <f t="shared" si="44"/>
        <v>0</v>
      </c>
      <c r="T33" s="1802">
        <f>'[14]FY2013-14 Final'!K33</f>
        <v>5344</v>
      </c>
      <c r="U33" s="999">
        <f t="shared" si="33"/>
        <v>0</v>
      </c>
      <c r="V33" s="1754">
        <f>+'[3]Oct midyear Madison Prep'!E32</f>
        <v>0</v>
      </c>
      <c r="W33" s="1755">
        <f t="shared" si="45"/>
        <v>0</v>
      </c>
      <c r="X33" s="1754">
        <f>'[3]Feb midyear Madison Prep'!E32</f>
        <v>0</v>
      </c>
      <c r="Y33" s="1755">
        <f t="shared" si="46"/>
        <v>0</v>
      </c>
      <c r="Z33" s="1652">
        <f t="shared" si="47"/>
        <v>0</v>
      </c>
      <c r="AA33" s="999">
        <f t="shared" si="48"/>
        <v>0</v>
      </c>
      <c r="AB33" s="936">
        <f t="shared" si="49"/>
        <v>0</v>
      </c>
      <c r="AC33" s="999">
        <f t="shared" si="50"/>
        <v>0</v>
      </c>
      <c r="AD33" s="1755">
        <v>0</v>
      </c>
      <c r="AE33" s="999">
        <f t="shared" si="51"/>
        <v>0</v>
      </c>
      <c r="AF33" s="1755">
        <f>'[4]Table 5C1A-Madison Prep'!T32+'[27]Table 5C1A-Madison Prep'!AF32+('[26]Table 5C1A-Madison Prep'!AF32*6)</f>
        <v>0</v>
      </c>
      <c r="AG33" s="1755">
        <f t="shared" si="52"/>
        <v>0</v>
      </c>
      <c r="AH33" s="999">
        <f t="shared" si="53"/>
        <v>0</v>
      </c>
      <c r="AI33" s="1656">
        <f t="shared" si="54"/>
        <v>0</v>
      </c>
      <c r="AJ33" s="1656">
        <f t="shared" si="34"/>
        <v>0</v>
      </c>
      <c r="AL33" s="49">
        <f>-'[4]Table 5C1A-Madison Prep'!P32</f>
        <v>0</v>
      </c>
      <c r="AM33" s="49">
        <f t="shared" si="35"/>
        <v>0</v>
      </c>
      <c r="AN33" s="49">
        <f t="shared" si="55"/>
        <v>0</v>
      </c>
    </row>
    <row r="34" spans="1:40">
      <c r="A34" s="876">
        <v>27</v>
      </c>
      <c r="B34" s="877" t="s">
        <v>118</v>
      </c>
      <c r="C34" s="972">
        <f>'2-1-13 SIS'!I33</f>
        <v>0</v>
      </c>
      <c r="D34" s="882">
        <f>'Table 3 Levels 1&amp;2'!AL34</f>
        <v>5680.7727517381973</v>
      </c>
      <c r="E34" s="921">
        <f t="shared" si="36"/>
        <v>0</v>
      </c>
      <c r="F34" s="921">
        <f>'Table 4 Level 3'!P32</f>
        <v>693.06</v>
      </c>
      <c r="G34" s="921">
        <f t="shared" si="37"/>
        <v>0</v>
      </c>
      <c r="H34" s="905">
        <f t="shared" si="38"/>
        <v>0</v>
      </c>
      <c r="I34" s="1728">
        <f>+'[3]Oct midyear Madison Prep'!K33</f>
        <v>0</v>
      </c>
      <c r="J34" s="1728">
        <f>'[3]Feb midyear Madison Prep'!K33</f>
        <v>0</v>
      </c>
      <c r="K34" s="1702">
        <f t="shared" si="39"/>
        <v>0</v>
      </c>
      <c r="L34" s="1394">
        <f t="shared" si="32"/>
        <v>0</v>
      </c>
      <c r="M34" s="931">
        <f t="shared" si="40"/>
        <v>0</v>
      </c>
      <c r="N34" s="905">
        <f t="shared" si="41"/>
        <v>0</v>
      </c>
      <c r="O34" s="882">
        <v>0</v>
      </c>
      <c r="P34" s="1552">
        <f t="shared" si="42"/>
        <v>0</v>
      </c>
      <c r="Q34" s="1718">
        <f>'[4]Table 5C1A-Madison Prep'!M33+'[27]Table 5C1A-Madison Prep'!T33+('[26]Table 5C1A-Madison Prep'!T33*6)</f>
        <v>0</v>
      </c>
      <c r="R34" s="1808">
        <f t="shared" si="43"/>
        <v>0</v>
      </c>
      <c r="S34" s="998">
        <f t="shared" si="44"/>
        <v>0</v>
      </c>
      <c r="T34" s="1802">
        <f>'[14]FY2013-14 Final'!K34</f>
        <v>3271</v>
      </c>
      <c r="U34" s="1555">
        <f t="shared" si="33"/>
        <v>0</v>
      </c>
      <c r="V34" s="1756">
        <f>+'[3]Oct midyear Madison Prep'!E33</f>
        <v>0</v>
      </c>
      <c r="W34" s="1757">
        <f t="shared" si="45"/>
        <v>0</v>
      </c>
      <c r="X34" s="1758">
        <f>'[3]Feb midyear Madison Prep'!E33</f>
        <v>0</v>
      </c>
      <c r="Y34" s="1759">
        <f t="shared" si="46"/>
        <v>0</v>
      </c>
      <c r="Z34" s="1653">
        <f t="shared" si="47"/>
        <v>0</v>
      </c>
      <c r="AA34" s="1657">
        <f t="shared" si="48"/>
        <v>0</v>
      </c>
      <c r="AB34" s="937">
        <f t="shared" si="49"/>
        <v>0</v>
      </c>
      <c r="AC34" s="1555">
        <f t="shared" si="50"/>
        <v>0</v>
      </c>
      <c r="AD34" s="1825">
        <v>0</v>
      </c>
      <c r="AE34" s="1555">
        <f t="shared" si="51"/>
        <v>0</v>
      </c>
      <c r="AF34" s="1755">
        <f>'[4]Table 5C1A-Madison Prep'!T33+'[27]Table 5C1A-Madison Prep'!AF33+('[26]Table 5C1A-Madison Prep'!AF33*6)</f>
        <v>0</v>
      </c>
      <c r="AG34" s="1757">
        <f t="shared" si="52"/>
        <v>0</v>
      </c>
      <c r="AH34" s="999">
        <f t="shared" si="53"/>
        <v>0</v>
      </c>
      <c r="AI34" s="1658">
        <f t="shared" si="54"/>
        <v>0</v>
      </c>
      <c r="AJ34" s="1658">
        <f t="shared" si="34"/>
        <v>0</v>
      </c>
      <c r="AL34" s="49">
        <f>-'[4]Table 5C1A-Madison Prep'!P33</f>
        <v>0</v>
      </c>
      <c r="AM34" s="49">
        <f t="shared" si="35"/>
        <v>0</v>
      </c>
      <c r="AN34" s="49">
        <f t="shared" si="55"/>
        <v>0</v>
      </c>
    </row>
    <row r="35" spans="1:40">
      <c r="A35" s="876">
        <v>28</v>
      </c>
      <c r="B35" s="877" t="s">
        <v>119</v>
      </c>
      <c r="C35" s="972">
        <f>'2-1-13 SIS'!I34</f>
        <v>0</v>
      </c>
      <c r="D35" s="882">
        <f>'Table 3 Levels 1&amp;2'!AL35</f>
        <v>3163.1694438483169</v>
      </c>
      <c r="E35" s="921">
        <f t="shared" si="36"/>
        <v>0</v>
      </c>
      <c r="F35" s="921">
        <f>'Table 4 Level 3'!P33</f>
        <v>694.4</v>
      </c>
      <c r="G35" s="921">
        <f t="shared" si="37"/>
        <v>0</v>
      </c>
      <c r="H35" s="905">
        <f t="shared" si="38"/>
        <v>0</v>
      </c>
      <c r="I35" s="1728">
        <f>+'[3]Oct midyear Madison Prep'!K34</f>
        <v>0</v>
      </c>
      <c r="J35" s="1728">
        <f>'[3]Feb midyear Madison Prep'!K34</f>
        <v>0</v>
      </c>
      <c r="K35" s="1702">
        <f t="shared" si="39"/>
        <v>0</v>
      </c>
      <c r="L35" s="1394">
        <f t="shared" si="32"/>
        <v>0</v>
      </c>
      <c r="M35" s="931">
        <f t="shared" si="40"/>
        <v>0</v>
      </c>
      <c r="N35" s="905">
        <f t="shared" si="41"/>
        <v>0</v>
      </c>
      <c r="O35" s="882">
        <v>0</v>
      </c>
      <c r="P35" s="1552">
        <f t="shared" si="42"/>
        <v>0</v>
      </c>
      <c r="Q35" s="1718">
        <f>'[4]Table 5C1A-Madison Prep'!M34+'[27]Table 5C1A-Madison Prep'!T34+('[26]Table 5C1A-Madison Prep'!T34*6)</f>
        <v>0</v>
      </c>
      <c r="R35" s="1808">
        <f t="shared" si="43"/>
        <v>0</v>
      </c>
      <c r="S35" s="998">
        <f t="shared" si="44"/>
        <v>0</v>
      </c>
      <c r="T35" s="1802">
        <f>'[14]FY2013-14 Final'!K35</f>
        <v>5647</v>
      </c>
      <c r="U35" s="1555">
        <f t="shared" si="33"/>
        <v>0</v>
      </c>
      <c r="V35" s="1756">
        <f>+'[3]Oct midyear Madison Prep'!E34</f>
        <v>0</v>
      </c>
      <c r="W35" s="1757">
        <f t="shared" si="45"/>
        <v>0</v>
      </c>
      <c r="X35" s="1758">
        <f>'[3]Feb midyear Madison Prep'!E34</f>
        <v>0</v>
      </c>
      <c r="Y35" s="1759">
        <f t="shared" si="46"/>
        <v>0</v>
      </c>
      <c r="Z35" s="1653">
        <f t="shared" si="47"/>
        <v>0</v>
      </c>
      <c r="AA35" s="1657">
        <f t="shared" si="48"/>
        <v>0</v>
      </c>
      <c r="AB35" s="937">
        <f t="shared" si="49"/>
        <v>0</v>
      </c>
      <c r="AC35" s="1555">
        <f t="shared" si="50"/>
        <v>0</v>
      </c>
      <c r="AD35" s="1825">
        <v>0</v>
      </c>
      <c r="AE35" s="1555">
        <f t="shared" si="51"/>
        <v>0</v>
      </c>
      <c r="AF35" s="1755">
        <f>'[4]Table 5C1A-Madison Prep'!T34+'[27]Table 5C1A-Madison Prep'!AF34+('[26]Table 5C1A-Madison Prep'!AF34*6)</f>
        <v>0</v>
      </c>
      <c r="AG35" s="1757">
        <f t="shared" si="52"/>
        <v>0</v>
      </c>
      <c r="AH35" s="999">
        <f t="shared" si="53"/>
        <v>0</v>
      </c>
      <c r="AI35" s="1658">
        <f t="shared" si="54"/>
        <v>0</v>
      </c>
      <c r="AJ35" s="1658">
        <f t="shared" si="34"/>
        <v>0</v>
      </c>
      <c r="AL35" s="49">
        <f>-'[4]Table 5C1A-Madison Prep'!P34</f>
        <v>0</v>
      </c>
      <c r="AM35" s="49">
        <f t="shared" si="35"/>
        <v>0</v>
      </c>
      <c r="AN35" s="49">
        <f t="shared" si="55"/>
        <v>0</v>
      </c>
    </row>
    <row r="36" spans="1:40">
      <c r="A36" s="876">
        <v>29</v>
      </c>
      <c r="B36" s="877" t="s">
        <v>120</v>
      </c>
      <c r="C36" s="972">
        <f>'2-1-13 SIS'!I35</f>
        <v>0</v>
      </c>
      <c r="D36" s="882">
        <f>'Table 3 Levels 1&amp;2'!AL36</f>
        <v>3952.5586133052648</v>
      </c>
      <c r="E36" s="921">
        <f t="shared" si="36"/>
        <v>0</v>
      </c>
      <c r="F36" s="921">
        <f>'Table 4 Level 3'!P34</f>
        <v>754.94999999999993</v>
      </c>
      <c r="G36" s="921">
        <f t="shared" si="37"/>
        <v>0</v>
      </c>
      <c r="H36" s="905">
        <f t="shared" si="38"/>
        <v>0</v>
      </c>
      <c r="I36" s="1728">
        <f>+'[3]Oct midyear Madison Prep'!K35</f>
        <v>0</v>
      </c>
      <c r="J36" s="1728">
        <f>'[3]Feb midyear Madison Prep'!K35</f>
        <v>0</v>
      </c>
      <c r="K36" s="1702">
        <f t="shared" si="39"/>
        <v>0</v>
      </c>
      <c r="L36" s="1394">
        <f t="shared" si="32"/>
        <v>0</v>
      </c>
      <c r="M36" s="931">
        <f t="shared" si="40"/>
        <v>0</v>
      </c>
      <c r="N36" s="905">
        <f t="shared" si="41"/>
        <v>0</v>
      </c>
      <c r="O36" s="882">
        <v>0</v>
      </c>
      <c r="P36" s="1552">
        <f t="shared" si="42"/>
        <v>0</v>
      </c>
      <c r="Q36" s="1718">
        <f>'[4]Table 5C1A-Madison Prep'!M35+'[27]Table 5C1A-Madison Prep'!T35+('[26]Table 5C1A-Madison Prep'!T35*6)</f>
        <v>0</v>
      </c>
      <c r="R36" s="1808">
        <f t="shared" si="43"/>
        <v>0</v>
      </c>
      <c r="S36" s="998">
        <f t="shared" si="44"/>
        <v>0</v>
      </c>
      <c r="T36" s="1802">
        <f>'[14]FY2013-14 Final'!K36</f>
        <v>4826</v>
      </c>
      <c r="U36" s="1555">
        <f t="shared" si="33"/>
        <v>0</v>
      </c>
      <c r="V36" s="1756">
        <f>+'[3]Oct midyear Madison Prep'!E35</f>
        <v>0</v>
      </c>
      <c r="W36" s="1757">
        <f t="shared" si="45"/>
        <v>0</v>
      </c>
      <c r="X36" s="1758">
        <f>'[3]Feb midyear Madison Prep'!E35</f>
        <v>0</v>
      </c>
      <c r="Y36" s="1759">
        <f t="shared" si="46"/>
        <v>0</v>
      </c>
      <c r="Z36" s="1653">
        <f t="shared" si="47"/>
        <v>0</v>
      </c>
      <c r="AA36" s="1657">
        <f t="shared" si="48"/>
        <v>0</v>
      </c>
      <c r="AB36" s="937">
        <f t="shared" si="49"/>
        <v>0</v>
      </c>
      <c r="AC36" s="1555">
        <f t="shared" si="50"/>
        <v>0</v>
      </c>
      <c r="AD36" s="1825">
        <v>0</v>
      </c>
      <c r="AE36" s="1555">
        <f t="shared" si="51"/>
        <v>0</v>
      </c>
      <c r="AF36" s="1755">
        <f>'[4]Table 5C1A-Madison Prep'!T35+'[27]Table 5C1A-Madison Prep'!AF35+('[26]Table 5C1A-Madison Prep'!AF35*6)</f>
        <v>0</v>
      </c>
      <c r="AG36" s="1757">
        <f t="shared" si="52"/>
        <v>0</v>
      </c>
      <c r="AH36" s="999">
        <f t="shared" si="53"/>
        <v>0</v>
      </c>
      <c r="AI36" s="1658">
        <f t="shared" si="54"/>
        <v>0</v>
      </c>
      <c r="AJ36" s="1658">
        <f t="shared" si="34"/>
        <v>0</v>
      </c>
      <c r="AL36" s="49">
        <f>-'[4]Table 5C1A-Madison Prep'!P35</f>
        <v>0</v>
      </c>
      <c r="AM36" s="49">
        <f t="shared" si="35"/>
        <v>0</v>
      </c>
      <c r="AN36" s="49">
        <f t="shared" si="55"/>
        <v>0</v>
      </c>
    </row>
    <row r="37" spans="1:40">
      <c r="A37" s="879">
        <v>30</v>
      </c>
      <c r="B37" s="880" t="s">
        <v>121</v>
      </c>
      <c r="C37" s="973">
        <f>'2-1-13 SIS'!I36</f>
        <v>0</v>
      </c>
      <c r="D37" s="883">
        <f>'Table 3 Levels 1&amp;2'!AL37</f>
        <v>5648.6510465852989</v>
      </c>
      <c r="E37" s="922">
        <f t="shared" si="36"/>
        <v>0</v>
      </c>
      <c r="F37" s="922">
        <f>'Table 4 Level 3'!P35</f>
        <v>727.17</v>
      </c>
      <c r="G37" s="922">
        <f t="shared" si="37"/>
        <v>0</v>
      </c>
      <c r="H37" s="906">
        <f t="shared" si="38"/>
        <v>0</v>
      </c>
      <c r="I37" s="1729">
        <f>+'[3]Oct midyear Madison Prep'!K36</f>
        <v>0</v>
      </c>
      <c r="J37" s="1729">
        <f>'[3]Feb midyear Madison Prep'!K36</f>
        <v>0</v>
      </c>
      <c r="K37" s="1703">
        <f t="shared" si="39"/>
        <v>0</v>
      </c>
      <c r="L37" s="1393">
        <f t="shared" si="32"/>
        <v>0</v>
      </c>
      <c r="M37" s="932">
        <f t="shared" si="40"/>
        <v>0</v>
      </c>
      <c r="N37" s="906">
        <f t="shared" si="41"/>
        <v>0</v>
      </c>
      <c r="O37" s="883">
        <v>0</v>
      </c>
      <c r="P37" s="1553">
        <f t="shared" si="42"/>
        <v>0</v>
      </c>
      <c r="Q37" s="1804">
        <f>'[4]Table 5C1A-Madison Prep'!M36+'[27]Table 5C1A-Madison Prep'!T36+('[26]Table 5C1A-Madison Prep'!T36*6)</f>
        <v>0</v>
      </c>
      <c r="R37" s="1809">
        <f t="shared" si="43"/>
        <v>0</v>
      </c>
      <c r="S37" s="1806">
        <f t="shared" si="44"/>
        <v>0</v>
      </c>
      <c r="T37" s="1807">
        <f>'[14]FY2013-14 Final'!K37</f>
        <v>4193</v>
      </c>
      <c r="U37" s="1556">
        <f t="shared" si="33"/>
        <v>0</v>
      </c>
      <c r="V37" s="1760">
        <f>+'[3]Oct midyear Madison Prep'!E36</f>
        <v>0</v>
      </c>
      <c r="W37" s="1761">
        <f t="shared" si="45"/>
        <v>0</v>
      </c>
      <c r="X37" s="1762">
        <f>'[3]Feb midyear Madison Prep'!E36</f>
        <v>0</v>
      </c>
      <c r="Y37" s="1763">
        <f t="shared" si="46"/>
        <v>0</v>
      </c>
      <c r="Z37" s="1654">
        <f t="shared" si="47"/>
        <v>0</v>
      </c>
      <c r="AA37" s="1660">
        <f t="shared" si="48"/>
        <v>0</v>
      </c>
      <c r="AB37" s="938">
        <f t="shared" si="49"/>
        <v>0</v>
      </c>
      <c r="AC37" s="1556">
        <f t="shared" si="50"/>
        <v>0</v>
      </c>
      <c r="AD37" s="1826">
        <v>0</v>
      </c>
      <c r="AE37" s="1556">
        <f t="shared" si="51"/>
        <v>0</v>
      </c>
      <c r="AF37" s="1833">
        <f>'[4]Table 5C1A-Madison Prep'!T36+'[27]Table 5C1A-Madison Prep'!AF36+('[26]Table 5C1A-Madison Prep'!AF36*6)</f>
        <v>0</v>
      </c>
      <c r="AG37" s="1761">
        <f t="shared" si="52"/>
        <v>0</v>
      </c>
      <c r="AH37" s="1659">
        <f t="shared" si="53"/>
        <v>0</v>
      </c>
      <c r="AI37" s="1661">
        <f t="shared" si="54"/>
        <v>0</v>
      </c>
      <c r="AJ37" s="1661">
        <f t="shared" si="34"/>
        <v>0</v>
      </c>
      <c r="AL37" s="49">
        <f>-'[4]Table 5C1A-Madison Prep'!P36</f>
        <v>0</v>
      </c>
      <c r="AM37" s="49">
        <f t="shared" si="35"/>
        <v>0</v>
      </c>
      <c r="AN37" s="49">
        <f t="shared" si="55"/>
        <v>0</v>
      </c>
    </row>
    <row r="38" spans="1:40">
      <c r="A38" s="870">
        <v>31</v>
      </c>
      <c r="B38" s="871" t="s">
        <v>122</v>
      </c>
      <c r="C38" s="974">
        <f>'2-1-13 SIS'!I37</f>
        <v>0</v>
      </c>
      <c r="D38" s="884">
        <f>'Table 3 Levels 1&amp;2'!AL38</f>
        <v>4348.9307899232972</v>
      </c>
      <c r="E38" s="923">
        <f t="shared" si="36"/>
        <v>0</v>
      </c>
      <c r="F38" s="923">
        <f>'Table 4 Level 3'!P36</f>
        <v>620.83000000000004</v>
      </c>
      <c r="G38" s="923">
        <f t="shared" si="37"/>
        <v>0</v>
      </c>
      <c r="H38" s="907">
        <f t="shared" si="38"/>
        <v>0</v>
      </c>
      <c r="I38" s="1723">
        <f>+'[3]Oct midyear Madison Prep'!K37</f>
        <v>0</v>
      </c>
      <c r="J38" s="1723">
        <f>'[3]Feb midyear Madison Prep'!K37</f>
        <v>0</v>
      </c>
      <c r="K38" s="1547">
        <f t="shared" si="39"/>
        <v>0</v>
      </c>
      <c r="L38" s="1400">
        <f t="shared" si="32"/>
        <v>0</v>
      </c>
      <c r="M38" s="933">
        <f t="shared" si="40"/>
        <v>0</v>
      </c>
      <c r="N38" s="907">
        <f t="shared" si="41"/>
        <v>0</v>
      </c>
      <c r="O38" s="884">
        <v>0</v>
      </c>
      <c r="P38" s="996">
        <f t="shared" si="42"/>
        <v>0</v>
      </c>
      <c r="Q38" s="1718">
        <f>'[4]Table 5C1A-Madison Prep'!M37+'[27]Table 5C1A-Madison Prep'!T37+('[26]Table 5C1A-Madison Prep'!T37*6)</f>
        <v>0</v>
      </c>
      <c r="R38" s="1723">
        <f t="shared" si="43"/>
        <v>0</v>
      </c>
      <c r="S38" s="998">
        <f t="shared" si="44"/>
        <v>0</v>
      </c>
      <c r="T38" s="1802">
        <f>'[14]FY2013-14 Final'!K38</f>
        <v>4901</v>
      </c>
      <c r="U38" s="999">
        <f t="shared" si="33"/>
        <v>0</v>
      </c>
      <c r="V38" s="1754">
        <f>+'[3]Oct midyear Madison Prep'!E37</f>
        <v>0</v>
      </c>
      <c r="W38" s="1755">
        <f t="shared" si="45"/>
        <v>0</v>
      </c>
      <c r="X38" s="1754">
        <f>'[3]Feb midyear Madison Prep'!E37</f>
        <v>0</v>
      </c>
      <c r="Y38" s="1755">
        <f t="shared" si="46"/>
        <v>0</v>
      </c>
      <c r="Z38" s="1652">
        <f t="shared" si="47"/>
        <v>0</v>
      </c>
      <c r="AA38" s="999">
        <f t="shared" si="48"/>
        <v>0</v>
      </c>
      <c r="AB38" s="936">
        <f t="shared" si="49"/>
        <v>0</v>
      </c>
      <c r="AC38" s="999">
        <f t="shared" si="50"/>
        <v>0</v>
      </c>
      <c r="AD38" s="1755">
        <v>0</v>
      </c>
      <c r="AE38" s="999">
        <f t="shared" si="51"/>
        <v>0</v>
      </c>
      <c r="AF38" s="1755">
        <f>'[4]Table 5C1A-Madison Prep'!T37+'[27]Table 5C1A-Madison Prep'!AF37+('[26]Table 5C1A-Madison Prep'!AF37*6)</f>
        <v>0</v>
      </c>
      <c r="AG38" s="1755">
        <f t="shared" si="52"/>
        <v>0</v>
      </c>
      <c r="AH38" s="999">
        <f t="shared" si="53"/>
        <v>0</v>
      </c>
      <c r="AI38" s="1656">
        <f t="shared" si="54"/>
        <v>0</v>
      </c>
      <c r="AJ38" s="1656">
        <f t="shared" si="34"/>
        <v>0</v>
      </c>
      <c r="AL38" s="49">
        <f>-'[4]Table 5C1A-Madison Prep'!P37</f>
        <v>0</v>
      </c>
      <c r="AM38" s="49">
        <f t="shared" si="35"/>
        <v>0</v>
      </c>
      <c r="AN38" s="49">
        <f t="shared" si="55"/>
        <v>0</v>
      </c>
    </row>
    <row r="39" spans="1:40">
      <c r="A39" s="876">
        <v>32</v>
      </c>
      <c r="B39" s="877" t="s">
        <v>123</v>
      </c>
      <c r="C39" s="972">
        <f>'2-1-13 SIS'!I38</f>
        <v>0</v>
      </c>
      <c r="D39" s="882">
        <f>'Table 3 Levels 1&amp;2'!AL39</f>
        <v>5531.5157655456787</v>
      </c>
      <c r="E39" s="921">
        <f t="shared" si="36"/>
        <v>0</v>
      </c>
      <c r="F39" s="921">
        <f>'Table 4 Level 3'!P37</f>
        <v>559.77</v>
      </c>
      <c r="G39" s="921">
        <f t="shared" si="37"/>
        <v>0</v>
      </c>
      <c r="H39" s="905">
        <f t="shared" si="38"/>
        <v>0</v>
      </c>
      <c r="I39" s="1728">
        <f>+'[3]Oct midyear Madison Prep'!K38</f>
        <v>0</v>
      </c>
      <c r="J39" s="1728">
        <f>'[3]Feb midyear Madison Prep'!K38</f>
        <v>0</v>
      </c>
      <c r="K39" s="1702">
        <f t="shared" si="39"/>
        <v>0</v>
      </c>
      <c r="L39" s="1394">
        <f t="shared" si="32"/>
        <v>0</v>
      </c>
      <c r="M39" s="931">
        <f t="shared" si="40"/>
        <v>0</v>
      </c>
      <c r="N39" s="905">
        <f t="shared" si="41"/>
        <v>0</v>
      </c>
      <c r="O39" s="882">
        <v>0</v>
      </c>
      <c r="P39" s="1552">
        <f t="shared" si="42"/>
        <v>0</v>
      </c>
      <c r="Q39" s="1718">
        <f>'[4]Table 5C1A-Madison Prep'!M38+'[27]Table 5C1A-Madison Prep'!T38+('[26]Table 5C1A-Madison Prep'!T38*6)</f>
        <v>220.94754731388412</v>
      </c>
      <c r="R39" s="1808">
        <f t="shared" si="43"/>
        <v>-220.94754731388412</v>
      </c>
      <c r="S39" s="998">
        <f t="shared" si="44"/>
        <v>-55</v>
      </c>
      <c r="T39" s="1802">
        <f>'[14]FY2013-14 Final'!K39</f>
        <v>2074</v>
      </c>
      <c r="U39" s="1555">
        <f t="shared" si="33"/>
        <v>0</v>
      </c>
      <c r="V39" s="1756">
        <f>+'[3]Oct midyear Madison Prep'!E38</f>
        <v>0</v>
      </c>
      <c r="W39" s="1757">
        <f t="shared" si="45"/>
        <v>0</v>
      </c>
      <c r="X39" s="1758">
        <f>'[3]Feb midyear Madison Prep'!E38</f>
        <v>0</v>
      </c>
      <c r="Y39" s="1759">
        <f t="shared" si="46"/>
        <v>0</v>
      </c>
      <c r="Z39" s="1653">
        <f t="shared" si="47"/>
        <v>0</v>
      </c>
      <c r="AA39" s="1657">
        <f t="shared" si="48"/>
        <v>0</v>
      </c>
      <c r="AB39" s="937">
        <f t="shared" si="49"/>
        <v>0</v>
      </c>
      <c r="AC39" s="1555">
        <f t="shared" si="50"/>
        <v>0</v>
      </c>
      <c r="AD39" s="1825">
        <v>0</v>
      </c>
      <c r="AE39" s="1555">
        <f t="shared" si="51"/>
        <v>0</v>
      </c>
      <c r="AF39" s="1755">
        <f>'[4]Table 5C1A-Madison Prep'!T38+'[27]Table 5C1A-Madison Prep'!AF38+('[26]Table 5C1A-Madison Prep'!AF38*6)</f>
        <v>76.49918181818181</v>
      </c>
      <c r="AG39" s="1757">
        <f t="shared" si="52"/>
        <v>-76.49918181818181</v>
      </c>
      <c r="AH39" s="999">
        <f t="shared" si="53"/>
        <v>-19</v>
      </c>
      <c r="AI39" s="1658">
        <f t="shared" si="54"/>
        <v>0</v>
      </c>
      <c r="AJ39" s="1658">
        <f t="shared" si="34"/>
        <v>-74</v>
      </c>
      <c r="AL39" s="49">
        <f>-'[4]Table 5C1A-Madison Prep'!P38</f>
        <v>0</v>
      </c>
      <c r="AM39" s="49">
        <f t="shared" si="35"/>
        <v>0</v>
      </c>
      <c r="AN39" s="49">
        <f t="shared" si="55"/>
        <v>0</v>
      </c>
    </row>
    <row r="40" spans="1:40">
      <c r="A40" s="876">
        <v>33</v>
      </c>
      <c r="B40" s="877" t="s">
        <v>124</v>
      </c>
      <c r="C40" s="972">
        <f>'2-1-13 SIS'!I39</f>
        <v>0</v>
      </c>
      <c r="D40" s="882">
        <f>'Table 3 Levels 1&amp;2'!AL40</f>
        <v>5329.5444226517857</v>
      </c>
      <c r="E40" s="921">
        <f t="shared" si="36"/>
        <v>0</v>
      </c>
      <c r="F40" s="921">
        <f>'Table 4 Level 3'!P38</f>
        <v>655.31000000000006</v>
      </c>
      <c r="G40" s="921">
        <f t="shared" si="37"/>
        <v>0</v>
      </c>
      <c r="H40" s="905">
        <f t="shared" si="38"/>
        <v>0</v>
      </c>
      <c r="I40" s="1728">
        <f>+'[3]Oct midyear Madison Prep'!K39</f>
        <v>0</v>
      </c>
      <c r="J40" s="1728">
        <f>'[3]Feb midyear Madison Prep'!K39</f>
        <v>0</v>
      </c>
      <c r="K40" s="1702">
        <f t="shared" si="39"/>
        <v>0</v>
      </c>
      <c r="L40" s="1394">
        <f t="shared" ref="L40:L71" si="56">K40+H40</f>
        <v>0</v>
      </c>
      <c r="M40" s="931">
        <f t="shared" si="40"/>
        <v>0</v>
      </c>
      <c r="N40" s="905">
        <f t="shared" si="41"/>
        <v>0</v>
      </c>
      <c r="O40" s="882">
        <v>0</v>
      </c>
      <c r="P40" s="1552">
        <f t="shared" si="42"/>
        <v>0</v>
      </c>
      <c r="Q40" s="1718">
        <f>'[4]Table 5C1A-Madison Prep'!M39+'[27]Table 5C1A-Madison Prep'!T39+('[26]Table 5C1A-Madison Prep'!T39*6)</f>
        <v>0</v>
      </c>
      <c r="R40" s="1808">
        <f t="shared" si="43"/>
        <v>0</v>
      </c>
      <c r="S40" s="998">
        <f t="shared" si="44"/>
        <v>0</v>
      </c>
      <c r="T40" s="1802">
        <f>'[14]FY2013-14 Final'!K40</f>
        <v>3501</v>
      </c>
      <c r="U40" s="1555">
        <f t="shared" ref="U40:U71" si="57">C40*T40</f>
        <v>0</v>
      </c>
      <c r="V40" s="1756">
        <f>+'[3]Oct midyear Madison Prep'!E39</f>
        <v>0</v>
      </c>
      <c r="W40" s="1757">
        <f t="shared" si="45"/>
        <v>0</v>
      </c>
      <c r="X40" s="1758">
        <f>'[3]Feb midyear Madison Prep'!E39</f>
        <v>0</v>
      </c>
      <c r="Y40" s="1759">
        <f t="shared" si="46"/>
        <v>0</v>
      </c>
      <c r="Z40" s="1653">
        <f t="shared" si="47"/>
        <v>0</v>
      </c>
      <c r="AA40" s="1657">
        <f t="shared" si="48"/>
        <v>0</v>
      </c>
      <c r="AB40" s="937">
        <f t="shared" si="49"/>
        <v>0</v>
      </c>
      <c r="AC40" s="1555">
        <f t="shared" si="50"/>
        <v>0</v>
      </c>
      <c r="AD40" s="1825">
        <v>0</v>
      </c>
      <c r="AE40" s="1555">
        <f t="shared" si="51"/>
        <v>0</v>
      </c>
      <c r="AF40" s="1755">
        <f>'[4]Table 5C1A-Madison Prep'!T39+'[27]Table 5C1A-Madison Prep'!AF39+('[26]Table 5C1A-Madison Prep'!AF39*6)</f>
        <v>0</v>
      </c>
      <c r="AG40" s="1757">
        <f t="shared" si="52"/>
        <v>0</v>
      </c>
      <c r="AH40" s="999">
        <f t="shared" si="53"/>
        <v>0</v>
      </c>
      <c r="AI40" s="1658">
        <f t="shared" ref="AI40:AI76" si="58">P40+AE40</f>
        <v>0</v>
      </c>
      <c r="AJ40" s="1658">
        <f t="shared" ref="AJ40:AJ76" si="59">S40+AH40</f>
        <v>0</v>
      </c>
      <c r="AL40" s="49">
        <f>-'[4]Table 5C1A-Madison Prep'!P39</f>
        <v>0</v>
      </c>
      <c r="AM40" s="49">
        <f t="shared" ref="AM40:AM71" si="60">AB40</f>
        <v>0</v>
      </c>
      <c r="AN40" s="49">
        <f t="shared" si="55"/>
        <v>0</v>
      </c>
    </row>
    <row r="41" spans="1:40">
      <c r="A41" s="876">
        <v>34</v>
      </c>
      <c r="B41" s="877" t="s">
        <v>125</v>
      </c>
      <c r="C41" s="972">
        <f>'2-1-13 SIS'!I40</f>
        <v>0</v>
      </c>
      <c r="D41" s="882">
        <f>'Table 3 Levels 1&amp;2'!AL41</f>
        <v>6003.632932007491</v>
      </c>
      <c r="E41" s="921">
        <f t="shared" si="36"/>
        <v>0</v>
      </c>
      <c r="F41" s="921">
        <f>'Table 4 Level 3'!P39</f>
        <v>644.11000000000013</v>
      </c>
      <c r="G41" s="921">
        <f t="shared" si="37"/>
        <v>0</v>
      </c>
      <c r="H41" s="905">
        <f t="shared" si="38"/>
        <v>0</v>
      </c>
      <c r="I41" s="1728">
        <f>+'[3]Oct midyear Madison Prep'!K40</f>
        <v>0</v>
      </c>
      <c r="J41" s="1728">
        <f>'[3]Feb midyear Madison Prep'!K40</f>
        <v>0</v>
      </c>
      <c r="K41" s="1702">
        <f t="shared" si="39"/>
        <v>0</v>
      </c>
      <c r="L41" s="1394">
        <f t="shared" si="56"/>
        <v>0</v>
      </c>
      <c r="M41" s="931">
        <f t="shared" si="40"/>
        <v>0</v>
      </c>
      <c r="N41" s="905">
        <f t="shared" si="41"/>
        <v>0</v>
      </c>
      <c r="O41" s="882">
        <v>0</v>
      </c>
      <c r="P41" s="1552">
        <f t="shared" si="42"/>
        <v>0</v>
      </c>
      <c r="Q41" s="1718">
        <f>'[4]Table 5C1A-Madison Prep'!M40+'[27]Table 5C1A-Madison Prep'!T40+('[26]Table 5C1A-Madison Prep'!T40*6)</f>
        <v>0</v>
      </c>
      <c r="R41" s="1808">
        <f t="shared" si="43"/>
        <v>0</v>
      </c>
      <c r="S41" s="998">
        <f t="shared" si="44"/>
        <v>0</v>
      </c>
      <c r="T41" s="1802">
        <f>'[14]FY2013-14 Final'!K41</f>
        <v>2772</v>
      </c>
      <c r="U41" s="1555">
        <f t="shared" si="57"/>
        <v>0</v>
      </c>
      <c r="V41" s="1756">
        <f>+'[3]Oct midyear Madison Prep'!E40</f>
        <v>0</v>
      </c>
      <c r="W41" s="1757">
        <f t="shared" si="45"/>
        <v>0</v>
      </c>
      <c r="X41" s="1758">
        <f>'[3]Feb midyear Madison Prep'!E40</f>
        <v>0</v>
      </c>
      <c r="Y41" s="1759">
        <f t="shared" si="46"/>
        <v>0</v>
      </c>
      <c r="Z41" s="1653">
        <f t="shared" si="47"/>
        <v>0</v>
      </c>
      <c r="AA41" s="1657">
        <f t="shared" si="48"/>
        <v>0</v>
      </c>
      <c r="AB41" s="937">
        <f t="shared" si="49"/>
        <v>0</v>
      </c>
      <c r="AC41" s="1555">
        <f t="shared" si="50"/>
        <v>0</v>
      </c>
      <c r="AD41" s="1825">
        <v>0</v>
      </c>
      <c r="AE41" s="1555">
        <f t="shared" si="51"/>
        <v>0</v>
      </c>
      <c r="AF41" s="1755">
        <f>'[4]Table 5C1A-Madison Prep'!T40+'[27]Table 5C1A-Madison Prep'!AF40+('[26]Table 5C1A-Madison Prep'!AF40*6)</f>
        <v>0</v>
      </c>
      <c r="AG41" s="1757">
        <f t="shared" si="52"/>
        <v>0</v>
      </c>
      <c r="AH41" s="999">
        <f t="shared" si="53"/>
        <v>0</v>
      </c>
      <c r="AI41" s="1658">
        <f t="shared" si="58"/>
        <v>0</v>
      </c>
      <c r="AJ41" s="1658">
        <f t="shared" si="59"/>
        <v>0</v>
      </c>
      <c r="AL41" s="49">
        <f>-'[4]Table 5C1A-Madison Prep'!P40</f>
        <v>0</v>
      </c>
      <c r="AM41" s="49">
        <f t="shared" si="60"/>
        <v>0</v>
      </c>
      <c r="AN41" s="49">
        <f t="shared" si="55"/>
        <v>0</v>
      </c>
    </row>
    <row r="42" spans="1:40">
      <c r="A42" s="879">
        <v>35</v>
      </c>
      <c r="B42" s="880" t="s">
        <v>126</v>
      </c>
      <c r="C42" s="973">
        <f>'2-1-13 SIS'!I41</f>
        <v>0</v>
      </c>
      <c r="D42" s="883">
        <f>'Table 3 Levels 1&amp;2'!AL42</f>
        <v>4607.1606416222867</v>
      </c>
      <c r="E42" s="922">
        <f t="shared" si="36"/>
        <v>0</v>
      </c>
      <c r="F42" s="922">
        <f>'Table 4 Level 3'!P40</f>
        <v>537.96</v>
      </c>
      <c r="G42" s="922">
        <f t="shared" si="37"/>
        <v>0</v>
      </c>
      <c r="H42" s="906">
        <f t="shared" si="38"/>
        <v>0</v>
      </c>
      <c r="I42" s="1729">
        <f>+'[3]Oct midyear Madison Prep'!K41</f>
        <v>0</v>
      </c>
      <c r="J42" s="1729">
        <f>'[3]Feb midyear Madison Prep'!K41</f>
        <v>0</v>
      </c>
      <c r="K42" s="1703">
        <f t="shared" si="39"/>
        <v>0</v>
      </c>
      <c r="L42" s="1393">
        <f t="shared" si="56"/>
        <v>0</v>
      </c>
      <c r="M42" s="932">
        <f t="shared" si="40"/>
        <v>0</v>
      </c>
      <c r="N42" s="906">
        <f t="shared" si="41"/>
        <v>0</v>
      </c>
      <c r="O42" s="883">
        <v>0</v>
      </c>
      <c r="P42" s="1553">
        <f t="shared" si="42"/>
        <v>0</v>
      </c>
      <c r="Q42" s="1804">
        <f>'[4]Table 5C1A-Madison Prep'!M41+'[27]Table 5C1A-Madison Prep'!T41+('[26]Table 5C1A-Madison Prep'!T41*6)</f>
        <v>0</v>
      </c>
      <c r="R42" s="1809">
        <f t="shared" si="43"/>
        <v>0</v>
      </c>
      <c r="S42" s="1806">
        <f t="shared" si="44"/>
        <v>0</v>
      </c>
      <c r="T42" s="1807">
        <f>'[14]FY2013-14 Final'!K42</f>
        <v>3140</v>
      </c>
      <c r="U42" s="1556">
        <f t="shared" si="57"/>
        <v>0</v>
      </c>
      <c r="V42" s="1760">
        <f>+'[3]Oct midyear Madison Prep'!E41</f>
        <v>0</v>
      </c>
      <c r="W42" s="1761">
        <f t="shared" si="45"/>
        <v>0</v>
      </c>
      <c r="X42" s="1762">
        <f>'[3]Feb midyear Madison Prep'!E41</f>
        <v>0</v>
      </c>
      <c r="Y42" s="1763">
        <f t="shared" si="46"/>
        <v>0</v>
      </c>
      <c r="Z42" s="1654">
        <f t="shared" si="47"/>
        <v>0</v>
      </c>
      <c r="AA42" s="1660">
        <f t="shared" si="48"/>
        <v>0</v>
      </c>
      <c r="AB42" s="938">
        <f t="shared" si="49"/>
        <v>0</v>
      </c>
      <c r="AC42" s="1556">
        <f t="shared" si="50"/>
        <v>0</v>
      </c>
      <c r="AD42" s="1826">
        <v>0</v>
      </c>
      <c r="AE42" s="1556">
        <f t="shared" si="51"/>
        <v>0</v>
      </c>
      <c r="AF42" s="1833">
        <f>'[4]Table 5C1A-Madison Prep'!T41+'[27]Table 5C1A-Madison Prep'!AF41+('[26]Table 5C1A-Madison Prep'!AF41*6)</f>
        <v>0</v>
      </c>
      <c r="AG42" s="1761">
        <f t="shared" si="52"/>
        <v>0</v>
      </c>
      <c r="AH42" s="1659">
        <f t="shared" si="53"/>
        <v>0</v>
      </c>
      <c r="AI42" s="1661">
        <f t="shared" si="58"/>
        <v>0</v>
      </c>
      <c r="AJ42" s="1661">
        <f t="shared" si="59"/>
        <v>0</v>
      </c>
      <c r="AL42" s="49">
        <f>-'[4]Table 5C1A-Madison Prep'!P41</f>
        <v>0</v>
      </c>
      <c r="AM42" s="49">
        <f t="shared" si="60"/>
        <v>0</v>
      </c>
      <c r="AN42" s="49">
        <f t="shared" si="55"/>
        <v>0</v>
      </c>
    </row>
    <row r="43" spans="1:40">
      <c r="A43" s="870">
        <v>36</v>
      </c>
      <c r="B43" s="871" t="s">
        <v>127</v>
      </c>
      <c r="C43" s="974">
        <f>'2-1-13 SIS'!I42</f>
        <v>0</v>
      </c>
      <c r="D43" s="884">
        <f>'Table 3 Levels 1&amp;2'!AL43</f>
        <v>3520.4894337711748</v>
      </c>
      <c r="E43" s="923">
        <f t="shared" si="36"/>
        <v>0</v>
      </c>
      <c r="F43" s="923">
        <f>'Table 5B1_RSD_Orleans'!F78</f>
        <v>746.0335616438357</v>
      </c>
      <c r="G43" s="923">
        <f t="shared" si="37"/>
        <v>0</v>
      </c>
      <c r="H43" s="907">
        <f t="shared" si="38"/>
        <v>0</v>
      </c>
      <c r="I43" s="1723">
        <f>+'[3]Oct midyear Madison Prep'!K42</f>
        <v>0</v>
      </c>
      <c r="J43" s="1723">
        <f>'[3]Feb midyear Madison Prep'!K42</f>
        <v>0</v>
      </c>
      <c r="K43" s="1547">
        <f t="shared" si="39"/>
        <v>0</v>
      </c>
      <c r="L43" s="1400">
        <f t="shared" si="56"/>
        <v>0</v>
      </c>
      <c r="M43" s="933">
        <f t="shared" si="40"/>
        <v>0</v>
      </c>
      <c r="N43" s="907">
        <f t="shared" si="41"/>
        <v>0</v>
      </c>
      <c r="O43" s="884">
        <v>0</v>
      </c>
      <c r="P43" s="996">
        <f t="shared" si="42"/>
        <v>0</v>
      </c>
      <c r="Q43" s="1718">
        <f>'[4]Table 5C1A-Madison Prep'!M42+'[27]Table 5C1A-Madison Prep'!T42+('[26]Table 5C1A-Madison Prep'!T42*6)</f>
        <v>0</v>
      </c>
      <c r="R43" s="1723">
        <f t="shared" si="43"/>
        <v>0</v>
      </c>
      <c r="S43" s="998">
        <f t="shared" si="44"/>
        <v>0</v>
      </c>
      <c r="T43" s="1802">
        <f>'[14]FY2013-14 Final'!K43</f>
        <v>5433</v>
      </c>
      <c r="U43" s="999">
        <f t="shared" si="57"/>
        <v>0</v>
      </c>
      <c r="V43" s="1754">
        <f>+'[3]Oct midyear Madison Prep'!E42</f>
        <v>0</v>
      </c>
      <c r="W43" s="1755">
        <f t="shared" si="45"/>
        <v>0</v>
      </c>
      <c r="X43" s="1754">
        <f>'[3]Feb midyear Madison Prep'!E42</f>
        <v>0</v>
      </c>
      <c r="Y43" s="1755">
        <f t="shared" si="46"/>
        <v>0</v>
      </c>
      <c r="Z43" s="1652">
        <f t="shared" si="47"/>
        <v>0</v>
      </c>
      <c r="AA43" s="999">
        <f t="shared" si="48"/>
        <v>0</v>
      </c>
      <c r="AB43" s="936">
        <f t="shared" si="49"/>
        <v>0</v>
      </c>
      <c r="AC43" s="999">
        <f t="shared" si="50"/>
        <v>0</v>
      </c>
      <c r="AD43" s="1755">
        <v>0</v>
      </c>
      <c r="AE43" s="999">
        <f t="shared" si="51"/>
        <v>0</v>
      </c>
      <c r="AF43" s="1755">
        <f>'[4]Table 5C1A-Madison Prep'!T42+'[27]Table 5C1A-Madison Prep'!AF42+('[26]Table 5C1A-Madison Prep'!AF42*6)</f>
        <v>0</v>
      </c>
      <c r="AG43" s="1755">
        <f t="shared" si="52"/>
        <v>0</v>
      </c>
      <c r="AH43" s="999">
        <f t="shared" si="53"/>
        <v>0</v>
      </c>
      <c r="AI43" s="1656">
        <f t="shared" si="58"/>
        <v>0</v>
      </c>
      <c r="AJ43" s="1656">
        <f t="shared" si="59"/>
        <v>0</v>
      </c>
      <c r="AL43" s="49">
        <f>-'[4]Table 5C1A-Madison Prep'!P42</f>
        <v>0</v>
      </c>
      <c r="AM43" s="49">
        <f t="shared" si="60"/>
        <v>0</v>
      </c>
      <c r="AN43" s="49">
        <f t="shared" si="55"/>
        <v>0</v>
      </c>
    </row>
    <row r="44" spans="1:40">
      <c r="A44" s="876">
        <v>37</v>
      </c>
      <c r="B44" s="877" t="s">
        <v>128</v>
      </c>
      <c r="C44" s="972">
        <f>'2-1-13 SIS'!I43</f>
        <v>0</v>
      </c>
      <c r="D44" s="882">
        <f>'Table 3 Levels 1&amp;2'!AL44</f>
        <v>5503.7595641818853</v>
      </c>
      <c r="E44" s="921">
        <f t="shared" si="36"/>
        <v>0</v>
      </c>
      <c r="F44" s="921">
        <f>'Table 4 Level 3'!P42</f>
        <v>653.61</v>
      </c>
      <c r="G44" s="921">
        <f t="shared" si="37"/>
        <v>0</v>
      </c>
      <c r="H44" s="905">
        <f t="shared" si="38"/>
        <v>0</v>
      </c>
      <c r="I44" s="1728">
        <f>+'[3]Oct midyear Madison Prep'!K43</f>
        <v>0</v>
      </c>
      <c r="J44" s="1728">
        <f>'[3]Feb midyear Madison Prep'!K43</f>
        <v>0</v>
      </c>
      <c r="K44" s="1702">
        <f t="shared" si="39"/>
        <v>0</v>
      </c>
      <c r="L44" s="1394">
        <f t="shared" si="56"/>
        <v>0</v>
      </c>
      <c r="M44" s="931">
        <f t="shared" si="40"/>
        <v>0</v>
      </c>
      <c r="N44" s="905">
        <f t="shared" si="41"/>
        <v>0</v>
      </c>
      <c r="O44" s="882">
        <v>0</v>
      </c>
      <c r="P44" s="1552">
        <f t="shared" si="42"/>
        <v>0</v>
      </c>
      <c r="Q44" s="1718">
        <f>'[4]Table 5C1A-Madison Prep'!M43+'[27]Table 5C1A-Madison Prep'!T43+('[26]Table 5C1A-Madison Prep'!T43*6)</f>
        <v>0</v>
      </c>
      <c r="R44" s="1808">
        <f t="shared" si="43"/>
        <v>0</v>
      </c>
      <c r="S44" s="998">
        <f t="shared" si="44"/>
        <v>0</v>
      </c>
      <c r="T44" s="1802">
        <f>'[14]FY2013-14 Final'!K44</f>
        <v>3310</v>
      </c>
      <c r="U44" s="1555">
        <f t="shared" si="57"/>
        <v>0</v>
      </c>
      <c r="V44" s="1756">
        <f>+'[3]Oct midyear Madison Prep'!E43</f>
        <v>0</v>
      </c>
      <c r="W44" s="1757">
        <f t="shared" si="45"/>
        <v>0</v>
      </c>
      <c r="X44" s="1758">
        <f>'[3]Feb midyear Madison Prep'!E43</f>
        <v>0</v>
      </c>
      <c r="Y44" s="1759">
        <f t="shared" si="46"/>
        <v>0</v>
      </c>
      <c r="Z44" s="1653">
        <f t="shared" si="47"/>
        <v>0</v>
      </c>
      <c r="AA44" s="1657">
        <f t="shared" si="48"/>
        <v>0</v>
      </c>
      <c r="AB44" s="937">
        <f t="shared" si="49"/>
        <v>0</v>
      </c>
      <c r="AC44" s="1555">
        <f t="shared" si="50"/>
        <v>0</v>
      </c>
      <c r="AD44" s="1825">
        <v>0</v>
      </c>
      <c r="AE44" s="1555">
        <f t="shared" si="51"/>
        <v>0</v>
      </c>
      <c r="AF44" s="1755">
        <f>'[4]Table 5C1A-Madison Prep'!T43+'[27]Table 5C1A-Madison Prep'!AF43+('[26]Table 5C1A-Madison Prep'!AF43*6)</f>
        <v>0</v>
      </c>
      <c r="AG44" s="1757">
        <f t="shared" si="52"/>
        <v>0</v>
      </c>
      <c r="AH44" s="999">
        <f t="shared" si="53"/>
        <v>0</v>
      </c>
      <c r="AI44" s="1658">
        <f t="shared" si="58"/>
        <v>0</v>
      </c>
      <c r="AJ44" s="1658">
        <f t="shared" si="59"/>
        <v>0</v>
      </c>
      <c r="AL44" s="49">
        <f>-'[4]Table 5C1A-Madison Prep'!P43</f>
        <v>0</v>
      </c>
      <c r="AM44" s="49">
        <f t="shared" si="60"/>
        <v>0</v>
      </c>
      <c r="AN44" s="49">
        <f t="shared" si="55"/>
        <v>0</v>
      </c>
    </row>
    <row r="45" spans="1:40">
      <c r="A45" s="876">
        <v>38</v>
      </c>
      <c r="B45" s="877" t="s">
        <v>129</v>
      </c>
      <c r="C45" s="972">
        <f>'2-1-13 SIS'!I44</f>
        <v>0</v>
      </c>
      <c r="D45" s="882">
        <f>'Table 3 Levels 1&amp;2'!AL45</f>
        <v>2192.7545275590551</v>
      </c>
      <c r="E45" s="921">
        <f t="shared" si="36"/>
        <v>0</v>
      </c>
      <c r="F45" s="921">
        <f>'Table 4 Level 3'!P43</f>
        <v>829.92000000000007</v>
      </c>
      <c r="G45" s="921">
        <f t="shared" si="37"/>
        <v>0</v>
      </c>
      <c r="H45" s="905">
        <f t="shared" si="38"/>
        <v>0</v>
      </c>
      <c r="I45" s="1728">
        <f>+'[3]Oct midyear Madison Prep'!K44</f>
        <v>0</v>
      </c>
      <c r="J45" s="1728">
        <f>'[3]Feb midyear Madison Prep'!K44</f>
        <v>0</v>
      </c>
      <c r="K45" s="1702">
        <f t="shared" si="39"/>
        <v>0</v>
      </c>
      <c r="L45" s="1394">
        <f t="shared" si="56"/>
        <v>0</v>
      </c>
      <c r="M45" s="931">
        <f t="shared" si="40"/>
        <v>0</v>
      </c>
      <c r="N45" s="905">
        <f t="shared" si="41"/>
        <v>0</v>
      </c>
      <c r="O45" s="882">
        <v>0</v>
      </c>
      <c r="P45" s="1552">
        <f t="shared" si="42"/>
        <v>0</v>
      </c>
      <c r="Q45" s="1718">
        <f>'[4]Table 5C1A-Madison Prep'!M44+'[27]Table 5C1A-Madison Prep'!T44+('[26]Table 5C1A-Madison Prep'!T44*6)</f>
        <v>0</v>
      </c>
      <c r="R45" s="1808">
        <f t="shared" si="43"/>
        <v>0</v>
      </c>
      <c r="S45" s="998">
        <f t="shared" si="44"/>
        <v>0</v>
      </c>
      <c r="T45" s="1802">
        <f>'[14]FY2013-14 Final'!K45</f>
        <v>12521</v>
      </c>
      <c r="U45" s="1555">
        <f t="shared" si="57"/>
        <v>0</v>
      </c>
      <c r="V45" s="1756">
        <f>+'[3]Oct midyear Madison Prep'!E44</f>
        <v>0</v>
      </c>
      <c r="W45" s="1757">
        <f t="shared" si="45"/>
        <v>0</v>
      </c>
      <c r="X45" s="1758">
        <f>'[3]Feb midyear Madison Prep'!E44</f>
        <v>0</v>
      </c>
      <c r="Y45" s="1759">
        <f t="shared" si="46"/>
        <v>0</v>
      </c>
      <c r="Z45" s="1653">
        <f t="shared" si="47"/>
        <v>0</v>
      </c>
      <c r="AA45" s="1657">
        <f t="shared" si="48"/>
        <v>0</v>
      </c>
      <c r="AB45" s="937">
        <f t="shared" si="49"/>
        <v>0</v>
      </c>
      <c r="AC45" s="1555">
        <f t="shared" si="50"/>
        <v>0</v>
      </c>
      <c r="AD45" s="1825">
        <v>0</v>
      </c>
      <c r="AE45" s="1555">
        <f t="shared" si="51"/>
        <v>0</v>
      </c>
      <c r="AF45" s="1755">
        <f>'[4]Table 5C1A-Madison Prep'!T44+'[27]Table 5C1A-Madison Prep'!AF44+('[26]Table 5C1A-Madison Prep'!AF44*6)</f>
        <v>0</v>
      </c>
      <c r="AG45" s="1757">
        <f t="shared" si="52"/>
        <v>0</v>
      </c>
      <c r="AH45" s="999">
        <f t="shared" si="53"/>
        <v>0</v>
      </c>
      <c r="AI45" s="1658">
        <f t="shared" si="58"/>
        <v>0</v>
      </c>
      <c r="AJ45" s="1658">
        <f t="shared" si="59"/>
        <v>0</v>
      </c>
      <c r="AL45" s="49">
        <f>-'[4]Table 5C1A-Madison Prep'!P44</f>
        <v>0</v>
      </c>
      <c r="AM45" s="49">
        <f t="shared" si="60"/>
        <v>0</v>
      </c>
      <c r="AN45" s="49">
        <f t="shared" si="55"/>
        <v>0</v>
      </c>
    </row>
    <row r="46" spans="1:40">
      <c r="A46" s="876">
        <v>39</v>
      </c>
      <c r="B46" s="877" t="s">
        <v>130</v>
      </c>
      <c r="C46" s="972">
        <f>'2-1-13 SIS'!I45</f>
        <v>0</v>
      </c>
      <c r="D46" s="882">
        <f>'Table 3 Levels 1&amp;2'!AL46</f>
        <v>3639.9942778062696</v>
      </c>
      <c r="E46" s="921">
        <f t="shared" si="36"/>
        <v>0</v>
      </c>
      <c r="F46" s="921">
        <f>'Table 5B2_RSD_LA'!F21</f>
        <v>779.65573042776441</v>
      </c>
      <c r="G46" s="921">
        <f t="shared" si="37"/>
        <v>0</v>
      </c>
      <c r="H46" s="905">
        <f t="shared" si="38"/>
        <v>0</v>
      </c>
      <c r="I46" s="1728">
        <f>+'[3]Oct midyear Madison Prep'!K45</f>
        <v>0</v>
      </c>
      <c r="J46" s="1728">
        <f>'[3]Feb midyear Madison Prep'!K45</f>
        <v>0</v>
      </c>
      <c r="K46" s="1702">
        <f t="shared" si="39"/>
        <v>0</v>
      </c>
      <c r="L46" s="1394">
        <f t="shared" si="56"/>
        <v>0</v>
      </c>
      <c r="M46" s="931">
        <f t="shared" si="40"/>
        <v>0</v>
      </c>
      <c r="N46" s="905">
        <f t="shared" si="41"/>
        <v>0</v>
      </c>
      <c r="O46" s="882">
        <v>0</v>
      </c>
      <c r="P46" s="1552">
        <f t="shared" si="42"/>
        <v>0</v>
      </c>
      <c r="Q46" s="1718">
        <f>'[4]Table 5C1A-Madison Prep'!M45+'[27]Table 5C1A-Madison Prep'!T45+('[26]Table 5C1A-Madison Prep'!T45*6)</f>
        <v>0</v>
      </c>
      <c r="R46" s="1808">
        <f t="shared" si="43"/>
        <v>0</v>
      </c>
      <c r="S46" s="998">
        <f t="shared" si="44"/>
        <v>0</v>
      </c>
      <c r="T46" s="1802">
        <f>'[14]FY2013-14 Final'!K46</f>
        <v>4436</v>
      </c>
      <c r="U46" s="1555">
        <f t="shared" si="57"/>
        <v>0</v>
      </c>
      <c r="V46" s="1756">
        <f>+'[3]Oct midyear Madison Prep'!E45</f>
        <v>0</v>
      </c>
      <c r="W46" s="1757">
        <f t="shared" si="45"/>
        <v>0</v>
      </c>
      <c r="X46" s="1758">
        <f>'[3]Feb midyear Madison Prep'!E45</f>
        <v>0</v>
      </c>
      <c r="Y46" s="1759">
        <f t="shared" si="46"/>
        <v>0</v>
      </c>
      <c r="Z46" s="1653">
        <f t="shared" si="47"/>
        <v>0</v>
      </c>
      <c r="AA46" s="1657">
        <f t="shared" si="48"/>
        <v>0</v>
      </c>
      <c r="AB46" s="937">
        <f t="shared" si="49"/>
        <v>0</v>
      </c>
      <c r="AC46" s="1555">
        <f t="shared" si="50"/>
        <v>0</v>
      </c>
      <c r="AD46" s="1825">
        <v>0</v>
      </c>
      <c r="AE46" s="1555">
        <f t="shared" si="51"/>
        <v>0</v>
      </c>
      <c r="AF46" s="1755">
        <f>'[4]Table 5C1A-Madison Prep'!T45+'[27]Table 5C1A-Madison Prep'!AF45+('[26]Table 5C1A-Madison Prep'!AF45*6)</f>
        <v>0</v>
      </c>
      <c r="AG46" s="1757">
        <f t="shared" si="52"/>
        <v>0</v>
      </c>
      <c r="AH46" s="999">
        <f t="shared" si="53"/>
        <v>0</v>
      </c>
      <c r="AI46" s="1658">
        <f t="shared" si="58"/>
        <v>0</v>
      </c>
      <c r="AJ46" s="1658">
        <f t="shared" si="59"/>
        <v>0</v>
      </c>
      <c r="AL46" s="49">
        <f>-'[4]Table 5C1A-Madison Prep'!P45</f>
        <v>0</v>
      </c>
      <c r="AM46" s="49">
        <f t="shared" si="60"/>
        <v>0</v>
      </c>
      <c r="AN46" s="49">
        <f t="shared" si="55"/>
        <v>0</v>
      </c>
    </row>
    <row r="47" spans="1:40">
      <c r="A47" s="879">
        <v>40</v>
      </c>
      <c r="B47" s="880" t="s">
        <v>131</v>
      </c>
      <c r="C47" s="973">
        <f>'2-1-13 SIS'!I46</f>
        <v>0</v>
      </c>
      <c r="D47" s="883">
        <f>'Table 3 Levels 1&amp;2'!AL47</f>
        <v>4928.4974462701202</v>
      </c>
      <c r="E47" s="922">
        <f t="shared" si="36"/>
        <v>0</v>
      </c>
      <c r="F47" s="922">
        <f>'Table 4 Level 3'!P45</f>
        <v>700.2700000000001</v>
      </c>
      <c r="G47" s="922">
        <f t="shared" si="37"/>
        <v>0</v>
      </c>
      <c r="H47" s="906">
        <f t="shared" si="38"/>
        <v>0</v>
      </c>
      <c r="I47" s="1729">
        <f>+'[3]Oct midyear Madison Prep'!K46</f>
        <v>0</v>
      </c>
      <c r="J47" s="1729">
        <f>'[3]Feb midyear Madison Prep'!K46</f>
        <v>0</v>
      </c>
      <c r="K47" s="1703">
        <f t="shared" si="39"/>
        <v>0</v>
      </c>
      <c r="L47" s="1393">
        <f t="shared" si="56"/>
        <v>0</v>
      </c>
      <c r="M47" s="932">
        <f t="shared" si="40"/>
        <v>0</v>
      </c>
      <c r="N47" s="906">
        <f t="shared" si="41"/>
        <v>0</v>
      </c>
      <c r="O47" s="883">
        <v>0</v>
      </c>
      <c r="P47" s="1553">
        <f t="shared" si="42"/>
        <v>0</v>
      </c>
      <c r="Q47" s="1804">
        <f>'[4]Table 5C1A-Madison Prep'!M46+'[27]Table 5C1A-Madison Prep'!T46+('[26]Table 5C1A-Madison Prep'!T46*6)</f>
        <v>0</v>
      </c>
      <c r="R47" s="1809">
        <f t="shared" si="43"/>
        <v>0</v>
      </c>
      <c r="S47" s="1806">
        <f t="shared" si="44"/>
        <v>0</v>
      </c>
      <c r="T47" s="1807">
        <f>'[14]FY2013-14 Final'!K47</f>
        <v>3019</v>
      </c>
      <c r="U47" s="1556">
        <f t="shared" si="57"/>
        <v>0</v>
      </c>
      <c r="V47" s="1760">
        <f>+'[3]Oct midyear Madison Prep'!E46</f>
        <v>0</v>
      </c>
      <c r="W47" s="1761">
        <f t="shared" si="45"/>
        <v>0</v>
      </c>
      <c r="X47" s="1762">
        <f>'[3]Feb midyear Madison Prep'!E46</f>
        <v>0</v>
      </c>
      <c r="Y47" s="1763">
        <f t="shared" si="46"/>
        <v>0</v>
      </c>
      <c r="Z47" s="1654">
        <f t="shared" si="47"/>
        <v>0</v>
      </c>
      <c r="AA47" s="1660">
        <f t="shared" si="48"/>
        <v>0</v>
      </c>
      <c r="AB47" s="938">
        <f t="shared" si="49"/>
        <v>0</v>
      </c>
      <c r="AC47" s="1556">
        <f t="shared" si="50"/>
        <v>0</v>
      </c>
      <c r="AD47" s="1826">
        <v>0</v>
      </c>
      <c r="AE47" s="1556">
        <f t="shared" si="51"/>
        <v>0</v>
      </c>
      <c r="AF47" s="1833">
        <f>'[4]Table 5C1A-Madison Prep'!T46+'[27]Table 5C1A-Madison Prep'!AF46+('[26]Table 5C1A-Madison Prep'!AF46*6)</f>
        <v>0</v>
      </c>
      <c r="AG47" s="1761">
        <f t="shared" si="52"/>
        <v>0</v>
      </c>
      <c r="AH47" s="1659">
        <f t="shared" si="53"/>
        <v>0</v>
      </c>
      <c r="AI47" s="1661">
        <f t="shared" si="58"/>
        <v>0</v>
      </c>
      <c r="AJ47" s="1661">
        <f t="shared" si="59"/>
        <v>0</v>
      </c>
      <c r="AL47" s="49">
        <f>-'[4]Table 5C1A-Madison Prep'!P46</f>
        <v>0</v>
      </c>
      <c r="AM47" s="49">
        <f t="shared" si="60"/>
        <v>0</v>
      </c>
      <c r="AN47" s="49">
        <f t="shared" si="55"/>
        <v>0</v>
      </c>
    </row>
    <row r="48" spans="1:40">
      <c r="A48" s="870">
        <v>41</v>
      </c>
      <c r="B48" s="871" t="s">
        <v>132</v>
      </c>
      <c r="C48" s="974">
        <f>'2-1-13 SIS'!I47</f>
        <v>0</v>
      </c>
      <c r="D48" s="884">
        <f>'Table 3 Levels 1&amp;2'!AL48</f>
        <v>1615.6013465627216</v>
      </c>
      <c r="E48" s="923">
        <f t="shared" si="36"/>
        <v>0</v>
      </c>
      <c r="F48" s="923">
        <f>'Table 4 Level 3'!P46</f>
        <v>886.22</v>
      </c>
      <c r="G48" s="923">
        <f t="shared" si="37"/>
        <v>0</v>
      </c>
      <c r="H48" s="907">
        <f t="shared" si="38"/>
        <v>0</v>
      </c>
      <c r="I48" s="1723">
        <f>+'[3]Oct midyear Madison Prep'!K47</f>
        <v>0</v>
      </c>
      <c r="J48" s="1723">
        <f>'[3]Feb midyear Madison Prep'!K47</f>
        <v>0</v>
      </c>
      <c r="K48" s="1547">
        <f t="shared" si="39"/>
        <v>0</v>
      </c>
      <c r="L48" s="1400">
        <f t="shared" si="56"/>
        <v>0</v>
      </c>
      <c r="M48" s="933">
        <f t="shared" si="40"/>
        <v>0</v>
      </c>
      <c r="N48" s="907">
        <f t="shared" si="41"/>
        <v>0</v>
      </c>
      <c r="O48" s="884">
        <v>0</v>
      </c>
      <c r="P48" s="996">
        <f t="shared" si="42"/>
        <v>0</v>
      </c>
      <c r="Q48" s="1718">
        <f>'[4]Table 5C1A-Madison Prep'!M47+'[27]Table 5C1A-Madison Prep'!T47+('[26]Table 5C1A-Madison Prep'!T47*6)</f>
        <v>0</v>
      </c>
      <c r="R48" s="1723">
        <f t="shared" si="43"/>
        <v>0</v>
      </c>
      <c r="S48" s="998">
        <f t="shared" si="44"/>
        <v>0</v>
      </c>
      <c r="T48" s="1802">
        <f>'[14]FY2013-14 Final'!K48</f>
        <v>8964</v>
      </c>
      <c r="U48" s="999">
        <f t="shared" si="57"/>
        <v>0</v>
      </c>
      <c r="V48" s="1754">
        <f>+'[3]Oct midyear Madison Prep'!E47</f>
        <v>0</v>
      </c>
      <c r="W48" s="1755">
        <f t="shared" si="45"/>
        <v>0</v>
      </c>
      <c r="X48" s="1754">
        <f>'[3]Feb midyear Madison Prep'!E47</f>
        <v>0</v>
      </c>
      <c r="Y48" s="1755">
        <f t="shared" si="46"/>
        <v>0</v>
      </c>
      <c r="Z48" s="1652">
        <f t="shared" si="47"/>
        <v>0</v>
      </c>
      <c r="AA48" s="999">
        <f t="shared" si="48"/>
        <v>0</v>
      </c>
      <c r="AB48" s="936">
        <f t="shared" si="49"/>
        <v>0</v>
      </c>
      <c r="AC48" s="999">
        <f t="shared" si="50"/>
        <v>0</v>
      </c>
      <c r="AD48" s="1755">
        <v>0</v>
      </c>
      <c r="AE48" s="999">
        <f t="shared" si="51"/>
        <v>0</v>
      </c>
      <c r="AF48" s="1755">
        <f>'[4]Table 5C1A-Madison Prep'!T47+'[27]Table 5C1A-Madison Prep'!AF47+('[26]Table 5C1A-Madison Prep'!AF47*6)</f>
        <v>0</v>
      </c>
      <c r="AG48" s="1755">
        <f t="shared" si="52"/>
        <v>0</v>
      </c>
      <c r="AH48" s="999">
        <f t="shared" si="53"/>
        <v>0</v>
      </c>
      <c r="AI48" s="1656">
        <f t="shared" si="58"/>
        <v>0</v>
      </c>
      <c r="AJ48" s="1656">
        <f t="shared" si="59"/>
        <v>0</v>
      </c>
      <c r="AL48" s="49">
        <f>-'[4]Table 5C1A-Madison Prep'!P47</f>
        <v>0</v>
      </c>
      <c r="AM48" s="49">
        <f t="shared" si="60"/>
        <v>0</v>
      </c>
      <c r="AN48" s="49">
        <f t="shared" si="55"/>
        <v>0</v>
      </c>
    </row>
    <row r="49" spans="1:40">
      <c r="A49" s="876">
        <v>42</v>
      </c>
      <c r="B49" s="877" t="s">
        <v>133</v>
      </c>
      <c r="C49" s="972">
        <f>'2-1-13 SIS'!I48</f>
        <v>0</v>
      </c>
      <c r="D49" s="882">
        <f>'Table 3 Levels 1&amp;2'!AL49</f>
        <v>5087.4730460987803</v>
      </c>
      <c r="E49" s="921">
        <f t="shared" si="36"/>
        <v>0</v>
      </c>
      <c r="F49" s="921">
        <f>'Table 4 Level 3'!P47</f>
        <v>534.28</v>
      </c>
      <c r="G49" s="921">
        <f t="shared" si="37"/>
        <v>0</v>
      </c>
      <c r="H49" s="905">
        <f t="shared" si="38"/>
        <v>0</v>
      </c>
      <c r="I49" s="1728">
        <f>+'[3]Oct midyear Madison Prep'!K48</f>
        <v>0</v>
      </c>
      <c r="J49" s="1728">
        <f>'[3]Feb midyear Madison Prep'!K48</f>
        <v>0</v>
      </c>
      <c r="K49" s="1702">
        <f t="shared" si="39"/>
        <v>0</v>
      </c>
      <c r="L49" s="1394">
        <f t="shared" si="56"/>
        <v>0</v>
      </c>
      <c r="M49" s="931">
        <f t="shared" si="40"/>
        <v>0</v>
      </c>
      <c r="N49" s="905">
        <f t="shared" si="41"/>
        <v>0</v>
      </c>
      <c r="O49" s="882">
        <v>0</v>
      </c>
      <c r="P49" s="1552">
        <f t="shared" si="42"/>
        <v>0</v>
      </c>
      <c r="Q49" s="1718">
        <f>'[4]Table 5C1A-Madison Prep'!M48+'[27]Table 5C1A-Madison Prep'!T48+('[26]Table 5C1A-Madison Prep'!T48*6)</f>
        <v>0</v>
      </c>
      <c r="R49" s="1808">
        <f t="shared" si="43"/>
        <v>0</v>
      </c>
      <c r="S49" s="998">
        <f t="shared" si="44"/>
        <v>0</v>
      </c>
      <c r="T49" s="1802">
        <f>'[14]FY2013-14 Final'!K49</f>
        <v>3535</v>
      </c>
      <c r="U49" s="1555">
        <f t="shared" si="57"/>
        <v>0</v>
      </c>
      <c r="V49" s="1756">
        <f>+'[3]Oct midyear Madison Prep'!E48</f>
        <v>0</v>
      </c>
      <c r="W49" s="1757">
        <f t="shared" si="45"/>
        <v>0</v>
      </c>
      <c r="X49" s="1758">
        <f>'[3]Feb midyear Madison Prep'!E48</f>
        <v>0</v>
      </c>
      <c r="Y49" s="1759">
        <f t="shared" si="46"/>
        <v>0</v>
      </c>
      <c r="Z49" s="1653">
        <f t="shared" si="47"/>
        <v>0</v>
      </c>
      <c r="AA49" s="1657">
        <f t="shared" si="48"/>
        <v>0</v>
      </c>
      <c r="AB49" s="937">
        <f t="shared" si="49"/>
        <v>0</v>
      </c>
      <c r="AC49" s="1555">
        <f t="shared" si="50"/>
        <v>0</v>
      </c>
      <c r="AD49" s="1825">
        <v>0</v>
      </c>
      <c r="AE49" s="1555">
        <f t="shared" si="51"/>
        <v>0</v>
      </c>
      <c r="AF49" s="1755">
        <f>'[4]Table 5C1A-Madison Prep'!T48+'[27]Table 5C1A-Madison Prep'!AF48+('[26]Table 5C1A-Madison Prep'!AF48*6)</f>
        <v>0</v>
      </c>
      <c r="AG49" s="1757">
        <f t="shared" si="52"/>
        <v>0</v>
      </c>
      <c r="AH49" s="999">
        <f t="shared" si="53"/>
        <v>0</v>
      </c>
      <c r="AI49" s="1658">
        <f t="shared" si="58"/>
        <v>0</v>
      </c>
      <c r="AJ49" s="1658">
        <f t="shared" si="59"/>
        <v>0</v>
      </c>
      <c r="AL49" s="49">
        <f>-'[4]Table 5C1A-Madison Prep'!P48</f>
        <v>0</v>
      </c>
      <c r="AM49" s="49">
        <f t="shared" si="60"/>
        <v>0</v>
      </c>
      <c r="AN49" s="49">
        <f t="shared" si="55"/>
        <v>0</v>
      </c>
    </row>
    <row r="50" spans="1:40">
      <c r="A50" s="876">
        <v>43</v>
      </c>
      <c r="B50" s="877" t="s">
        <v>134</v>
      </c>
      <c r="C50" s="972">
        <f>'2-1-13 SIS'!I49</f>
        <v>0</v>
      </c>
      <c r="D50" s="882">
        <f>'Table 3 Levels 1&amp;2'!AL50</f>
        <v>4717.8414352725031</v>
      </c>
      <c r="E50" s="921">
        <f t="shared" si="36"/>
        <v>0</v>
      </c>
      <c r="F50" s="921">
        <f>'Table 4 Level 3'!P48</f>
        <v>574.6099999999999</v>
      </c>
      <c r="G50" s="921">
        <f t="shared" si="37"/>
        <v>0</v>
      </c>
      <c r="H50" s="905">
        <f t="shared" si="38"/>
        <v>0</v>
      </c>
      <c r="I50" s="1728">
        <f>+'[3]Oct midyear Madison Prep'!K49</f>
        <v>0</v>
      </c>
      <c r="J50" s="1728">
        <f>'[3]Feb midyear Madison Prep'!K49</f>
        <v>0</v>
      </c>
      <c r="K50" s="1702">
        <f t="shared" si="39"/>
        <v>0</v>
      </c>
      <c r="L50" s="1394">
        <f t="shared" si="56"/>
        <v>0</v>
      </c>
      <c r="M50" s="931">
        <f t="shared" si="40"/>
        <v>0</v>
      </c>
      <c r="N50" s="905">
        <f t="shared" si="41"/>
        <v>0</v>
      </c>
      <c r="O50" s="882">
        <v>0</v>
      </c>
      <c r="P50" s="1552">
        <f t="shared" si="42"/>
        <v>0</v>
      </c>
      <c r="Q50" s="1718">
        <f>'[4]Table 5C1A-Madison Prep'!M49+'[27]Table 5C1A-Madison Prep'!T49+('[26]Table 5C1A-Madison Prep'!T49*6)</f>
        <v>0</v>
      </c>
      <c r="R50" s="1808">
        <f t="shared" si="43"/>
        <v>0</v>
      </c>
      <c r="S50" s="998">
        <f t="shared" si="44"/>
        <v>0</v>
      </c>
      <c r="T50" s="1802">
        <f>'[14]FY2013-14 Final'!K50</f>
        <v>3593</v>
      </c>
      <c r="U50" s="1555">
        <f t="shared" si="57"/>
        <v>0</v>
      </c>
      <c r="V50" s="1756">
        <f>+'[3]Oct midyear Madison Prep'!E49</f>
        <v>0</v>
      </c>
      <c r="W50" s="1757">
        <f t="shared" si="45"/>
        <v>0</v>
      </c>
      <c r="X50" s="1758">
        <f>'[3]Feb midyear Madison Prep'!E49</f>
        <v>0</v>
      </c>
      <c r="Y50" s="1759">
        <f t="shared" si="46"/>
        <v>0</v>
      </c>
      <c r="Z50" s="1653">
        <f t="shared" si="47"/>
        <v>0</v>
      </c>
      <c r="AA50" s="1657">
        <f t="shared" si="48"/>
        <v>0</v>
      </c>
      <c r="AB50" s="937">
        <f t="shared" si="49"/>
        <v>0</v>
      </c>
      <c r="AC50" s="1555">
        <f t="shared" si="50"/>
        <v>0</v>
      </c>
      <c r="AD50" s="1825">
        <v>0</v>
      </c>
      <c r="AE50" s="1555">
        <f t="shared" si="51"/>
        <v>0</v>
      </c>
      <c r="AF50" s="1755">
        <f>'[4]Table 5C1A-Madison Prep'!T49+'[27]Table 5C1A-Madison Prep'!AF49+('[26]Table 5C1A-Madison Prep'!AF49*6)</f>
        <v>0</v>
      </c>
      <c r="AG50" s="1757">
        <f t="shared" si="52"/>
        <v>0</v>
      </c>
      <c r="AH50" s="999">
        <f t="shared" si="53"/>
        <v>0</v>
      </c>
      <c r="AI50" s="1658">
        <f t="shared" si="58"/>
        <v>0</v>
      </c>
      <c r="AJ50" s="1658">
        <f t="shared" si="59"/>
        <v>0</v>
      </c>
      <c r="AL50" s="49">
        <f>-'[4]Table 5C1A-Madison Prep'!P49</f>
        <v>0</v>
      </c>
      <c r="AM50" s="49">
        <f t="shared" si="60"/>
        <v>0</v>
      </c>
      <c r="AN50" s="49">
        <f t="shared" si="55"/>
        <v>0</v>
      </c>
    </row>
    <row r="51" spans="1:40">
      <c r="A51" s="876">
        <v>44</v>
      </c>
      <c r="B51" s="877" t="s">
        <v>135</v>
      </c>
      <c r="C51" s="972">
        <f>'2-1-13 SIS'!I50</f>
        <v>0</v>
      </c>
      <c r="D51" s="882">
        <f>'Table 3 Levels 1&amp;2'!AL51</f>
        <v>4696.6221228259064</v>
      </c>
      <c r="E51" s="921">
        <f t="shared" si="36"/>
        <v>0</v>
      </c>
      <c r="F51" s="921">
        <f>'Table 4 Level 3'!P49</f>
        <v>663.16000000000008</v>
      </c>
      <c r="G51" s="921">
        <f t="shared" si="37"/>
        <v>0</v>
      </c>
      <c r="H51" s="905">
        <f t="shared" si="38"/>
        <v>0</v>
      </c>
      <c r="I51" s="1728">
        <f>+'[3]Oct midyear Madison Prep'!K50</f>
        <v>0</v>
      </c>
      <c r="J51" s="1728">
        <f>'[3]Feb midyear Madison Prep'!K50</f>
        <v>0</v>
      </c>
      <c r="K51" s="1702">
        <f t="shared" si="39"/>
        <v>0</v>
      </c>
      <c r="L51" s="1394">
        <f t="shared" si="56"/>
        <v>0</v>
      </c>
      <c r="M51" s="931">
        <f t="shared" si="40"/>
        <v>0</v>
      </c>
      <c r="N51" s="905">
        <f t="shared" si="41"/>
        <v>0</v>
      </c>
      <c r="O51" s="882">
        <v>0</v>
      </c>
      <c r="P51" s="1552">
        <f t="shared" si="42"/>
        <v>0</v>
      </c>
      <c r="Q51" s="1718">
        <f>'[4]Table 5C1A-Madison Prep'!M50+'[27]Table 5C1A-Madison Prep'!T50+('[26]Table 5C1A-Madison Prep'!T50*6)</f>
        <v>0</v>
      </c>
      <c r="R51" s="1808">
        <f t="shared" si="43"/>
        <v>0</v>
      </c>
      <c r="S51" s="998">
        <f t="shared" si="44"/>
        <v>0</v>
      </c>
      <c r="T51" s="1802">
        <f>'[14]FY2013-14 Final'!K51</f>
        <v>4323</v>
      </c>
      <c r="U51" s="1555">
        <f t="shared" si="57"/>
        <v>0</v>
      </c>
      <c r="V51" s="1756">
        <f>+'[3]Oct midyear Madison Prep'!E50</f>
        <v>0</v>
      </c>
      <c r="W51" s="1757">
        <f t="shared" si="45"/>
        <v>0</v>
      </c>
      <c r="X51" s="1758">
        <f>'[3]Feb midyear Madison Prep'!E50</f>
        <v>0</v>
      </c>
      <c r="Y51" s="1759">
        <f t="shared" si="46"/>
        <v>0</v>
      </c>
      <c r="Z51" s="1653">
        <f t="shared" si="47"/>
        <v>0</v>
      </c>
      <c r="AA51" s="1657">
        <f t="shared" si="48"/>
        <v>0</v>
      </c>
      <c r="AB51" s="937">
        <f t="shared" si="49"/>
        <v>0</v>
      </c>
      <c r="AC51" s="1555">
        <f t="shared" si="50"/>
        <v>0</v>
      </c>
      <c r="AD51" s="1825">
        <v>0</v>
      </c>
      <c r="AE51" s="1555">
        <f t="shared" si="51"/>
        <v>0</v>
      </c>
      <c r="AF51" s="1755">
        <f>'[4]Table 5C1A-Madison Prep'!T50+'[27]Table 5C1A-Madison Prep'!AF50+('[26]Table 5C1A-Madison Prep'!AF50*6)</f>
        <v>0</v>
      </c>
      <c r="AG51" s="1757">
        <f t="shared" si="52"/>
        <v>0</v>
      </c>
      <c r="AH51" s="999">
        <f t="shared" si="53"/>
        <v>0</v>
      </c>
      <c r="AI51" s="1658">
        <f t="shared" si="58"/>
        <v>0</v>
      </c>
      <c r="AJ51" s="1658">
        <f t="shared" si="59"/>
        <v>0</v>
      </c>
      <c r="AL51" s="49">
        <f>-'[4]Table 5C1A-Madison Prep'!P50</f>
        <v>0</v>
      </c>
      <c r="AM51" s="49">
        <f t="shared" si="60"/>
        <v>0</v>
      </c>
      <c r="AN51" s="49">
        <f t="shared" si="55"/>
        <v>0</v>
      </c>
    </row>
    <row r="52" spans="1:40">
      <c r="A52" s="879">
        <v>45</v>
      </c>
      <c r="B52" s="880" t="s">
        <v>136</v>
      </c>
      <c r="C52" s="973">
        <f>'2-1-13 SIS'!I51</f>
        <v>0</v>
      </c>
      <c r="D52" s="883">
        <f>'Table 3 Levels 1&amp;2'!AL52</f>
        <v>2192.4914538932262</v>
      </c>
      <c r="E52" s="922">
        <f t="shared" si="36"/>
        <v>0</v>
      </c>
      <c r="F52" s="922">
        <f>'Table 4 Level 3'!P50</f>
        <v>753.96000000000015</v>
      </c>
      <c r="G52" s="922">
        <f t="shared" si="37"/>
        <v>0</v>
      </c>
      <c r="H52" s="906">
        <f t="shared" si="38"/>
        <v>0</v>
      </c>
      <c r="I52" s="1729">
        <f>+'[3]Oct midyear Madison Prep'!K51</f>
        <v>0</v>
      </c>
      <c r="J52" s="1729">
        <f>'[3]Feb midyear Madison Prep'!K51</f>
        <v>0</v>
      </c>
      <c r="K52" s="1703">
        <f t="shared" si="39"/>
        <v>0</v>
      </c>
      <c r="L52" s="1393">
        <f t="shared" si="56"/>
        <v>0</v>
      </c>
      <c r="M52" s="932">
        <f t="shared" si="40"/>
        <v>0</v>
      </c>
      <c r="N52" s="906">
        <f t="shared" si="41"/>
        <v>0</v>
      </c>
      <c r="O52" s="883">
        <v>0</v>
      </c>
      <c r="P52" s="1553">
        <f t="shared" si="42"/>
        <v>0</v>
      </c>
      <c r="Q52" s="1804">
        <f>'[4]Table 5C1A-Madison Prep'!M51+'[27]Table 5C1A-Madison Prep'!T51+('[26]Table 5C1A-Madison Prep'!T51*6)</f>
        <v>0</v>
      </c>
      <c r="R52" s="1809">
        <f t="shared" si="43"/>
        <v>0</v>
      </c>
      <c r="S52" s="1806">
        <f t="shared" si="44"/>
        <v>0</v>
      </c>
      <c r="T52" s="1807">
        <f>'[14]FY2013-14 Final'!K52</f>
        <v>12792</v>
      </c>
      <c r="U52" s="1556">
        <f t="shared" si="57"/>
        <v>0</v>
      </c>
      <c r="V52" s="1760">
        <f>+'[3]Oct midyear Madison Prep'!E51</f>
        <v>0</v>
      </c>
      <c r="W52" s="1761">
        <f t="shared" si="45"/>
        <v>0</v>
      </c>
      <c r="X52" s="1762">
        <f>'[3]Feb midyear Madison Prep'!E51</f>
        <v>0</v>
      </c>
      <c r="Y52" s="1763">
        <f t="shared" si="46"/>
        <v>0</v>
      </c>
      <c r="Z52" s="1654">
        <f t="shared" si="47"/>
        <v>0</v>
      </c>
      <c r="AA52" s="1660">
        <f t="shared" si="48"/>
        <v>0</v>
      </c>
      <c r="AB52" s="938">
        <f t="shared" si="49"/>
        <v>0</v>
      </c>
      <c r="AC52" s="1556">
        <f t="shared" si="50"/>
        <v>0</v>
      </c>
      <c r="AD52" s="1826">
        <v>0</v>
      </c>
      <c r="AE52" s="1556">
        <f t="shared" si="51"/>
        <v>0</v>
      </c>
      <c r="AF52" s="1833">
        <f>'[4]Table 5C1A-Madison Prep'!T51+'[27]Table 5C1A-Madison Prep'!AF51+('[26]Table 5C1A-Madison Prep'!AF51*6)</f>
        <v>0</v>
      </c>
      <c r="AG52" s="1761">
        <f t="shared" si="52"/>
        <v>0</v>
      </c>
      <c r="AH52" s="1659">
        <f t="shared" si="53"/>
        <v>0</v>
      </c>
      <c r="AI52" s="1661">
        <f t="shared" si="58"/>
        <v>0</v>
      </c>
      <c r="AJ52" s="1661">
        <f t="shared" si="59"/>
        <v>0</v>
      </c>
      <c r="AL52" s="49">
        <f>-'[4]Table 5C1A-Madison Prep'!P51</f>
        <v>0</v>
      </c>
      <c r="AM52" s="49">
        <f t="shared" si="60"/>
        <v>0</v>
      </c>
      <c r="AN52" s="49">
        <f t="shared" si="55"/>
        <v>0</v>
      </c>
    </row>
    <row r="53" spans="1:40">
      <c r="A53" s="870">
        <v>46</v>
      </c>
      <c r="B53" s="871" t="s">
        <v>137</v>
      </c>
      <c r="C53" s="974">
        <f>'2-1-13 SIS'!I52</f>
        <v>0</v>
      </c>
      <c r="D53" s="884">
        <f>'Table 3 Levels 1&amp;2'!AL53</f>
        <v>5644.6599115241634</v>
      </c>
      <c r="E53" s="923">
        <f t="shared" si="36"/>
        <v>0</v>
      </c>
      <c r="F53" s="923">
        <f>'Table 4 Level 3'!P51</f>
        <v>728.06</v>
      </c>
      <c r="G53" s="923">
        <f t="shared" si="37"/>
        <v>0</v>
      </c>
      <c r="H53" s="907">
        <f t="shared" si="38"/>
        <v>0</v>
      </c>
      <c r="I53" s="1723">
        <f>+'[3]Oct midyear Madison Prep'!K52</f>
        <v>0</v>
      </c>
      <c r="J53" s="1723">
        <f>'[3]Feb midyear Madison Prep'!K52</f>
        <v>0</v>
      </c>
      <c r="K53" s="1547">
        <f t="shared" si="39"/>
        <v>0</v>
      </c>
      <c r="L53" s="1400">
        <f t="shared" si="56"/>
        <v>0</v>
      </c>
      <c r="M53" s="933">
        <f t="shared" si="40"/>
        <v>0</v>
      </c>
      <c r="N53" s="907">
        <f t="shared" si="41"/>
        <v>0</v>
      </c>
      <c r="O53" s="884">
        <v>0</v>
      </c>
      <c r="P53" s="996">
        <f t="shared" si="42"/>
        <v>0</v>
      </c>
      <c r="Q53" s="1718">
        <f>'[4]Table 5C1A-Madison Prep'!M52+'[27]Table 5C1A-Madison Prep'!T52+('[26]Table 5C1A-Madison Prep'!T52*6)</f>
        <v>0</v>
      </c>
      <c r="R53" s="1723">
        <f t="shared" si="43"/>
        <v>0</v>
      </c>
      <c r="S53" s="998">
        <f t="shared" si="44"/>
        <v>0</v>
      </c>
      <c r="T53" s="1802">
        <f>'[14]FY2013-14 Final'!K53</f>
        <v>2423</v>
      </c>
      <c r="U53" s="999">
        <f t="shared" si="57"/>
        <v>0</v>
      </c>
      <c r="V53" s="1754">
        <f>+'[3]Oct midyear Madison Prep'!E52</f>
        <v>0</v>
      </c>
      <c r="W53" s="1755">
        <f t="shared" si="45"/>
        <v>0</v>
      </c>
      <c r="X53" s="1754">
        <f>'[3]Feb midyear Madison Prep'!E52</f>
        <v>0</v>
      </c>
      <c r="Y53" s="1755">
        <f t="shared" si="46"/>
        <v>0</v>
      </c>
      <c r="Z53" s="1652">
        <f t="shared" si="47"/>
        <v>0</v>
      </c>
      <c r="AA53" s="999">
        <f t="shared" si="48"/>
        <v>0</v>
      </c>
      <c r="AB53" s="936">
        <f t="shared" si="49"/>
        <v>0</v>
      </c>
      <c r="AC53" s="999">
        <f t="shared" si="50"/>
        <v>0</v>
      </c>
      <c r="AD53" s="1755">
        <v>0</v>
      </c>
      <c r="AE53" s="999">
        <f t="shared" si="51"/>
        <v>0</v>
      </c>
      <c r="AF53" s="1755">
        <f>'[4]Table 5C1A-Madison Prep'!T52+'[27]Table 5C1A-Madison Prep'!AF52+('[26]Table 5C1A-Madison Prep'!AF52*6)</f>
        <v>0</v>
      </c>
      <c r="AG53" s="1755">
        <f t="shared" si="52"/>
        <v>0</v>
      </c>
      <c r="AH53" s="999">
        <f t="shared" si="53"/>
        <v>0</v>
      </c>
      <c r="AI53" s="1656">
        <f t="shared" si="58"/>
        <v>0</v>
      </c>
      <c r="AJ53" s="1656">
        <f t="shared" si="59"/>
        <v>0</v>
      </c>
      <c r="AL53" s="49">
        <f>-'[4]Table 5C1A-Madison Prep'!P52</f>
        <v>0</v>
      </c>
      <c r="AM53" s="49">
        <f t="shared" si="60"/>
        <v>0</v>
      </c>
      <c r="AN53" s="49">
        <f t="shared" si="55"/>
        <v>0</v>
      </c>
    </row>
    <row r="54" spans="1:40">
      <c r="A54" s="876">
        <v>47</v>
      </c>
      <c r="B54" s="877" t="s">
        <v>138</v>
      </c>
      <c r="C54" s="972">
        <f>'2-1-13 SIS'!I53</f>
        <v>0</v>
      </c>
      <c r="D54" s="882">
        <f>'Table 3 Levels 1&amp;2'!AL54</f>
        <v>2731.2444076222037</v>
      </c>
      <c r="E54" s="921">
        <f t="shared" si="36"/>
        <v>0</v>
      </c>
      <c r="F54" s="921">
        <f>'Table 4 Level 3'!P52</f>
        <v>910.76</v>
      </c>
      <c r="G54" s="921">
        <f t="shared" si="37"/>
        <v>0</v>
      </c>
      <c r="H54" s="905">
        <f t="shared" si="38"/>
        <v>0</v>
      </c>
      <c r="I54" s="1728">
        <f>+'[3]Oct midyear Madison Prep'!K53</f>
        <v>0</v>
      </c>
      <c r="J54" s="1728">
        <f>'[3]Feb midyear Madison Prep'!K53</f>
        <v>0</v>
      </c>
      <c r="K54" s="1702">
        <f t="shared" si="39"/>
        <v>0</v>
      </c>
      <c r="L54" s="1394">
        <f t="shared" si="56"/>
        <v>0</v>
      </c>
      <c r="M54" s="931">
        <f t="shared" si="40"/>
        <v>0</v>
      </c>
      <c r="N54" s="905">
        <f t="shared" si="41"/>
        <v>0</v>
      </c>
      <c r="O54" s="882">
        <v>0</v>
      </c>
      <c r="P54" s="1552">
        <f t="shared" si="42"/>
        <v>0</v>
      </c>
      <c r="Q54" s="1718">
        <f>'[4]Table 5C1A-Madison Prep'!M53+'[27]Table 5C1A-Madison Prep'!T53+('[26]Table 5C1A-Madison Prep'!T53*6)</f>
        <v>0</v>
      </c>
      <c r="R54" s="1808">
        <f t="shared" si="43"/>
        <v>0</v>
      </c>
      <c r="S54" s="998">
        <f t="shared" si="44"/>
        <v>0</v>
      </c>
      <c r="T54" s="1802">
        <f>'[14]FY2013-14 Final'!K54</f>
        <v>12963</v>
      </c>
      <c r="U54" s="1555">
        <f t="shared" si="57"/>
        <v>0</v>
      </c>
      <c r="V54" s="1756">
        <f>+'[3]Oct midyear Madison Prep'!E53</f>
        <v>0</v>
      </c>
      <c r="W54" s="1757">
        <f t="shared" si="45"/>
        <v>0</v>
      </c>
      <c r="X54" s="1758">
        <f>'[3]Feb midyear Madison Prep'!E53</f>
        <v>0</v>
      </c>
      <c r="Y54" s="1759">
        <f t="shared" si="46"/>
        <v>0</v>
      </c>
      <c r="Z54" s="1653">
        <f t="shared" si="47"/>
        <v>0</v>
      </c>
      <c r="AA54" s="1657">
        <f t="shared" si="48"/>
        <v>0</v>
      </c>
      <c r="AB54" s="937">
        <f t="shared" si="49"/>
        <v>0</v>
      </c>
      <c r="AC54" s="1555">
        <f t="shared" si="50"/>
        <v>0</v>
      </c>
      <c r="AD54" s="1825">
        <v>0</v>
      </c>
      <c r="AE54" s="1555">
        <f t="shared" si="51"/>
        <v>0</v>
      </c>
      <c r="AF54" s="1755">
        <f>'[4]Table 5C1A-Madison Prep'!T53+'[27]Table 5C1A-Madison Prep'!AF53+('[26]Table 5C1A-Madison Prep'!AF53*6)</f>
        <v>0</v>
      </c>
      <c r="AG54" s="1757">
        <f t="shared" si="52"/>
        <v>0</v>
      </c>
      <c r="AH54" s="999">
        <f t="shared" si="53"/>
        <v>0</v>
      </c>
      <c r="AI54" s="1658">
        <f t="shared" si="58"/>
        <v>0</v>
      </c>
      <c r="AJ54" s="1658">
        <f t="shared" si="59"/>
        <v>0</v>
      </c>
      <c r="AL54" s="49">
        <f>-'[4]Table 5C1A-Madison Prep'!P53</f>
        <v>0</v>
      </c>
      <c r="AM54" s="49">
        <f t="shared" si="60"/>
        <v>0</v>
      </c>
      <c r="AN54" s="49">
        <f t="shared" si="55"/>
        <v>0</v>
      </c>
    </row>
    <row r="55" spans="1:40">
      <c r="A55" s="876">
        <v>48</v>
      </c>
      <c r="B55" s="877" t="s">
        <v>195</v>
      </c>
      <c r="C55" s="972">
        <f>'2-1-13 SIS'!I54</f>
        <v>0</v>
      </c>
      <c r="D55" s="882">
        <f>'Table 3 Levels 1&amp;2'!AL55</f>
        <v>4272.723323083942</v>
      </c>
      <c r="E55" s="921">
        <f t="shared" si="36"/>
        <v>0</v>
      </c>
      <c r="F55" s="921">
        <f>'Table 4 Level 3'!P53</f>
        <v>871.07</v>
      </c>
      <c r="G55" s="921">
        <f t="shared" si="37"/>
        <v>0</v>
      </c>
      <c r="H55" s="905">
        <f t="shared" si="38"/>
        <v>0</v>
      </c>
      <c r="I55" s="1728">
        <f>+'[3]Oct midyear Madison Prep'!K54</f>
        <v>0</v>
      </c>
      <c r="J55" s="1728">
        <f>'[3]Feb midyear Madison Prep'!K54</f>
        <v>0</v>
      </c>
      <c r="K55" s="1702">
        <f t="shared" si="39"/>
        <v>0</v>
      </c>
      <c r="L55" s="1394">
        <f t="shared" si="56"/>
        <v>0</v>
      </c>
      <c r="M55" s="931">
        <f t="shared" si="40"/>
        <v>0</v>
      </c>
      <c r="N55" s="905">
        <f t="shared" si="41"/>
        <v>0</v>
      </c>
      <c r="O55" s="882">
        <v>0</v>
      </c>
      <c r="P55" s="1552">
        <f t="shared" si="42"/>
        <v>0</v>
      </c>
      <c r="Q55" s="1718">
        <f>'[4]Table 5C1A-Madison Prep'!M54+'[27]Table 5C1A-Madison Prep'!T54+('[26]Table 5C1A-Madison Prep'!T54*6)</f>
        <v>0</v>
      </c>
      <c r="R55" s="1808">
        <f t="shared" si="43"/>
        <v>0</v>
      </c>
      <c r="S55" s="998">
        <f t="shared" si="44"/>
        <v>0</v>
      </c>
      <c r="T55" s="1802">
        <f>'[14]FY2013-14 Final'!K55</f>
        <v>6585</v>
      </c>
      <c r="U55" s="1555">
        <f t="shared" si="57"/>
        <v>0</v>
      </c>
      <c r="V55" s="1756">
        <f>+'[3]Oct midyear Madison Prep'!E54</f>
        <v>0</v>
      </c>
      <c r="W55" s="1757">
        <f t="shared" si="45"/>
        <v>0</v>
      </c>
      <c r="X55" s="1758">
        <f>'[3]Feb midyear Madison Prep'!E54</f>
        <v>0</v>
      </c>
      <c r="Y55" s="1759">
        <f t="shared" si="46"/>
        <v>0</v>
      </c>
      <c r="Z55" s="1653">
        <f t="shared" si="47"/>
        <v>0</v>
      </c>
      <c r="AA55" s="1657">
        <f t="shared" si="48"/>
        <v>0</v>
      </c>
      <c r="AB55" s="937">
        <f t="shared" si="49"/>
        <v>0</v>
      </c>
      <c r="AC55" s="1555">
        <f t="shared" si="50"/>
        <v>0</v>
      </c>
      <c r="AD55" s="1825">
        <v>0</v>
      </c>
      <c r="AE55" s="1555">
        <f t="shared" si="51"/>
        <v>0</v>
      </c>
      <c r="AF55" s="1755">
        <f>'[4]Table 5C1A-Madison Prep'!T54+'[27]Table 5C1A-Madison Prep'!AF54+('[26]Table 5C1A-Madison Prep'!AF54*6)</f>
        <v>0</v>
      </c>
      <c r="AG55" s="1757">
        <f t="shared" si="52"/>
        <v>0</v>
      </c>
      <c r="AH55" s="999">
        <f t="shared" si="53"/>
        <v>0</v>
      </c>
      <c r="AI55" s="1658">
        <f t="shared" si="58"/>
        <v>0</v>
      </c>
      <c r="AJ55" s="1658">
        <f t="shared" si="59"/>
        <v>0</v>
      </c>
      <c r="AL55" s="49">
        <f>-'[4]Table 5C1A-Madison Prep'!P54</f>
        <v>0</v>
      </c>
      <c r="AM55" s="49">
        <f t="shared" si="60"/>
        <v>0</v>
      </c>
      <c r="AN55" s="49">
        <f t="shared" si="55"/>
        <v>0</v>
      </c>
    </row>
    <row r="56" spans="1:40">
      <c r="A56" s="876">
        <v>49</v>
      </c>
      <c r="B56" s="877" t="s">
        <v>139</v>
      </c>
      <c r="C56" s="972">
        <f>'2-1-13 SIS'!I55</f>
        <v>0</v>
      </c>
      <c r="D56" s="882">
        <f>'Table 3 Levels 1&amp;2'!AL56</f>
        <v>4836.7092570332552</v>
      </c>
      <c r="E56" s="921">
        <f t="shared" si="36"/>
        <v>0</v>
      </c>
      <c r="F56" s="921">
        <f>'Table 4 Level 3'!P54</f>
        <v>574.43999999999994</v>
      </c>
      <c r="G56" s="921">
        <f t="shared" si="37"/>
        <v>0</v>
      </c>
      <c r="H56" s="905">
        <f t="shared" si="38"/>
        <v>0</v>
      </c>
      <c r="I56" s="1728">
        <f>+'[3]Oct midyear Madison Prep'!K55</f>
        <v>0</v>
      </c>
      <c r="J56" s="1728">
        <f>'[3]Feb midyear Madison Prep'!K55</f>
        <v>0</v>
      </c>
      <c r="K56" s="1702">
        <f t="shared" si="39"/>
        <v>0</v>
      </c>
      <c r="L56" s="1394">
        <f t="shared" si="56"/>
        <v>0</v>
      </c>
      <c r="M56" s="931">
        <f t="shared" si="40"/>
        <v>0</v>
      </c>
      <c r="N56" s="905">
        <f t="shared" si="41"/>
        <v>0</v>
      </c>
      <c r="O56" s="882">
        <v>0</v>
      </c>
      <c r="P56" s="1552">
        <f t="shared" si="42"/>
        <v>0</v>
      </c>
      <c r="Q56" s="1718">
        <f>'[4]Table 5C1A-Madison Prep'!M55+'[27]Table 5C1A-Madison Prep'!T55+('[26]Table 5C1A-Madison Prep'!T55*6)</f>
        <v>0</v>
      </c>
      <c r="R56" s="1808">
        <f t="shared" si="43"/>
        <v>0</v>
      </c>
      <c r="S56" s="998">
        <f t="shared" si="44"/>
        <v>0</v>
      </c>
      <c r="T56" s="1802">
        <f>'[14]FY2013-14 Final'!K56</f>
        <v>2402</v>
      </c>
      <c r="U56" s="1555">
        <f t="shared" si="57"/>
        <v>0</v>
      </c>
      <c r="V56" s="1756">
        <f>+'[3]Oct midyear Madison Prep'!E55</f>
        <v>0</v>
      </c>
      <c r="W56" s="1757">
        <f t="shared" si="45"/>
        <v>0</v>
      </c>
      <c r="X56" s="1758">
        <f>'[3]Feb midyear Madison Prep'!E55</f>
        <v>0</v>
      </c>
      <c r="Y56" s="1759">
        <f t="shared" si="46"/>
        <v>0</v>
      </c>
      <c r="Z56" s="1653">
        <f t="shared" si="47"/>
        <v>0</v>
      </c>
      <c r="AA56" s="1657">
        <f t="shared" si="48"/>
        <v>0</v>
      </c>
      <c r="AB56" s="937">
        <f t="shared" si="49"/>
        <v>0</v>
      </c>
      <c r="AC56" s="1555">
        <f t="shared" si="50"/>
        <v>0</v>
      </c>
      <c r="AD56" s="1825">
        <v>0</v>
      </c>
      <c r="AE56" s="1555">
        <f t="shared" si="51"/>
        <v>0</v>
      </c>
      <c r="AF56" s="1755">
        <f>'[4]Table 5C1A-Madison Prep'!T55+'[27]Table 5C1A-Madison Prep'!AF55+('[26]Table 5C1A-Madison Prep'!AF55*6)</f>
        <v>0</v>
      </c>
      <c r="AG56" s="1757">
        <f t="shared" si="52"/>
        <v>0</v>
      </c>
      <c r="AH56" s="999">
        <f t="shared" si="53"/>
        <v>0</v>
      </c>
      <c r="AI56" s="1658">
        <f t="shared" si="58"/>
        <v>0</v>
      </c>
      <c r="AJ56" s="1658">
        <f t="shared" si="59"/>
        <v>0</v>
      </c>
      <c r="AL56" s="49">
        <f>-'[4]Table 5C1A-Madison Prep'!P55</f>
        <v>0</v>
      </c>
      <c r="AM56" s="49">
        <f t="shared" si="60"/>
        <v>0</v>
      </c>
      <c r="AN56" s="49">
        <f t="shared" si="55"/>
        <v>0</v>
      </c>
    </row>
    <row r="57" spans="1:40">
      <c r="A57" s="879">
        <v>50</v>
      </c>
      <c r="B57" s="880" t="s">
        <v>140</v>
      </c>
      <c r="C57" s="973">
        <f>'2-1-13 SIS'!I56</f>
        <v>0</v>
      </c>
      <c r="D57" s="883">
        <f>'Table 3 Levels 1&amp;2'!AL57</f>
        <v>5032.6862895017111</v>
      </c>
      <c r="E57" s="922">
        <f t="shared" si="36"/>
        <v>0</v>
      </c>
      <c r="F57" s="922">
        <f>'Table 4 Level 3'!P55</f>
        <v>634.46</v>
      </c>
      <c r="G57" s="922">
        <f t="shared" si="37"/>
        <v>0</v>
      </c>
      <c r="H57" s="906">
        <f t="shared" si="38"/>
        <v>0</v>
      </c>
      <c r="I57" s="1729">
        <f>+'[3]Oct midyear Madison Prep'!K56</f>
        <v>0</v>
      </c>
      <c r="J57" s="1729">
        <f>'[3]Feb midyear Madison Prep'!K56</f>
        <v>0</v>
      </c>
      <c r="K57" s="1703">
        <f t="shared" si="39"/>
        <v>0</v>
      </c>
      <c r="L57" s="1393">
        <f t="shared" si="56"/>
        <v>0</v>
      </c>
      <c r="M57" s="932">
        <f t="shared" si="40"/>
        <v>0</v>
      </c>
      <c r="N57" s="906">
        <f t="shared" si="41"/>
        <v>0</v>
      </c>
      <c r="O57" s="883">
        <v>0</v>
      </c>
      <c r="P57" s="1553">
        <f t="shared" si="42"/>
        <v>0</v>
      </c>
      <c r="Q57" s="1804">
        <f>'[4]Table 5C1A-Madison Prep'!M56+'[27]Table 5C1A-Madison Prep'!T56+('[26]Table 5C1A-Madison Prep'!T56*6)</f>
        <v>0</v>
      </c>
      <c r="R57" s="1809">
        <f t="shared" si="43"/>
        <v>0</v>
      </c>
      <c r="S57" s="1806">
        <f t="shared" si="44"/>
        <v>0</v>
      </c>
      <c r="T57" s="1807">
        <f>'[14]FY2013-14 Final'!K57</f>
        <v>3143</v>
      </c>
      <c r="U57" s="1556">
        <f t="shared" si="57"/>
        <v>0</v>
      </c>
      <c r="V57" s="1760">
        <f>+'[3]Oct midyear Madison Prep'!E56</f>
        <v>0</v>
      </c>
      <c r="W57" s="1761">
        <f t="shared" si="45"/>
        <v>0</v>
      </c>
      <c r="X57" s="1762">
        <f>'[3]Feb midyear Madison Prep'!E56</f>
        <v>0</v>
      </c>
      <c r="Y57" s="1763">
        <f t="shared" si="46"/>
        <v>0</v>
      </c>
      <c r="Z57" s="1654">
        <f t="shared" si="47"/>
        <v>0</v>
      </c>
      <c r="AA57" s="1660">
        <f t="shared" si="48"/>
        <v>0</v>
      </c>
      <c r="AB57" s="938">
        <f t="shared" si="49"/>
        <v>0</v>
      </c>
      <c r="AC57" s="1556">
        <f t="shared" si="50"/>
        <v>0</v>
      </c>
      <c r="AD57" s="1826">
        <v>0</v>
      </c>
      <c r="AE57" s="1556">
        <f t="shared" si="51"/>
        <v>0</v>
      </c>
      <c r="AF57" s="1833">
        <f>'[4]Table 5C1A-Madison Prep'!T56+'[27]Table 5C1A-Madison Prep'!AF56+('[26]Table 5C1A-Madison Prep'!AF56*6)</f>
        <v>0</v>
      </c>
      <c r="AG57" s="1761">
        <f t="shared" si="52"/>
        <v>0</v>
      </c>
      <c r="AH57" s="1659">
        <f t="shared" si="53"/>
        <v>0</v>
      </c>
      <c r="AI57" s="1661">
        <f t="shared" si="58"/>
        <v>0</v>
      </c>
      <c r="AJ57" s="1661">
        <f t="shared" si="59"/>
        <v>0</v>
      </c>
      <c r="AL57" s="49">
        <f>-'[4]Table 5C1A-Madison Prep'!P56</f>
        <v>0</v>
      </c>
      <c r="AM57" s="49">
        <f t="shared" si="60"/>
        <v>0</v>
      </c>
      <c r="AN57" s="49">
        <f t="shared" si="55"/>
        <v>0</v>
      </c>
    </row>
    <row r="58" spans="1:40">
      <c r="A58" s="870">
        <v>51</v>
      </c>
      <c r="B58" s="871" t="s">
        <v>141</v>
      </c>
      <c r="C58" s="974">
        <f>'2-1-13 SIS'!I57</f>
        <v>0</v>
      </c>
      <c r="D58" s="884">
        <f>'Table 3 Levels 1&amp;2'!AL58</f>
        <v>4246.0339872793602</v>
      </c>
      <c r="E58" s="923">
        <f t="shared" si="36"/>
        <v>0</v>
      </c>
      <c r="F58" s="923">
        <f>'Table 4 Level 3'!P56</f>
        <v>706.66</v>
      </c>
      <c r="G58" s="923">
        <f t="shared" si="37"/>
        <v>0</v>
      </c>
      <c r="H58" s="907">
        <f t="shared" si="38"/>
        <v>0</v>
      </c>
      <c r="I58" s="1723">
        <f>+'[3]Oct midyear Madison Prep'!K57</f>
        <v>0</v>
      </c>
      <c r="J58" s="1723">
        <f>'[3]Feb midyear Madison Prep'!K57</f>
        <v>0</v>
      </c>
      <c r="K58" s="1547">
        <f t="shared" si="39"/>
        <v>0</v>
      </c>
      <c r="L58" s="1400">
        <f t="shared" si="56"/>
        <v>0</v>
      </c>
      <c r="M58" s="933">
        <f t="shared" si="40"/>
        <v>0</v>
      </c>
      <c r="N58" s="907">
        <f t="shared" si="41"/>
        <v>0</v>
      </c>
      <c r="O58" s="884">
        <v>0</v>
      </c>
      <c r="P58" s="996">
        <f t="shared" si="42"/>
        <v>0</v>
      </c>
      <c r="Q58" s="1718">
        <f>'[4]Table 5C1A-Madison Prep'!M57+'[27]Table 5C1A-Madison Prep'!T57+('[26]Table 5C1A-Madison Prep'!T57*6)</f>
        <v>0</v>
      </c>
      <c r="R58" s="1723">
        <f t="shared" si="43"/>
        <v>0</v>
      </c>
      <c r="S58" s="998">
        <f t="shared" si="44"/>
        <v>0</v>
      </c>
      <c r="T58" s="1802">
        <f>'[14]FY2013-14 Final'!K58</f>
        <v>4370</v>
      </c>
      <c r="U58" s="999">
        <f t="shared" si="57"/>
        <v>0</v>
      </c>
      <c r="V58" s="1754">
        <f>+'[3]Oct midyear Madison Prep'!E57</f>
        <v>0</v>
      </c>
      <c r="W58" s="1755">
        <f t="shared" si="45"/>
        <v>0</v>
      </c>
      <c r="X58" s="1754">
        <f>'[3]Feb midyear Madison Prep'!E57</f>
        <v>0</v>
      </c>
      <c r="Y58" s="1755">
        <f t="shared" si="46"/>
        <v>0</v>
      </c>
      <c r="Z58" s="1652">
        <f t="shared" si="47"/>
        <v>0</v>
      </c>
      <c r="AA58" s="999">
        <f t="shared" si="48"/>
        <v>0</v>
      </c>
      <c r="AB58" s="936">
        <f t="shared" si="49"/>
        <v>0</v>
      </c>
      <c r="AC58" s="999">
        <f t="shared" si="50"/>
        <v>0</v>
      </c>
      <c r="AD58" s="1755">
        <v>0</v>
      </c>
      <c r="AE58" s="999">
        <f t="shared" si="51"/>
        <v>0</v>
      </c>
      <c r="AF58" s="1755">
        <f>'[4]Table 5C1A-Madison Prep'!T57+'[27]Table 5C1A-Madison Prep'!AF57+('[26]Table 5C1A-Madison Prep'!AF57*6)</f>
        <v>0</v>
      </c>
      <c r="AG58" s="1755">
        <f t="shared" si="52"/>
        <v>0</v>
      </c>
      <c r="AH58" s="999">
        <f t="shared" si="53"/>
        <v>0</v>
      </c>
      <c r="AI58" s="1656">
        <f t="shared" si="58"/>
        <v>0</v>
      </c>
      <c r="AJ58" s="1656">
        <f t="shared" si="59"/>
        <v>0</v>
      </c>
      <c r="AL58" s="49">
        <f>-'[4]Table 5C1A-Madison Prep'!P57</f>
        <v>0</v>
      </c>
      <c r="AM58" s="49">
        <f t="shared" si="60"/>
        <v>0</v>
      </c>
      <c r="AN58" s="49">
        <f t="shared" si="55"/>
        <v>0</v>
      </c>
    </row>
    <row r="59" spans="1:40">
      <c r="A59" s="876">
        <v>52</v>
      </c>
      <c r="B59" s="877" t="s">
        <v>142</v>
      </c>
      <c r="C59" s="972">
        <f>'2-1-13 SIS'!I58</f>
        <v>0</v>
      </c>
      <c r="D59" s="882">
        <f>'Table 3 Levels 1&amp;2'!AL59</f>
        <v>5013.4438050113249</v>
      </c>
      <c r="E59" s="921">
        <f t="shared" si="36"/>
        <v>0</v>
      </c>
      <c r="F59" s="921">
        <f>'Table 4 Level 3'!P57</f>
        <v>658.37</v>
      </c>
      <c r="G59" s="921">
        <f t="shared" si="37"/>
        <v>0</v>
      </c>
      <c r="H59" s="905">
        <f t="shared" si="38"/>
        <v>0</v>
      </c>
      <c r="I59" s="1728">
        <f>+'[3]Oct midyear Madison Prep'!K58</f>
        <v>0</v>
      </c>
      <c r="J59" s="1728">
        <f>'[3]Feb midyear Madison Prep'!K58</f>
        <v>0</v>
      </c>
      <c r="K59" s="1702">
        <f t="shared" si="39"/>
        <v>0</v>
      </c>
      <c r="L59" s="1394">
        <f t="shared" si="56"/>
        <v>0</v>
      </c>
      <c r="M59" s="931">
        <f t="shared" si="40"/>
        <v>0</v>
      </c>
      <c r="N59" s="905">
        <f t="shared" si="41"/>
        <v>0</v>
      </c>
      <c r="O59" s="882">
        <v>0</v>
      </c>
      <c r="P59" s="1552">
        <f t="shared" si="42"/>
        <v>0</v>
      </c>
      <c r="Q59" s="1718">
        <f>'[4]Table 5C1A-Madison Prep'!M58+'[27]Table 5C1A-Madison Prep'!T58+('[26]Table 5C1A-Madison Prep'!T58*6)</f>
        <v>0</v>
      </c>
      <c r="R59" s="1808">
        <f t="shared" si="43"/>
        <v>0</v>
      </c>
      <c r="S59" s="998">
        <f t="shared" si="44"/>
        <v>0</v>
      </c>
      <c r="T59" s="1802">
        <f>'[14]FY2013-14 Final'!K59</f>
        <v>5143</v>
      </c>
      <c r="U59" s="1555">
        <f t="shared" si="57"/>
        <v>0</v>
      </c>
      <c r="V59" s="1756">
        <f>+'[3]Oct midyear Madison Prep'!E58</f>
        <v>0</v>
      </c>
      <c r="W59" s="1757">
        <f t="shared" si="45"/>
        <v>0</v>
      </c>
      <c r="X59" s="1758">
        <f>'[3]Feb midyear Madison Prep'!E58</f>
        <v>0</v>
      </c>
      <c r="Y59" s="1759">
        <f t="shared" si="46"/>
        <v>0</v>
      </c>
      <c r="Z59" s="1653">
        <f t="shared" si="47"/>
        <v>0</v>
      </c>
      <c r="AA59" s="1657">
        <f t="shared" si="48"/>
        <v>0</v>
      </c>
      <c r="AB59" s="937">
        <f t="shared" si="49"/>
        <v>0</v>
      </c>
      <c r="AC59" s="1555">
        <f t="shared" si="50"/>
        <v>0</v>
      </c>
      <c r="AD59" s="1825">
        <v>0</v>
      </c>
      <c r="AE59" s="1555">
        <f t="shared" si="51"/>
        <v>0</v>
      </c>
      <c r="AF59" s="1755">
        <f>'[4]Table 5C1A-Madison Prep'!T58+'[27]Table 5C1A-Madison Prep'!AF58+('[26]Table 5C1A-Madison Prep'!AF58*6)</f>
        <v>0</v>
      </c>
      <c r="AG59" s="1757">
        <f t="shared" si="52"/>
        <v>0</v>
      </c>
      <c r="AH59" s="999">
        <f t="shared" si="53"/>
        <v>0</v>
      </c>
      <c r="AI59" s="1658">
        <f t="shared" si="58"/>
        <v>0</v>
      </c>
      <c r="AJ59" s="1658">
        <f t="shared" si="59"/>
        <v>0</v>
      </c>
      <c r="AL59" s="49">
        <f>-'[4]Table 5C1A-Madison Prep'!P58</f>
        <v>0</v>
      </c>
      <c r="AM59" s="49">
        <f t="shared" si="60"/>
        <v>0</v>
      </c>
      <c r="AN59" s="49">
        <f t="shared" si="55"/>
        <v>0</v>
      </c>
    </row>
    <row r="60" spans="1:40">
      <c r="A60" s="876">
        <v>53</v>
      </c>
      <c r="B60" s="877" t="s">
        <v>143</v>
      </c>
      <c r="C60" s="972">
        <f>'2-1-13 SIS'!I59</f>
        <v>0</v>
      </c>
      <c r="D60" s="882">
        <f>'Table 3 Levels 1&amp;2'!AL60</f>
        <v>4775.5877635581091</v>
      </c>
      <c r="E60" s="921">
        <f t="shared" si="36"/>
        <v>0</v>
      </c>
      <c r="F60" s="921">
        <f>'Table 4 Level 3'!P58</f>
        <v>689.74</v>
      </c>
      <c r="G60" s="921">
        <f t="shared" si="37"/>
        <v>0</v>
      </c>
      <c r="H60" s="905">
        <f t="shared" si="38"/>
        <v>0</v>
      </c>
      <c r="I60" s="1728">
        <f>+'[3]Oct midyear Madison Prep'!K59</f>
        <v>0</v>
      </c>
      <c r="J60" s="1728">
        <f>'[3]Feb midyear Madison Prep'!K59</f>
        <v>0</v>
      </c>
      <c r="K60" s="1702">
        <f t="shared" si="39"/>
        <v>0</v>
      </c>
      <c r="L60" s="1394">
        <f t="shared" si="56"/>
        <v>0</v>
      </c>
      <c r="M60" s="931">
        <f t="shared" si="40"/>
        <v>0</v>
      </c>
      <c r="N60" s="905">
        <f t="shared" si="41"/>
        <v>0</v>
      </c>
      <c r="O60" s="882">
        <v>0</v>
      </c>
      <c r="P60" s="1552">
        <f t="shared" si="42"/>
        <v>0</v>
      </c>
      <c r="Q60" s="1718">
        <f>'[4]Table 5C1A-Madison Prep'!M59+'[27]Table 5C1A-Madison Prep'!T59+('[26]Table 5C1A-Madison Prep'!T59*6)</f>
        <v>0</v>
      </c>
      <c r="R60" s="1808">
        <f t="shared" si="43"/>
        <v>0</v>
      </c>
      <c r="S60" s="998">
        <f t="shared" si="44"/>
        <v>0</v>
      </c>
      <c r="T60" s="1802">
        <f>'[14]FY2013-14 Final'!K60</f>
        <v>2109</v>
      </c>
      <c r="U60" s="1555">
        <f t="shared" si="57"/>
        <v>0</v>
      </c>
      <c r="V60" s="1756">
        <f>+'[3]Oct midyear Madison Prep'!E59</f>
        <v>0</v>
      </c>
      <c r="W60" s="1757">
        <f t="shared" si="45"/>
        <v>0</v>
      </c>
      <c r="X60" s="1758">
        <f>'[3]Feb midyear Madison Prep'!E59</f>
        <v>0</v>
      </c>
      <c r="Y60" s="1759">
        <f t="shared" si="46"/>
        <v>0</v>
      </c>
      <c r="Z60" s="1653">
        <f t="shared" si="47"/>
        <v>0</v>
      </c>
      <c r="AA60" s="1657">
        <f t="shared" si="48"/>
        <v>0</v>
      </c>
      <c r="AB60" s="937">
        <f t="shared" si="49"/>
        <v>0</v>
      </c>
      <c r="AC60" s="1555">
        <f t="shared" si="50"/>
        <v>0</v>
      </c>
      <c r="AD60" s="1825">
        <v>0</v>
      </c>
      <c r="AE60" s="1555">
        <f t="shared" si="51"/>
        <v>0</v>
      </c>
      <c r="AF60" s="1755">
        <f>'[4]Table 5C1A-Madison Prep'!T59+'[27]Table 5C1A-Madison Prep'!AF59+('[26]Table 5C1A-Madison Prep'!AF59*6)</f>
        <v>0</v>
      </c>
      <c r="AG60" s="1757">
        <f t="shared" si="52"/>
        <v>0</v>
      </c>
      <c r="AH60" s="999">
        <f t="shared" si="53"/>
        <v>0</v>
      </c>
      <c r="AI60" s="1658">
        <f t="shared" si="58"/>
        <v>0</v>
      </c>
      <c r="AJ60" s="1658">
        <f t="shared" si="59"/>
        <v>0</v>
      </c>
      <c r="AL60" s="49">
        <f>-'[4]Table 5C1A-Madison Prep'!P59</f>
        <v>0</v>
      </c>
      <c r="AM60" s="49">
        <f t="shared" si="60"/>
        <v>0</v>
      </c>
      <c r="AN60" s="49">
        <f t="shared" si="55"/>
        <v>0</v>
      </c>
    </row>
    <row r="61" spans="1:40">
      <c r="A61" s="876">
        <v>54</v>
      </c>
      <c r="B61" s="877" t="s">
        <v>144</v>
      </c>
      <c r="C61" s="972">
        <f>'2-1-13 SIS'!I60</f>
        <v>0</v>
      </c>
      <c r="D61" s="882">
        <f>'Table 3 Levels 1&amp;2'!AL61</f>
        <v>5951.8009386275662</v>
      </c>
      <c r="E61" s="921">
        <f t="shared" si="36"/>
        <v>0</v>
      </c>
      <c r="F61" s="921">
        <f>'Table 4 Level 3'!P59</f>
        <v>951.45</v>
      </c>
      <c r="G61" s="921">
        <f t="shared" si="37"/>
        <v>0</v>
      </c>
      <c r="H61" s="905">
        <f t="shared" si="38"/>
        <v>0</v>
      </c>
      <c r="I61" s="1728">
        <f>+'[3]Oct midyear Madison Prep'!K60</f>
        <v>0</v>
      </c>
      <c r="J61" s="1728">
        <f>'[3]Feb midyear Madison Prep'!K60</f>
        <v>0</v>
      </c>
      <c r="K61" s="1702">
        <f t="shared" si="39"/>
        <v>0</v>
      </c>
      <c r="L61" s="1394">
        <f t="shared" si="56"/>
        <v>0</v>
      </c>
      <c r="M61" s="931">
        <f t="shared" si="40"/>
        <v>0</v>
      </c>
      <c r="N61" s="905">
        <f t="shared" si="41"/>
        <v>0</v>
      </c>
      <c r="O61" s="882">
        <v>0</v>
      </c>
      <c r="P61" s="1552">
        <f t="shared" si="42"/>
        <v>0</v>
      </c>
      <c r="Q61" s="1718">
        <f>'[4]Table 5C1A-Madison Prep'!M60+'[27]Table 5C1A-Madison Prep'!T60+('[26]Table 5C1A-Madison Prep'!T60*6)</f>
        <v>0</v>
      </c>
      <c r="R61" s="1808">
        <f t="shared" si="43"/>
        <v>0</v>
      </c>
      <c r="S61" s="998">
        <f t="shared" si="44"/>
        <v>0</v>
      </c>
      <c r="T61" s="1802">
        <f>'[14]FY2013-14 Final'!K61</f>
        <v>3760</v>
      </c>
      <c r="U61" s="1555">
        <f t="shared" si="57"/>
        <v>0</v>
      </c>
      <c r="V61" s="1756">
        <f>+'[3]Oct midyear Madison Prep'!E60</f>
        <v>0</v>
      </c>
      <c r="W61" s="1757">
        <f t="shared" si="45"/>
        <v>0</v>
      </c>
      <c r="X61" s="1758">
        <f>'[3]Feb midyear Madison Prep'!E60</f>
        <v>0</v>
      </c>
      <c r="Y61" s="1759">
        <f t="shared" si="46"/>
        <v>0</v>
      </c>
      <c r="Z61" s="1653">
        <f t="shared" si="47"/>
        <v>0</v>
      </c>
      <c r="AA61" s="1657">
        <f t="shared" si="48"/>
        <v>0</v>
      </c>
      <c r="AB61" s="937">
        <f t="shared" si="49"/>
        <v>0</v>
      </c>
      <c r="AC61" s="1555">
        <f t="shared" si="50"/>
        <v>0</v>
      </c>
      <c r="AD61" s="1825">
        <v>0</v>
      </c>
      <c r="AE61" s="1555">
        <f t="shared" si="51"/>
        <v>0</v>
      </c>
      <c r="AF61" s="1755">
        <f>'[4]Table 5C1A-Madison Prep'!T60+'[27]Table 5C1A-Madison Prep'!AF60+('[26]Table 5C1A-Madison Prep'!AF60*6)</f>
        <v>0</v>
      </c>
      <c r="AG61" s="1757">
        <f t="shared" si="52"/>
        <v>0</v>
      </c>
      <c r="AH61" s="999">
        <f t="shared" si="53"/>
        <v>0</v>
      </c>
      <c r="AI61" s="1658">
        <f t="shared" si="58"/>
        <v>0</v>
      </c>
      <c r="AJ61" s="1658">
        <f t="shared" si="59"/>
        <v>0</v>
      </c>
      <c r="AL61" s="49">
        <f>-'[4]Table 5C1A-Madison Prep'!P60</f>
        <v>0</v>
      </c>
      <c r="AM61" s="49">
        <f t="shared" si="60"/>
        <v>0</v>
      </c>
      <c r="AN61" s="49">
        <f t="shared" si="55"/>
        <v>0</v>
      </c>
    </row>
    <row r="62" spans="1:40">
      <c r="A62" s="879">
        <v>55</v>
      </c>
      <c r="B62" s="880" t="s">
        <v>145</v>
      </c>
      <c r="C62" s="973">
        <f>'2-1-13 SIS'!I61</f>
        <v>0</v>
      </c>
      <c r="D62" s="883">
        <f>'Table 3 Levels 1&amp;2'!AL62</f>
        <v>4171.0434735233157</v>
      </c>
      <c r="E62" s="922">
        <f t="shared" si="36"/>
        <v>0</v>
      </c>
      <c r="F62" s="922">
        <f>'Table 4 Level 3'!P60</f>
        <v>795.14</v>
      </c>
      <c r="G62" s="922">
        <f t="shared" si="37"/>
        <v>0</v>
      </c>
      <c r="H62" s="906">
        <f t="shared" si="38"/>
        <v>0</v>
      </c>
      <c r="I62" s="1729">
        <f>+'[3]Oct midyear Madison Prep'!K61</f>
        <v>0</v>
      </c>
      <c r="J62" s="1729">
        <f>'[3]Feb midyear Madison Prep'!K61</f>
        <v>0</v>
      </c>
      <c r="K62" s="1703">
        <f t="shared" si="39"/>
        <v>0</v>
      </c>
      <c r="L62" s="1393">
        <f t="shared" si="56"/>
        <v>0</v>
      </c>
      <c r="M62" s="932">
        <f t="shared" si="40"/>
        <v>0</v>
      </c>
      <c r="N62" s="906">
        <f t="shared" si="41"/>
        <v>0</v>
      </c>
      <c r="O62" s="883">
        <v>0</v>
      </c>
      <c r="P62" s="1553">
        <f t="shared" si="42"/>
        <v>0</v>
      </c>
      <c r="Q62" s="1804">
        <f>'[4]Table 5C1A-Madison Prep'!M61+'[27]Table 5C1A-Madison Prep'!T61+('[26]Table 5C1A-Madison Prep'!T61*6)</f>
        <v>0</v>
      </c>
      <c r="R62" s="1809">
        <f t="shared" si="43"/>
        <v>0</v>
      </c>
      <c r="S62" s="1806">
        <f t="shared" si="44"/>
        <v>0</v>
      </c>
      <c r="T62" s="1807">
        <f>'[14]FY2013-14 Final'!K62</f>
        <v>3359</v>
      </c>
      <c r="U62" s="1556">
        <f t="shared" si="57"/>
        <v>0</v>
      </c>
      <c r="V62" s="1760">
        <f>+'[3]Oct midyear Madison Prep'!E61</f>
        <v>0</v>
      </c>
      <c r="W62" s="1761">
        <f t="shared" si="45"/>
        <v>0</v>
      </c>
      <c r="X62" s="1762">
        <f>'[3]Feb midyear Madison Prep'!E61</f>
        <v>0</v>
      </c>
      <c r="Y62" s="1763">
        <f t="shared" si="46"/>
        <v>0</v>
      </c>
      <c r="Z62" s="1654">
        <f t="shared" si="47"/>
        <v>0</v>
      </c>
      <c r="AA62" s="1660">
        <f t="shared" si="48"/>
        <v>0</v>
      </c>
      <c r="AB62" s="938">
        <f t="shared" si="49"/>
        <v>0</v>
      </c>
      <c r="AC62" s="1556">
        <f t="shared" si="50"/>
        <v>0</v>
      </c>
      <c r="AD62" s="1826">
        <v>0</v>
      </c>
      <c r="AE62" s="1556">
        <f t="shared" si="51"/>
        <v>0</v>
      </c>
      <c r="AF62" s="1833">
        <f>'[4]Table 5C1A-Madison Prep'!T61+'[27]Table 5C1A-Madison Prep'!AF61+('[26]Table 5C1A-Madison Prep'!AF61*6)</f>
        <v>0</v>
      </c>
      <c r="AG62" s="1761">
        <f t="shared" si="52"/>
        <v>0</v>
      </c>
      <c r="AH62" s="1659">
        <f t="shared" si="53"/>
        <v>0</v>
      </c>
      <c r="AI62" s="1661">
        <f t="shared" si="58"/>
        <v>0</v>
      </c>
      <c r="AJ62" s="1661">
        <f t="shared" si="59"/>
        <v>0</v>
      </c>
      <c r="AL62" s="49">
        <f>-'[4]Table 5C1A-Madison Prep'!P61</f>
        <v>0</v>
      </c>
      <c r="AM62" s="49">
        <f t="shared" si="60"/>
        <v>0</v>
      </c>
      <c r="AN62" s="49">
        <f t="shared" si="55"/>
        <v>0</v>
      </c>
    </row>
    <row r="63" spans="1:40">
      <c r="A63" s="870">
        <v>56</v>
      </c>
      <c r="B63" s="871" t="s">
        <v>146</v>
      </c>
      <c r="C63" s="974">
        <f>'2-1-13 SIS'!I62</f>
        <v>0</v>
      </c>
      <c r="D63" s="884">
        <f>'Table 3 Levels 1&amp;2'!AL63</f>
        <v>4968.593189672727</v>
      </c>
      <c r="E63" s="923">
        <f t="shared" si="36"/>
        <v>0</v>
      </c>
      <c r="F63" s="923">
        <f>'Table 4 Level 3'!P61</f>
        <v>614.66000000000008</v>
      </c>
      <c r="G63" s="923">
        <f t="shared" si="37"/>
        <v>0</v>
      </c>
      <c r="H63" s="907">
        <f t="shared" si="38"/>
        <v>0</v>
      </c>
      <c r="I63" s="1723">
        <f>+'[3]Oct midyear Madison Prep'!K62</f>
        <v>0</v>
      </c>
      <c r="J63" s="1723">
        <f>'[3]Feb midyear Madison Prep'!K62</f>
        <v>0</v>
      </c>
      <c r="K63" s="1547">
        <f t="shared" si="39"/>
        <v>0</v>
      </c>
      <c r="L63" s="1400">
        <f t="shared" si="56"/>
        <v>0</v>
      </c>
      <c r="M63" s="933">
        <f t="shared" si="40"/>
        <v>0</v>
      </c>
      <c r="N63" s="907">
        <f t="shared" si="41"/>
        <v>0</v>
      </c>
      <c r="O63" s="884">
        <v>0</v>
      </c>
      <c r="P63" s="996">
        <f t="shared" si="42"/>
        <v>0</v>
      </c>
      <c r="Q63" s="1718">
        <f>'[4]Table 5C1A-Madison Prep'!M62+'[27]Table 5C1A-Madison Prep'!T62+('[26]Table 5C1A-Madison Prep'!T62*6)</f>
        <v>0</v>
      </c>
      <c r="R63" s="1723">
        <f t="shared" si="43"/>
        <v>0</v>
      </c>
      <c r="S63" s="998">
        <f t="shared" si="44"/>
        <v>0</v>
      </c>
      <c r="T63" s="1802">
        <f>'[14]FY2013-14 Final'!K63</f>
        <v>2853</v>
      </c>
      <c r="U63" s="999">
        <f t="shared" si="57"/>
        <v>0</v>
      </c>
      <c r="V63" s="1754">
        <f>+'[3]Oct midyear Madison Prep'!E62</f>
        <v>0</v>
      </c>
      <c r="W63" s="1755">
        <f t="shared" si="45"/>
        <v>0</v>
      </c>
      <c r="X63" s="1754">
        <f>'[3]Feb midyear Madison Prep'!E62</f>
        <v>0</v>
      </c>
      <c r="Y63" s="1755">
        <f t="shared" si="46"/>
        <v>0</v>
      </c>
      <c r="Z63" s="1652">
        <f t="shared" si="47"/>
        <v>0</v>
      </c>
      <c r="AA63" s="999">
        <f t="shared" si="48"/>
        <v>0</v>
      </c>
      <c r="AB63" s="936">
        <f t="shared" si="49"/>
        <v>0</v>
      </c>
      <c r="AC63" s="999">
        <f t="shared" si="50"/>
        <v>0</v>
      </c>
      <c r="AD63" s="1755">
        <v>0</v>
      </c>
      <c r="AE63" s="999">
        <f t="shared" si="51"/>
        <v>0</v>
      </c>
      <c r="AF63" s="1755">
        <f>'[4]Table 5C1A-Madison Prep'!T62+'[27]Table 5C1A-Madison Prep'!AF62+('[26]Table 5C1A-Madison Prep'!AF62*6)</f>
        <v>0</v>
      </c>
      <c r="AG63" s="1755">
        <f t="shared" si="52"/>
        <v>0</v>
      </c>
      <c r="AH63" s="999">
        <f t="shared" si="53"/>
        <v>0</v>
      </c>
      <c r="AI63" s="1656">
        <f t="shared" si="58"/>
        <v>0</v>
      </c>
      <c r="AJ63" s="1656">
        <f t="shared" si="59"/>
        <v>0</v>
      </c>
      <c r="AL63" s="49">
        <f>-'[4]Table 5C1A-Madison Prep'!P62</f>
        <v>0</v>
      </c>
      <c r="AM63" s="49">
        <f t="shared" si="60"/>
        <v>0</v>
      </c>
      <c r="AN63" s="49">
        <f t="shared" si="55"/>
        <v>0</v>
      </c>
    </row>
    <row r="64" spans="1:40">
      <c r="A64" s="876">
        <v>57</v>
      </c>
      <c r="B64" s="877" t="s">
        <v>147</v>
      </c>
      <c r="C64" s="972">
        <f>'2-1-13 SIS'!I63</f>
        <v>0</v>
      </c>
      <c r="D64" s="882">
        <f>'Table 3 Levels 1&amp;2'!AL64</f>
        <v>4485.7073020218859</v>
      </c>
      <c r="E64" s="921">
        <f t="shared" si="36"/>
        <v>0</v>
      </c>
      <c r="F64" s="921">
        <f>'Table 4 Level 3'!P62</f>
        <v>764.51</v>
      </c>
      <c r="G64" s="921">
        <f t="shared" si="37"/>
        <v>0</v>
      </c>
      <c r="H64" s="905">
        <f t="shared" si="38"/>
        <v>0</v>
      </c>
      <c r="I64" s="1728">
        <f>+'[3]Oct midyear Madison Prep'!K63</f>
        <v>0</v>
      </c>
      <c r="J64" s="1728">
        <f>'[3]Feb midyear Madison Prep'!K63</f>
        <v>0</v>
      </c>
      <c r="K64" s="1702">
        <f t="shared" si="39"/>
        <v>0</v>
      </c>
      <c r="L64" s="1394">
        <f t="shared" si="56"/>
        <v>0</v>
      </c>
      <c r="M64" s="931">
        <f t="shared" si="40"/>
        <v>0</v>
      </c>
      <c r="N64" s="905">
        <f t="shared" si="41"/>
        <v>0</v>
      </c>
      <c r="O64" s="882">
        <v>0</v>
      </c>
      <c r="P64" s="1552">
        <f t="shared" si="42"/>
        <v>0</v>
      </c>
      <c r="Q64" s="1718">
        <f>'[4]Table 5C1A-Madison Prep'!M63+'[27]Table 5C1A-Madison Prep'!T63+('[26]Table 5C1A-Madison Prep'!T63*6)</f>
        <v>0</v>
      </c>
      <c r="R64" s="1808">
        <f t="shared" si="43"/>
        <v>0</v>
      </c>
      <c r="S64" s="998">
        <f t="shared" si="44"/>
        <v>0</v>
      </c>
      <c r="T64" s="1802">
        <f>'[14]FY2013-14 Final'!K64</f>
        <v>3178</v>
      </c>
      <c r="U64" s="1555">
        <f t="shared" si="57"/>
        <v>0</v>
      </c>
      <c r="V64" s="1756">
        <f>+'[3]Oct midyear Madison Prep'!E63</f>
        <v>0</v>
      </c>
      <c r="W64" s="1757">
        <f t="shared" si="45"/>
        <v>0</v>
      </c>
      <c r="X64" s="1758">
        <f>'[3]Feb midyear Madison Prep'!E63</f>
        <v>0</v>
      </c>
      <c r="Y64" s="1759">
        <f t="shared" si="46"/>
        <v>0</v>
      </c>
      <c r="Z64" s="1653">
        <f t="shared" si="47"/>
        <v>0</v>
      </c>
      <c r="AA64" s="1657">
        <f t="shared" si="48"/>
        <v>0</v>
      </c>
      <c r="AB64" s="937">
        <f t="shared" si="49"/>
        <v>0</v>
      </c>
      <c r="AC64" s="1555">
        <f t="shared" si="50"/>
        <v>0</v>
      </c>
      <c r="AD64" s="1825">
        <v>0</v>
      </c>
      <c r="AE64" s="1555">
        <f t="shared" si="51"/>
        <v>0</v>
      </c>
      <c r="AF64" s="1755">
        <f>'[4]Table 5C1A-Madison Prep'!T63+'[27]Table 5C1A-Madison Prep'!AF63+('[26]Table 5C1A-Madison Prep'!AF63*6)</f>
        <v>0</v>
      </c>
      <c r="AG64" s="1757">
        <f t="shared" si="52"/>
        <v>0</v>
      </c>
      <c r="AH64" s="999">
        <f t="shared" si="53"/>
        <v>0</v>
      </c>
      <c r="AI64" s="1658">
        <f t="shared" si="58"/>
        <v>0</v>
      </c>
      <c r="AJ64" s="1658">
        <f t="shared" si="59"/>
        <v>0</v>
      </c>
      <c r="AL64" s="49">
        <f>-'[4]Table 5C1A-Madison Prep'!P63</f>
        <v>0</v>
      </c>
      <c r="AM64" s="49">
        <f t="shared" si="60"/>
        <v>0</v>
      </c>
      <c r="AN64" s="49">
        <f t="shared" si="55"/>
        <v>0</v>
      </c>
    </row>
    <row r="65" spans="1:40">
      <c r="A65" s="876">
        <v>58</v>
      </c>
      <c r="B65" s="877" t="s">
        <v>148</v>
      </c>
      <c r="C65" s="972">
        <f>'2-1-13 SIS'!I64</f>
        <v>0</v>
      </c>
      <c r="D65" s="882">
        <f>'Table 3 Levels 1&amp;2'!AL65</f>
        <v>5457.8662803476354</v>
      </c>
      <c r="E65" s="921">
        <f t="shared" si="36"/>
        <v>0</v>
      </c>
      <c r="F65" s="921">
        <f>'Table 4 Level 3'!P63</f>
        <v>697.04</v>
      </c>
      <c r="G65" s="921">
        <f t="shared" si="37"/>
        <v>0</v>
      </c>
      <c r="H65" s="905">
        <f t="shared" si="38"/>
        <v>0</v>
      </c>
      <c r="I65" s="1728">
        <f>+'[3]Oct midyear Madison Prep'!K64</f>
        <v>0</v>
      </c>
      <c r="J65" s="1728">
        <f>'[3]Feb midyear Madison Prep'!K64</f>
        <v>0</v>
      </c>
      <c r="K65" s="1702">
        <f t="shared" si="39"/>
        <v>0</v>
      </c>
      <c r="L65" s="1394">
        <f t="shared" si="56"/>
        <v>0</v>
      </c>
      <c r="M65" s="931">
        <f t="shared" si="40"/>
        <v>0</v>
      </c>
      <c r="N65" s="905">
        <f t="shared" si="41"/>
        <v>0</v>
      </c>
      <c r="O65" s="882">
        <v>0</v>
      </c>
      <c r="P65" s="1552">
        <f t="shared" si="42"/>
        <v>0</v>
      </c>
      <c r="Q65" s="1718">
        <f>'[4]Table 5C1A-Madison Prep'!M64+'[27]Table 5C1A-Madison Prep'!T64+('[26]Table 5C1A-Madison Prep'!T64*6)</f>
        <v>0</v>
      </c>
      <c r="R65" s="1808">
        <f t="shared" si="43"/>
        <v>0</v>
      </c>
      <c r="S65" s="998">
        <f t="shared" si="44"/>
        <v>0</v>
      </c>
      <c r="T65" s="1802">
        <f>'[14]FY2013-14 Final'!K65</f>
        <v>2127</v>
      </c>
      <c r="U65" s="1555">
        <f t="shared" si="57"/>
        <v>0</v>
      </c>
      <c r="V65" s="1756">
        <f>+'[3]Oct midyear Madison Prep'!E64</f>
        <v>0</v>
      </c>
      <c r="W65" s="1757">
        <f t="shared" si="45"/>
        <v>0</v>
      </c>
      <c r="X65" s="1758">
        <f>'[3]Feb midyear Madison Prep'!E64</f>
        <v>0</v>
      </c>
      <c r="Y65" s="1759">
        <f t="shared" si="46"/>
        <v>0</v>
      </c>
      <c r="Z65" s="1653">
        <f t="shared" si="47"/>
        <v>0</v>
      </c>
      <c r="AA65" s="1657">
        <f t="shared" si="48"/>
        <v>0</v>
      </c>
      <c r="AB65" s="937">
        <f t="shared" si="49"/>
        <v>0</v>
      </c>
      <c r="AC65" s="1555">
        <f t="shared" si="50"/>
        <v>0</v>
      </c>
      <c r="AD65" s="1825">
        <v>0</v>
      </c>
      <c r="AE65" s="1555">
        <f t="shared" si="51"/>
        <v>0</v>
      </c>
      <c r="AF65" s="1755">
        <f>'[4]Table 5C1A-Madison Prep'!T64+'[27]Table 5C1A-Madison Prep'!AF64+('[26]Table 5C1A-Madison Prep'!AF64*6)</f>
        <v>0</v>
      </c>
      <c r="AG65" s="1757">
        <f t="shared" si="52"/>
        <v>0</v>
      </c>
      <c r="AH65" s="999">
        <f t="shared" si="53"/>
        <v>0</v>
      </c>
      <c r="AI65" s="1658">
        <f t="shared" si="58"/>
        <v>0</v>
      </c>
      <c r="AJ65" s="1658">
        <f t="shared" si="59"/>
        <v>0</v>
      </c>
      <c r="AL65" s="49">
        <f>-'[4]Table 5C1A-Madison Prep'!P64</f>
        <v>0</v>
      </c>
      <c r="AM65" s="49">
        <f t="shared" si="60"/>
        <v>0</v>
      </c>
      <c r="AN65" s="49">
        <f>SUM(AL65:AM65)</f>
        <v>0</v>
      </c>
    </row>
    <row r="66" spans="1:40">
      <c r="A66" s="876">
        <v>59</v>
      </c>
      <c r="B66" s="877" t="s">
        <v>149</v>
      </c>
      <c r="C66" s="972">
        <f>'2-1-13 SIS'!I65</f>
        <v>0</v>
      </c>
      <c r="D66" s="882">
        <f>'Table 3 Levels 1&amp;2'!AL66</f>
        <v>6274.2786338006481</v>
      </c>
      <c r="E66" s="921">
        <f t="shared" si="36"/>
        <v>0</v>
      </c>
      <c r="F66" s="921">
        <f>'Table 4 Level 3'!P64</f>
        <v>689.52</v>
      </c>
      <c r="G66" s="921">
        <f t="shared" si="37"/>
        <v>0</v>
      </c>
      <c r="H66" s="905">
        <f t="shared" si="38"/>
        <v>0</v>
      </c>
      <c r="I66" s="1728">
        <f>+'[3]Oct midyear Madison Prep'!K65</f>
        <v>0</v>
      </c>
      <c r="J66" s="1728">
        <f>'[3]Feb midyear Madison Prep'!K65</f>
        <v>0</v>
      </c>
      <c r="K66" s="1702">
        <f t="shared" si="39"/>
        <v>0</v>
      </c>
      <c r="L66" s="1394">
        <f t="shared" si="56"/>
        <v>0</v>
      </c>
      <c r="M66" s="931">
        <f t="shared" si="40"/>
        <v>0</v>
      </c>
      <c r="N66" s="905">
        <f t="shared" si="41"/>
        <v>0</v>
      </c>
      <c r="O66" s="882">
        <v>0</v>
      </c>
      <c r="P66" s="1552">
        <f t="shared" si="42"/>
        <v>0</v>
      </c>
      <c r="Q66" s="1718">
        <f>'[4]Table 5C1A-Madison Prep'!M65+'[27]Table 5C1A-Madison Prep'!T65+('[26]Table 5C1A-Madison Prep'!T65*6)</f>
        <v>0</v>
      </c>
      <c r="R66" s="1808">
        <f t="shared" si="43"/>
        <v>0</v>
      </c>
      <c r="S66" s="998">
        <f t="shared" si="44"/>
        <v>0</v>
      </c>
      <c r="T66" s="1802">
        <f>'[14]FY2013-14 Final'!K66</f>
        <v>1729</v>
      </c>
      <c r="U66" s="1555">
        <f t="shared" si="57"/>
        <v>0</v>
      </c>
      <c r="V66" s="1756">
        <f>+'[3]Oct midyear Madison Prep'!E65</f>
        <v>0</v>
      </c>
      <c r="W66" s="1757">
        <f t="shared" si="45"/>
        <v>0</v>
      </c>
      <c r="X66" s="1758">
        <f>'[3]Feb midyear Madison Prep'!E65</f>
        <v>0</v>
      </c>
      <c r="Y66" s="1759">
        <f t="shared" si="46"/>
        <v>0</v>
      </c>
      <c r="Z66" s="1653">
        <f t="shared" si="47"/>
        <v>0</v>
      </c>
      <c r="AA66" s="1657">
        <f t="shared" si="48"/>
        <v>0</v>
      </c>
      <c r="AB66" s="937">
        <f t="shared" si="49"/>
        <v>0</v>
      </c>
      <c r="AC66" s="1555">
        <f t="shared" si="50"/>
        <v>0</v>
      </c>
      <c r="AD66" s="1825">
        <v>0</v>
      </c>
      <c r="AE66" s="1555">
        <f t="shared" si="51"/>
        <v>0</v>
      </c>
      <c r="AF66" s="1755">
        <f>'[4]Table 5C1A-Madison Prep'!T65+'[27]Table 5C1A-Madison Prep'!AF65+('[26]Table 5C1A-Madison Prep'!AF65*6)</f>
        <v>0</v>
      </c>
      <c r="AG66" s="1757">
        <f t="shared" si="52"/>
        <v>0</v>
      </c>
      <c r="AH66" s="999">
        <f t="shared" si="53"/>
        <v>0</v>
      </c>
      <c r="AI66" s="1658">
        <f t="shared" si="58"/>
        <v>0</v>
      </c>
      <c r="AJ66" s="1658">
        <f t="shared" si="59"/>
        <v>0</v>
      </c>
      <c r="AL66" s="49">
        <f>-'[4]Table 5C1A-Madison Prep'!P65</f>
        <v>0</v>
      </c>
      <c r="AM66" s="49">
        <f t="shared" si="60"/>
        <v>0</v>
      </c>
      <c r="AN66" s="49">
        <f t="shared" si="55"/>
        <v>0</v>
      </c>
    </row>
    <row r="67" spans="1:40">
      <c r="A67" s="879">
        <v>60</v>
      </c>
      <c r="B67" s="880" t="s">
        <v>150</v>
      </c>
      <c r="C67" s="973">
        <f>'2-1-13 SIS'!I66</f>
        <v>0</v>
      </c>
      <c r="D67" s="883">
        <f>'Table 3 Levels 1&amp;2'!AL67</f>
        <v>4940.9166775610411</v>
      </c>
      <c r="E67" s="922">
        <f t="shared" si="36"/>
        <v>0</v>
      </c>
      <c r="F67" s="922">
        <f>'Table 4 Level 3'!P65</f>
        <v>594.04</v>
      </c>
      <c r="G67" s="922">
        <f t="shared" si="37"/>
        <v>0</v>
      </c>
      <c r="H67" s="906">
        <f t="shared" si="38"/>
        <v>0</v>
      </c>
      <c r="I67" s="1729">
        <f>+'[3]Oct midyear Madison Prep'!K66</f>
        <v>0</v>
      </c>
      <c r="J67" s="1729">
        <f>'[3]Feb midyear Madison Prep'!K66</f>
        <v>0</v>
      </c>
      <c r="K67" s="1703">
        <f t="shared" si="39"/>
        <v>0</v>
      </c>
      <c r="L67" s="1393">
        <f t="shared" si="56"/>
        <v>0</v>
      </c>
      <c r="M67" s="932">
        <f t="shared" si="40"/>
        <v>0</v>
      </c>
      <c r="N67" s="906">
        <f t="shared" si="41"/>
        <v>0</v>
      </c>
      <c r="O67" s="883">
        <v>0</v>
      </c>
      <c r="P67" s="1553">
        <f t="shared" si="42"/>
        <v>0</v>
      </c>
      <c r="Q67" s="1804">
        <f>'[4]Table 5C1A-Madison Prep'!M66+'[27]Table 5C1A-Madison Prep'!T66+('[26]Table 5C1A-Madison Prep'!T66*6)</f>
        <v>0</v>
      </c>
      <c r="R67" s="1809">
        <f t="shared" si="43"/>
        <v>0</v>
      </c>
      <c r="S67" s="1806">
        <f t="shared" si="44"/>
        <v>0</v>
      </c>
      <c r="T67" s="1807">
        <f>'[14]FY2013-14 Final'!K67</f>
        <v>3801</v>
      </c>
      <c r="U67" s="1556">
        <f t="shared" si="57"/>
        <v>0</v>
      </c>
      <c r="V67" s="1760">
        <f>+'[3]Oct midyear Madison Prep'!E66</f>
        <v>0</v>
      </c>
      <c r="W67" s="1761">
        <f t="shared" si="45"/>
        <v>0</v>
      </c>
      <c r="X67" s="1762">
        <f>'[3]Feb midyear Madison Prep'!E66</f>
        <v>0</v>
      </c>
      <c r="Y67" s="1763">
        <f t="shared" si="46"/>
        <v>0</v>
      </c>
      <c r="Z67" s="1654">
        <f t="shared" si="47"/>
        <v>0</v>
      </c>
      <c r="AA67" s="1660">
        <f t="shared" si="48"/>
        <v>0</v>
      </c>
      <c r="AB67" s="938">
        <f t="shared" si="49"/>
        <v>0</v>
      </c>
      <c r="AC67" s="1556">
        <f t="shared" si="50"/>
        <v>0</v>
      </c>
      <c r="AD67" s="1826">
        <v>0</v>
      </c>
      <c r="AE67" s="1556">
        <f t="shared" si="51"/>
        <v>0</v>
      </c>
      <c r="AF67" s="1833">
        <f>'[4]Table 5C1A-Madison Prep'!T66+'[27]Table 5C1A-Madison Prep'!AF66+('[26]Table 5C1A-Madison Prep'!AF66*6)</f>
        <v>0</v>
      </c>
      <c r="AG67" s="1761">
        <f t="shared" si="52"/>
        <v>0</v>
      </c>
      <c r="AH67" s="1659">
        <f t="shared" si="53"/>
        <v>0</v>
      </c>
      <c r="AI67" s="1661">
        <f t="shared" si="58"/>
        <v>0</v>
      </c>
      <c r="AJ67" s="1661">
        <f t="shared" si="59"/>
        <v>0</v>
      </c>
      <c r="AL67" s="49">
        <f>-'[4]Table 5C1A-Madison Prep'!P66</f>
        <v>0</v>
      </c>
      <c r="AM67" s="49">
        <f t="shared" si="60"/>
        <v>0</v>
      </c>
      <c r="AN67" s="49">
        <f t="shared" si="55"/>
        <v>0</v>
      </c>
    </row>
    <row r="68" spans="1:40">
      <c r="A68" s="870">
        <v>61</v>
      </c>
      <c r="B68" s="871" t="s">
        <v>151</v>
      </c>
      <c r="C68" s="974">
        <f>'2-1-13 SIS'!I67</f>
        <v>1</v>
      </c>
      <c r="D68" s="884">
        <f>'Table 3 Levels 1&amp;2'!AL68</f>
        <v>2908.0344869339228</v>
      </c>
      <c r="E68" s="923">
        <f t="shared" si="36"/>
        <v>2908.0344869339228</v>
      </c>
      <c r="F68" s="923">
        <f>'Table 4 Level 3'!P66</f>
        <v>833.70999999999992</v>
      </c>
      <c r="G68" s="923">
        <f t="shared" si="37"/>
        <v>833.70999999999992</v>
      </c>
      <c r="H68" s="907">
        <f t="shared" si="38"/>
        <v>3741.7444869339229</v>
      </c>
      <c r="I68" s="1723">
        <f>+'[3]Oct midyear Madison Prep'!K67</f>
        <v>0</v>
      </c>
      <c r="J68" s="1723">
        <f>'[3]Feb midyear Madison Prep'!K67</f>
        <v>0</v>
      </c>
      <c r="K68" s="1547">
        <f t="shared" si="39"/>
        <v>0</v>
      </c>
      <c r="L68" s="1400">
        <f t="shared" si="56"/>
        <v>3741.7444869339229</v>
      </c>
      <c r="M68" s="933">
        <f t="shared" si="40"/>
        <v>-9.354361217334807</v>
      </c>
      <c r="N68" s="907">
        <f t="shared" si="41"/>
        <v>3732.390125716588</v>
      </c>
      <c r="O68" s="884">
        <v>0</v>
      </c>
      <c r="P68" s="996">
        <f t="shared" si="42"/>
        <v>3732.390125716588</v>
      </c>
      <c r="Q68" s="1718">
        <f>'[4]Table 5C1A-Madison Prep'!M67+'[27]Table 5C1A-Madison Prep'!T67+('[26]Table 5C1A-Madison Prep'!T67*6)</f>
        <v>4863.4174365397967</v>
      </c>
      <c r="R68" s="1723">
        <f t="shared" si="43"/>
        <v>-1131.0273108232086</v>
      </c>
      <c r="S68" s="998">
        <f t="shared" si="44"/>
        <v>-283</v>
      </c>
      <c r="T68" s="1802">
        <f>'[14]FY2013-14 Final'!K68</f>
        <v>6597</v>
      </c>
      <c r="U68" s="999">
        <f t="shared" si="57"/>
        <v>6597</v>
      </c>
      <c r="V68" s="1754">
        <f>+'[3]Oct midyear Madison Prep'!E67</f>
        <v>0</v>
      </c>
      <c r="W68" s="1755">
        <f t="shared" si="45"/>
        <v>0</v>
      </c>
      <c r="X68" s="1754">
        <f>'[3]Feb midyear Madison Prep'!E67</f>
        <v>0</v>
      </c>
      <c r="Y68" s="1755">
        <f t="shared" si="46"/>
        <v>0</v>
      </c>
      <c r="Z68" s="1652">
        <f t="shared" si="47"/>
        <v>0</v>
      </c>
      <c r="AA68" s="999">
        <f t="shared" si="48"/>
        <v>6597</v>
      </c>
      <c r="AB68" s="936">
        <f t="shared" si="49"/>
        <v>-16.4925</v>
      </c>
      <c r="AC68" s="999">
        <f t="shared" si="50"/>
        <v>6580.5074999999997</v>
      </c>
      <c r="AD68" s="1755">
        <v>0</v>
      </c>
      <c r="AE68" s="999">
        <f t="shared" si="51"/>
        <v>6580.5074999999997</v>
      </c>
      <c r="AF68" s="1755">
        <f>'[4]Table 5C1A-Madison Prep'!T67+'[27]Table 5C1A-Madison Prep'!AF67+('[26]Table 5C1A-Madison Prep'!AF67*6)</f>
        <v>8538.2070454545446</v>
      </c>
      <c r="AG68" s="1755">
        <f t="shared" si="52"/>
        <v>-1957.6995454545449</v>
      </c>
      <c r="AH68" s="999">
        <f t="shared" si="53"/>
        <v>-489</v>
      </c>
      <c r="AI68" s="1656">
        <f t="shared" si="58"/>
        <v>10312.897625716589</v>
      </c>
      <c r="AJ68" s="1656">
        <f t="shared" si="59"/>
        <v>-772</v>
      </c>
      <c r="AL68" s="49">
        <f>-'[4]Table 5C1A-Madison Prep'!P67</f>
        <v>16.422499999999999</v>
      </c>
      <c r="AM68" s="49">
        <f t="shared" si="60"/>
        <v>-16.4925</v>
      </c>
      <c r="AN68" s="49">
        <f t="shared" si="55"/>
        <v>-7.0000000000000284E-2</v>
      </c>
    </row>
    <row r="69" spans="1:40">
      <c r="A69" s="876">
        <v>62</v>
      </c>
      <c r="B69" s="877" t="s">
        <v>152</v>
      </c>
      <c r="C69" s="972">
        <f>'2-1-13 SIS'!I68</f>
        <v>0</v>
      </c>
      <c r="D69" s="882">
        <f>'Table 3 Levels 1&amp;2'!AL69</f>
        <v>5652.1730736722093</v>
      </c>
      <c r="E69" s="921">
        <f t="shared" si="36"/>
        <v>0</v>
      </c>
      <c r="F69" s="921">
        <f>'Table 4 Level 3'!P67</f>
        <v>516.08000000000004</v>
      </c>
      <c r="G69" s="921">
        <f t="shared" si="37"/>
        <v>0</v>
      </c>
      <c r="H69" s="905">
        <f t="shared" si="38"/>
        <v>0</v>
      </c>
      <c r="I69" s="1728">
        <f>+'[3]Oct midyear Madison Prep'!K68</f>
        <v>0</v>
      </c>
      <c r="J69" s="1728">
        <f>'[3]Feb midyear Madison Prep'!K68</f>
        <v>0</v>
      </c>
      <c r="K69" s="1702">
        <f t="shared" si="39"/>
        <v>0</v>
      </c>
      <c r="L69" s="1394">
        <f t="shared" si="56"/>
        <v>0</v>
      </c>
      <c r="M69" s="931">
        <f t="shared" si="40"/>
        <v>0</v>
      </c>
      <c r="N69" s="905">
        <f t="shared" si="41"/>
        <v>0</v>
      </c>
      <c r="O69" s="882">
        <v>0</v>
      </c>
      <c r="P69" s="1552">
        <f t="shared" si="42"/>
        <v>0</v>
      </c>
      <c r="Q69" s="1718">
        <f>'[4]Table 5C1A-Madison Prep'!M68+'[27]Table 5C1A-Madison Prep'!T68+('[26]Table 5C1A-Madison Prep'!T68*6)</f>
        <v>0</v>
      </c>
      <c r="R69" s="1808">
        <f t="shared" si="43"/>
        <v>0</v>
      </c>
      <c r="S69" s="998">
        <f t="shared" si="44"/>
        <v>0</v>
      </c>
      <c r="T69" s="1802">
        <f>'[14]FY2013-14 Final'!K69</f>
        <v>1998</v>
      </c>
      <c r="U69" s="1555">
        <f t="shared" si="57"/>
        <v>0</v>
      </c>
      <c r="V69" s="1756">
        <f>+'[3]Oct midyear Madison Prep'!E68</f>
        <v>0</v>
      </c>
      <c r="W69" s="1757">
        <f t="shared" si="45"/>
        <v>0</v>
      </c>
      <c r="X69" s="1758">
        <f>'[3]Feb midyear Madison Prep'!E68</f>
        <v>0</v>
      </c>
      <c r="Y69" s="1759">
        <f t="shared" si="46"/>
        <v>0</v>
      </c>
      <c r="Z69" s="1653">
        <f t="shared" si="47"/>
        <v>0</v>
      </c>
      <c r="AA69" s="1657">
        <f t="shared" si="48"/>
        <v>0</v>
      </c>
      <c r="AB69" s="937">
        <f t="shared" si="49"/>
        <v>0</v>
      </c>
      <c r="AC69" s="1555">
        <f t="shared" si="50"/>
        <v>0</v>
      </c>
      <c r="AD69" s="1825">
        <v>0</v>
      </c>
      <c r="AE69" s="1555">
        <f t="shared" si="51"/>
        <v>0</v>
      </c>
      <c r="AF69" s="1755">
        <f>'[4]Table 5C1A-Madison Prep'!T68+'[27]Table 5C1A-Madison Prep'!AF68+('[26]Table 5C1A-Madison Prep'!AF68*6)</f>
        <v>0</v>
      </c>
      <c r="AG69" s="1757">
        <f t="shared" si="52"/>
        <v>0</v>
      </c>
      <c r="AH69" s="999">
        <f t="shared" si="53"/>
        <v>0</v>
      </c>
      <c r="AI69" s="1658">
        <f t="shared" si="58"/>
        <v>0</v>
      </c>
      <c r="AJ69" s="1658">
        <f t="shared" si="59"/>
        <v>0</v>
      </c>
      <c r="AL69" s="49">
        <f>-'[4]Table 5C1A-Madison Prep'!P68</f>
        <v>0</v>
      </c>
      <c r="AM69" s="49">
        <f t="shared" si="60"/>
        <v>0</v>
      </c>
      <c r="AN69" s="49">
        <f t="shared" si="55"/>
        <v>0</v>
      </c>
    </row>
    <row r="70" spans="1:40">
      <c r="A70" s="876">
        <v>63</v>
      </c>
      <c r="B70" s="877" t="s">
        <v>153</v>
      </c>
      <c r="C70" s="972">
        <f>'2-1-13 SIS'!I69</f>
        <v>0</v>
      </c>
      <c r="D70" s="882">
        <f>'Table 3 Levels 1&amp;2'!AL70</f>
        <v>4362.300753810403</v>
      </c>
      <c r="E70" s="921">
        <f t="shared" si="36"/>
        <v>0</v>
      </c>
      <c r="F70" s="921">
        <f>'Table 4 Level 3'!P68</f>
        <v>756.79</v>
      </c>
      <c r="G70" s="921">
        <f t="shared" si="37"/>
        <v>0</v>
      </c>
      <c r="H70" s="905">
        <f t="shared" si="38"/>
        <v>0</v>
      </c>
      <c r="I70" s="1728">
        <f>+'[3]Oct midyear Madison Prep'!K69</f>
        <v>0</v>
      </c>
      <c r="J70" s="1728">
        <f>'[3]Feb midyear Madison Prep'!K69</f>
        <v>0</v>
      </c>
      <c r="K70" s="1702">
        <f t="shared" si="39"/>
        <v>0</v>
      </c>
      <c r="L70" s="1394">
        <f t="shared" si="56"/>
        <v>0</v>
      </c>
      <c r="M70" s="931">
        <f t="shared" si="40"/>
        <v>0</v>
      </c>
      <c r="N70" s="905">
        <f t="shared" si="41"/>
        <v>0</v>
      </c>
      <c r="O70" s="882">
        <v>0</v>
      </c>
      <c r="P70" s="1552">
        <f t="shared" si="42"/>
        <v>0</v>
      </c>
      <c r="Q70" s="1718">
        <f>'[4]Table 5C1A-Madison Prep'!M69+'[27]Table 5C1A-Madison Prep'!T69+('[26]Table 5C1A-Madison Prep'!T69*6)</f>
        <v>0</v>
      </c>
      <c r="R70" s="1808">
        <f t="shared" si="43"/>
        <v>0</v>
      </c>
      <c r="S70" s="998">
        <f t="shared" si="44"/>
        <v>0</v>
      </c>
      <c r="T70" s="1802">
        <f>'[14]FY2013-14 Final'!K70</f>
        <v>7391</v>
      </c>
      <c r="U70" s="1555">
        <f t="shared" si="57"/>
        <v>0</v>
      </c>
      <c r="V70" s="1756">
        <f>+'[3]Oct midyear Madison Prep'!E69</f>
        <v>0</v>
      </c>
      <c r="W70" s="1757">
        <f t="shared" si="45"/>
        <v>0</v>
      </c>
      <c r="X70" s="1758">
        <f>'[3]Feb midyear Madison Prep'!E69</f>
        <v>0</v>
      </c>
      <c r="Y70" s="1759">
        <f t="shared" si="46"/>
        <v>0</v>
      </c>
      <c r="Z70" s="1653">
        <f t="shared" si="47"/>
        <v>0</v>
      </c>
      <c r="AA70" s="1657">
        <f t="shared" si="48"/>
        <v>0</v>
      </c>
      <c r="AB70" s="937">
        <f t="shared" si="49"/>
        <v>0</v>
      </c>
      <c r="AC70" s="1555">
        <f t="shared" si="50"/>
        <v>0</v>
      </c>
      <c r="AD70" s="1825">
        <v>0</v>
      </c>
      <c r="AE70" s="1555">
        <f t="shared" si="51"/>
        <v>0</v>
      </c>
      <c r="AF70" s="1755">
        <f>'[4]Table 5C1A-Madison Prep'!T69+'[27]Table 5C1A-Madison Prep'!AF69+('[26]Table 5C1A-Madison Prep'!AF69*6)</f>
        <v>0</v>
      </c>
      <c r="AG70" s="1757">
        <f t="shared" si="52"/>
        <v>0</v>
      </c>
      <c r="AH70" s="999">
        <f t="shared" si="53"/>
        <v>0</v>
      </c>
      <c r="AI70" s="1658">
        <f t="shared" si="58"/>
        <v>0</v>
      </c>
      <c r="AJ70" s="1658">
        <f t="shared" si="59"/>
        <v>0</v>
      </c>
      <c r="AL70" s="49">
        <f>-'[4]Table 5C1A-Madison Prep'!P69</f>
        <v>0</v>
      </c>
      <c r="AM70" s="49">
        <f t="shared" si="60"/>
        <v>0</v>
      </c>
      <c r="AN70" s="49">
        <f t="shared" si="55"/>
        <v>0</v>
      </c>
    </row>
    <row r="71" spans="1:40">
      <c r="A71" s="876">
        <v>64</v>
      </c>
      <c r="B71" s="877" t="s">
        <v>154</v>
      </c>
      <c r="C71" s="972">
        <f>'2-1-13 SIS'!I70</f>
        <v>0</v>
      </c>
      <c r="D71" s="882">
        <f>'Table 3 Levels 1&amp;2'!AL71</f>
        <v>5960.2049072003338</v>
      </c>
      <c r="E71" s="921">
        <f t="shared" si="36"/>
        <v>0</v>
      </c>
      <c r="F71" s="921">
        <f>'Table 4 Level 3'!P69</f>
        <v>592.66</v>
      </c>
      <c r="G71" s="921">
        <f t="shared" si="37"/>
        <v>0</v>
      </c>
      <c r="H71" s="905">
        <f t="shared" si="38"/>
        <v>0</v>
      </c>
      <c r="I71" s="1728">
        <f>+'[3]Oct midyear Madison Prep'!K70</f>
        <v>0</v>
      </c>
      <c r="J71" s="1728">
        <f>'[3]Feb midyear Madison Prep'!K70</f>
        <v>0</v>
      </c>
      <c r="K71" s="1702">
        <f t="shared" si="39"/>
        <v>0</v>
      </c>
      <c r="L71" s="1394">
        <f t="shared" si="56"/>
        <v>0</v>
      </c>
      <c r="M71" s="931">
        <f t="shared" si="40"/>
        <v>0</v>
      </c>
      <c r="N71" s="905">
        <f t="shared" si="41"/>
        <v>0</v>
      </c>
      <c r="O71" s="882">
        <v>0</v>
      </c>
      <c r="P71" s="1552">
        <f t="shared" si="42"/>
        <v>0</v>
      </c>
      <c r="Q71" s="1718">
        <f>'[4]Table 5C1A-Madison Prep'!M70+'[27]Table 5C1A-Madison Prep'!T70+('[26]Table 5C1A-Madison Prep'!T70*6)</f>
        <v>0</v>
      </c>
      <c r="R71" s="1808">
        <f t="shared" si="43"/>
        <v>0</v>
      </c>
      <c r="S71" s="998">
        <f t="shared" si="44"/>
        <v>0</v>
      </c>
      <c r="T71" s="1802">
        <f>'[14]FY2013-14 Final'!K71</f>
        <v>2902</v>
      </c>
      <c r="U71" s="1555">
        <f t="shared" si="57"/>
        <v>0</v>
      </c>
      <c r="V71" s="1756">
        <f>+'[3]Oct midyear Madison Prep'!E70</f>
        <v>0</v>
      </c>
      <c r="W71" s="1757">
        <f t="shared" si="45"/>
        <v>0</v>
      </c>
      <c r="X71" s="1758">
        <f>'[3]Feb midyear Madison Prep'!E70</f>
        <v>0</v>
      </c>
      <c r="Y71" s="1759">
        <f t="shared" si="46"/>
        <v>0</v>
      </c>
      <c r="Z71" s="1653">
        <f t="shared" si="47"/>
        <v>0</v>
      </c>
      <c r="AA71" s="1657">
        <f t="shared" si="48"/>
        <v>0</v>
      </c>
      <c r="AB71" s="937">
        <f t="shared" si="49"/>
        <v>0</v>
      </c>
      <c r="AC71" s="1555">
        <f t="shared" si="50"/>
        <v>0</v>
      </c>
      <c r="AD71" s="1825">
        <v>0</v>
      </c>
      <c r="AE71" s="1555">
        <f t="shared" si="51"/>
        <v>0</v>
      </c>
      <c r="AF71" s="1755">
        <f>'[4]Table 5C1A-Madison Prep'!T70+'[27]Table 5C1A-Madison Prep'!AF70+('[26]Table 5C1A-Madison Prep'!AF70*6)</f>
        <v>0</v>
      </c>
      <c r="AG71" s="1757">
        <f t="shared" si="52"/>
        <v>0</v>
      </c>
      <c r="AH71" s="999">
        <f t="shared" si="53"/>
        <v>0</v>
      </c>
      <c r="AI71" s="1658">
        <f t="shared" si="58"/>
        <v>0</v>
      </c>
      <c r="AJ71" s="1658">
        <f t="shared" si="59"/>
        <v>0</v>
      </c>
      <c r="AL71" s="49">
        <f>-'[4]Table 5C1A-Madison Prep'!P70</f>
        <v>0</v>
      </c>
      <c r="AM71" s="49">
        <f t="shared" si="60"/>
        <v>0</v>
      </c>
      <c r="AN71" s="49">
        <f t="shared" si="55"/>
        <v>0</v>
      </c>
    </row>
    <row r="72" spans="1:40">
      <c r="A72" s="879">
        <v>65</v>
      </c>
      <c r="B72" s="880" t="s">
        <v>155</v>
      </c>
      <c r="C72" s="973">
        <f>'2-1-13 SIS'!I71</f>
        <v>0</v>
      </c>
      <c r="D72" s="883">
        <f>'Table 3 Levels 1&amp;2'!AL72</f>
        <v>4579.2772303106676</v>
      </c>
      <c r="E72" s="922">
        <f t="shared" si="36"/>
        <v>0</v>
      </c>
      <c r="F72" s="922">
        <f>'Table 4 Level 3'!P70</f>
        <v>829.12</v>
      </c>
      <c r="G72" s="922">
        <f t="shared" si="37"/>
        <v>0</v>
      </c>
      <c r="H72" s="906">
        <f t="shared" si="38"/>
        <v>0</v>
      </c>
      <c r="I72" s="1729">
        <f>+'[3]Oct midyear Madison Prep'!K71</f>
        <v>0</v>
      </c>
      <c r="J72" s="1729">
        <f>'[3]Feb midyear Madison Prep'!K71</f>
        <v>0</v>
      </c>
      <c r="K72" s="1703">
        <f t="shared" si="39"/>
        <v>0</v>
      </c>
      <c r="L72" s="1393">
        <f t="shared" ref="L72:L76" si="61">K72+H72</f>
        <v>0</v>
      </c>
      <c r="M72" s="932">
        <f t="shared" si="40"/>
        <v>0</v>
      </c>
      <c r="N72" s="906">
        <f t="shared" si="41"/>
        <v>0</v>
      </c>
      <c r="O72" s="883">
        <v>0</v>
      </c>
      <c r="P72" s="1553">
        <f t="shared" si="42"/>
        <v>0</v>
      </c>
      <c r="Q72" s="1804">
        <f>'[4]Table 5C1A-Madison Prep'!M71+'[27]Table 5C1A-Madison Prep'!T71+('[26]Table 5C1A-Madison Prep'!T71*6)</f>
        <v>0</v>
      </c>
      <c r="R72" s="1809">
        <f t="shared" si="43"/>
        <v>0</v>
      </c>
      <c r="S72" s="1806">
        <f t="shared" si="44"/>
        <v>0</v>
      </c>
      <c r="T72" s="1807">
        <f>'[14]FY2013-14 Final'!K72</f>
        <v>4823</v>
      </c>
      <c r="U72" s="1556">
        <f t="shared" ref="U72:U76" si="62">C72*T72</f>
        <v>0</v>
      </c>
      <c r="V72" s="1760">
        <f>+'[3]Oct midyear Madison Prep'!E71</f>
        <v>0</v>
      </c>
      <c r="W72" s="1761">
        <f t="shared" si="45"/>
        <v>0</v>
      </c>
      <c r="X72" s="1762">
        <f>'[3]Feb midyear Madison Prep'!E71</f>
        <v>0</v>
      </c>
      <c r="Y72" s="1763">
        <f t="shared" si="46"/>
        <v>0</v>
      </c>
      <c r="Z72" s="1654">
        <f t="shared" si="47"/>
        <v>0</v>
      </c>
      <c r="AA72" s="1660">
        <f t="shared" si="48"/>
        <v>0</v>
      </c>
      <c r="AB72" s="938">
        <f t="shared" si="49"/>
        <v>0</v>
      </c>
      <c r="AC72" s="1556">
        <f t="shared" si="50"/>
        <v>0</v>
      </c>
      <c r="AD72" s="1826">
        <v>0</v>
      </c>
      <c r="AE72" s="1556">
        <f t="shared" si="51"/>
        <v>0</v>
      </c>
      <c r="AF72" s="1833">
        <f>'[4]Table 5C1A-Madison Prep'!T71+'[27]Table 5C1A-Madison Prep'!AF71+('[26]Table 5C1A-Madison Prep'!AF71*6)</f>
        <v>0</v>
      </c>
      <c r="AG72" s="1761">
        <f t="shared" si="52"/>
        <v>0</v>
      </c>
      <c r="AH72" s="1659">
        <f t="shared" si="53"/>
        <v>0</v>
      </c>
      <c r="AI72" s="1661">
        <f t="shared" si="58"/>
        <v>0</v>
      </c>
      <c r="AJ72" s="1661">
        <f t="shared" si="59"/>
        <v>0</v>
      </c>
      <c r="AL72" s="49">
        <f>-'[4]Table 5C1A-Madison Prep'!P71</f>
        <v>0</v>
      </c>
      <c r="AM72" s="49">
        <f t="shared" ref="AM72:AM77" si="63">AB72</f>
        <v>0</v>
      </c>
      <c r="AN72" s="49">
        <f t="shared" si="55"/>
        <v>0</v>
      </c>
    </row>
    <row r="73" spans="1:40">
      <c r="A73" s="870">
        <v>66</v>
      </c>
      <c r="B73" s="871" t="s">
        <v>156</v>
      </c>
      <c r="C73" s="974">
        <f>'2-1-13 SIS'!I72</f>
        <v>0</v>
      </c>
      <c r="D73" s="884">
        <f>'Table 3 Levels 1&amp;2'!AL73</f>
        <v>6370.8108195713585</v>
      </c>
      <c r="E73" s="923">
        <f t="shared" ref="E73:E76" si="64">C73*D73</f>
        <v>0</v>
      </c>
      <c r="F73" s="923">
        <f>'Table 4 Level 3'!P71</f>
        <v>730.06</v>
      </c>
      <c r="G73" s="923">
        <f t="shared" ref="G73:G76" si="65">C73*F73</f>
        <v>0</v>
      </c>
      <c r="H73" s="907">
        <f t="shared" ref="H73:H76" si="66">E73+G73</f>
        <v>0</v>
      </c>
      <c r="I73" s="1723">
        <f>+'[3]Oct midyear Madison Prep'!K72</f>
        <v>0</v>
      </c>
      <c r="J73" s="1723">
        <f>'[3]Feb midyear Madison Prep'!K72</f>
        <v>0</v>
      </c>
      <c r="K73" s="1547">
        <f t="shared" ref="K73:K76" si="67">+I73+J73</f>
        <v>0</v>
      </c>
      <c r="L73" s="1400">
        <f t="shared" si="61"/>
        <v>0</v>
      </c>
      <c r="M73" s="933">
        <f t="shared" ref="M73:M76" si="68">-(0.25%*L73)</f>
        <v>0</v>
      </c>
      <c r="N73" s="907">
        <f t="shared" ref="N73:N76" si="69">SUM(L73:M73)</f>
        <v>0</v>
      </c>
      <c r="O73" s="884">
        <v>0</v>
      </c>
      <c r="P73" s="996">
        <f t="shared" ref="P73:P76" si="70">SUM(N73:O73)</f>
        <v>0</v>
      </c>
      <c r="Q73" s="1718">
        <f>'[4]Table 5C1A-Madison Prep'!M72+'[27]Table 5C1A-Madison Prep'!T72+('[26]Table 5C1A-Madison Prep'!T72*6)</f>
        <v>0</v>
      </c>
      <c r="R73" s="1723">
        <f t="shared" ref="R73:R76" si="71">P73-Q73</f>
        <v>0</v>
      </c>
      <c r="S73" s="998">
        <f t="shared" ref="S73:S76" si="72">ROUND(R73/4,0)</f>
        <v>0</v>
      </c>
      <c r="T73" s="1802">
        <f>'[14]FY2013-14 Final'!K73</f>
        <v>3524</v>
      </c>
      <c r="U73" s="999">
        <f t="shared" si="62"/>
        <v>0</v>
      </c>
      <c r="V73" s="1754">
        <f>+'[3]Oct midyear Madison Prep'!E72</f>
        <v>0</v>
      </c>
      <c r="W73" s="1755">
        <f t="shared" ref="W73:W76" si="73">V73*T73</f>
        <v>0</v>
      </c>
      <c r="X73" s="1754">
        <f>'[3]Feb midyear Madison Prep'!E72</f>
        <v>0</v>
      </c>
      <c r="Y73" s="1755">
        <f t="shared" ref="Y73:Y76" si="74">(T73*X73)*0.5</f>
        <v>0</v>
      </c>
      <c r="Z73" s="1652">
        <f t="shared" ref="Z73:Z76" si="75">+W73+Y73</f>
        <v>0</v>
      </c>
      <c r="AA73" s="999">
        <f t="shared" ref="AA73:AA76" si="76">Z73+U73</f>
        <v>0</v>
      </c>
      <c r="AB73" s="936">
        <f t="shared" ref="AB73:AB76" si="77">-(0.25%*AA73)</f>
        <v>0</v>
      </c>
      <c r="AC73" s="999">
        <f t="shared" ref="AC73:AC76" si="78">SUM(AA73:AB73)</f>
        <v>0</v>
      </c>
      <c r="AD73" s="1755">
        <v>0</v>
      </c>
      <c r="AE73" s="999">
        <f t="shared" ref="AE73:AE76" si="79">SUM(AC73:AD73)</f>
        <v>0</v>
      </c>
      <c r="AF73" s="1755">
        <f>'[4]Table 5C1A-Madison Prep'!T72+'[27]Table 5C1A-Madison Prep'!AF72+('[26]Table 5C1A-Madison Prep'!AF72*6)</f>
        <v>0</v>
      </c>
      <c r="AG73" s="1755">
        <f t="shared" ref="AG73:AG76" si="80">AE73-AF73</f>
        <v>0</v>
      </c>
      <c r="AH73" s="999">
        <f t="shared" ref="AH73:AH76" si="81">ROUND(AG73/4,0)</f>
        <v>0</v>
      </c>
      <c r="AI73" s="1656">
        <f t="shared" si="58"/>
        <v>0</v>
      </c>
      <c r="AJ73" s="1656">
        <f t="shared" si="59"/>
        <v>0</v>
      </c>
      <c r="AL73" s="49">
        <f>-'[4]Table 5C1A-Madison Prep'!P72</f>
        <v>0</v>
      </c>
      <c r="AM73" s="49">
        <f t="shared" si="63"/>
        <v>0</v>
      </c>
      <c r="AN73" s="49">
        <f t="shared" ref="AN73:AN76" si="82">SUM(AL73:AM73)</f>
        <v>0</v>
      </c>
    </row>
    <row r="74" spans="1:40">
      <c r="A74" s="876">
        <v>67</v>
      </c>
      <c r="B74" s="877" t="s">
        <v>32</v>
      </c>
      <c r="C74" s="972">
        <f>'2-1-13 SIS'!I73</f>
        <v>2</v>
      </c>
      <c r="D74" s="882">
        <f>'Table 3 Levels 1&amp;2'!AL74</f>
        <v>4951.6009932106244</v>
      </c>
      <c r="E74" s="921">
        <f t="shared" si="64"/>
        <v>9903.2019864212489</v>
      </c>
      <c r="F74" s="921">
        <f>'Table 4 Level 3'!P72</f>
        <v>715.61</v>
      </c>
      <c r="G74" s="921">
        <f t="shared" si="65"/>
        <v>1431.22</v>
      </c>
      <c r="H74" s="905">
        <f t="shared" si="66"/>
        <v>11334.421986421248</v>
      </c>
      <c r="I74" s="1728">
        <f>+'[3]Oct midyear Madison Prep'!K73</f>
        <v>5667.2109932106241</v>
      </c>
      <c r="J74" s="1728">
        <f>'[3]Feb midyear Madison Prep'!K73</f>
        <v>0</v>
      </c>
      <c r="K74" s="1702">
        <f t="shared" si="67"/>
        <v>5667.2109932106241</v>
      </c>
      <c r="L74" s="1394">
        <f t="shared" si="61"/>
        <v>17001.632979631871</v>
      </c>
      <c r="M74" s="931">
        <f t="shared" si="68"/>
        <v>-42.504082449079682</v>
      </c>
      <c r="N74" s="905">
        <f t="shared" si="69"/>
        <v>16959.128897182793</v>
      </c>
      <c r="O74" s="882">
        <v>0</v>
      </c>
      <c r="P74" s="1552">
        <f t="shared" si="70"/>
        <v>16959.128897182793</v>
      </c>
      <c r="Q74" s="1718">
        <f>'[4]Table 5C1A-Madison Prep'!M73+'[27]Table 5C1A-Madison Prep'!T73+('[26]Table 5C1A-Madison Prep'!T73*6)</f>
        <v>11340.34679791415</v>
      </c>
      <c r="R74" s="1808">
        <f t="shared" si="71"/>
        <v>5618.7820992686429</v>
      </c>
      <c r="S74" s="998">
        <f t="shared" si="72"/>
        <v>1405</v>
      </c>
      <c r="T74" s="1802">
        <f>'[14]FY2013-14 Final'!K74</f>
        <v>5007</v>
      </c>
      <c r="U74" s="1555">
        <f t="shared" si="62"/>
        <v>10014</v>
      </c>
      <c r="V74" s="1756">
        <f>+'[3]Oct midyear Madison Prep'!E73</f>
        <v>1</v>
      </c>
      <c r="W74" s="1757">
        <f t="shared" si="73"/>
        <v>5007</v>
      </c>
      <c r="X74" s="1758">
        <f>'[3]Feb midyear Madison Prep'!E73</f>
        <v>0</v>
      </c>
      <c r="Y74" s="1759">
        <f t="shared" si="74"/>
        <v>0</v>
      </c>
      <c r="Z74" s="1653">
        <f t="shared" si="75"/>
        <v>5007</v>
      </c>
      <c r="AA74" s="1657">
        <f t="shared" si="76"/>
        <v>15021</v>
      </c>
      <c r="AB74" s="937">
        <f t="shared" si="77"/>
        <v>-37.552500000000002</v>
      </c>
      <c r="AC74" s="1555">
        <f t="shared" si="78"/>
        <v>14983.4475</v>
      </c>
      <c r="AD74" s="1825">
        <v>0</v>
      </c>
      <c r="AE74" s="1555">
        <f t="shared" si="79"/>
        <v>14983.4475</v>
      </c>
      <c r="AF74" s="1755">
        <f>'[4]Table 5C1A-Madison Prep'!T73+'[27]Table 5C1A-Madison Prep'!AF73+('[26]Table 5C1A-Madison Prep'!AF73*6)</f>
        <v>10447.458318181818</v>
      </c>
      <c r="AG74" s="1757">
        <f t="shared" si="80"/>
        <v>4535.9891818181823</v>
      </c>
      <c r="AH74" s="999">
        <f t="shared" si="81"/>
        <v>1134</v>
      </c>
      <c r="AI74" s="1658">
        <f t="shared" si="58"/>
        <v>31942.576397182791</v>
      </c>
      <c r="AJ74" s="1658">
        <f t="shared" si="59"/>
        <v>2539</v>
      </c>
      <c r="AL74" s="49">
        <f>-'[4]Table 5C1A-Madison Prep'!P73</f>
        <v>26.105</v>
      </c>
      <c r="AM74" s="49">
        <f t="shared" si="63"/>
        <v>-37.552500000000002</v>
      </c>
      <c r="AN74" s="49">
        <f t="shared" si="82"/>
        <v>-11.447500000000002</v>
      </c>
    </row>
    <row r="75" spans="1:40">
      <c r="A75" s="876">
        <v>68</v>
      </c>
      <c r="B75" s="877" t="s">
        <v>30</v>
      </c>
      <c r="C75" s="972">
        <f>'2-1-13 SIS'!I74</f>
        <v>4</v>
      </c>
      <c r="D75" s="882">
        <f>'Table 3 Levels 1&amp;2'!AL75</f>
        <v>6077.2398733698947</v>
      </c>
      <c r="E75" s="921">
        <f t="shared" si="64"/>
        <v>24308.959493479579</v>
      </c>
      <c r="F75" s="921">
        <f>'Table 4 Level 3'!P73</f>
        <v>798.7</v>
      </c>
      <c r="G75" s="921">
        <f t="shared" si="65"/>
        <v>3194.8</v>
      </c>
      <c r="H75" s="905">
        <f t="shared" si="66"/>
        <v>27503.759493479578</v>
      </c>
      <c r="I75" s="1728">
        <f>+'[3]Oct midyear Madison Prep'!K74</f>
        <v>20627.819620109683</v>
      </c>
      <c r="J75" s="1728">
        <f>'[3]Feb midyear Madison Prep'!K74</f>
        <v>0</v>
      </c>
      <c r="K75" s="1702">
        <f t="shared" si="67"/>
        <v>20627.819620109683</v>
      </c>
      <c r="L75" s="1394">
        <f t="shared" si="61"/>
        <v>48131.579113589265</v>
      </c>
      <c r="M75" s="931">
        <f t="shared" si="68"/>
        <v>-120.32894778397316</v>
      </c>
      <c r="N75" s="905">
        <f t="shared" si="69"/>
        <v>48011.250165805293</v>
      </c>
      <c r="O75" s="882">
        <v>0</v>
      </c>
      <c r="P75" s="1552">
        <f t="shared" si="70"/>
        <v>48011.250165805293</v>
      </c>
      <c r="Q75" s="1718">
        <f>'[4]Table 5C1A-Madison Prep'!M74+'[27]Table 5C1A-Madison Prep'!T74+('[26]Table 5C1A-Madison Prep'!T74*6)</f>
        <v>27767.545550439772</v>
      </c>
      <c r="R75" s="1808">
        <f t="shared" si="71"/>
        <v>20243.704615365521</v>
      </c>
      <c r="S75" s="998">
        <f t="shared" si="72"/>
        <v>5061</v>
      </c>
      <c r="T75" s="1802">
        <f>'[14]FY2013-14 Final'!K75</f>
        <v>2927</v>
      </c>
      <c r="U75" s="1555">
        <f t="shared" si="62"/>
        <v>11708</v>
      </c>
      <c r="V75" s="1756">
        <f>+'[3]Oct midyear Madison Prep'!E74</f>
        <v>3</v>
      </c>
      <c r="W75" s="1757">
        <f>V75*T75</f>
        <v>8781</v>
      </c>
      <c r="X75" s="1758">
        <f>'[3]Feb midyear Madison Prep'!E74</f>
        <v>0</v>
      </c>
      <c r="Y75" s="1759">
        <f t="shared" si="74"/>
        <v>0</v>
      </c>
      <c r="Z75" s="1653">
        <f t="shared" si="75"/>
        <v>8781</v>
      </c>
      <c r="AA75" s="1657">
        <f t="shared" si="76"/>
        <v>20489</v>
      </c>
      <c r="AB75" s="937">
        <f t="shared" si="77"/>
        <v>-51.222500000000004</v>
      </c>
      <c r="AC75" s="1555">
        <f t="shared" si="78"/>
        <v>20437.7775</v>
      </c>
      <c r="AD75" s="1825">
        <v>0</v>
      </c>
      <c r="AE75" s="1555">
        <f t="shared" si="79"/>
        <v>20437.7775</v>
      </c>
      <c r="AF75" s="1755">
        <f>'[4]Table 5C1A-Madison Prep'!T74+'[27]Table 5C1A-Madison Prep'!AF74+('[26]Table 5C1A-Madison Prep'!AF74*6)</f>
        <v>10822.814545454545</v>
      </c>
      <c r="AG75" s="1757">
        <f t="shared" si="80"/>
        <v>9614.9629545454554</v>
      </c>
      <c r="AH75" s="999">
        <f t="shared" si="81"/>
        <v>2404</v>
      </c>
      <c r="AI75" s="1658">
        <f>P75+AE75</f>
        <v>68449.02766580529</v>
      </c>
      <c r="AJ75" s="1658">
        <f t="shared" si="59"/>
        <v>7465</v>
      </c>
      <c r="AL75" s="49">
        <f>-'[4]Table 5C1A-Madison Prep'!P74</f>
        <v>26.8</v>
      </c>
      <c r="AM75" s="49">
        <f t="shared" si="63"/>
        <v>-51.222500000000004</v>
      </c>
      <c r="AN75" s="49">
        <f t="shared" si="82"/>
        <v>-24.422500000000003</v>
      </c>
    </row>
    <row r="76" spans="1:40">
      <c r="A76" s="885">
        <v>69</v>
      </c>
      <c r="B76" s="886" t="s">
        <v>205</v>
      </c>
      <c r="C76" s="975">
        <f>'2-1-13 SIS'!I75</f>
        <v>0</v>
      </c>
      <c r="D76" s="887">
        <f>'Table 3 Levels 1&amp;2'!AL76</f>
        <v>5585.8253106686579</v>
      </c>
      <c r="E76" s="924">
        <f t="shared" si="64"/>
        <v>0</v>
      </c>
      <c r="F76" s="924">
        <f>'Table 4 Level 3'!P74</f>
        <v>705.67</v>
      </c>
      <c r="G76" s="924">
        <f t="shared" si="65"/>
        <v>0</v>
      </c>
      <c r="H76" s="908">
        <f t="shared" si="66"/>
        <v>0</v>
      </c>
      <c r="I76" s="1730">
        <f>+'[3]Oct midyear Madison Prep'!K75</f>
        <v>6291.495310668658</v>
      </c>
      <c r="J76" s="1730">
        <f>'[3]Feb midyear Madison Prep'!K75</f>
        <v>0</v>
      </c>
      <c r="K76" s="1704">
        <f t="shared" si="67"/>
        <v>6291.495310668658</v>
      </c>
      <c r="L76" s="1392">
        <f t="shared" si="61"/>
        <v>6291.495310668658</v>
      </c>
      <c r="M76" s="934">
        <f t="shared" si="68"/>
        <v>-15.728738276671645</v>
      </c>
      <c r="N76" s="908">
        <f t="shared" si="69"/>
        <v>6275.7665723919863</v>
      </c>
      <c r="O76" s="887">
        <v>0</v>
      </c>
      <c r="P76" s="1554">
        <f t="shared" si="70"/>
        <v>6275.7665723919863</v>
      </c>
      <c r="Q76" s="1718">
        <f>'[4]Table 5C1A-Madison Prep'!M75+'[27]Table 5C1A-Madison Prep'!T75+('[26]Table 5C1A-Madison Prep'!T75*6)</f>
        <v>0</v>
      </c>
      <c r="R76" s="1810">
        <f t="shared" si="71"/>
        <v>6275.7665723919863</v>
      </c>
      <c r="S76" s="998">
        <f t="shared" si="72"/>
        <v>1569</v>
      </c>
      <c r="T76" s="1802">
        <f>'[14]FY2013-14 Final'!K76</f>
        <v>3404</v>
      </c>
      <c r="U76" s="1557">
        <f t="shared" si="62"/>
        <v>0</v>
      </c>
      <c r="V76" s="1764">
        <f>+'[3]Oct midyear Madison Prep'!E75</f>
        <v>1</v>
      </c>
      <c r="W76" s="1765">
        <f t="shared" si="73"/>
        <v>3404</v>
      </c>
      <c r="X76" s="1766">
        <f>'[3]Feb midyear Madison Prep'!E75</f>
        <v>0</v>
      </c>
      <c r="Y76" s="1767">
        <f t="shared" si="74"/>
        <v>0</v>
      </c>
      <c r="Z76" s="1655">
        <f t="shared" si="75"/>
        <v>3404</v>
      </c>
      <c r="AA76" s="1662">
        <f t="shared" si="76"/>
        <v>3404</v>
      </c>
      <c r="AB76" s="939">
        <f t="shared" si="77"/>
        <v>-8.51</v>
      </c>
      <c r="AC76" s="1557">
        <f t="shared" si="78"/>
        <v>3395.49</v>
      </c>
      <c r="AD76" s="1827">
        <v>0</v>
      </c>
      <c r="AE76" s="1557">
        <f t="shared" si="79"/>
        <v>3395.49</v>
      </c>
      <c r="AF76" s="1755">
        <f>'[4]Table 5C1A-Madison Prep'!T75+'[27]Table 5C1A-Madison Prep'!AF75+('[26]Table 5C1A-Madison Prep'!AF75*6)</f>
        <v>0</v>
      </c>
      <c r="AG76" s="1765">
        <f t="shared" si="80"/>
        <v>3395.49</v>
      </c>
      <c r="AH76" s="999">
        <f t="shared" si="81"/>
        <v>849</v>
      </c>
      <c r="AI76" s="1663">
        <f t="shared" si="58"/>
        <v>9671.256572391987</v>
      </c>
      <c r="AJ76" s="1663">
        <f t="shared" si="59"/>
        <v>2418</v>
      </c>
      <c r="AL76" s="49">
        <f>-'[4]Table 5C1A-Madison Prep'!P75</f>
        <v>0</v>
      </c>
      <c r="AM76" s="49">
        <f t="shared" si="63"/>
        <v>-8.51</v>
      </c>
      <c r="AN76" s="49">
        <f t="shared" si="82"/>
        <v>-8.51</v>
      </c>
    </row>
    <row r="77" spans="1:40" ht="13.5" thickBot="1">
      <c r="A77" s="888"/>
      <c r="B77" s="889" t="s">
        <v>157</v>
      </c>
      <c r="C77" s="890">
        <f>SUM(C8:C76)</f>
        <v>213</v>
      </c>
      <c r="D77" s="891"/>
      <c r="E77" s="925">
        <f>SUM(E8:E76)</f>
        <v>719611.92201500153</v>
      </c>
      <c r="F77" s="925">
        <f>'Table 4 Level 3'!P75</f>
        <v>704.49059912051428</v>
      </c>
      <c r="G77" s="925">
        <f t="shared" ref="G77:Q77" si="83">SUM(G8:G76)</f>
        <v>170564.12057862198</v>
      </c>
      <c r="H77" s="892">
        <f t="shared" si="83"/>
        <v>890176.04259362351</v>
      </c>
      <c r="I77" s="1731">
        <f t="shared" ref="I77:K77" si="84">SUM(I8:I76)</f>
        <v>270733.9201613022</v>
      </c>
      <c r="J77" s="1731">
        <f t="shared" si="84"/>
        <v>-2057.2721277349242</v>
      </c>
      <c r="K77" s="1705">
        <f t="shared" si="84"/>
        <v>268676.6480335673</v>
      </c>
      <c r="L77" s="1398">
        <f>SUM(L8:L76)</f>
        <v>1158852.6906271908</v>
      </c>
      <c r="M77" s="935">
        <f t="shared" si="83"/>
        <v>-2897.1317265679772</v>
      </c>
      <c r="N77" s="892">
        <f t="shared" si="83"/>
        <v>1155955.5589006229</v>
      </c>
      <c r="O77" s="891">
        <f t="shared" si="83"/>
        <v>0</v>
      </c>
      <c r="P77" s="997">
        <f t="shared" si="83"/>
        <v>1155955.5589006229</v>
      </c>
      <c r="Q77" s="1725">
        <f t="shared" si="83"/>
        <v>747763.08986152499</v>
      </c>
      <c r="R77" s="1811">
        <f>SUM(R8:R76)</f>
        <v>408192.46903909778</v>
      </c>
      <c r="S77" s="997">
        <f>SUM(S8:S76)</f>
        <v>102049</v>
      </c>
      <c r="T77" s="1812">
        <f>'[14]FY2013-14 Final'!$K$77</f>
        <v>4626</v>
      </c>
      <c r="U77" s="1000">
        <f t="shared" ref="U77:AJ77" si="85">SUM(U8:U76)</f>
        <v>1442715</v>
      </c>
      <c r="V77" s="1768">
        <f>SUM(V8:V76)</f>
        <v>63</v>
      </c>
      <c r="W77" s="1769">
        <f>SUM(W8:W76)</f>
        <v>419461</v>
      </c>
      <c r="X77" s="1770">
        <f t="shared" ref="X77:Z77" si="86">SUM(X8:X76)</f>
        <v>-1</v>
      </c>
      <c r="Y77" s="1771">
        <f t="shared" si="86"/>
        <v>-3433</v>
      </c>
      <c r="Z77" s="1665">
        <f t="shared" si="86"/>
        <v>416028</v>
      </c>
      <c r="AA77" s="1799">
        <f>SUM(AA8:AA76)</f>
        <v>1858743</v>
      </c>
      <c r="AB77" s="940">
        <f t="shared" si="85"/>
        <v>-4646.8575000000001</v>
      </c>
      <c r="AC77" s="1000">
        <f t="shared" si="85"/>
        <v>1854096.1425000001</v>
      </c>
      <c r="AD77" s="1828">
        <f t="shared" si="85"/>
        <v>0</v>
      </c>
      <c r="AE77" s="1000">
        <f t="shared" si="85"/>
        <v>1854096.1425000001</v>
      </c>
      <c r="AF77" s="1828">
        <f t="shared" si="85"/>
        <v>1188613.7031363633</v>
      </c>
      <c r="AG77" s="1828">
        <f t="shared" si="85"/>
        <v>665482.43936363654</v>
      </c>
      <c r="AH77" s="1000">
        <f t="shared" si="85"/>
        <v>166371</v>
      </c>
      <c r="AI77" s="894">
        <f t="shared" si="85"/>
        <v>3010051.7014006223</v>
      </c>
      <c r="AJ77" s="894">
        <f t="shared" si="85"/>
        <v>268420</v>
      </c>
      <c r="AL77" s="49">
        <f>SUM(AL8:AL76)</f>
        <v>3552.2725000000005</v>
      </c>
      <c r="AM77" s="49">
        <f t="shared" si="63"/>
        <v>-4646.8575000000001</v>
      </c>
      <c r="AN77" s="49">
        <f>SUM(AN8:AN76)</f>
        <v>-1094.5849999999996</v>
      </c>
    </row>
    <row r="78" spans="1:40" ht="13.5" thickTop="1"/>
    <row r="79" spans="1:40" hidden="1">
      <c r="M79" s="49">
        <f>-'[4]Table 5C1A-Madison Prep'!$I$76</f>
        <v>2225.440106484059</v>
      </c>
      <c r="N79" s="771" t="s">
        <v>951</v>
      </c>
      <c r="AB79" s="771"/>
      <c r="AC79" s="49"/>
    </row>
    <row r="80" spans="1:40" hidden="1">
      <c r="M80" s="2044">
        <f>M77</f>
        <v>-2897.1317265679772</v>
      </c>
      <c r="N80" s="771" t="s">
        <v>952</v>
      </c>
      <c r="AB80" s="771"/>
      <c r="AC80" s="2044"/>
    </row>
    <row r="81" spans="13:29" hidden="1">
      <c r="M81" s="2083">
        <f>SUM(M79:M80)</f>
        <v>-671.69162008391822</v>
      </c>
      <c r="N81" s="771" t="s">
        <v>953</v>
      </c>
      <c r="AB81" s="771"/>
      <c r="AC81" s="49"/>
    </row>
    <row r="82" spans="13:29" hidden="1"/>
  </sheetData>
  <mergeCells count="30">
    <mergeCell ref="Y4:Y5"/>
    <mergeCell ref="V3:Z3"/>
    <mergeCell ref="A2:B5"/>
    <mergeCell ref="C4:C5"/>
    <mergeCell ref="D4:D5"/>
    <mergeCell ref="E4:E5"/>
    <mergeCell ref="H4:H5"/>
    <mergeCell ref="F4:F5"/>
    <mergeCell ref="C2:S2"/>
    <mergeCell ref="I4:I5"/>
    <mergeCell ref="J4:J5"/>
    <mergeCell ref="K4:K5"/>
    <mergeCell ref="L4:L5"/>
    <mergeCell ref="I3:K3"/>
    <mergeCell ref="AJ2:AJ5"/>
    <mergeCell ref="G4:G5"/>
    <mergeCell ref="N4:N5"/>
    <mergeCell ref="O4:O5"/>
    <mergeCell ref="P4:P5"/>
    <mergeCell ref="S4:S5"/>
    <mergeCell ref="AD4:AD5"/>
    <mergeCell ref="AE4:AE5"/>
    <mergeCell ref="T4:T5"/>
    <mergeCell ref="AC4:AC5"/>
    <mergeCell ref="V4:V5"/>
    <mergeCell ref="W4:W5"/>
    <mergeCell ref="AA4:AA5"/>
    <mergeCell ref="T2:AH2"/>
    <mergeCell ref="AI2:AI5"/>
    <mergeCell ref="X4:X5"/>
  </mergeCells>
  <pageMargins left="0.32" right="0.32" top="0.75" bottom="0.75" header="0.3" footer="0.3"/>
  <pageSetup paperSize="5" scale="60" firstPageNumber="50" orientation="portrait" useFirstPageNumber="1" r:id="rId1"/>
  <headerFooter>
    <oddHeader xml:space="preserve">&amp;L&amp;"Arial,Bold"&amp;20Table 5C1-A: FY2013-14 MFP Budget Letter (March 2014) 
Madison Prep Academy </oddHeader>
    <oddFooter>&amp;R&amp;P</oddFooter>
  </headerFooter>
  <colBreaks count="3" manualBreakCount="3">
    <brk id="12" min="1" max="77" man="1"/>
    <brk id="19" min="1" max="77" man="1"/>
    <brk id="31" min="1" max="7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view="pageBreakPreview" zoomScale="80" zoomScaleNormal="100" zoomScaleSheetLayoutView="80" workbookViewId="0">
      <pane xSplit="2" ySplit="7" topLeftCell="C8" activePane="bottomRight" state="frozen"/>
      <selection activeCell="AL6" sqref="AL6"/>
      <selection pane="topRight" activeCell="AL6" sqref="AL6"/>
      <selection pane="bottomLeft" activeCell="AL6" sqref="AL6"/>
      <selection pane="bottomRight"/>
    </sheetView>
  </sheetViews>
  <sheetFormatPr defaultRowHeight="12.75"/>
  <cols>
    <col min="1" max="1" width="4.28515625" customWidth="1"/>
    <col min="2" max="2" width="17.85546875" customWidth="1"/>
    <col min="3" max="3" width="13.7109375" customWidth="1"/>
    <col min="4" max="4" width="14" customWidth="1"/>
    <col min="5" max="5" width="10.7109375" customWidth="1"/>
    <col min="6" max="6" width="13" customWidth="1"/>
    <col min="7" max="7" width="13.42578125" customWidth="1"/>
    <col min="8" max="8" width="12.85546875" customWidth="1"/>
    <col min="9" max="9" width="12.5703125" style="1412" customWidth="1"/>
    <col min="10" max="10" width="13.42578125" style="1412" bestFit="1" customWidth="1"/>
    <col min="11" max="11" width="12.5703125" style="1412" customWidth="1"/>
    <col min="12" max="12" width="15.140625" style="1412" customWidth="1"/>
    <col min="13" max="13" width="11.85546875" customWidth="1"/>
    <col min="14" max="14" width="13.140625" customWidth="1"/>
    <col min="15" max="15" width="13.42578125" bestFit="1" customWidth="1"/>
    <col min="16" max="16" width="14.7109375" customWidth="1"/>
    <col min="17" max="18" width="14" style="1426" customWidth="1"/>
    <col min="19" max="19" width="10.7109375" customWidth="1"/>
    <col min="20" max="20" width="11.5703125" customWidth="1"/>
    <col min="21" max="21" width="11.5703125" bestFit="1" customWidth="1"/>
    <col min="22" max="23" width="12" style="1426" customWidth="1"/>
    <col min="24" max="26" width="12" style="1464" customWidth="1"/>
    <col min="27" max="27" width="13" style="1426" customWidth="1"/>
    <col min="28" max="28" width="12.5703125" customWidth="1"/>
    <col min="29" max="29" width="13" customWidth="1"/>
    <col min="30" max="30" width="13.28515625" customWidth="1"/>
    <col min="31" max="31" width="13" customWidth="1"/>
    <col min="32" max="33" width="13.140625" style="1426" customWidth="1"/>
    <col min="34" max="34" width="12" customWidth="1"/>
    <col min="35" max="35" width="11" customWidth="1"/>
    <col min="36" max="36" width="12.140625" customWidth="1"/>
    <col min="37" max="37" width="2.85546875" customWidth="1"/>
    <col min="38" max="38" width="9.140625" hidden="1" customWidth="1"/>
    <col min="39" max="39" width="10.42578125" hidden="1" customWidth="1"/>
    <col min="40" max="40" width="9.140625" hidden="1" customWidth="1"/>
  </cols>
  <sheetData>
    <row r="1" spans="1:40">
      <c r="C1" s="271"/>
      <c r="D1" s="271"/>
      <c r="E1" s="271"/>
      <c r="F1" s="271"/>
      <c r="G1" s="271"/>
      <c r="H1" s="271"/>
      <c r="I1" s="1413"/>
      <c r="J1" s="1413"/>
      <c r="K1" s="1413"/>
      <c r="L1" s="1413"/>
      <c r="M1" s="271"/>
      <c r="N1" s="271"/>
      <c r="O1" s="271"/>
      <c r="P1" s="271"/>
      <c r="Q1" s="1427"/>
      <c r="R1" s="1427"/>
      <c r="S1" s="271"/>
    </row>
    <row r="2" spans="1:40" ht="45" customHeight="1">
      <c r="A2" s="2324" t="s">
        <v>446</v>
      </c>
      <c r="B2" s="2325"/>
      <c r="C2" s="2343" t="s">
        <v>440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46"/>
      <c r="W2" s="2346"/>
      <c r="X2" s="2320"/>
      <c r="Y2" s="2320"/>
      <c r="Z2" s="2320"/>
      <c r="AA2" s="2346"/>
      <c r="AB2" s="2318"/>
      <c r="AC2" s="2318"/>
      <c r="AD2" s="2318"/>
      <c r="AE2" s="2318"/>
      <c r="AF2" s="2346"/>
      <c r="AG2" s="2346"/>
      <c r="AH2" s="2321"/>
      <c r="AI2" s="2307" t="s">
        <v>542</v>
      </c>
      <c r="AJ2" s="2307" t="s">
        <v>527</v>
      </c>
    </row>
    <row r="3" spans="1:40" s="1464" customFormat="1" ht="22.9" customHeight="1">
      <c r="A3" s="2326"/>
      <c r="B3" s="2327"/>
      <c r="C3" s="1585"/>
      <c r="D3" s="1579"/>
      <c r="E3" s="1579"/>
      <c r="F3" s="1579"/>
      <c r="G3" s="1579"/>
      <c r="H3" s="1579"/>
      <c r="I3" s="2337" t="s">
        <v>772</v>
      </c>
      <c r="J3" s="2338"/>
      <c r="K3" s="2339"/>
      <c r="L3" s="1579"/>
      <c r="M3" s="1579"/>
      <c r="N3" s="1579"/>
      <c r="O3" s="1579"/>
      <c r="P3" s="1579"/>
      <c r="Q3" s="1579"/>
      <c r="R3" s="1579"/>
      <c r="S3" s="1580"/>
      <c r="T3" s="1584"/>
      <c r="U3" s="1582"/>
      <c r="V3" s="2340" t="s">
        <v>772</v>
      </c>
      <c r="W3" s="2341"/>
      <c r="X3" s="2341"/>
      <c r="Y3" s="2341"/>
      <c r="Z3" s="2341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</row>
    <row r="4" spans="1:40" ht="135" customHeight="1">
      <c r="A4" s="2328"/>
      <c r="B4" s="2327"/>
      <c r="C4" s="2311" t="s">
        <v>825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42" t="s">
        <v>784</v>
      </c>
      <c r="J4" s="2342" t="s">
        <v>785</v>
      </c>
      <c r="K4" s="2342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75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75" t="s">
        <v>808</v>
      </c>
      <c r="AC4" s="2314" t="s">
        <v>805</v>
      </c>
      <c r="AD4" s="2314" t="s">
        <v>794</v>
      </c>
      <c r="AE4" s="2314" t="s">
        <v>806</v>
      </c>
      <c r="AF4" s="1578" t="s">
        <v>807</v>
      </c>
      <c r="AG4" s="1578" t="s">
        <v>795</v>
      </c>
      <c r="AH4" s="1575" t="s">
        <v>540</v>
      </c>
      <c r="AI4" s="2309"/>
      <c r="AJ4" s="2309"/>
    </row>
    <row r="5" spans="1:40" ht="22.15" customHeight="1">
      <c r="A5" s="2329"/>
      <c r="B5" s="2330"/>
      <c r="C5" s="231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76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576"/>
      <c r="AG5" s="1576"/>
      <c r="AH5" s="1576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H6" si="1">E6+1</f>
        <v>4</v>
      </c>
      <c r="G6" s="869">
        <f t="shared" si="1"/>
        <v>5</v>
      </c>
      <c r="H6" s="869">
        <f t="shared" si="1"/>
        <v>6</v>
      </c>
      <c r="I6" s="869">
        <f t="shared" ref="I6" si="2">H6+1</f>
        <v>7</v>
      </c>
      <c r="J6" s="869">
        <f t="shared" ref="J6" si="3">I6+1</f>
        <v>8</v>
      </c>
      <c r="K6" s="869">
        <f t="shared" ref="K6" si="4">J6+1</f>
        <v>9</v>
      </c>
      <c r="L6" s="869">
        <f t="shared" ref="L6" si="5">K6+1</f>
        <v>10</v>
      </c>
      <c r="M6" s="869">
        <f t="shared" ref="M6" si="6">L6+1</f>
        <v>11</v>
      </c>
      <c r="N6" s="869">
        <f t="shared" ref="N6" si="7">M6+1</f>
        <v>12</v>
      </c>
      <c r="O6" s="869">
        <f t="shared" ref="O6" si="8">N6+1</f>
        <v>13</v>
      </c>
      <c r="P6" s="869">
        <f t="shared" ref="P6" si="9">O6+1</f>
        <v>14</v>
      </c>
      <c r="Q6" s="869">
        <f t="shared" ref="Q6" si="10">P6+1</f>
        <v>15</v>
      </c>
      <c r="R6" s="869">
        <f t="shared" ref="R6" si="11">Q6+1</f>
        <v>16</v>
      </c>
      <c r="S6" s="869">
        <f t="shared" ref="S6" si="12">R6+1</f>
        <v>17</v>
      </c>
      <c r="T6" s="869">
        <f t="shared" ref="T6" si="13">S6+1</f>
        <v>18</v>
      </c>
      <c r="U6" s="869">
        <f t="shared" ref="U6" si="14">T6+1</f>
        <v>19</v>
      </c>
      <c r="V6" s="869">
        <f t="shared" ref="V6" si="15">U6+1</f>
        <v>20</v>
      </c>
      <c r="W6" s="869">
        <f t="shared" ref="W6" si="16">V6+1</f>
        <v>21</v>
      </c>
      <c r="X6" s="869">
        <f t="shared" ref="X6" si="17">W6+1</f>
        <v>22</v>
      </c>
      <c r="Y6" s="869">
        <f t="shared" ref="Y6" si="18">X6+1</f>
        <v>23</v>
      </c>
      <c r="Z6" s="869">
        <f t="shared" ref="Z6" si="19">Y6+1</f>
        <v>24</v>
      </c>
      <c r="AA6" s="869">
        <f t="shared" ref="AA6" si="20">Z6+1</f>
        <v>25</v>
      </c>
      <c r="AB6" s="869">
        <f t="shared" ref="AB6" si="21">AA6+1</f>
        <v>26</v>
      </c>
      <c r="AC6" s="869">
        <f t="shared" ref="AC6" si="22">AB6+1</f>
        <v>27</v>
      </c>
      <c r="AD6" s="869">
        <f t="shared" ref="AD6" si="23">AC6+1</f>
        <v>28</v>
      </c>
      <c r="AE6" s="869">
        <f t="shared" ref="AE6" si="24">AD6+1</f>
        <v>29</v>
      </c>
      <c r="AF6" s="869">
        <f t="shared" ref="AF6" si="25">AE6+1</f>
        <v>30</v>
      </c>
      <c r="AG6" s="869">
        <f t="shared" ref="AG6" si="26">AF6+1</f>
        <v>31</v>
      </c>
      <c r="AH6" s="869">
        <f t="shared" ref="AH6" si="27">AG6+1</f>
        <v>32</v>
      </c>
      <c r="AI6" s="869">
        <f t="shared" ref="AI6" si="28">AH6+1</f>
        <v>33</v>
      </c>
      <c r="AJ6" s="869">
        <f t="shared" ref="AJ6" si="29">AI6+1</f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416"/>
      <c r="J7" s="1416"/>
      <c r="K7" s="1416"/>
      <c r="L7" s="1416"/>
      <c r="M7" s="896"/>
      <c r="N7" s="896"/>
      <c r="O7" s="896"/>
      <c r="P7" s="896"/>
      <c r="Q7" s="1404"/>
      <c r="R7" s="1404"/>
      <c r="S7" s="896"/>
      <c r="T7" s="896"/>
      <c r="U7" s="896"/>
      <c r="V7" s="1404"/>
      <c r="W7" s="1404"/>
      <c r="X7" s="1535"/>
      <c r="Y7" s="1535"/>
      <c r="Z7" s="1535"/>
      <c r="AA7" s="1404"/>
      <c r="AB7" s="896"/>
      <c r="AC7" s="896"/>
      <c r="AD7" s="896"/>
      <c r="AE7" s="896"/>
      <c r="AF7" s="1404"/>
      <c r="AG7" s="1404"/>
      <c r="AH7" s="896"/>
      <c r="AI7" s="896"/>
      <c r="AJ7" s="896"/>
      <c r="AL7" s="2036" t="s">
        <v>945</v>
      </c>
      <c r="AM7" s="2035" t="s">
        <v>946</v>
      </c>
      <c r="AN7" s="2035" t="s">
        <v>947</v>
      </c>
    </row>
    <row r="8" spans="1:40">
      <c r="A8" s="870">
        <v>1</v>
      </c>
      <c r="B8" s="871" t="s">
        <v>92</v>
      </c>
      <c r="C8" s="971">
        <f>'2-1-13 SIS'!H7</f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DArbonne'!K7</f>
        <v>0</v>
      </c>
      <c r="J8" s="1718">
        <f>'[3]Feb midyear DArbonne'!K7</f>
        <v>0</v>
      </c>
      <c r="K8" s="1542">
        <f>SUM(I8:J8)</f>
        <v>0</v>
      </c>
      <c r="L8" s="1414">
        <f t="shared" ref="L8:L39" si="30">H8+K8</f>
        <v>0</v>
      </c>
      <c r="M8" s="928">
        <f>-(0.25%*L8)</f>
        <v>0</v>
      </c>
      <c r="N8" s="873">
        <f>SUM(L8:M8)</f>
        <v>0</v>
      </c>
      <c r="O8" s="872">
        <v>0</v>
      </c>
      <c r="P8" s="998">
        <f>SUM(N8:O8)</f>
        <v>0</v>
      </c>
      <c r="Q8" s="1718">
        <f>'[4]Table 5C1B-DArbonne'!M7+'[27]Table 5C1B-DArbonne'!T7+('[26]Table 5C1B-DArbonne'!T7*6)</f>
        <v>0</v>
      </c>
      <c r="R8" s="1718">
        <f>P8-Q8</f>
        <v>0</v>
      </c>
      <c r="S8" s="998">
        <f>ROUND(R8/4,0)</f>
        <v>0</v>
      </c>
      <c r="T8" s="1802">
        <f>'[14]FY2013-14 Final'!K8</f>
        <v>2180</v>
      </c>
      <c r="U8" s="999">
        <f t="shared" ref="U8:U39" si="31">C8*T8</f>
        <v>0</v>
      </c>
      <c r="V8" s="1754">
        <f>+'[3]Oct midyear DArbonne'!E7</f>
        <v>0</v>
      </c>
      <c r="W8" s="1755">
        <f>V8*T8</f>
        <v>0</v>
      </c>
      <c r="X8" s="1754">
        <f>'[3]Feb midyear DArbonne'!E7</f>
        <v>0</v>
      </c>
      <c r="Y8" s="1755">
        <f>(T8*X8)*0.5</f>
        <v>0</v>
      </c>
      <c r="Z8" s="1652">
        <f>+W8+Y8</f>
        <v>0</v>
      </c>
      <c r="AA8" s="1428">
        <f>U8+Z8</f>
        <v>0</v>
      </c>
      <c r="AB8" s="936">
        <f>-(0.25%*AA8)</f>
        <v>0</v>
      </c>
      <c r="AC8" s="999">
        <f>SUM(AA8:AB8)</f>
        <v>0</v>
      </c>
      <c r="AD8" s="1755">
        <v>0</v>
      </c>
      <c r="AE8" s="999">
        <f>SUM(AC8:AD8)</f>
        <v>0</v>
      </c>
      <c r="AF8" s="1755">
        <f>'[4]Table 5C1B-DArbonne'!T7+'[27]Table 5C1B-DArbonne'!AF7+('[26]Table 5C1B-DArbonne'!AF7*6)</f>
        <v>0</v>
      </c>
      <c r="AG8" s="1755">
        <f>AE8-AF8</f>
        <v>0</v>
      </c>
      <c r="AH8" s="999">
        <f>ROUND(AG8/4,0)</f>
        <v>0</v>
      </c>
      <c r="AI8" s="875">
        <f t="shared" ref="AI8:AI39" si="32">P8+AE8</f>
        <v>0</v>
      </c>
      <c r="AJ8" s="875">
        <f>S8+AH8</f>
        <v>0</v>
      </c>
      <c r="AL8" s="49">
        <f>-'[4]Table 5C1B-DArbonne'!P7</f>
        <v>0</v>
      </c>
      <c r="AM8" s="49">
        <f>AB8</f>
        <v>0</v>
      </c>
      <c r="AN8" s="49">
        <f>SUM(AL8:AM8)</f>
        <v>0</v>
      </c>
    </row>
    <row r="9" spans="1:40">
      <c r="A9" s="876">
        <v>2</v>
      </c>
      <c r="B9" s="877" t="s">
        <v>93</v>
      </c>
      <c r="C9" s="969">
        <f>'2-1-13 SIS'!H8</f>
        <v>0</v>
      </c>
      <c r="D9" s="878">
        <f>'Table 3 Levels 1&amp;2'!AL9</f>
        <v>6182.4313545138375</v>
      </c>
      <c r="E9" s="919">
        <f t="shared" ref="E9:E72" si="33">C9*D9</f>
        <v>0</v>
      </c>
      <c r="F9" s="919">
        <f>'Table 4 Level 3'!P7</f>
        <v>842.32</v>
      </c>
      <c r="G9" s="919">
        <f t="shared" ref="G9:G72" si="34">C9*F9</f>
        <v>0</v>
      </c>
      <c r="H9" s="898">
        <f t="shared" ref="H9:H72" si="35">E9+G9</f>
        <v>0</v>
      </c>
      <c r="I9" s="1749">
        <f>+'[3]Oct midyear DArbonne'!K8</f>
        <v>0</v>
      </c>
      <c r="J9" s="1749">
        <f>'[3]Feb midyear DArbonne'!K8</f>
        <v>0</v>
      </c>
      <c r="K9" s="1695">
        <f t="shared" ref="K9:K72" si="36">SUM(I9:J9)</f>
        <v>0</v>
      </c>
      <c r="L9" s="1417">
        <f t="shared" si="30"/>
        <v>0</v>
      </c>
      <c r="M9" s="929">
        <f t="shared" ref="M9:M72" si="37">-(0.25%*L9)</f>
        <v>0</v>
      </c>
      <c r="N9" s="898">
        <f t="shared" ref="N9:N72" si="38">SUM(L9:M9)</f>
        <v>0</v>
      </c>
      <c r="O9" s="878">
        <v>0</v>
      </c>
      <c r="P9" s="1550">
        <f t="shared" ref="P9:P72" si="39">SUM(N9:O9)</f>
        <v>0</v>
      </c>
      <c r="Q9" s="1718">
        <f>'[4]Table 5C1B-DArbonne'!M8+'[27]Table 5C1B-DArbonne'!T8+('[26]Table 5C1B-DArbonne'!T8*6)</f>
        <v>0</v>
      </c>
      <c r="R9" s="1819">
        <f t="shared" ref="R9:R72" si="40">P9-Q9</f>
        <v>0</v>
      </c>
      <c r="S9" s="998">
        <f t="shared" ref="S9:S72" si="41">ROUND(R9/4,0)</f>
        <v>0</v>
      </c>
      <c r="T9" s="1802">
        <f>'[14]FY2013-14 Final'!K9</f>
        <v>2759</v>
      </c>
      <c r="U9" s="1555">
        <f t="shared" si="31"/>
        <v>0</v>
      </c>
      <c r="V9" s="1793">
        <f>+'[3]Oct midyear DArbonne'!E8</f>
        <v>0</v>
      </c>
      <c r="W9" s="1794">
        <f t="shared" ref="W9:W72" si="42">V9*T9</f>
        <v>0</v>
      </c>
      <c r="X9" s="1758">
        <f>'[3]Feb midyear DArbonne'!E8</f>
        <v>0</v>
      </c>
      <c r="Y9" s="1759">
        <f t="shared" ref="Y9:Y72" si="43">(T9*X9)*0.5</f>
        <v>0</v>
      </c>
      <c r="Z9" s="1653">
        <f t="shared" ref="Z9:Z72" si="44">+W9+Y9</f>
        <v>0</v>
      </c>
      <c r="AA9" s="1425">
        <f t="shared" ref="AA9:AA72" si="45">U9+Z9</f>
        <v>0</v>
      </c>
      <c r="AB9" s="937">
        <f t="shared" ref="AB9:AB72" si="46">-(0.25%*AA9)</f>
        <v>0</v>
      </c>
      <c r="AC9" s="1555">
        <f t="shared" ref="AC9:AC72" si="47">SUM(AA9:AB9)</f>
        <v>0</v>
      </c>
      <c r="AD9" s="1825">
        <v>0</v>
      </c>
      <c r="AE9" s="1555">
        <f t="shared" ref="AE9:AE72" si="48">SUM(AC9:AD9)</f>
        <v>0</v>
      </c>
      <c r="AF9" s="1755">
        <f>'[4]Table 5C1B-DArbonne'!T8+'[27]Table 5C1B-DArbonne'!AF8+('[26]Table 5C1B-DArbonne'!AF8*6)</f>
        <v>0</v>
      </c>
      <c r="AG9" s="1794">
        <f t="shared" ref="AG9:AG72" si="49">AE9-AF9</f>
        <v>0</v>
      </c>
      <c r="AH9" s="999">
        <f t="shared" ref="AH9:AH72" si="50">ROUND(AG9/4,0)</f>
        <v>0</v>
      </c>
      <c r="AI9" s="900">
        <f t="shared" si="32"/>
        <v>0</v>
      </c>
      <c r="AJ9" s="900">
        <f t="shared" ref="AJ9:AJ72" si="51">S9+AH9</f>
        <v>0</v>
      </c>
      <c r="AL9" s="49">
        <f>-'[4]Table 5C1B-DArbonne'!P8</f>
        <v>0</v>
      </c>
      <c r="AM9" s="49">
        <f t="shared" ref="AM9:AM72" si="52">AB9</f>
        <v>0</v>
      </c>
      <c r="AN9" s="49">
        <f t="shared" ref="AN9:AN72" si="53">SUM(AL9:AM9)</f>
        <v>0</v>
      </c>
    </row>
    <row r="10" spans="1:40">
      <c r="A10" s="876">
        <v>3</v>
      </c>
      <c r="B10" s="877" t="s">
        <v>94</v>
      </c>
      <c r="C10" s="969">
        <f>'2-1-13 SIS'!H9</f>
        <v>0</v>
      </c>
      <c r="D10" s="878">
        <f>'Table 3 Levels 1&amp;2'!AL10</f>
        <v>4206.710737685361</v>
      </c>
      <c r="E10" s="919">
        <f t="shared" si="33"/>
        <v>0</v>
      </c>
      <c r="F10" s="919">
        <f>'Table 4 Level 3'!P8</f>
        <v>596.84</v>
      </c>
      <c r="G10" s="919">
        <f t="shared" si="34"/>
        <v>0</v>
      </c>
      <c r="H10" s="898">
        <f t="shared" si="35"/>
        <v>0</v>
      </c>
      <c r="I10" s="1749">
        <f>+'[3]Oct midyear DArbonne'!K9</f>
        <v>0</v>
      </c>
      <c r="J10" s="1749">
        <f>'[3]Feb midyear DArbonne'!K9</f>
        <v>0</v>
      </c>
      <c r="K10" s="1695">
        <f t="shared" si="36"/>
        <v>0</v>
      </c>
      <c r="L10" s="1417">
        <f t="shared" si="30"/>
        <v>0</v>
      </c>
      <c r="M10" s="929">
        <f t="shared" si="37"/>
        <v>0</v>
      </c>
      <c r="N10" s="898">
        <f t="shared" si="38"/>
        <v>0</v>
      </c>
      <c r="O10" s="878">
        <v>0</v>
      </c>
      <c r="P10" s="1550">
        <f t="shared" si="39"/>
        <v>0</v>
      </c>
      <c r="Q10" s="1718">
        <f>'[4]Table 5C1B-DArbonne'!M9+'[27]Table 5C1B-DArbonne'!T9+('[26]Table 5C1B-DArbonne'!T9*6)</f>
        <v>0</v>
      </c>
      <c r="R10" s="1819">
        <f t="shared" si="40"/>
        <v>0</v>
      </c>
      <c r="S10" s="998">
        <f t="shared" si="41"/>
        <v>0</v>
      </c>
      <c r="T10" s="1802">
        <f>'[14]FY2013-14 Final'!K10</f>
        <v>5538</v>
      </c>
      <c r="U10" s="1555">
        <f t="shared" si="31"/>
        <v>0</v>
      </c>
      <c r="V10" s="1793">
        <f>+'[3]Oct midyear DArbonne'!E9</f>
        <v>0</v>
      </c>
      <c r="W10" s="1794">
        <f t="shared" si="42"/>
        <v>0</v>
      </c>
      <c r="X10" s="1758">
        <f>'[3]Feb midyear DArbonne'!E9</f>
        <v>0</v>
      </c>
      <c r="Y10" s="1759">
        <f t="shared" si="43"/>
        <v>0</v>
      </c>
      <c r="Z10" s="1653">
        <f t="shared" si="44"/>
        <v>0</v>
      </c>
      <c r="AA10" s="1425">
        <f t="shared" si="45"/>
        <v>0</v>
      </c>
      <c r="AB10" s="937">
        <f t="shared" si="46"/>
        <v>0</v>
      </c>
      <c r="AC10" s="1555">
        <f t="shared" si="47"/>
        <v>0</v>
      </c>
      <c r="AD10" s="1825">
        <v>0</v>
      </c>
      <c r="AE10" s="1555">
        <f t="shared" si="48"/>
        <v>0</v>
      </c>
      <c r="AF10" s="1755">
        <f>'[4]Table 5C1B-DArbonne'!T9+'[27]Table 5C1B-DArbonne'!AF9+('[26]Table 5C1B-DArbonne'!AF9*6)</f>
        <v>0</v>
      </c>
      <c r="AG10" s="1794">
        <f t="shared" si="49"/>
        <v>0</v>
      </c>
      <c r="AH10" s="999">
        <f t="shared" si="50"/>
        <v>0</v>
      </c>
      <c r="AI10" s="900">
        <f t="shared" si="32"/>
        <v>0</v>
      </c>
      <c r="AJ10" s="900">
        <f t="shared" si="51"/>
        <v>0</v>
      </c>
      <c r="AL10" s="49">
        <f>-'[4]Table 5C1B-DArbonne'!P9</f>
        <v>0</v>
      </c>
      <c r="AM10" s="49">
        <f t="shared" si="52"/>
        <v>0</v>
      </c>
      <c r="AN10" s="49">
        <f t="shared" si="53"/>
        <v>0</v>
      </c>
    </row>
    <row r="11" spans="1:40">
      <c r="A11" s="876">
        <v>4</v>
      </c>
      <c r="B11" s="877" t="s">
        <v>95</v>
      </c>
      <c r="C11" s="969">
        <f>'2-1-13 SIS'!H10</f>
        <v>0</v>
      </c>
      <c r="D11" s="878">
        <f>'Table 3 Levels 1&amp;2'!AL11</f>
        <v>5987.4993535453223</v>
      </c>
      <c r="E11" s="919">
        <f t="shared" si="33"/>
        <v>0</v>
      </c>
      <c r="F11" s="919">
        <f>'Table 4 Level 3'!P9</f>
        <v>585.76</v>
      </c>
      <c r="G11" s="919">
        <f t="shared" si="34"/>
        <v>0</v>
      </c>
      <c r="H11" s="898">
        <f t="shared" si="35"/>
        <v>0</v>
      </c>
      <c r="I11" s="1749">
        <f>+'[3]Oct midyear DArbonne'!K10</f>
        <v>0</v>
      </c>
      <c r="J11" s="1749">
        <f>'[3]Feb midyear DArbonne'!K10</f>
        <v>0</v>
      </c>
      <c r="K11" s="1695">
        <f t="shared" si="36"/>
        <v>0</v>
      </c>
      <c r="L11" s="1417">
        <f t="shared" si="30"/>
        <v>0</v>
      </c>
      <c r="M11" s="929">
        <f t="shared" si="37"/>
        <v>0</v>
      </c>
      <c r="N11" s="898">
        <f t="shared" si="38"/>
        <v>0</v>
      </c>
      <c r="O11" s="878">
        <v>0</v>
      </c>
      <c r="P11" s="1550">
        <f t="shared" si="39"/>
        <v>0</v>
      </c>
      <c r="Q11" s="1718">
        <f>'[4]Table 5C1B-DArbonne'!M10+'[27]Table 5C1B-DArbonne'!T10+('[26]Table 5C1B-DArbonne'!T10*6)</f>
        <v>0</v>
      </c>
      <c r="R11" s="1819">
        <f t="shared" si="40"/>
        <v>0</v>
      </c>
      <c r="S11" s="998">
        <f t="shared" si="41"/>
        <v>0</v>
      </c>
      <c r="T11" s="1802">
        <f>'[14]FY2013-14 Final'!K11</f>
        <v>3507</v>
      </c>
      <c r="U11" s="1555">
        <f t="shared" si="31"/>
        <v>0</v>
      </c>
      <c r="V11" s="1793">
        <f>+'[3]Oct midyear DArbonne'!E10</f>
        <v>0</v>
      </c>
      <c r="W11" s="1794">
        <f t="shared" si="42"/>
        <v>0</v>
      </c>
      <c r="X11" s="1758">
        <f>'[3]Feb midyear DArbonne'!E10</f>
        <v>0</v>
      </c>
      <c r="Y11" s="1759">
        <f t="shared" si="43"/>
        <v>0</v>
      </c>
      <c r="Z11" s="1653">
        <f t="shared" si="44"/>
        <v>0</v>
      </c>
      <c r="AA11" s="1425">
        <f t="shared" si="45"/>
        <v>0</v>
      </c>
      <c r="AB11" s="937">
        <f t="shared" si="46"/>
        <v>0</v>
      </c>
      <c r="AC11" s="1555">
        <f t="shared" si="47"/>
        <v>0</v>
      </c>
      <c r="AD11" s="1825">
        <v>0</v>
      </c>
      <c r="AE11" s="1555">
        <f t="shared" si="48"/>
        <v>0</v>
      </c>
      <c r="AF11" s="1755">
        <f>'[4]Table 5C1B-DArbonne'!T10+'[27]Table 5C1B-DArbonne'!AF10+('[26]Table 5C1B-DArbonne'!AF10*6)</f>
        <v>0</v>
      </c>
      <c r="AG11" s="1794">
        <f t="shared" si="49"/>
        <v>0</v>
      </c>
      <c r="AH11" s="999">
        <f t="shared" si="50"/>
        <v>0</v>
      </c>
      <c r="AI11" s="900">
        <f t="shared" si="32"/>
        <v>0</v>
      </c>
      <c r="AJ11" s="900">
        <f t="shared" si="51"/>
        <v>0</v>
      </c>
      <c r="AL11" s="49">
        <f>-'[4]Table 5C1B-DArbonne'!P10</f>
        <v>0</v>
      </c>
      <c r="AM11" s="49">
        <f t="shared" si="52"/>
        <v>0</v>
      </c>
      <c r="AN11" s="49">
        <f t="shared" si="53"/>
        <v>0</v>
      </c>
    </row>
    <row r="12" spans="1:40">
      <c r="A12" s="879">
        <v>5</v>
      </c>
      <c r="B12" s="880" t="s">
        <v>96</v>
      </c>
      <c r="C12" s="970">
        <f>'2-1-13 SIS'!H11</f>
        <v>0</v>
      </c>
      <c r="D12" s="881">
        <f>'Table 3 Levels 1&amp;2'!AL12</f>
        <v>4986.8166927080074</v>
      </c>
      <c r="E12" s="920">
        <f t="shared" si="33"/>
        <v>0</v>
      </c>
      <c r="F12" s="920">
        <f>'Table 4 Level 3'!P10</f>
        <v>555.91</v>
      </c>
      <c r="G12" s="920">
        <f t="shared" si="34"/>
        <v>0</v>
      </c>
      <c r="H12" s="901">
        <f t="shared" si="35"/>
        <v>0</v>
      </c>
      <c r="I12" s="1750">
        <f>+'[3]Oct midyear DArbonne'!K11</f>
        <v>0</v>
      </c>
      <c r="J12" s="1750">
        <f>'[3]Feb midyear DArbonne'!K11</f>
        <v>0</v>
      </c>
      <c r="K12" s="1696">
        <f t="shared" si="36"/>
        <v>0</v>
      </c>
      <c r="L12" s="1418">
        <f t="shared" si="30"/>
        <v>0</v>
      </c>
      <c r="M12" s="930">
        <f t="shared" si="37"/>
        <v>0</v>
      </c>
      <c r="N12" s="901">
        <f t="shared" si="38"/>
        <v>0</v>
      </c>
      <c r="O12" s="881">
        <v>0</v>
      </c>
      <c r="P12" s="1551">
        <f t="shared" si="39"/>
        <v>0</v>
      </c>
      <c r="Q12" s="1804">
        <f>'[4]Table 5C1B-DArbonne'!M11+'[27]Table 5C1B-DArbonne'!T11+('[26]Table 5C1B-DArbonne'!T11*6)</f>
        <v>0</v>
      </c>
      <c r="R12" s="1820">
        <f t="shared" si="40"/>
        <v>0</v>
      </c>
      <c r="S12" s="1806">
        <f t="shared" si="41"/>
        <v>0</v>
      </c>
      <c r="T12" s="1807">
        <f>'[14]FY2013-14 Final'!K12</f>
        <v>2086</v>
      </c>
      <c r="U12" s="1556">
        <f t="shared" si="31"/>
        <v>0</v>
      </c>
      <c r="V12" s="1795">
        <f>+'[3]Oct midyear DArbonne'!E11</f>
        <v>0</v>
      </c>
      <c r="W12" s="1796">
        <f t="shared" si="42"/>
        <v>0</v>
      </c>
      <c r="X12" s="1762">
        <f>'[3]Feb midyear DArbonne'!E11</f>
        <v>0</v>
      </c>
      <c r="Y12" s="1763">
        <f t="shared" si="43"/>
        <v>0</v>
      </c>
      <c r="Z12" s="1654">
        <f t="shared" si="44"/>
        <v>0</v>
      </c>
      <c r="AA12" s="1424">
        <f t="shared" si="45"/>
        <v>0</v>
      </c>
      <c r="AB12" s="938">
        <f t="shared" si="46"/>
        <v>0</v>
      </c>
      <c r="AC12" s="1556">
        <f t="shared" si="47"/>
        <v>0</v>
      </c>
      <c r="AD12" s="1826">
        <v>0</v>
      </c>
      <c r="AE12" s="1556">
        <f t="shared" si="48"/>
        <v>0</v>
      </c>
      <c r="AF12" s="1833">
        <f>'[4]Table 5C1B-DArbonne'!T11+'[27]Table 5C1B-DArbonne'!AF11+('[26]Table 5C1B-DArbonne'!AF11*6)</f>
        <v>0</v>
      </c>
      <c r="AG12" s="1796">
        <f t="shared" si="49"/>
        <v>0</v>
      </c>
      <c r="AH12" s="1659">
        <f t="shared" si="50"/>
        <v>0</v>
      </c>
      <c r="AI12" s="904">
        <f t="shared" si="32"/>
        <v>0</v>
      </c>
      <c r="AJ12" s="904">
        <f t="shared" si="51"/>
        <v>0</v>
      </c>
      <c r="AL12" s="49">
        <f>-'[4]Table 5C1B-DArbonne'!P11</f>
        <v>0</v>
      </c>
      <c r="AM12" s="49">
        <f t="shared" si="52"/>
        <v>0</v>
      </c>
      <c r="AN12" s="49">
        <f t="shared" si="53"/>
        <v>0</v>
      </c>
    </row>
    <row r="13" spans="1:40">
      <c r="A13" s="870">
        <v>6</v>
      </c>
      <c r="B13" s="871" t="s">
        <v>97</v>
      </c>
      <c r="C13" s="971">
        <f>'2-1-13 SIS'!H12</f>
        <v>0</v>
      </c>
      <c r="D13" s="872">
        <f>'Table 3 Levels 1&amp;2'!AL13</f>
        <v>5412.7883404260592</v>
      </c>
      <c r="E13" s="918">
        <f t="shared" si="33"/>
        <v>0</v>
      </c>
      <c r="F13" s="918">
        <f>'Table 4 Level 3'!P11</f>
        <v>545.4799999999999</v>
      </c>
      <c r="G13" s="918">
        <f t="shared" si="34"/>
        <v>0</v>
      </c>
      <c r="H13" s="873">
        <f t="shared" si="35"/>
        <v>0</v>
      </c>
      <c r="I13" s="1718">
        <f>+'[3]Oct midyear DArbonne'!K12</f>
        <v>0</v>
      </c>
      <c r="J13" s="1718">
        <f>'[3]Feb midyear DArbonne'!K12</f>
        <v>0</v>
      </c>
      <c r="K13" s="1542">
        <f t="shared" si="36"/>
        <v>0</v>
      </c>
      <c r="L13" s="1414">
        <f t="shared" si="30"/>
        <v>0</v>
      </c>
      <c r="M13" s="928">
        <f t="shared" si="37"/>
        <v>0</v>
      </c>
      <c r="N13" s="873">
        <f t="shared" si="38"/>
        <v>0</v>
      </c>
      <c r="O13" s="872">
        <v>0</v>
      </c>
      <c r="P13" s="998">
        <f t="shared" si="39"/>
        <v>0</v>
      </c>
      <c r="Q13" s="1718">
        <f>'[4]Table 5C1B-DArbonne'!M12+'[27]Table 5C1B-DArbonne'!T12+('[26]Table 5C1B-DArbonne'!T12*6)</f>
        <v>0</v>
      </c>
      <c r="R13" s="1718">
        <f t="shared" si="40"/>
        <v>0</v>
      </c>
      <c r="S13" s="998">
        <f t="shared" si="41"/>
        <v>0</v>
      </c>
      <c r="T13" s="1802">
        <f>'[14]FY2013-14 Final'!K13</f>
        <v>3683</v>
      </c>
      <c r="U13" s="999">
        <f t="shared" si="31"/>
        <v>0</v>
      </c>
      <c r="V13" s="1754">
        <f>+'[3]Oct midyear DArbonne'!E12</f>
        <v>0</v>
      </c>
      <c r="W13" s="1755">
        <f t="shared" si="42"/>
        <v>0</v>
      </c>
      <c r="X13" s="1754">
        <f>'[3]Feb midyear DArbonne'!E12</f>
        <v>0</v>
      </c>
      <c r="Y13" s="1755">
        <f t="shared" si="43"/>
        <v>0</v>
      </c>
      <c r="Z13" s="1652">
        <f t="shared" si="44"/>
        <v>0</v>
      </c>
      <c r="AA13" s="1428">
        <f t="shared" si="45"/>
        <v>0</v>
      </c>
      <c r="AB13" s="936">
        <f t="shared" si="46"/>
        <v>0</v>
      </c>
      <c r="AC13" s="999">
        <f t="shared" si="47"/>
        <v>0</v>
      </c>
      <c r="AD13" s="1755">
        <v>0</v>
      </c>
      <c r="AE13" s="999">
        <f t="shared" si="48"/>
        <v>0</v>
      </c>
      <c r="AF13" s="1755">
        <f>'[4]Table 5C1B-DArbonne'!T12+'[27]Table 5C1B-DArbonne'!AF12+('[26]Table 5C1B-DArbonne'!AF12*6)</f>
        <v>0</v>
      </c>
      <c r="AG13" s="1755">
        <f t="shared" si="49"/>
        <v>0</v>
      </c>
      <c r="AH13" s="999">
        <f t="shared" si="50"/>
        <v>0</v>
      </c>
      <c r="AI13" s="875">
        <f t="shared" si="32"/>
        <v>0</v>
      </c>
      <c r="AJ13" s="875">
        <f t="shared" si="51"/>
        <v>0</v>
      </c>
      <c r="AL13" s="49">
        <f>-'[4]Table 5C1B-DArbonne'!P12</f>
        <v>0</v>
      </c>
      <c r="AM13" s="49">
        <f t="shared" si="52"/>
        <v>0</v>
      </c>
      <c r="AN13" s="49">
        <f t="shared" si="53"/>
        <v>0</v>
      </c>
    </row>
    <row r="14" spans="1:40">
      <c r="A14" s="876">
        <v>7</v>
      </c>
      <c r="B14" s="877" t="s">
        <v>98</v>
      </c>
      <c r="C14" s="969">
        <f>'2-1-13 SIS'!H13</f>
        <v>0</v>
      </c>
      <c r="D14" s="878">
        <f>'Table 3 Levels 1&amp;2'!AL14</f>
        <v>1766.1023604176123</v>
      </c>
      <c r="E14" s="919">
        <f t="shared" si="33"/>
        <v>0</v>
      </c>
      <c r="F14" s="919">
        <f>'Table 4 Level 3'!P12</f>
        <v>756.91999999999985</v>
      </c>
      <c r="G14" s="919">
        <f t="shared" si="34"/>
        <v>0</v>
      </c>
      <c r="H14" s="898">
        <f t="shared" si="35"/>
        <v>0</v>
      </c>
      <c r="I14" s="1749">
        <f>+'[3]Oct midyear DArbonne'!K13</f>
        <v>0</v>
      </c>
      <c r="J14" s="1749">
        <f>'[3]Feb midyear DArbonne'!K13</f>
        <v>0</v>
      </c>
      <c r="K14" s="1695">
        <f t="shared" si="36"/>
        <v>0</v>
      </c>
      <c r="L14" s="1417">
        <f t="shared" si="30"/>
        <v>0</v>
      </c>
      <c r="M14" s="929">
        <f t="shared" si="37"/>
        <v>0</v>
      </c>
      <c r="N14" s="898">
        <f t="shared" si="38"/>
        <v>0</v>
      </c>
      <c r="O14" s="878">
        <v>0</v>
      </c>
      <c r="P14" s="1550">
        <f t="shared" si="39"/>
        <v>0</v>
      </c>
      <c r="Q14" s="1718">
        <f>'[4]Table 5C1B-DArbonne'!M13+'[27]Table 5C1B-DArbonne'!T13+('[26]Table 5C1B-DArbonne'!T13*6)</f>
        <v>0</v>
      </c>
      <c r="R14" s="1819">
        <f t="shared" si="40"/>
        <v>0</v>
      </c>
      <c r="S14" s="998">
        <f t="shared" si="41"/>
        <v>0</v>
      </c>
      <c r="T14" s="1802">
        <f>'[14]FY2013-14 Final'!K14</f>
        <v>11801</v>
      </c>
      <c r="U14" s="1555">
        <f t="shared" si="31"/>
        <v>0</v>
      </c>
      <c r="V14" s="1793">
        <f>+'[3]Oct midyear DArbonne'!E13</f>
        <v>0</v>
      </c>
      <c r="W14" s="1794">
        <f t="shared" si="42"/>
        <v>0</v>
      </c>
      <c r="X14" s="1758">
        <f>'[3]Feb midyear DArbonne'!E13</f>
        <v>0</v>
      </c>
      <c r="Y14" s="1759">
        <f t="shared" si="43"/>
        <v>0</v>
      </c>
      <c r="Z14" s="1653">
        <f t="shared" si="44"/>
        <v>0</v>
      </c>
      <c r="AA14" s="1425">
        <f t="shared" si="45"/>
        <v>0</v>
      </c>
      <c r="AB14" s="937">
        <f t="shared" si="46"/>
        <v>0</v>
      </c>
      <c r="AC14" s="1555">
        <f t="shared" si="47"/>
        <v>0</v>
      </c>
      <c r="AD14" s="1825">
        <v>0</v>
      </c>
      <c r="AE14" s="1555">
        <f t="shared" si="48"/>
        <v>0</v>
      </c>
      <c r="AF14" s="1755">
        <f>'[4]Table 5C1B-DArbonne'!T13+'[27]Table 5C1B-DArbonne'!AF13+('[26]Table 5C1B-DArbonne'!AF13*6)</f>
        <v>0</v>
      </c>
      <c r="AG14" s="1794">
        <f t="shared" si="49"/>
        <v>0</v>
      </c>
      <c r="AH14" s="999">
        <f t="shared" si="50"/>
        <v>0</v>
      </c>
      <c r="AI14" s="900">
        <f t="shared" si="32"/>
        <v>0</v>
      </c>
      <c r="AJ14" s="900">
        <f t="shared" si="51"/>
        <v>0</v>
      </c>
      <c r="AL14" s="49">
        <f>-'[4]Table 5C1B-DArbonne'!P13</f>
        <v>0</v>
      </c>
      <c r="AM14" s="49">
        <f t="shared" si="52"/>
        <v>0</v>
      </c>
      <c r="AN14" s="49">
        <f t="shared" si="53"/>
        <v>0</v>
      </c>
    </row>
    <row r="15" spans="1:40">
      <c r="A15" s="876">
        <v>8</v>
      </c>
      <c r="B15" s="877" t="s">
        <v>99</v>
      </c>
      <c r="C15" s="969">
        <f>'2-1-13 SIS'!H14</f>
        <v>0</v>
      </c>
      <c r="D15" s="878">
        <f>'Table 3 Levels 1&amp;2'!AL15</f>
        <v>4289.5073606712331</v>
      </c>
      <c r="E15" s="919">
        <f t="shared" si="33"/>
        <v>0</v>
      </c>
      <c r="F15" s="919">
        <f>'Table 4 Level 3'!P13</f>
        <v>725.76</v>
      </c>
      <c r="G15" s="919">
        <f t="shared" si="34"/>
        <v>0</v>
      </c>
      <c r="H15" s="898">
        <f t="shared" si="35"/>
        <v>0</v>
      </c>
      <c r="I15" s="1749">
        <f>+'[3]Oct midyear DArbonne'!K14</f>
        <v>0</v>
      </c>
      <c r="J15" s="1749">
        <f>'[3]Feb midyear DArbonne'!K14</f>
        <v>0</v>
      </c>
      <c r="K15" s="1695">
        <f t="shared" si="36"/>
        <v>0</v>
      </c>
      <c r="L15" s="1417">
        <f t="shared" si="30"/>
        <v>0</v>
      </c>
      <c r="M15" s="929">
        <f t="shared" si="37"/>
        <v>0</v>
      </c>
      <c r="N15" s="898">
        <f t="shared" si="38"/>
        <v>0</v>
      </c>
      <c r="O15" s="878">
        <v>0</v>
      </c>
      <c r="P15" s="1550">
        <f t="shared" si="39"/>
        <v>0</v>
      </c>
      <c r="Q15" s="1718">
        <f>'[4]Table 5C1B-DArbonne'!M14+'[27]Table 5C1B-DArbonne'!T14+('[26]Table 5C1B-DArbonne'!T14*6)</f>
        <v>0</v>
      </c>
      <c r="R15" s="1819">
        <f t="shared" si="40"/>
        <v>0</v>
      </c>
      <c r="S15" s="998">
        <f t="shared" si="41"/>
        <v>0</v>
      </c>
      <c r="T15" s="1802">
        <f>'[14]FY2013-14 Final'!K15</f>
        <v>3988</v>
      </c>
      <c r="U15" s="1555">
        <f t="shared" si="31"/>
        <v>0</v>
      </c>
      <c r="V15" s="1793">
        <f>+'[3]Oct midyear DArbonne'!E14</f>
        <v>0</v>
      </c>
      <c r="W15" s="1794">
        <f t="shared" si="42"/>
        <v>0</v>
      </c>
      <c r="X15" s="1758">
        <f>'[3]Feb midyear DArbonne'!E14</f>
        <v>0</v>
      </c>
      <c r="Y15" s="1759">
        <f t="shared" si="43"/>
        <v>0</v>
      </c>
      <c r="Z15" s="1653">
        <f t="shared" si="44"/>
        <v>0</v>
      </c>
      <c r="AA15" s="1425">
        <f t="shared" si="45"/>
        <v>0</v>
      </c>
      <c r="AB15" s="937">
        <f t="shared" si="46"/>
        <v>0</v>
      </c>
      <c r="AC15" s="1555">
        <f t="shared" si="47"/>
        <v>0</v>
      </c>
      <c r="AD15" s="1825">
        <v>0</v>
      </c>
      <c r="AE15" s="1555">
        <f t="shared" si="48"/>
        <v>0</v>
      </c>
      <c r="AF15" s="1755">
        <f>'[4]Table 5C1B-DArbonne'!T14+'[27]Table 5C1B-DArbonne'!AF14+('[26]Table 5C1B-DArbonne'!AF14*6)</f>
        <v>0</v>
      </c>
      <c r="AG15" s="1794">
        <f t="shared" si="49"/>
        <v>0</v>
      </c>
      <c r="AH15" s="999">
        <f t="shared" si="50"/>
        <v>0</v>
      </c>
      <c r="AI15" s="900">
        <f t="shared" si="32"/>
        <v>0</v>
      </c>
      <c r="AJ15" s="900">
        <f t="shared" si="51"/>
        <v>0</v>
      </c>
      <c r="AL15" s="49">
        <f>-'[4]Table 5C1B-DArbonne'!P14</f>
        <v>0</v>
      </c>
      <c r="AM15" s="49">
        <f t="shared" si="52"/>
        <v>0</v>
      </c>
      <c r="AN15" s="49">
        <f t="shared" si="53"/>
        <v>0</v>
      </c>
    </row>
    <row r="16" spans="1:40">
      <c r="A16" s="876">
        <v>9</v>
      </c>
      <c r="B16" s="877" t="s">
        <v>100</v>
      </c>
      <c r="C16" s="969">
        <f>'2-1-13 SIS'!H15</f>
        <v>0</v>
      </c>
      <c r="D16" s="878">
        <f>'Table 3 Levels 1&amp;2'!AL16</f>
        <v>4395.6154516889328</v>
      </c>
      <c r="E16" s="919">
        <f t="shared" si="33"/>
        <v>0</v>
      </c>
      <c r="F16" s="919">
        <f>'Table 4 Level 3'!P14</f>
        <v>744.76</v>
      </c>
      <c r="G16" s="919">
        <f t="shared" si="34"/>
        <v>0</v>
      </c>
      <c r="H16" s="898">
        <f t="shared" si="35"/>
        <v>0</v>
      </c>
      <c r="I16" s="1749">
        <f>+'[3]Oct midyear DArbonne'!K15</f>
        <v>0</v>
      </c>
      <c r="J16" s="1749">
        <f>'[3]Feb midyear DArbonne'!K15</f>
        <v>0</v>
      </c>
      <c r="K16" s="1695">
        <f t="shared" si="36"/>
        <v>0</v>
      </c>
      <c r="L16" s="1417">
        <f t="shared" si="30"/>
        <v>0</v>
      </c>
      <c r="M16" s="929">
        <f t="shared" si="37"/>
        <v>0</v>
      </c>
      <c r="N16" s="898">
        <f t="shared" si="38"/>
        <v>0</v>
      </c>
      <c r="O16" s="878">
        <v>0</v>
      </c>
      <c r="P16" s="1550">
        <f t="shared" si="39"/>
        <v>0</v>
      </c>
      <c r="Q16" s="1718">
        <f>'[4]Table 5C1B-DArbonne'!M15+'[27]Table 5C1B-DArbonne'!T15+('[26]Table 5C1B-DArbonne'!T15*6)</f>
        <v>0</v>
      </c>
      <c r="R16" s="1819">
        <f t="shared" si="40"/>
        <v>0</v>
      </c>
      <c r="S16" s="998">
        <f t="shared" si="41"/>
        <v>0</v>
      </c>
      <c r="T16" s="1802">
        <f>'[14]FY2013-14 Final'!K16</f>
        <v>4677</v>
      </c>
      <c r="U16" s="1555">
        <f t="shared" si="31"/>
        <v>0</v>
      </c>
      <c r="V16" s="1793">
        <f>+'[3]Oct midyear DArbonne'!E15</f>
        <v>0</v>
      </c>
      <c r="W16" s="1794">
        <f t="shared" si="42"/>
        <v>0</v>
      </c>
      <c r="X16" s="1758">
        <f>'[3]Feb midyear DArbonne'!E15</f>
        <v>0</v>
      </c>
      <c r="Y16" s="1759">
        <f t="shared" si="43"/>
        <v>0</v>
      </c>
      <c r="Z16" s="1653">
        <f t="shared" si="44"/>
        <v>0</v>
      </c>
      <c r="AA16" s="1425">
        <f t="shared" si="45"/>
        <v>0</v>
      </c>
      <c r="AB16" s="937">
        <f t="shared" si="46"/>
        <v>0</v>
      </c>
      <c r="AC16" s="1555">
        <f t="shared" si="47"/>
        <v>0</v>
      </c>
      <c r="AD16" s="1825">
        <v>0</v>
      </c>
      <c r="AE16" s="1555">
        <f t="shared" si="48"/>
        <v>0</v>
      </c>
      <c r="AF16" s="1755">
        <f>'[4]Table 5C1B-DArbonne'!T15+'[27]Table 5C1B-DArbonne'!AF15+('[26]Table 5C1B-DArbonne'!AF15*6)</f>
        <v>0</v>
      </c>
      <c r="AG16" s="1794">
        <f t="shared" si="49"/>
        <v>0</v>
      </c>
      <c r="AH16" s="999">
        <f t="shared" si="50"/>
        <v>0</v>
      </c>
      <c r="AI16" s="900">
        <f t="shared" si="32"/>
        <v>0</v>
      </c>
      <c r="AJ16" s="900">
        <f t="shared" si="51"/>
        <v>0</v>
      </c>
      <c r="AL16" s="49">
        <f>-'[4]Table 5C1B-DArbonne'!P15</f>
        <v>0</v>
      </c>
      <c r="AM16" s="49">
        <f t="shared" si="52"/>
        <v>0</v>
      </c>
      <c r="AN16" s="49">
        <f t="shared" si="53"/>
        <v>0</v>
      </c>
    </row>
    <row r="17" spans="1:40">
      <c r="A17" s="879">
        <v>10</v>
      </c>
      <c r="B17" s="880" t="s">
        <v>101</v>
      </c>
      <c r="C17" s="970">
        <f>'2-1-13 SIS'!H16</f>
        <v>0</v>
      </c>
      <c r="D17" s="881">
        <f>'Table 3 Levels 1&amp;2'!AL17</f>
        <v>4253.5980618992444</v>
      </c>
      <c r="E17" s="920">
        <f t="shared" si="33"/>
        <v>0</v>
      </c>
      <c r="F17" s="920">
        <f>'Table 4 Level 3'!P15</f>
        <v>608.04000000000008</v>
      </c>
      <c r="G17" s="920">
        <f t="shared" si="34"/>
        <v>0</v>
      </c>
      <c r="H17" s="901">
        <f t="shared" si="35"/>
        <v>0</v>
      </c>
      <c r="I17" s="1750">
        <f>+'[3]Oct midyear DArbonne'!K16</f>
        <v>0</v>
      </c>
      <c r="J17" s="1750">
        <f>'[3]Feb midyear DArbonne'!K16</f>
        <v>0</v>
      </c>
      <c r="K17" s="1696">
        <f t="shared" si="36"/>
        <v>0</v>
      </c>
      <c r="L17" s="1418">
        <f t="shared" si="30"/>
        <v>0</v>
      </c>
      <c r="M17" s="930">
        <f t="shared" si="37"/>
        <v>0</v>
      </c>
      <c r="N17" s="901">
        <f t="shared" si="38"/>
        <v>0</v>
      </c>
      <c r="O17" s="881">
        <v>0</v>
      </c>
      <c r="P17" s="1551">
        <f t="shared" si="39"/>
        <v>0</v>
      </c>
      <c r="Q17" s="1804">
        <f>'[4]Table 5C1B-DArbonne'!M16+'[27]Table 5C1B-DArbonne'!T16+('[26]Table 5C1B-DArbonne'!T16*6)</f>
        <v>0</v>
      </c>
      <c r="R17" s="1820">
        <f t="shared" si="40"/>
        <v>0</v>
      </c>
      <c r="S17" s="1806">
        <f t="shared" si="41"/>
        <v>0</v>
      </c>
      <c r="T17" s="1807">
        <f>'[14]FY2013-14 Final'!K17</f>
        <v>4502</v>
      </c>
      <c r="U17" s="1556">
        <f t="shared" si="31"/>
        <v>0</v>
      </c>
      <c r="V17" s="1795">
        <f>+'[3]Oct midyear DArbonne'!E16</f>
        <v>0</v>
      </c>
      <c r="W17" s="1796">
        <f t="shared" si="42"/>
        <v>0</v>
      </c>
      <c r="X17" s="1762">
        <f>'[3]Feb midyear DArbonne'!E16</f>
        <v>0</v>
      </c>
      <c r="Y17" s="1763">
        <f t="shared" si="43"/>
        <v>0</v>
      </c>
      <c r="Z17" s="1654">
        <f t="shared" si="44"/>
        <v>0</v>
      </c>
      <c r="AA17" s="1424">
        <f t="shared" si="45"/>
        <v>0</v>
      </c>
      <c r="AB17" s="938">
        <f t="shared" si="46"/>
        <v>0</v>
      </c>
      <c r="AC17" s="1556">
        <f t="shared" si="47"/>
        <v>0</v>
      </c>
      <c r="AD17" s="1826">
        <v>0</v>
      </c>
      <c r="AE17" s="1556">
        <f t="shared" si="48"/>
        <v>0</v>
      </c>
      <c r="AF17" s="1833">
        <f>'[4]Table 5C1B-DArbonne'!T16+'[27]Table 5C1B-DArbonne'!AF16+('[26]Table 5C1B-DArbonne'!AF16*6)</f>
        <v>0</v>
      </c>
      <c r="AG17" s="1796">
        <f t="shared" si="49"/>
        <v>0</v>
      </c>
      <c r="AH17" s="1659">
        <f t="shared" si="50"/>
        <v>0</v>
      </c>
      <c r="AI17" s="904">
        <f t="shared" si="32"/>
        <v>0</v>
      </c>
      <c r="AJ17" s="904">
        <f t="shared" si="51"/>
        <v>0</v>
      </c>
      <c r="AL17" s="49">
        <f>-'[4]Table 5C1B-DArbonne'!P16</f>
        <v>0</v>
      </c>
      <c r="AM17" s="49">
        <f t="shared" si="52"/>
        <v>0</v>
      </c>
      <c r="AN17" s="49">
        <f t="shared" si="53"/>
        <v>0</v>
      </c>
    </row>
    <row r="18" spans="1:40">
      <c r="A18" s="870">
        <v>11</v>
      </c>
      <c r="B18" s="871" t="s">
        <v>102</v>
      </c>
      <c r="C18" s="971">
        <f>'2-1-13 SIS'!H17</f>
        <v>0</v>
      </c>
      <c r="D18" s="872">
        <f>'Table 3 Levels 1&amp;2'!AL18</f>
        <v>6852.9138435383502</v>
      </c>
      <c r="E18" s="918">
        <f t="shared" si="33"/>
        <v>0</v>
      </c>
      <c r="F18" s="918">
        <f>'Table 4 Level 3'!P16</f>
        <v>706.55</v>
      </c>
      <c r="G18" s="918">
        <f t="shared" si="34"/>
        <v>0</v>
      </c>
      <c r="H18" s="873">
        <f t="shared" si="35"/>
        <v>0</v>
      </c>
      <c r="I18" s="1718">
        <f>+'[3]Oct midyear DArbonne'!K17</f>
        <v>0</v>
      </c>
      <c r="J18" s="1718">
        <f>'[3]Feb midyear DArbonne'!K17</f>
        <v>0</v>
      </c>
      <c r="K18" s="1542">
        <f t="shared" si="36"/>
        <v>0</v>
      </c>
      <c r="L18" s="1414">
        <f t="shared" si="30"/>
        <v>0</v>
      </c>
      <c r="M18" s="928">
        <f t="shared" si="37"/>
        <v>0</v>
      </c>
      <c r="N18" s="873">
        <f t="shared" si="38"/>
        <v>0</v>
      </c>
      <c r="O18" s="872">
        <v>0</v>
      </c>
      <c r="P18" s="998">
        <f t="shared" si="39"/>
        <v>0</v>
      </c>
      <c r="Q18" s="1718">
        <f>'[4]Table 5C1B-DArbonne'!M17+'[27]Table 5C1B-DArbonne'!T17+('[26]Table 5C1B-DArbonne'!T17*6)</f>
        <v>0</v>
      </c>
      <c r="R18" s="1718">
        <f t="shared" si="40"/>
        <v>0</v>
      </c>
      <c r="S18" s="998">
        <f t="shared" si="41"/>
        <v>0</v>
      </c>
      <c r="T18" s="1802">
        <f>'[14]FY2013-14 Final'!K18</f>
        <v>3776</v>
      </c>
      <c r="U18" s="999">
        <f t="shared" si="31"/>
        <v>0</v>
      </c>
      <c r="V18" s="1754">
        <f>+'[3]Oct midyear DArbonne'!E17</f>
        <v>0</v>
      </c>
      <c r="W18" s="1755">
        <f t="shared" si="42"/>
        <v>0</v>
      </c>
      <c r="X18" s="1754">
        <f>'[3]Feb midyear DArbonne'!E17</f>
        <v>0</v>
      </c>
      <c r="Y18" s="1755">
        <f t="shared" si="43"/>
        <v>0</v>
      </c>
      <c r="Z18" s="1652">
        <f t="shared" si="44"/>
        <v>0</v>
      </c>
      <c r="AA18" s="1428">
        <f t="shared" si="45"/>
        <v>0</v>
      </c>
      <c r="AB18" s="936">
        <f t="shared" si="46"/>
        <v>0</v>
      </c>
      <c r="AC18" s="999">
        <f t="shared" si="47"/>
        <v>0</v>
      </c>
      <c r="AD18" s="1755">
        <v>0</v>
      </c>
      <c r="AE18" s="999">
        <f t="shared" si="48"/>
        <v>0</v>
      </c>
      <c r="AF18" s="1755">
        <f>'[4]Table 5C1B-DArbonne'!T17+'[27]Table 5C1B-DArbonne'!AF17+('[26]Table 5C1B-DArbonne'!AF17*6)</f>
        <v>0</v>
      </c>
      <c r="AG18" s="1755">
        <f t="shared" si="49"/>
        <v>0</v>
      </c>
      <c r="AH18" s="999">
        <f t="shared" si="50"/>
        <v>0</v>
      </c>
      <c r="AI18" s="875">
        <f t="shared" si="32"/>
        <v>0</v>
      </c>
      <c r="AJ18" s="875">
        <f t="shared" si="51"/>
        <v>0</v>
      </c>
      <c r="AL18" s="49">
        <f>-'[4]Table 5C1B-DArbonne'!P17</f>
        <v>0</v>
      </c>
      <c r="AM18" s="49">
        <f t="shared" si="52"/>
        <v>0</v>
      </c>
      <c r="AN18" s="49">
        <f t="shared" si="53"/>
        <v>0</v>
      </c>
    </row>
    <row r="19" spans="1:40">
      <c r="A19" s="876">
        <v>12</v>
      </c>
      <c r="B19" s="877" t="s">
        <v>103</v>
      </c>
      <c r="C19" s="969">
        <f>'2-1-13 SIS'!H18</f>
        <v>0</v>
      </c>
      <c r="D19" s="878">
        <f>'Table 3 Levels 1&amp;2'!AL19</f>
        <v>1733.9056059356967</v>
      </c>
      <c r="E19" s="919">
        <f t="shared" si="33"/>
        <v>0</v>
      </c>
      <c r="F19" s="919">
        <f>'Table 4 Level 3'!P17</f>
        <v>1063.31</v>
      </c>
      <c r="G19" s="919">
        <f t="shared" si="34"/>
        <v>0</v>
      </c>
      <c r="H19" s="898">
        <f t="shared" si="35"/>
        <v>0</v>
      </c>
      <c r="I19" s="1749">
        <f>+'[3]Oct midyear DArbonne'!K18</f>
        <v>0</v>
      </c>
      <c r="J19" s="1749">
        <f>'[3]Feb midyear DArbonne'!K18</f>
        <v>0</v>
      </c>
      <c r="K19" s="1695">
        <f t="shared" si="36"/>
        <v>0</v>
      </c>
      <c r="L19" s="1417">
        <f t="shared" si="30"/>
        <v>0</v>
      </c>
      <c r="M19" s="929">
        <f t="shared" si="37"/>
        <v>0</v>
      </c>
      <c r="N19" s="898">
        <f t="shared" si="38"/>
        <v>0</v>
      </c>
      <c r="O19" s="878">
        <v>0</v>
      </c>
      <c r="P19" s="1550">
        <f t="shared" si="39"/>
        <v>0</v>
      </c>
      <c r="Q19" s="1718">
        <f>'[4]Table 5C1B-DArbonne'!M18+'[27]Table 5C1B-DArbonne'!T18+('[26]Table 5C1B-DArbonne'!T18*6)</f>
        <v>0</v>
      </c>
      <c r="R19" s="1819">
        <f t="shared" si="40"/>
        <v>0</v>
      </c>
      <c r="S19" s="998">
        <f t="shared" si="41"/>
        <v>0</v>
      </c>
      <c r="T19" s="1802">
        <f>'[14]FY2013-14 Final'!K19</f>
        <v>13312</v>
      </c>
      <c r="U19" s="1555">
        <f t="shared" si="31"/>
        <v>0</v>
      </c>
      <c r="V19" s="1793">
        <f>+'[3]Oct midyear DArbonne'!E18</f>
        <v>0</v>
      </c>
      <c r="W19" s="1794">
        <f t="shared" si="42"/>
        <v>0</v>
      </c>
      <c r="X19" s="1758">
        <f>'[3]Feb midyear DArbonne'!E18</f>
        <v>0</v>
      </c>
      <c r="Y19" s="1759">
        <f t="shared" si="43"/>
        <v>0</v>
      </c>
      <c r="Z19" s="1653">
        <f t="shared" si="44"/>
        <v>0</v>
      </c>
      <c r="AA19" s="1425">
        <f t="shared" si="45"/>
        <v>0</v>
      </c>
      <c r="AB19" s="937">
        <f t="shared" si="46"/>
        <v>0</v>
      </c>
      <c r="AC19" s="1555">
        <f t="shared" si="47"/>
        <v>0</v>
      </c>
      <c r="AD19" s="1825">
        <v>0</v>
      </c>
      <c r="AE19" s="1555">
        <f t="shared" si="48"/>
        <v>0</v>
      </c>
      <c r="AF19" s="1755">
        <f>'[4]Table 5C1B-DArbonne'!T18+'[27]Table 5C1B-DArbonne'!AF18+('[26]Table 5C1B-DArbonne'!AF18*6)</f>
        <v>0</v>
      </c>
      <c r="AG19" s="1794">
        <f t="shared" si="49"/>
        <v>0</v>
      </c>
      <c r="AH19" s="999">
        <f t="shared" si="50"/>
        <v>0</v>
      </c>
      <c r="AI19" s="900">
        <f t="shared" si="32"/>
        <v>0</v>
      </c>
      <c r="AJ19" s="900">
        <f t="shared" si="51"/>
        <v>0</v>
      </c>
      <c r="AL19" s="49">
        <f>-'[4]Table 5C1B-DArbonne'!P18</f>
        <v>0</v>
      </c>
      <c r="AM19" s="49">
        <f t="shared" si="52"/>
        <v>0</v>
      </c>
      <c r="AN19" s="49">
        <f t="shared" si="53"/>
        <v>0</v>
      </c>
    </row>
    <row r="20" spans="1:40">
      <c r="A20" s="876">
        <v>13</v>
      </c>
      <c r="B20" s="877" t="s">
        <v>104</v>
      </c>
      <c r="C20" s="969">
        <f>'2-1-13 SIS'!H19</f>
        <v>0</v>
      </c>
      <c r="D20" s="878">
        <f>'Table 3 Levels 1&amp;2'!AL20</f>
        <v>6254.1238637730876</v>
      </c>
      <c r="E20" s="919">
        <f t="shared" si="33"/>
        <v>0</v>
      </c>
      <c r="F20" s="919">
        <f>'Table 4 Level 3'!P18</f>
        <v>749.43000000000006</v>
      </c>
      <c r="G20" s="919">
        <f t="shared" si="34"/>
        <v>0</v>
      </c>
      <c r="H20" s="898">
        <f t="shared" si="35"/>
        <v>0</v>
      </c>
      <c r="I20" s="1749">
        <f>+'[3]Oct midyear DArbonne'!K19</f>
        <v>0</v>
      </c>
      <c r="J20" s="1749">
        <f>'[3]Feb midyear DArbonne'!K19</f>
        <v>0</v>
      </c>
      <c r="K20" s="1695">
        <f t="shared" si="36"/>
        <v>0</v>
      </c>
      <c r="L20" s="1417">
        <f t="shared" si="30"/>
        <v>0</v>
      </c>
      <c r="M20" s="929">
        <f t="shared" si="37"/>
        <v>0</v>
      </c>
      <c r="N20" s="898">
        <f t="shared" si="38"/>
        <v>0</v>
      </c>
      <c r="O20" s="878">
        <v>0</v>
      </c>
      <c r="P20" s="1550">
        <f t="shared" si="39"/>
        <v>0</v>
      </c>
      <c r="Q20" s="1718">
        <f>'[4]Table 5C1B-DArbonne'!M19+'[27]Table 5C1B-DArbonne'!T19+('[26]Table 5C1B-DArbonne'!T19*6)</f>
        <v>0</v>
      </c>
      <c r="R20" s="1819">
        <f t="shared" si="40"/>
        <v>0</v>
      </c>
      <c r="S20" s="998">
        <f t="shared" si="41"/>
        <v>0</v>
      </c>
      <c r="T20" s="1802">
        <f>'[14]FY2013-14 Final'!K20</f>
        <v>2671</v>
      </c>
      <c r="U20" s="1555">
        <f t="shared" si="31"/>
        <v>0</v>
      </c>
      <c r="V20" s="1793">
        <f>+'[3]Oct midyear DArbonne'!E19</f>
        <v>0</v>
      </c>
      <c r="W20" s="1794">
        <f t="shared" si="42"/>
        <v>0</v>
      </c>
      <c r="X20" s="1758">
        <f>'[3]Feb midyear DArbonne'!E19</f>
        <v>0</v>
      </c>
      <c r="Y20" s="1759">
        <f t="shared" si="43"/>
        <v>0</v>
      </c>
      <c r="Z20" s="1653">
        <f t="shared" si="44"/>
        <v>0</v>
      </c>
      <c r="AA20" s="1425">
        <f t="shared" si="45"/>
        <v>0</v>
      </c>
      <c r="AB20" s="937">
        <f t="shared" si="46"/>
        <v>0</v>
      </c>
      <c r="AC20" s="1555">
        <f t="shared" si="47"/>
        <v>0</v>
      </c>
      <c r="AD20" s="1825">
        <v>0</v>
      </c>
      <c r="AE20" s="1555">
        <f t="shared" si="48"/>
        <v>0</v>
      </c>
      <c r="AF20" s="1755">
        <f>'[4]Table 5C1B-DArbonne'!T19+'[27]Table 5C1B-DArbonne'!AF19+('[26]Table 5C1B-DArbonne'!AF19*6)</f>
        <v>0</v>
      </c>
      <c r="AG20" s="1794">
        <f t="shared" si="49"/>
        <v>0</v>
      </c>
      <c r="AH20" s="999">
        <f t="shared" si="50"/>
        <v>0</v>
      </c>
      <c r="AI20" s="900">
        <f t="shared" si="32"/>
        <v>0</v>
      </c>
      <c r="AJ20" s="900">
        <f t="shared" si="51"/>
        <v>0</v>
      </c>
      <c r="AL20" s="49">
        <f>-'[4]Table 5C1B-DArbonne'!P19</f>
        <v>0</v>
      </c>
      <c r="AM20" s="49">
        <f t="shared" si="52"/>
        <v>0</v>
      </c>
      <c r="AN20" s="49">
        <f t="shared" si="53"/>
        <v>0</v>
      </c>
    </row>
    <row r="21" spans="1:40">
      <c r="A21" s="876">
        <v>14</v>
      </c>
      <c r="B21" s="877" t="s">
        <v>105</v>
      </c>
      <c r="C21" s="969">
        <f>'2-1-13 SIS'!H20</f>
        <v>2</v>
      </c>
      <c r="D21" s="878">
        <f>'Table 3 Levels 1&amp;2'!AL21</f>
        <v>5377.9187438545459</v>
      </c>
      <c r="E21" s="919">
        <f t="shared" si="33"/>
        <v>10755.837487709092</v>
      </c>
      <c r="F21" s="919">
        <f>'Table 4 Level 3'!P19</f>
        <v>809.9799999999999</v>
      </c>
      <c r="G21" s="919">
        <f t="shared" si="34"/>
        <v>1619.9599999999998</v>
      </c>
      <c r="H21" s="898">
        <f t="shared" si="35"/>
        <v>12375.797487709091</v>
      </c>
      <c r="I21" s="1749">
        <f>+'[3]Oct midyear DArbonne'!K20</f>
        <v>0</v>
      </c>
      <c r="J21" s="1749">
        <f>'[3]Feb midyear DArbonne'!K20</f>
        <v>0</v>
      </c>
      <c r="K21" s="1695">
        <f t="shared" si="36"/>
        <v>0</v>
      </c>
      <c r="L21" s="1417">
        <f t="shared" si="30"/>
        <v>12375.797487709091</v>
      </c>
      <c r="M21" s="929">
        <f t="shared" si="37"/>
        <v>-30.939493719272729</v>
      </c>
      <c r="N21" s="898">
        <f t="shared" si="38"/>
        <v>12344.857993989819</v>
      </c>
      <c r="O21" s="878">
        <v>0</v>
      </c>
      <c r="P21" s="1550">
        <f t="shared" si="39"/>
        <v>12344.857993989819</v>
      </c>
      <c r="Q21" s="1718">
        <f>'[4]Table 5C1B-DArbonne'!M20+'[27]Table 5C1B-DArbonne'!T20+('[26]Table 5C1B-DArbonne'!T20*6)</f>
        <v>374.0866058784793</v>
      </c>
      <c r="R21" s="1819">
        <f t="shared" si="40"/>
        <v>11970.77138811134</v>
      </c>
      <c r="S21" s="998">
        <f t="shared" si="41"/>
        <v>2993</v>
      </c>
      <c r="T21" s="1802">
        <f>'[14]FY2013-14 Final'!K21</f>
        <v>4439</v>
      </c>
      <c r="U21" s="1555">
        <f t="shared" si="31"/>
        <v>8878</v>
      </c>
      <c r="V21" s="1793">
        <f>+'[3]Oct midyear DArbonne'!E20</f>
        <v>0</v>
      </c>
      <c r="W21" s="1794">
        <f t="shared" si="42"/>
        <v>0</v>
      </c>
      <c r="X21" s="1758">
        <f>'[3]Feb midyear DArbonne'!E20</f>
        <v>0</v>
      </c>
      <c r="Y21" s="1759">
        <f t="shared" si="43"/>
        <v>0</v>
      </c>
      <c r="Z21" s="1653">
        <f t="shared" si="44"/>
        <v>0</v>
      </c>
      <c r="AA21" s="1425">
        <f t="shared" si="45"/>
        <v>8878</v>
      </c>
      <c r="AB21" s="937">
        <f t="shared" si="46"/>
        <v>-22.195</v>
      </c>
      <c r="AC21" s="1555">
        <f t="shared" si="47"/>
        <v>8855.8050000000003</v>
      </c>
      <c r="AD21" s="1825">
        <v>0</v>
      </c>
      <c r="AE21" s="1555">
        <f t="shared" si="48"/>
        <v>8855.8050000000003</v>
      </c>
      <c r="AF21" s="1755">
        <f>'[4]Table 5C1B-DArbonne'!T20+'[27]Table 5C1B-DArbonne'!AF20+('[26]Table 5C1B-DArbonne'!AF20*6)</f>
        <v>240.97181818181821</v>
      </c>
      <c r="AG21" s="1794">
        <f t="shared" si="49"/>
        <v>8614.8331818181814</v>
      </c>
      <c r="AH21" s="999">
        <f t="shared" si="50"/>
        <v>2154</v>
      </c>
      <c r="AI21" s="900">
        <f t="shared" si="32"/>
        <v>21200.662993989819</v>
      </c>
      <c r="AJ21" s="900">
        <f t="shared" si="51"/>
        <v>5147</v>
      </c>
      <c r="AL21" s="49">
        <f>-'[4]Table 5C1B-DArbonne'!P20</f>
        <v>19.93</v>
      </c>
      <c r="AM21" s="49">
        <f t="shared" si="52"/>
        <v>-22.195</v>
      </c>
      <c r="AN21" s="49">
        <f t="shared" si="53"/>
        <v>-2.2650000000000006</v>
      </c>
    </row>
    <row r="22" spans="1:40">
      <c r="A22" s="879">
        <v>15</v>
      </c>
      <c r="B22" s="880" t="s">
        <v>106</v>
      </c>
      <c r="C22" s="970">
        <f>'2-1-13 SIS'!H21</f>
        <v>0</v>
      </c>
      <c r="D22" s="881">
        <f>'Table 3 Levels 1&amp;2'!AL22</f>
        <v>5527.7651197617861</v>
      </c>
      <c r="E22" s="920">
        <f t="shared" si="33"/>
        <v>0</v>
      </c>
      <c r="F22" s="920">
        <f>'Table 4 Level 3'!P20</f>
        <v>553.79999999999995</v>
      </c>
      <c r="G22" s="920">
        <f t="shared" si="34"/>
        <v>0</v>
      </c>
      <c r="H22" s="901">
        <f t="shared" si="35"/>
        <v>0</v>
      </c>
      <c r="I22" s="1750">
        <f>+'[3]Oct midyear DArbonne'!K21</f>
        <v>0</v>
      </c>
      <c r="J22" s="1750">
        <f>'[3]Feb midyear DArbonne'!K21</f>
        <v>0</v>
      </c>
      <c r="K22" s="1696">
        <f t="shared" si="36"/>
        <v>0</v>
      </c>
      <c r="L22" s="1418">
        <f t="shared" si="30"/>
        <v>0</v>
      </c>
      <c r="M22" s="930">
        <f t="shared" si="37"/>
        <v>0</v>
      </c>
      <c r="N22" s="901">
        <f t="shared" si="38"/>
        <v>0</v>
      </c>
      <c r="O22" s="881">
        <v>0</v>
      </c>
      <c r="P22" s="1551">
        <f t="shared" si="39"/>
        <v>0</v>
      </c>
      <c r="Q22" s="1804">
        <f>'[4]Table 5C1B-DArbonne'!M21+'[27]Table 5C1B-DArbonne'!T21+('[26]Table 5C1B-DArbonne'!T21*6)</f>
        <v>0</v>
      </c>
      <c r="R22" s="1820">
        <f t="shared" si="40"/>
        <v>0</v>
      </c>
      <c r="S22" s="1806">
        <f t="shared" si="41"/>
        <v>0</v>
      </c>
      <c r="T22" s="1807">
        <f>'[14]FY2013-14 Final'!K22</f>
        <v>2800</v>
      </c>
      <c r="U22" s="1556">
        <f t="shared" si="31"/>
        <v>0</v>
      </c>
      <c r="V22" s="1795">
        <f>+'[3]Oct midyear DArbonne'!E21</f>
        <v>0</v>
      </c>
      <c r="W22" s="1796">
        <f t="shared" si="42"/>
        <v>0</v>
      </c>
      <c r="X22" s="1762">
        <f>'[3]Feb midyear DArbonne'!E21</f>
        <v>0</v>
      </c>
      <c r="Y22" s="1763">
        <f t="shared" si="43"/>
        <v>0</v>
      </c>
      <c r="Z22" s="1654">
        <f t="shared" si="44"/>
        <v>0</v>
      </c>
      <c r="AA22" s="1424">
        <f t="shared" si="45"/>
        <v>0</v>
      </c>
      <c r="AB22" s="938">
        <f t="shared" si="46"/>
        <v>0</v>
      </c>
      <c r="AC22" s="1556">
        <f t="shared" si="47"/>
        <v>0</v>
      </c>
      <c r="AD22" s="1826">
        <v>0</v>
      </c>
      <c r="AE22" s="1556">
        <f t="shared" si="48"/>
        <v>0</v>
      </c>
      <c r="AF22" s="1833">
        <f>'[4]Table 5C1B-DArbonne'!T21+'[27]Table 5C1B-DArbonne'!AF21+('[26]Table 5C1B-DArbonne'!AF21*6)</f>
        <v>0</v>
      </c>
      <c r="AG22" s="1796">
        <f t="shared" si="49"/>
        <v>0</v>
      </c>
      <c r="AH22" s="1659">
        <f t="shared" si="50"/>
        <v>0</v>
      </c>
      <c r="AI22" s="904">
        <f t="shared" si="32"/>
        <v>0</v>
      </c>
      <c r="AJ22" s="904">
        <f t="shared" si="51"/>
        <v>0</v>
      </c>
      <c r="AL22" s="49">
        <f>-'[4]Table 5C1B-DArbonne'!P21</f>
        <v>0</v>
      </c>
      <c r="AM22" s="49">
        <f t="shared" si="52"/>
        <v>0</v>
      </c>
      <c r="AN22" s="49">
        <f t="shared" si="53"/>
        <v>0</v>
      </c>
    </row>
    <row r="23" spans="1:40">
      <c r="A23" s="870">
        <v>16</v>
      </c>
      <c r="B23" s="871" t="s">
        <v>107</v>
      </c>
      <c r="C23" s="971">
        <f>'2-1-13 SIS'!H22</f>
        <v>0</v>
      </c>
      <c r="D23" s="872">
        <f>'Table 3 Levels 1&amp;2'!AL23</f>
        <v>1530.3678845377474</v>
      </c>
      <c r="E23" s="918">
        <f t="shared" si="33"/>
        <v>0</v>
      </c>
      <c r="F23" s="918">
        <f>'Table 4 Level 3'!P21</f>
        <v>686.73</v>
      </c>
      <c r="G23" s="918">
        <f t="shared" si="34"/>
        <v>0</v>
      </c>
      <c r="H23" s="873">
        <f t="shared" si="35"/>
        <v>0</v>
      </c>
      <c r="I23" s="1718">
        <f>+'[3]Oct midyear DArbonne'!K22</f>
        <v>0</v>
      </c>
      <c r="J23" s="1718">
        <f>'[3]Feb midyear DArbonne'!K22</f>
        <v>0</v>
      </c>
      <c r="K23" s="1542">
        <f t="shared" si="36"/>
        <v>0</v>
      </c>
      <c r="L23" s="1414">
        <f t="shared" si="30"/>
        <v>0</v>
      </c>
      <c r="M23" s="928">
        <f t="shared" si="37"/>
        <v>0</v>
      </c>
      <c r="N23" s="873">
        <f t="shared" si="38"/>
        <v>0</v>
      </c>
      <c r="O23" s="872">
        <v>0</v>
      </c>
      <c r="P23" s="998">
        <f t="shared" si="39"/>
        <v>0</v>
      </c>
      <c r="Q23" s="1718">
        <f>'[4]Table 5C1B-DArbonne'!M22+'[27]Table 5C1B-DArbonne'!T22+('[26]Table 5C1B-DArbonne'!T22*6)</f>
        <v>0</v>
      </c>
      <c r="R23" s="1718">
        <f t="shared" si="40"/>
        <v>0</v>
      </c>
      <c r="S23" s="998">
        <f t="shared" si="41"/>
        <v>0</v>
      </c>
      <c r="T23" s="1802">
        <f>'[14]FY2013-14 Final'!K23</f>
        <v>12312</v>
      </c>
      <c r="U23" s="999">
        <f t="shared" si="31"/>
        <v>0</v>
      </c>
      <c r="V23" s="1754">
        <f>+'[3]Oct midyear DArbonne'!E22</f>
        <v>0</v>
      </c>
      <c r="W23" s="1755">
        <f t="shared" si="42"/>
        <v>0</v>
      </c>
      <c r="X23" s="1754">
        <f>'[3]Feb midyear DArbonne'!E22</f>
        <v>0</v>
      </c>
      <c r="Y23" s="1755">
        <f t="shared" si="43"/>
        <v>0</v>
      </c>
      <c r="Z23" s="1652">
        <f t="shared" si="44"/>
        <v>0</v>
      </c>
      <c r="AA23" s="1428">
        <f t="shared" si="45"/>
        <v>0</v>
      </c>
      <c r="AB23" s="936">
        <f t="shared" si="46"/>
        <v>0</v>
      </c>
      <c r="AC23" s="999">
        <f t="shared" si="47"/>
        <v>0</v>
      </c>
      <c r="AD23" s="1755">
        <v>0</v>
      </c>
      <c r="AE23" s="999">
        <f t="shared" si="48"/>
        <v>0</v>
      </c>
      <c r="AF23" s="1755">
        <f>'[4]Table 5C1B-DArbonne'!T22+'[27]Table 5C1B-DArbonne'!AF22+('[26]Table 5C1B-DArbonne'!AF22*6)</f>
        <v>0</v>
      </c>
      <c r="AG23" s="1755">
        <f t="shared" si="49"/>
        <v>0</v>
      </c>
      <c r="AH23" s="999">
        <f t="shared" si="50"/>
        <v>0</v>
      </c>
      <c r="AI23" s="875">
        <f t="shared" si="32"/>
        <v>0</v>
      </c>
      <c r="AJ23" s="875">
        <f t="shared" si="51"/>
        <v>0</v>
      </c>
      <c r="AL23" s="49">
        <f>-'[4]Table 5C1B-DArbonne'!P22</f>
        <v>0</v>
      </c>
      <c r="AM23" s="49">
        <f t="shared" si="52"/>
        <v>0</v>
      </c>
      <c r="AN23" s="49">
        <f t="shared" si="53"/>
        <v>0</v>
      </c>
    </row>
    <row r="24" spans="1:40">
      <c r="A24" s="876">
        <v>17</v>
      </c>
      <c r="B24" s="877" t="s">
        <v>108</v>
      </c>
      <c r="C24" s="969">
        <f>'2-1-13 SIS'!H23</f>
        <v>0</v>
      </c>
      <c r="D24" s="878">
        <f>'Table 3 Levels 1&amp;2'!AL24</f>
        <v>3313.0666313017805</v>
      </c>
      <c r="E24" s="919">
        <f t="shared" si="33"/>
        <v>0</v>
      </c>
      <c r="F24" s="919">
        <f>'Table 5B2_RSD_LA'!F7</f>
        <v>801.47762416806802</v>
      </c>
      <c r="G24" s="919">
        <f t="shared" si="34"/>
        <v>0</v>
      </c>
      <c r="H24" s="898">
        <f t="shared" si="35"/>
        <v>0</v>
      </c>
      <c r="I24" s="1749">
        <f>+'[3]Oct midyear DArbonne'!K23</f>
        <v>0</v>
      </c>
      <c r="J24" s="1749">
        <f>'[3]Feb midyear DArbonne'!K23</f>
        <v>0</v>
      </c>
      <c r="K24" s="1695">
        <f t="shared" si="36"/>
        <v>0</v>
      </c>
      <c r="L24" s="1417">
        <f t="shared" si="30"/>
        <v>0</v>
      </c>
      <c r="M24" s="929">
        <f t="shared" si="37"/>
        <v>0</v>
      </c>
      <c r="N24" s="898">
        <f t="shared" si="38"/>
        <v>0</v>
      </c>
      <c r="O24" s="878">
        <v>0</v>
      </c>
      <c r="P24" s="1550">
        <f t="shared" si="39"/>
        <v>0</v>
      </c>
      <c r="Q24" s="1718">
        <f>'[4]Table 5C1B-DArbonne'!M23+'[27]Table 5C1B-DArbonne'!T23+('[26]Table 5C1B-DArbonne'!T23*6)</f>
        <v>0</v>
      </c>
      <c r="R24" s="1819">
        <f t="shared" si="40"/>
        <v>0</v>
      </c>
      <c r="S24" s="998">
        <f t="shared" si="41"/>
        <v>0</v>
      </c>
      <c r="T24" s="1802">
        <f>'[14]FY2013-14 Final'!K24</f>
        <v>6866</v>
      </c>
      <c r="U24" s="1555">
        <f t="shared" si="31"/>
        <v>0</v>
      </c>
      <c r="V24" s="1793">
        <f>+'[3]Oct midyear DArbonne'!E23</f>
        <v>0</v>
      </c>
      <c r="W24" s="1794">
        <f t="shared" si="42"/>
        <v>0</v>
      </c>
      <c r="X24" s="1758">
        <f>'[3]Feb midyear DArbonne'!E23</f>
        <v>0</v>
      </c>
      <c r="Y24" s="1759">
        <f t="shared" si="43"/>
        <v>0</v>
      </c>
      <c r="Z24" s="1653">
        <f t="shared" si="44"/>
        <v>0</v>
      </c>
      <c r="AA24" s="1425">
        <f t="shared" si="45"/>
        <v>0</v>
      </c>
      <c r="AB24" s="937">
        <f t="shared" si="46"/>
        <v>0</v>
      </c>
      <c r="AC24" s="1555">
        <f t="shared" si="47"/>
        <v>0</v>
      </c>
      <c r="AD24" s="1825">
        <v>0</v>
      </c>
      <c r="AE24" s="1555">
        <f t="shared" si="48"/>
        <v>0</v>
      </c>
      <c r="AF24" s="1755">
        <f>'[4]Table 5C1B-DArbonne'!T23+'[27]Table 5C1B-DArbonne'!AF23+('[26]Table 5C1B-DArbonne'!AF23*6)</f>
        <v>0</v>
      </c>
      <c r="AG24" s="1794">
        <f t="shared" si="49"/>
        <v>0</v>
      </c>
      <c r="AH24" s="999">
        <f t="shared" si="50"/>
        <v>0</v>
      </c>
      <c r="AI24" s="900">
        <f t="shared" si="32"/>
        <v>0</v>
      </c>
      <c r="AJ24" s="900">
        <f t="shared" si="51"/>
        <v>0</v>
      </c>
      <c r="AL24" s="49">
        <f>-'[4]Table 5C1B-DArbonne'!P23</f>
        <v>0</v>
      </c>
      <c r="AM24" s="49">
        <f t="shared" si="52"/>
        <v>0</v>
      </c>
      <c r="AN24" s="49">
        <f t="shared" si="53"/>
        <v>0</v>
      </c>
    </row>
    <row r="25" spans="1:40">
      <c r="A25" s="876">
        <v>18</v>
      </c>
      <c r="B25" s="877" t="s">
        <v>109</v>
      </c>
      <c r="C25" s="969">
        <f>'2-1-13 SIS'!H24</f>
        <v>0</v>
      </c>
      <c r="D25" s="878">
        <f>'Table 3 Levels 1&amp;2'!AL25</f>
        <v>5989.1351892854573</v>
      </c>
      <c r="E25" s="919">
        <f t="shared" si="33"/>
        <v>0</v>
      </c>
      <c r="F25" s="919">
        <f>'Table 4 Level 3'!P23</f>
        <v>845.94999999999993</v>
      </c>
      <c r="G25" s="919">
        <f t="shared" si="34"/>
        <v>0</v>
      </c>
      <c r="H25" s="898">
        <f t="shared" si="35"/>
        <v>0</v>
      </c>
      <c r="I25" s="1749">
        <f>+'[3]Oct midyear DArbonne'!K24</f>
        <v>0</v>
      </c>
      <c r="J25" s="1749">
        <f>'[3]Feb midyear DArbonne'!K24</f>
        <v>0</v>
      </c>
      <c r="K25" s="1695">
        <f t="shared" si="36"/>
        <v>0</v>
      </c>
      <c r="L25" s="1417">
        <f t="shared" si="30"/>
        <v>0</v>
      </c>
      <c r="M25" s="929">
        <f t="shared" si="37"/>
        <v>0</v>
      </c>
      <c r="N25" s="898">
        <f t="shared" si="38"/>
        <v>0</v>
      </c>
      <c r="O25" s="878">
        <v>0</v>
      </c>
      <c r="P25" s="1550">
        <f t="shared" si="39"/>
        <v>0</v>
      </c>
      <c r="Q25" s="1718">
        <f>'[4]Table 5C1B-DArbonne'!M24+'[27]Table 5C1B-DArbonne'!T24+('[26]Table 5C1B-DArbonne'!T24*6)</f>
        <v>0</v>
      </c>
      <c r="R25" s="1819">
        <f t="shared" si="40"/>
        <v>0</v>
      </c>
      <c r="S25" s="998">
        <f t="shared" si="41"/>
        <v>0</v>
      </c>
      <c r="T25" s="1802">
        <f>'[14]FY2013-14 Final'!K25</f>
        <v>3071</v>
      </c>
      <c r="U25" s="1555">
        <f t="shared" si="31"/>
        <v>0</v>
      </c>
      <c r="V25" s="1793">
        <f>+'[3]Oct midyear DArbonne'!E24</f>
        <v>0</v>
      </c>
      <c r="W25" s="1794">
        <f t="shared" si="42"/>
        <v>0</v>
      </c>
      <c r="X25" s="1758">
        <f>'[3]Feb midyear DArbonne'!E24</f>
        <v>0</v>
      </c>
      <c r="Y25" s="1759">
        <f t="shared" si="43"/>
        <v>0</v>
      </c>
      <c r="Z25" s="1653">
        <f t="shared" si="44"/>
        <v>0</v>
      </c>
      <c r="AA25" s="1425">
        <f t="shared" si="45"/>
        <v>0</v>
      </c>
      <c r="AB25" s="937">
        <f t="shared" si="46"/>
        <v>0</v>
      </c>
      <c r="AC25" s="1555">
        <f t="shared" si="47"/>
        <v>0</v>
      </c>
      <c r="AD25" s="1825">
        <v>0</v>
      </c>
      <c r="AE25" s="1555">
        <f t="shared" si="48"/>
        <v>0</v>
      </c>
      <c r="AF25" s="1755">
        <f>'[4]Table 5C1B-DArbonne'!T24+'[27]Table 5C1B-DArbonne'!AF24+('[26]Table 5C1B-DArbonne'!AF24*6)</f>
        <v>0</v>
      </c>
      <c r="AG25" s="1794">
        <f t="shared" si="49"/>
        <v>0</v>
      </c>
      <c r="AH25" s="999">
        <f t="shared" si="50"/>
        <v>0</v>
      </c>
      <c r="AI25" s="900">
        <f t="shared" si="32"/>
        <v>0</v>
      </c>
      <c r="AJ25" s="900">
        <f t="shared" si="51"/>
        <v>0</v>
      </c>
      <c r="AL25" s="49">
        <f>-'[4]Table 5C1B-DArbonne'!P24</f>
        <v>0</v>
      </c>
      <c r="AM25" s="49">
        <f t="shared" si="52"/>
        <v>0</v>
      </c>
      <c r="AN25" s="49">
        <f t="shared" si="53"/>
        <v>0</v>
      </c>
    </row>
    <row r="26" spans="1:40">
      <c r="A26" s="876">
        <v>19</v>
      </c>
      <c r="B26" s="877" t="s">
        <v>110</v>
      </c>
      <c r="C26" s="969">
        <f>'2-1-13 SIS'!H25</f>
        <v>0</v>
      </c>
      <c r="D26" s="878">
        <f>'Table 3 Levels 1&amp;2'!AL26</f>
        <v>5315.8913399708035</v>
      </c>
      <c r="E26" s="919">
        <f t="shared" si="33"/>
        <v>0</v>
      </c>
      <c r="F26" s="919">
        <f>'Table 4 Level 3'!P24</f>
        <v>905.43</v>
      </c>
      <c r="G26" s="919">
        <f t="shared" si="34"/>
        <v>0</v>
      </c>
      <c r="H26" s="898">
        <f t="shared" si="35"/>
        <v>0</v>
      </c>
      <c r="I26" s="1749">
        <f>+'[3]Oct midyear DArbonne'!K25</f>
        <v>0</v>
      </c>
      <c r="J26" s="1749">
        <f>'[3]Feb midyear DArbonne'!K25</f>
        <v>0</v>
      </c>
      <c r="K26" s="1695">
        <f t="shared" si="36"/>
        <v>0</v>
      </c>
      <c r="L26" s="1417">
        <f t="shared" si="30"/>
        <v>0</v>
      </c>
      <c r="M26" s="929">
        <f t="shared" si="37"/>
        <v>0</v>
      </c>
      <c r="N26" s="898">
        <f t="shared" si="38"/>
        <v>0</v>
      </c>
      <c r="O26" s="878">
        <v>0</v>
      </c>
      <c r="P26" s="1550">
        <f t="shared" si="39"/>
        <v>0</v>
      </c>
      <c r="Q26" s="1718">
        <f>'[4]Table 5C1B-DArbonne'!M25+'[27]Table 5C1B-DArbonne'!T25+('[26]Table 5C1B-DArbonne'!T25*6)</f>
        <v>0</v>
      </c>
      <c r="R26" s="1819">
        <f t="shared" si="40"/>
        <v>0</v>
      </c>
      <c r="S26" s="998">
        <f t="shared" si="41"/>
        <v>0</v>
      </c>
      <c r="T26" s="1802">
        <f>'[14]FY2013-14 Final'!K26</f>
        <v>2566</v>
      </c>
      <c r="U26" s="1555">
        <f t="shared" si="31"/>
        <v>0</v>
      </c>
      <c r="V26" s="1793">
        <f>+'[3]Oct midyear DArbonne'!E25</f>
        <v>0</v>
      </c>
      <c r="W26" s="1794">
        <f t="shared" si="42"/>
        <v>0</v>
      </c>
      <c r="X26" s="1758">
        <f>'[3]Feb midyear DArbonne'!E25</f>
        <v>0</v>
      </c>
      <c r="Y26" s="1759">
        <f t="shared" si="43"/>
        <v>0</v>
      </c>
      <c r="Z26" s="1653">
        <f t="shared" si="44"/>
        <v>0</v>
      </c>
      <c r="AA26" s="1425">
        <f t="shared" si="45"/>
        <v>0</v>
      </c>
      <c r="AB26" s="937">
        <f t="shared" si="46"/>
        <v>0</v>
      </c>
      <c r="AC26" s="1555">
        <f t="shared" si="47"/>
        <v>0</v>
      </c>
      <c r="AD26" s="1825">
        <v>0</v>
      </c>
      <c r="AE26" s="1555">
        <f t="shared" si="48"/>
        <v>0</v>
      </c>
      <c r="AF26" s="1755">
        <f>'[4]Table 5C1B-DArbonne'!T25+'[27]Table 5C1B-DArbonne'!AF25+('[26]Table 5C1B-DArbonne'!AF25*6)</f>
        <v>0</v>
      </c>
      <c r="AG26" s="1794">
        <f t="shared" si="49"/>
        <v>0</v>
      </c>
      <c r="AH26" s="999">
        <f t="shared" si="50"/>
        <v>0</v>
      </c>
      <c r="AI26" s="900">
        <f t="shared" si="32"/>
        <v>0</v>
      </c>
      <c r="AJ26" s="900">
        <f t="shared" si="51"/>
        <v>0</v>
      </c>
      <c r="AL26" s="49">
        <f>-'[4]Table 5C1B-DArbonne'!P25</f>
        <v>0</v>
      </c>
      <c r="AM26" s="49">
        <f t="shared" si="52"/>
        <v>0</v>
      </c>
      <c r="AN26" s="49">
        <f t="shared" si="53"/>
        <v>0</v>
      </c>
    </row>
    <row r="27" spans="1:40">
      <c r="A27" s="879">
        <v>20</v>
      </c>
      <c r="B27" s="880" t="s">
        <v>111</v>
      </c>
      <c r="C27" s="970">
        <f>'2-1-13 SIS'!H26</f>
        <v>0</v>
      </c>
      <c r="D27" s="881">
        <f>'Table 3 Levels 1&amp;2'!AL27</f>
        <v>5420.2042919205833</v>
      </c>
      <c r="E27" s="920">
        <f t="shared" si="33"/>
        <v>0</v>
      </c>
      <c r="F27" s="920">
        <f>'Table 4 Level 3'!P25</f>
        <v>586.16999999999996</v>
      </c>
      <c r="G27" s="920">
        <f t="shared" si="34"/>
        <v>0</v>
      </c>
      <c r="H27" s="901">
        <f t="shared" si="35"/>
        <v>0</v>
      </c>
      <c r="I27" s="1750">
        <f>+'[3]Oct midyear DArbonne'!K26</f>
        <v>0</v>
      </c>
      <c r="J27" s="1750">
        <f>'[3]Feb midyear DArbonne'!K26</f>
        <v>0</v>
      </c>
      <c r="K27" s="1696">
        <f t="shared" si="36"/>
        <v>0</v>
      </c>
      <c r="L27" s="1418">
        <f t="shared" si="30"/>
        <v>0</v>
      </c>
      <c r="M27" s="930">
        <f t="shared" si="37"/>
        <v>0</v>
      </c>
      <c r="N27" s="901">
        <f t="shared" si="38"/>
        <v>0</v>
      </c>
      <c r="O27" s="881">
        <v>0</v>
      </c>
      <c r="P27" s="1551">
        <f t="shared" si="39"/>
        <v>0</v>
      </c>
      <c r="Q27" s="1804">
        <f>'[4]Table 5C1B-DArbonne'!M26+'[27]Table 5C1B-DArbonne'!T26+('[26]Table 5C1B-DArbonne'!T26*6)</f>
        <v>0</v>
      </c>
      <c r="R27" s="1820">
        <f t="shared" si="40"/>
        <v>0</v>
      </c>
      <c r="S27" s="1806">
        <f t="shared" si="41"/>
        <v>0</v>
      </c>
      <c r="T27" s="1807">
        <f>'[14]FY2013-14 Final'!K27</f>
        <v>2621</v>
      </c>
      <c r="U27" s="1556">
        <f t="shared" si="31"/>
        <v>0</v>
      </c>
      <c r="V27" s="1795">
        <f>+'[3]Oct midyear DArbonne'!E26</f>
        <v>0</v>
      </c>
      <c r="W27" s="1796">
        <f t="shared" si="42"/>
        <v>0</v>
      </c>
      <c r="X27" s="1762">
        <f>'[3]Feb midyear DArbonne'!E26</f>
        <v>0</v>
      </c>
      <c r="Y27" s="1763">
        <f t="shared" si="43"/>
        <v>0</v>
      </c>
      <c r="Z27" s="1654">
        <f t="shared" si="44"/>
        <v>0</v>
      </c>
      <c r="AA27" s="1424">
        <f t="shared" si="45"/>
        <v>0</v>
      </c>
      <c r="AB27" s="938">
        <f t="shared" si="46"/>
        <v>0</v>
      </c>
      <c r="AC27" s="1556">
        <f t="shared" si="47"/>
        <v>0</v>
      </c>
      <c r="AD27" s="1826">
        <v>0</v>
      </c>
      <c r="AE27" s="1556">
        <f t="shared" si="48"/>
        <v>0</v>
      </c>
      <c r="AF27" s="1833">
        <f>'[4]Table 5C1B-DArbonne'!T26+'[27]Table 5C1B-DArbonne'!AF26+('[26]Table 5C1B-DArbonne'!AF26*6)</f>
        <v>0</v>
      </c>
      <c r="AG27" s="1796">
        <f t="shared" si="49"/>
        <v>0</v>
      </c>
      <c r="AH27" s="1659">
        <f t="shared" si="50"/>
        <v>0</v>
      </c>
      <c r="AI27" s="904">
        <f t="shared" si="32"/>
        <v>0</v>
      </c>
      <c r="AJ27" s="904">
        <f t="shared" si="51"/>
        <v>0</v>
      </c>
      <c r="AL27" s="49">
        <f>-'[4]Table 5C1B-DArbonne'!P26</f>
        <v>0</v>
      </c>
      <c r="AM27" s="49">
        <f t="shared" si="52"/>
        <v>0</v>
      </c>
      <c r="AN27" s="49">
        <f t="shared" si="53"/>
        <v>0</v>
      </c>
    </row>
    <row r="28" spans="1:40">
      <c r="A28" s="870">
        <v>21</v>
      </c>
      <c r="B28" s="871" t="s">
        <v>112</v>
      </c>
      <c r="C28" s="971">
        <f>'2-1-13 SIS'!H27</f>
        <v>0</v>
      </c>
      <c r="D28" s="872">
        <f>'Table 3 Levels 1&amp;2'!AL28</f>
        <v>5724.5404916279067</v>
      </c>
      <c r="E28" s="918">
        <f t="shared" si="33"/>
        <v>0</v>
      </c>
      <c r="F28" s="918">
        <f>'Table 4 Level 3'!P26</f>
        <v>610.35</v>
      </c>
      <c r="G28" s="918">
        <f t="shared" si="34"/>
        <v>0</v>
      </c>
      <c r="H28" s="873">
        <f t="shared" si="35"/>
        <v>0</v>
      </c>
      <c r="I28" s="1718">
        <f>+'[3]Oct midyear DArbonne'!K27</f>
        <v>0</v>
      </c>
      <c r="J28" s="1718">
        <f>'[3]Feb midyear DArbonne'!K27</f>
        <v>0</v>
      </c>
      <c r="K28" s="1542">
        <f t="shared" si="36"/>
        <v>0</v>
      </c>
      <c r="L28" s="1414">
        <f t="shared" si="30"/>
        <v>0</v>
      </c>
      <c r="M28" s="928">
        <f t="shared" si="37"/>
        <v>0</v>
      </c>
      <c r="N28" s="873">
        <f t="shared" si="38"/>
        <v>0</v>
      </c>
      <c r="O28" s="872">
        <v>0</v>
      </c>
      <c r="P28" s="998">
        <f t="shared" si="39"/>
        <v>0</v>
      </c>
      <c r="Q28" s="1718">
        <f>'[4]Table 5C1B-DArbonne'!M27+'[27]Table 5C1B-DArbonne'!T27+('[26]Table 5C1B-DArbonne'!T27*6)</f>
        <v>0</v>
      </c>
      <c r="R28" s="1718">
        <f t="shared" si="40"/>
        <v>0</v>
      </c>
      <c r="S28" s="998">
        <f t="shared" si="41"/>
        <v>0</v>
      </c>
      <c r="T28" s="1802">
        <f>'[14]FY2013-14 Final'!K28</f>
        <v>2445</v>
      </c>
      <c r="U28" s="999">
        <f t="shared" si="31"/>
        <v>0</v>
      </c>
      <c r="V28" s="1754">
        <f>+'[3]Oct midyear DArbonne'!E27</f>
        <v>0</v>
      </c>
      <c r="W28" s="1755">
        <f t="shared" si="42"/>
        <v>0</v>
      </c>
      <c r="X28" s="1754">
        <f>'[3]Feb midyear DArbonne'!E27</f>
        <v>0</v>
      </c>
      <c r="Y28" s="1755">
        <f t="shared" si="43"/>
        <v>0</v>
      </c>
      <c r="Z28" s="1652">
        <f t="shared" si="44"/>
        <v>0</v>
      </c>
      <c r="AA28" s="1428">
        <f t="shared" si="45"/>
        <v>0</v>
      </c>
      <c r="AB28" s="936">
        <f t="shared" si="46"/>
        <v>0</v>
      </c>
      <c r="AC28" s="999">
        <f t="shared" si="47"/>
        <v>0</v>
      </c>
      <c r="AD28" s="1755">
        <v>0</v>
      </c>
      <c r="AE28" s="999">
        <f t="shared" si="48"/>
        <v>0</v>
      </c>
      <c r="AF28" s="1755">
        <f>'[4]Table 5C1B-DArbonne'!T27+'[27]Table 5C1B-DArbonne'!AF27+('[26]Table 5C1B-DArbonne'!AF27*6)</f>
        <v>0</v>
      </c>
      <c r="AG28" s="1755">
        <f t="shared" si="49"/>
        <v>0</v>
      </c>
      <c r="AH28" s="999">
        <f t="shared" si="50"/>
        <v>0</v>
      </c>
      <c r="AI28" s="875">
        <f t="shared" si="32"/>
        <v>0</v>
      </c>
      <c r="AJ28" s="875">
        <f t="shared" si="51"/>
        <v>0</v>
      </c>
      <c r="AL28" s="49">
        <f>-'[4]Table 5C1B-DArbonne'!P27</f>
        <v>0</v>
      </c>
      <c r="AM28" s="49">
        <f t="shared" si="52"/>
        <v>0</v>
      </c>
      <c r="AN28" s="49">
        <f t="shared" si="53"/>
        <v>0</v>
      </c>
    </row>
    <row r="29" spans="1:40">
      <c r="A29" s="876">
        <v>22</v>
      </c>
      <c r="B29" s="877" t="s">
        <v>113</v>
      </c>
      <c r="C29" s="969">
        <f>'2-1-13 SIS'!H28</f>
        <v>0</v>
      </c>
      <c r="D29" s="878">
        <f>'Table 3 Levels 1&amp;2'!AL29</f>
        <v>6203.2933768722742</v>
      </c>
      <c r="E29" s="919">
        <f t="shared" si="33"/>
        <v>0</v>
      </c>
      <c r="F29" s="919">
        <f>'Table 4 Level 3'!P27</f>
        <v>496.36</v>
      </c>
      <c r="G29" s="919">
        <f t="shared" si="34"/>
        <v>0</v>
      </c>
      <c r="H29" s="898">
        <f t="shared" si="35"/>
        <v>0</v>
      </c>
      <c r="I29" s="1749">
        <f>+'[3]Oct midyear DArbonne'!K28</f>
        <v>0</v>
      </c>
      <c r="J29" s="1749">
        <f>'[3]Feb midyear DArbonne'!K28</f>
        <v>0</v>
      </c>
      <c r="K29" s="1695">
        <f t="shared" si="36"/>
        <v>0</v>
      </c>
      <c r="L29" s="1417">
        <f t="shared" si="30"/>
        <v>0</v>
      </c>
      <c r="M29" s="929">
        <f t="shared" si="37"/>
        <v>0</v>
      </c>
      <c r="N29" s="898">
        <f t="shared" si="38"/>
        <v>0</v>
      </c>
      <c r="O29" s="878">
        <v>0</v>
      </c>
      <c r="P29" s="1550">
        <f t="shared" si="39"/>
        <v>0</v>
      </c>
      <c r="Q29" s="1718">
        <f>'[4]Table 5C1B-DArbonne'!M28+'[27]Table 5C1B-DArbonne'!T28+('[26]Table 5C1B-DArbonne'!T28*6)</f>
        <v>0</v>
      </c>
      <c r="R29" s="1819">
        <f t="shared" si="40"/>
        <v>0</v>
      </c>
      <c r="S29" s="998">
        <f t="shared" si="41"/>
        <v>0</v>
      </c>
      <c r="T29" s="1802">
        <f>'[14]FY2013-14 Final'!K29</f>
        <v>1519</v>
      </c>
      <c r="U29" s="1555">
        <f t="shared" si="31"/>
        <v>0</v>
      </c>
      <c r="V29" s="1793">
        <f>+'[3]Oct midyear DArbonne'!E28</f>
        <v>0</v>
      </c>
      <c r="W29" s="1794">
        <f t="shared" si="42"/>
        <v>0</v>
      </c>
      <c r="X29" s="1758">
        <f>'[3]Feb midyear DArbonne'!E28</f>
        <v>0</v>
      </c>
      <c r="Y29" s="1759">
        <f t="shared" si="43"/>
        <v>0</v>
      </c>
      <c r="Z29" s="1653">
        <f t="shared" si="44"/>
        <v>0</v>
      </c>
      <c r="AA29" s="1425">
        <f t="shared" si="45"/>
        <v>0</v>
      </c>
      <c r="AB29" s="937">
        <f t="shared" si="46"/>
        <v>0</v>
      </c>
      <c r="AC29" s="1555">
        <f t="shared" si="47"/>
        <v>0</v>
      </c>
      <c r="AD29" s="1825">
        <v>0</v>
      </c>
      <c r="AE29" s="1555">
        <f t="shared" si="48"/>
        <v>0</v>
      </c>
      <c r="AF29" s="1755">
        <f>'[4]Table 5C1B-DArbonne'!T28+'[27]Table 5C1B-DArbonne'!AF28+('[26]Table 5C1B-DArbonne'!AF28*6)</f>
        <v>0</v>
      </c>
      <c r="AG29" s="1794">
        <f t="shared" si="49"/>
        <v>0</v>
      </c>
      <c r="AH29" s="999">
        <f t="shared" si="50"/>
        <v>0</v>
      </c>
      <c r="AI29" s="900">
        <f t="shared" si="32"/>
        <v>0</v>
      </c>
      <c r="AJ29" s="900">
        <f t="shared" si="51"/>
        <v>0</v>
      </c>
      <c r="AL29" s="49">
        <f>-'[4]Table 5C1B-DArbonne'!P28</f>
        <v>0</v>
      </c>
      <c r="AM29" s="49">
        <f t="shared" si="52"/>
        <v>0</v>
      </c>
      <c r="AN29" s="49">
        <f t="shared" si="53"/>
        <v>0</v>
      </c>
    </row>
    <row r="30" spans="1:40">
      <c r="A30" s="876">
        <v>23</v>
      </c>
      <c r="B30" s="877" t="s">
        <v>114</v>
      </c>
      <c r="C30" s="969">
        <f>'2-1-13 SIS'!H29</f>
        <v>0</v>
      </c>
      <c r="D30" s="878">
        <f>'Table 3 Levels 1&amp;2'!AL30</f>
        <v>4846.0802490067681</v>
      </c>
      <c r="E30" s="919">
        <f t="shared" si="33"/>
        <v>0</v>
      </c>
      <c r="F30" s="919">
        <f>'Table 4 Level 3'!P28</f>
        <v>688.58</v>
      </c>
      <c r="G30" s="919">
        <f t="shared" si="34"/>
        <v>0</v>
      </c>
      <c r="H30" s="898">
        <f t="shared" si="35"/>
        <v>0</v>
      </c>
      <c r="I30" s="1749">
        <f>+'[3]Oct midyear DArbonne'!K29</f>
        <v>0</v>
      </c>
      <c r="J30" s="1749">
        <f>'[3]Feb midyear DArbonne'!K29</f>
        <v>0</v>
      </c>
      <c r="K30" s="1695">
        <f t="shared" si="36"/>
        <v>0</v>
      </c>
      <c r="L30" s="1417">
        <f t="shared" si="30"/>
        <v>0</v>
      </c>
      <c r="M30" s="929">
        <f t="shared" si="37"/>
        <v>0</v>
      </c>
      <c r="N30" s="898">
        <f t="shared" si="38"/>
        <v>0</v>
      </c>
      <c r="O30" s="878">
        <v>0</v>
      </c>
      <c r="P30" s="1550">
        <f t="shared" si="39"/>
        <v>0</v>
      </c>
      <c r="Q30" s="1718">
        <f>'[4]Table 5C1B-DArbonne'!M29+'[27]Table 5C1B-DArbonne'!T29+('[26]Table 5C1B-DArbonne'!T29*6)</f>
        <v>0</v>
      </c>
      <c r="R30" s="1819">
        <f t="shared" si="40"/>
        <v>0</v>
      </c>
      <c r="S30" s="998">
        <f t="shared" si="41"/>
        <v>0</v>
      </c>
      <c r="T30" s="1802">
        <f>'[14]FY2013-14 Final'!K30</f>
        <v>3365</v>
      </c>
      <c r="U30" s="1555">
        <f t="shared" si="31"/>
        <v>0</v>
      </c>
      <c r="V30" s="1793">
        <f>+'[3]Oct midyear DArbonne'!E29</f>
        <v>0</v>
      </c>
      <c r="W30" s="1794">
        <f t="shared" si="42"/>
        <v>0</v>
      </c>
      <c r="X30" s="1758">
        <f>'[3]Feb midyear DArbonne'!E29</f>
        <v>0</v>
      </c>
      <c r="Y30" s="1759">
        <f t="shared" si="43"/>
        <v>0</v>
      </c>
      <c r="Z30" s="1653">
        <f t="shared" si="44"/>
        <v>0</v>
      </c>
      <c r="AA30" s="1425">
        <f t="shared" si="45"/>
        <v>0</v>
      </c>
      <c r="AB30" s="937">
        <f t="shared" si="46"/>
        <v>0</v>
      </c>
      <c r="AC30" s="1555">
        <f t="shared" si="47"/>
        <v>0</v>
      </c>
      <c r="AD30" s="1825">
        <v>0</v>
      </c>
      <c r="AE30" s="1555">
        <f t="shared" si="48"/>
        <v>0</v>
      </c>
      <c r="AF30" s="1755">
        <f>'[4]Table 5C1B-DArbonne'!T29+'[27]Table 5C1B-DArbonne'!AF29+('[26]Table 5C1B-DArbonne'!AF29*6)</f>
        <v>0</v>
      </c>
      <c r="AG30" s="1794">
        <f t="shared" si="49"/>
        <v>0</v>
      </c>
      <c r="AH30" s="999">
        <f t="shared" si="50"/>
        <v>0</v>
      </c>
      <c r="AI30" s="900">
        <f t="shared" si="32"/>
        <v>0</v>
      </c>
      <c r="AJ30" s="900">
        <f t="shared" si="51"/>
        <v>0</v>
      </c>
      <c r="AL30" s="49">
        <f>-'[4]Table 5C1B-DArbonne'!P29</f>
        <v>0</v>
      </c>
      <c r="AM30" s="49">
        <f t="shared" si="52"/>
        <v>0</v>
      </c>
      <c r="AN30" s="49">
        <f t="shared" si="53"/>
        <v>0</v>
      </c>
    </row>
    <row r="31" spans="1:40">
      <c r="A31" s="876">
        <v>24</v>
      </c>
      <c r="B31" s="877" t="s">
        <v>115</v>
      </c>
      <c r="C31" s="969">
        <f>'2-1-13 SIS'!H30</f>
        <v>0</v>
      </c>
      <c r="D31" s="878">
        <f>'Table 3 Levels 1&amp;2'!AL31</f>
        <v>2764.1216755319151</v>
      </c>
      <c r="E31" s="919">
        <f t="shared" si="33"/>
        <v>0</v>
      </c>
      <c r="F31" s="919">
        <f>'Table 4 Level 3'!P29</f>
        <v>854.24999999999989</v>
      </c>
      <c r="G31" s="919">
        <f t="shared" si="34"/>
        <v>0</v>
      </c>
      <c r="H31" s="898">
        <f t="shared" si="35"/>
        <v>0</v>
      </c>
      <c r="I31" s="1749">
        <f>+'[3]Oct midyear DArbonne'!K30</f>
        <v>0</v>
      </c>
      <c r="J31" s="1749">
        <f>'[3]Feb midyear DArbonne'!K30</f>
        <v>0</v>
      </c>
      <c r="K31" s="1695">
        <f t="shared" si="36"/>
        <v>0</v>
      </c>
      <c r="L31" s="1417">
        <f t="shared" si="30"/>
        <v>0</v>
      </c>
      <c r="M31" s="929">
        <f t="shared" si="37"/>
        <v>0</v>
      </c>
      <c r="N31" s="898">
        <f t="shared" si="38"/>
        <v>0</v>
      </c>
      <c r="O31" s="878">
        <v>0</v>
      </c>
      <c r="P31" s="1550">
        <f t="shared" si="39"/>
        <v>0</v>
      </c>
      <c r="Q31" s="1718">
        <f>'[4]Table 5C1B-DArbonne'!M30+'[27]Table 5C1B-DArbonne'!T30+('[26]Table 5C1B-DArbonne'!T30*6)</f>
        <v>0</v>
      </c>
      <c r="R31" s="1819">
        <f t="shared" si="40"/>
        <v>0</v>
      </c>
      <c r="S31" s="998">
        <f t="shared" si="41"/>
        <v>0</v>
      </c>
      <c r="T31" s="1802">
        <f>'[14]FY2013-14 Final'!K31</f>
        <v>10907</v>
      </c>
      <c r="U31" s="1555">
        <f t="shared" si="31"/>
        <v>0</v>
      </c>
      <c r="V31" s="1793">
        <f>+'[3]Oct midyear DArbonne'!E30</f>
        <v>0</v>
      </c>
      <c r="W31" s="1794">
        <f t="shared" si="42"/>
        <v>0</v>
      </c>
      <c r="X31" s="1758">
        <f>'[3]Feb midyear DArbonne'!E30</f>
        <v>0</v>
      </c>
      <c r="Y31" s="1759">
        <f t="shared" si="43"/>
        <v>0</v>
      </c>
      <c r="Z31" s="1653">
        <f t="shared" si="44"/>
        <v>0</v>
      </c>
      <c r="AA31" s="1425">
        <f t="shared" si="45"/>
        <v>0</v>
      </c>
      <c r="AB31" s="937">
        <f t="shared" si="46"/>
        <v>0</v>
      </c>
      <c r="AC31" s="1555">
        <f t="shared" si="47"/>
        <v>0</v>
      </c>
      <c r="AD31" s="1825">
        <v>0</v>
      </c>
      <c r="AE31" s="1555">
        <f t="shared" si="48"/>
        <v>0</v>
      </c>
      <c r="AF31" s="1755">
        <f>'[4]Table 5C1B-DArbonne'!T30+'[27]Table 5C1B-DArbonne'!AF30+('[26]Table 5C1B-DArbonne'!AF30*6)</f>
        <v>0</v>
      </c>
      <c r="AG31" s="1794">
        <f t="shared" si="49"/>
        <v>0</v>
      </c>
      <c r="AH31" s="999">
        <f t="shared" si="50"/>
        <v>0</v>
      </c>
      <c r="AI31" s="900">
        <f t="shared" si="32"/>
        <v>0</v>
      </c>
      <c r="AJ31" s="900">
        <f t="shared" si="51"/>
        <v>0</v>
      </c>
      <c r="AL31" s="49">
        <f>-'[4]Table 5C1B-DArbonne'!P30</f>
        <v>0</v>
      </c>
      <c r="AM31" s="49">
        <f t="shared" si="52"/>
        <v>0</v>
      </c>
      <c r="AN31" s="49">
        <f t="shared" si="53"/>
        <v>0</v>
      </c>
    </row>
    <row r="32" spans="1:40">
      <c r="A32" s="879">
        <v>25</v>
      </c>
      <c r="B32" s="880" t="s">
        <v>116</v>
      </c>
      <c r="C32" s="970">
        <f>'2-1-13 SIS'!H31</f>
        <v>0</v>
      </c>
      <c r="D32" s="881">
        <f>'Table 3 Levels 1&amp;2'!AL32</f>
        <v>3867.4480692053257</v>
      </c>
      <c r="E32" s="920">
        <f t="shared" si="33"/>
        <v>0</v>
      </c>
      <c r="F32" s="920">
        <f>'Table 4 Level 3'!P30</f>
        <v>653.73</v>
      </c>
      <c r="G32" s="920">
        <f t="shared" si="34"/>
        <v>0</v>
      </c>
      <c r="H32" s="901">
        <f t="shared" si="35"/>
        <v>0</v>
      </c>
      <c r="I32" s="1750">
        <f>+'[3]Oct midyear DArbonne'!K31</f>
        <v>0</v>
      </c>
      <c r="J32" s="1750">
        <f>'[3]Feb midyear DArbonne'!K31</f>
        <v>0</v>
      </c>
      <c r="K32" s="1696">
        <f t="shared" si="36"/>
        <v>0</v>
      </c>
      <c r="L32" s="1418">
        <f t="shared" si="30"/>
        <v>0</v>
      </c>
      <c r="M32" s="930">
        <f t="shared" si="37"/>
        <v>0</v>
      </c>
      <c r="N32" s="901">
        <f t="shared" si="38"/>
        <v>0</v>
      </c>
      <c r="O32" s="881">
        <v>0</v>
      </c>
      <c r="P32" s="1551">
        <f t="shared" si="39"/>
        <v>0</v>
      </c>
      <c r="Q32" s="1804">
        <f>'[4]Table 5C1B-DArbonne'!M31+'[27]Table 5C1B-DArbonne'!T31+('[26]Table 5C1B-DArbonne'!T31*6)</f>
        <v>0</v>
      </c>
      <c r="R32" s="1820">
        <f t="shared" si="40"/>
        <v>0</v>
      </c>
      <c r="S32" s="1806">
        <f t="shared" si="41"/>
        <v>0</v>
      </c>
      <c r="T32" s="1807">
        <f>'[14]FY2013-14 Final'!K32</f>
        <v>5156</v>
      </c>
      <c r="U32" s="1556">
        <f t="shared" si="31"/>
        <v>0</v>
      </c>
      <c r="V32" s="1795">
        <f>+'[3]Oct midyear DArbonne'!E31</f>
        <v>0</v>
      </c>
      <c r="W32" s="1796">
        <f t="shared" si="42"/>
        <v>0</v>
      </c>
      <c r="X32" s="1762">
        <f>'[3]Feb midyear DArbonne'!E31</f>
        <v>0</v>
      </c>
      <c r="Y32" s="1763">
        <f t="shared" si="43"/>
        <v>0</v>
      </c>
      <c r="Z32" s="1654">
        <f t="shared" si="44"/>
        <v>0</v>
      </c>
      <c r="AA32" s="1424">
        <f t="shared" si="45"/>
        <v>0</v>
      </c>
      <c r="AB32" s="938">
        <f t="shared" si="46"/>
        <v>0</v>
      </c>
      <c r="AC32" s="1556">
        <f t="shared" si="47"/>
        <v>0</v>
      </c>
      <c r="AD32" s="1826">
        <v>0</v>
      </c>
      <c r="AE32" s="1556">
        <f t="shared" si="48"/>
        <v>0</v>
      </c>
      <c r="AF32" s="1833">
        <f>'[4]Table 5C1B-DArbonne'!T31+'[27]Table 5C1B-DArbonne'!AF31+('[26]Table 5C1B-DArbonne'!AF31*6)</f>
        <v>0</v>
      </c>
      <c r="AG32" s="1796">
        <f t="shared" si="49"/>
        <v>0</v>
      </c>
      <c r="AH32" s="1659">
        <f t="shared" si="50"/>
        <v>0</v>
      </c>
      <c r="AI32" s="904">
        <f t="shared" si="32"/>
        <v>0</v>
      </c>
      <c r="AJ32" s="904">
        <f t="shared" si="51"/>
        <v>0</v>
      </c>
      <c r="AL32" s="49">
        <f>-'[4]Table 5C1B-DArbonne'!P31</f>
        <v>0</v>
      </c>
      <c r="AM32" s="49">
        <f t="shared" si="52"/>
        <v>0</v>
      </c>
      <c r="AN32" s="49">
        <f t="shared" si="53"/>
        <v>0</v>
      </c>
    </row>
    <row r="33" spans="1:40">
      <c r="A33" s="870">
        <v>26</v>
      </c>
      <c r="B33" s="871" t="s">
        <v>117</v>
      </c>
      <c r="C33" s="971">
        <f>'2-1-13 SIS'!H32</f>
        <v>0</v>
      </c>
      <c r="D33" s="872">
        <f>'Table 3 Levels 1&amp;2'!AL33</f>
        <v>3293.481526790355</v>
      </c>
      <c r="E33" s="918">
        <f t="shared" si="33"/>
        <v>0</v>
      </c>
      <c r="F33" s="918">
        <f>'Table 4 Level 3'!P31</f>
        <v>836.83</v>
      </c>
      <c r="G33" s="918">
        <f t="shared" si="34"/>
        <v>0</v>
      </c>
      <c r="H33" s="873">
        <f t="shared" si="35"/>
        <v>0</v>
      </c>
      <c r="I33" s="1718">
        <f>+'[3]Oct midyear DArbonne'!K32</f>
        <v>0</v>
      </c>
      <c r="J33" s="1718">
        <f>'[3]Feb midyear DArbonne'!K32</f>
        <v>0</v>
      </c>
      <c r="K33" s="1542">
        <f t="shared" si="36"/>
        <v>0</v>
      </c>
      <c r="L33" s="1414">
        <f t="shared" si="30"/>
        <v>0</v>
      </c>
      <c r="M33" s="928">
        <f t="shared" si="37"/>
        <v>0</v>
      </c>
      <c r="N33" s="873">
        <f t="shared" si="38"/>
        <v>0</v>
      </c>
      <c r="O33" s="872">
        <v>0</v>
      </c>
      <c r="P33" s="998">
        <f t="shared" si="39"/>
        <v>0</v>
      </c>
      <c r="Q33" s="1718">
        <f>'[4]Table 5C1B-DArbonne'!M32+'[27]Table 5C1B-DArbonne'!T32+('[26]Table 5C1B-DArbonne'!T32*6)</f>
        <v>0</v>
      </c>
      <c r="R33" s="1718">
        <f t="shared" si="40"/>
        <v>0</v>
      </c>
      <c r="S33" s="998">
        <f t="shared" si="41"/>
        <v>0</v>
      </c>
      <c r="T33" s="1802">
        <f>'[14]FY2013-14 Final'!K33</f>
        <v>5344</v>
      </c>
      <c r="U33" s="999">
        <f t="shared" si="31"/>
        <v>0</v>
      </c>
      <c r="V33" s="1754">
        <f>+'[3]Oct midyear DArbonne'!E32</f>
        <v>0</v>
      </c>
      <c r="W33" s="1755">
        <f t="shared" si="42"/>
        <v>0</v>
      </c>
      <c r="X33" s="1754">
        <f>'[3]Feb midyear DArbonne'!E32</f>
        <v>0</v>
      </c>
      <c r="Y33" s="1755">
        <f t="shared" si="43"/>
        <v>0</v>
      </c>
      <c r="Z33" s="1652">
        <f t="shared" si="44"/>
        <v>0</v>
      </c>
      <c r="AA33" s="1428">
        <f t="shared" si="45"/>
        <v>0</v>
      </c>
      <c r="AB33" s="936">
        <f t="shared" si="46"/>
        <v>0</v>
      </c>
      <c r="AC33" s="999">
        <f t="shared" si="47"/>
        <v>0</v>
      </c>
      <c r="AD33" s="1755">
        <v>0</v>
      </c>
      <c r="AE33" s="999">
        <f t="shared" si="48"/>
        <v>0</v>
      </c>
      <c r="AF33" s="1755">
        <f>'[4]Table 5C1B-DArbonne'!T32+'[27]Table 5C1B-DArbonne'!AF32+('[26]Table 5C1B-DArbonne'!AF32*6)</f>
        <v>0</v>
      </c>
      <c r="AG33" s="1755">
        <f t="shared" si="49"/>
        <v>0</v>
      </c>
      <c r="AH33" s="999">
        <f t="shared" si="50"/>
        <v>0</v>
      </c>
      <c r="AI33" s="875">
        <f t="shared" si="32"/>
        <v>0</v>
      </c>
      <c r="AJ33" s="875">
        <f t="shared" si="51"/>
        <v>0</v>
      </c>
      <c r="AL33" s="49">
        <f>-'[4]Table 5C1B-DArbonne'!P32</f>
        <v>0</v>
      </c>
      <c r="AM33" s="49">
        <f t="shared" si="52"/>
        <v>0</v>
      </c>
      <c r="AN33" s="49">
        <f t="shared" si="53"/>
        <v>0</v>
      </c>
    </row>
    <row r="34" spans="1:40">
      <c r="A34" s="876">
        <v>27</v>
      </c>
      <c r="B34" s="877" t="s">
        <v>118</v>
      </c>
      <c r="C34" s="972">
        <f>'2-1-13 SIS'!H33</f>
        <v>0</v>
      </c>
      <c r="D34" s="882">
        <f>'Table 3 Levels 1&amp;2'!AL34</f>
        <v>5680.7727517381973</v>
      </c>
      <c r="E34" s="921">
        <f t="shared" si="33"/>
        <v>0</v>
      </c>
      <c r="F34" s="921">
        <f>'Table 4 Level 3'!P32</f>
        <v>693.06</v>
      </c>
      <c r="G34" s="921">
        <f t="shared" si="34"/>
        <v>0</v>
      </c>
      <c r="H34" s="905">
        <f t="shared" si="35"/>
        <v>0</v>
      </c>
      <c r="I34" s="1751">
        <f>+'[3]Oct midyear DArbonne'!K33</f>
        <v>0</v>
      </c>
      <c r="J34" s="1751">
        <f>'[3]Feb midyear DArbonne'!K33</f>
        <v>0</v>
      </c>
      <c r="K34" s="1697">
        <f t="shared" si="36"/>
        <v>0</v>
      </c>
      <c r="L34" s="1419">
        <f t="shared" si="30"/>
        <v>0</v>
      </c>
      <c r="M34" s="931">
        <f t="shared" si="37"/>
        <v>0</v>
      </c>
      <c r="N34" s="905">
        <f t="shared" si="38"/>
        <v>0</v>
      </c>
      <c r="O34" s="882">
        <v>0</v>
      </c>
      <c r="P34" s="1552">
        <f t="shared" si="39"/>
        <v>0</v>
      </c>
      <c r="Q34" s="1718">
        <f>'[4]Table 5C1B-DArbonne'!M33+'[27]Table 5C1B-DArbonne'!T33+('[26]Table 5C1B-DArbonne'!T33*6)</f>
        <v>0</v>
      </c>
      <c r="R34" s="1821">
        <f t="shared" si="40"/>
        <v>0</v>
      </c>
      <c r="S34" s="998">
        <f t="shared" si="41"/>
        <v>0</v>
      </c>
      <c r="T34" s="1802">
        <f>'[14]FY2013-14 Final'!K34</f>
        <v>3271</v>
      </c>
      <c r="U34" s="1555">
        <f t="shared" si="31"/>
        <v>0</v>
      </c>
      <c r="V34" s="1793">
        <f>+'[3]Oct midyear DArbonne'!E33</f>
        <v>0</v>
      </c>
      <c r="W34" s="1794">
        <f t="shared" si="42"/>
        <v>0</v>
      </c>
      <c r="X34" s="1758">
        <f>'[3]Feb midyear DArbonne'!E33</f>
        <v>0</v>
      </c>
      <c r="Y34" s="1759">
        <f t="shared" si="43"/>
        <v>0</v>
      </c>
      <c r="Z34" s="1653">
        <f t="shared" si="44"/>
        <v>0</v>
      </c>
      <c r="AA34" s="1425">
        <f t="shared" si="45"/>
        <v>0</v>
      </c>
      <c r="AB34" s="937">
        <f t="shared" si="46"/>
        <v>0</v>
      </c>
      <c r="AC34" s="1555">
        <f t="shared" si="47"/>
        <v>0</v>
      </c>
      <c r="AD34" s="1825">
        <v>0</v>
      </c>
      <c r="AE34" s="1555">
        <f t="shared" si="48"/>
        <v>0</v>
      </c>
      <c r="AF34" s="1755">
        <f>'[4]Table 5C1B-DArbonne'!T33+'[27]Table 5C1B-DArbonne'!AF33+('[26]Table 5C1B-DArbonne'!AF33*6)</f>
        <v>0</v>
      </c>
      <c r="AG34" s="1794">
        <f t="shared" si="49"/>
        <v>0</v>
      </c>
      <c r="AH34" s="999">
        <f t="shared" si="50"/>
        <v>0</v>
      </c>
      <c r="AI34" s="900">
        <f t="shared" si="32"/>
        <v>0</v>
      </c>
      <c r="AJ34" s="900">
        <f t="shared" si="51"/>
        <v>0</v>
      </c>
      <c r="AL34" s="49">
        <f>-'[4]Table 5C1B-DArbonne'!P33</f>
        <v>0</v>
      </c>
      <c r="AM34" s="49">
        <f t="shared" si="52"/>
        <v>0</v>
      </c>
      <c r="AN34" s="49">
        <f t="shared" si="53"/>
        <v>0</v>
      </c>
    </row>
    <row r="35" spans="1:40">
      <c r="A35" s="876">
        <v>28</v>
      </c>
      <c r="B35" s="877" t="s">
        <v>119</v>
      </c>
      <c r="C35" s="972">
        <f>'2-1-13 SIS'!H34</f>
        <v>0</v>
      </c>
      <c r="D35" s="882">
        <f>'Table 3 Levels 1&amp;2'!AL35</f>
        <v>3163.1694438483169</v>
      </c>
      <c r="E35" s="921">
        <f t="shared" si="33"/>
        <v>0</v>
      </c>
      <c r="F35" s="921">
        <f>'Table 4 Level 3'!P33</f>
        <v>694.4</v>
      </c>
      <c r="G35" s="921">
        <f t="shared" si="34"/>
        <v>0</v>
      </c>
      <c r="H35" s="905">
        <f t="shared" si="35"/>
        <v>0</v>
      </c>
      <c r="I35" s="1751">
        <f>+'[3]Oct midyear DArbonne'!K34</f>
        <v>0</v>
      </c>
      <c r="J35" s="1751">
        <f>'[3]Feb midyear DArbonne'!K34</f>
        <v>0</v>
      </c>
      <c r="K35" s="1697">
        <f t="shared" si="36"/>
        <v>0</v>
      </c>
      <c r="L35" s="1419">
        <f t="shared" si="30"/>
        <v>0</v>
      </c>
      <c r="M35" s="931">
        <f t="shared" si="37"/>
        <v>0</v>
      </c>
      <c r="N35" s="905">
        <f t="shared" si="38"/>
        <v>0</v>
      </c>
      <c r="O35" s="882">
        <v>0</v>
      </c>
      <c r="P35" s="1552">
        <f t="shared" si="39"/>
        <v>0</v>
      </c>
      <c r="Q35" s="1718">
        <f>'[4]Table 5C1B-DArbonne'!M34+'[27]Table 5C1B-DArbonne'!T34+('[26]Table 5C1B-DArbonne'!T34*6)</f>
        <v>0</v>
      </c>
      <c r="R35" s="1821">
        <f t="shared" si="40"/>
        <v>0</v>
      </c>
      <c r="S35" s="998">
        <f t="shared" si="41"/>
        <v>0</v>
      </c>
      <c r="T35" s="1802">
        <f>'[14]FY2013-14 Final'!K35</f>
        <v>5647</v>
      </c>
      <c r="U35" s="1555">
        <f t="shared" si="31"/>
        <v>0</v>
      </c>
      <c r="V35" s="1793">
        <f>+'[3]Oct midyear DArbonne'!E34</f>
        <v>0</v>
      </c>
      <c r="W35" s="1794">
        <f t="shared" si="42"/>
        <v>0</v>
      </c>
      <c r="X35" s="1758">
        <f>'[3]Feb midyear DArbonne'!E34</f>
        <v>0</v>
      </c>
      <c r="Y35" s="1759">
        <f t="shared" si="43"/>
        <v>0</v>
      </c>
      <c r="Z35" s="1653">
        <f t="shared" si="44"/>
        <v>0</v>
      </c>
      <c r="AA35" s="1425">
        <f t="shared" si="45"/>
        <v>0</v>
      </c>
      <c r="AB35" s="937">
        <f t="shared" si="46"/>
        <v>0</v>
      </c>
      <c r="AC35" s="1555">
        <f t="shared" si="47"/>
        <v>0</v>
      </c>
      <c r="AD35" s="1825">
        <v>0</v>
      </c>
      <c r="AE35" s="1555">
        <f t="shared" si="48"/>
        <v>0</v>
      </c>
      <c r="AF35" s="1755">
        <f>'[4]Table 5C1B-DArbonne'!T34+'[27]Table 5C1B-DArbonne'!AF34+('[26]Table 5C1B-DArbonne'!AF34*6)</f>
        <v>0</v>
      </c>
      <c r="AG35" s="1794">
        <f t="shared" si="49"/>
        <v>0</v>
      </c>
      <c r="AH35" s="999">
        <f t="shared" si="50"/>
        <v>0</v>
      </c>
      <c r="AI35" s="900">
        <f t="shared" si="32"/>
        <v>0</v>
      </c>
      <c r="AJ35" s="900">
        <f t="shared" si="51"/>
        <v>0</v>
      </c>
      <c r="AL35" s="49">
        <f>-'[4]Table 5C1B-DArbonne'!P34</f>
        <v>0</v>
      </c>
      <c r="AM35" s="49">
        <f t="shared" si="52"/>
        <v>0</v>
      </c>
      <c r="AN35" s="49">
        <f t="shared" si="53"/>
        <v>0</v>
      </c>
    </row>
    <row r="36" spans="1:40">
      <c r="A36" s="876">
        <v>29</v>
      </c>
      <c r="B36" s="877" t="s">
        <v>120</v>
      </c>
      <c r="C36" s="972">
        <f>'2-1-13 SIS'!H35</f>
        <v>0</v>
      </c>
      <c r="D36" s="882">
        <f>'Table 3 Levels 1&amp;2'!AL36</f>
        <v>3952.5586133052648</v>
      </c>
      <c r="E36" s="921">
        <f t="shared" si="33"/>
        <v>0</v>
      </c>
      <c r="F36" s="921">
        <f>'Table 4 Level 3'!P34</f>
        <v>754.94999999999993</v>
      </c>
      <c r="G36" s="921">
        <f t="shared" si="34"/>
        <v>0</v>
      </c>
      <c r="H36" s="905">
        <f t="shared" si="35"/>
        <v>0</v>
      </c>
      <c r="I36" s="1751">
        <f>+'[3]Oct midyear DArbonne'!K35</f>
        <v>0</v>
      </c>
      <c r="J36" s="1751">
        <f>'[3]Feb midyear DArbonne'!K35</f>
        <v>0</v>
      </c>
      <c r="K36" s="1697">
        <f t="shared" si="36"/>
        <v>0</v>
      </c>
      <c r="L36" s="1419">
        <f t="shared" si="30"/>
        <v>0</v>
      </c>
      <c r="M36" s="931">
        <f t="shared" si="37"/>
        <v>0</v>
      </c>
      <c r="N36" s="905">
        <f t="shared" si="38"/>
        <v>0</v>
      </c>
      <c r="O36" s="882">
        <v>0</v>
      </c>
      <c r="P36" s="1552">
        <f t="shared" si="39"/>
        <v>0</v>
      </c>
      <c r="Q36" s="1718">
        <f>'[4]Table 5C1B-DArbonne'!M35+'[27]Table 5C1B-DArbonne'!T35+('[26]Table 5C1B-DArbonne'!T35*6)</f>
        <v>0</v>
      </c>
      <c r="R36" s="1821">
        <f t="shared" si="40"/>
        <v>0</v>
      </c>
      <c r="S36" s="998">
        <f t="shared" si="41"/>
        <v>0</v>
      </c>
      <c r="T36" s="1802">
        <f>'[14]FY2013-14 Final'!K36</f>
        <v>4826</v>
      </c>
      <c r="U36" s="1555">
        <f t="shared" si="31"/>
        <v>0</v>
      </c>
      <c r="V36" s="1793">
        <f>+'[3]Oct midyear DArbonne'!E35</f>
        <v>0</v>
      </c>
      <c r="W36" s="1794">
        <f t="shared" si="42"/>
        <v>0</v>
      </c>
      <c r="X36" s="1758">
        <f>'[3]Feb midyear DArbonne'!E35</f>
        <v>0</v>
      </c>
      <c r="Y36" s="1759">
        <f t="shared" si="43"/>
        <v>0</v>
      </c>
      <c r="Z36" s="1653">
        <f t="shared" si="44"/>
        <v>0</v>
      </c>
      <c r="AA36" s="1425">
        <f t="shared" si="45"/>
        <v>0</v>
      </c>
      <c r="AB36" s="937">
        <f t="shared" si="46"/>
        <v>0</v>
      </c>
      <c r="AC36" s="1555">
        <f t="shared" si="47"/>
        <v>0</v>
      </c>
      <c r="AD36" s="1825">
        <v>0</v>
      </c>
      <c r="AE36" s="1555">
        <f t="shared" si="48"/>
        <v>0</v>
      </c>
      <c r="AF36" s="1755">
        <f>'[4]Table 5C1B-DArbonne'!T35+'[27]Table 5C1B-DArbonne'!AF35+('[26]Table 5C1B-DArbonne'!AF35*6)</f>
        <v>0</v>
      </c>
      <c r="AG36" s="1794">
        <f t="shared" si="49"/>
        <v>0</v>
      </c>
      <c r="AH36" s="999">
        <f t="shared" si="50"/>
        <v>0</v>
      </c>
      <c r="AI36" s="900">
        <f t="shared" si="32"/>
        <v>0</v>
      </c>
      <c r="AJ36" s="900">
        <f t="shared" si="51"/>
        <v>0</v>
      </c>
      <c r="AL36" s="49">
        <f>-'[4]Table 5C1B-DArbonne'!P35</f>
        <v>0</v>
      </c>
      <c r="AM36" s="49">
        <f t="shared" si="52"/>
        <v>0</v>
      </c>
      <c r="AN36" s="49">
        <f t="shared" si="53"/>
        <v>0</v>
      </c>
    </row>
    <row r="37" spans="1:40">
      <c r="A37" s="879">
        <v>30</v>
      </c>
      <c r="B37" s="880" t="s">
        <v>121</v>
      </c>
      <c r="C37" s="973">
        <f>'2-1-13 SIS'!H36</f>
        <v>0</v>
      </c>
      <c r="D37" s="883">
        <f>'Table 3 Levels 1&amp;2'!AL37</f>
        <v>5648.6510465852989</v>
      </c>
      <c r="E37" s="922">
        <f t="shared" si="33"/>
        <v>0</v>
      </c>
      <c r="F37" s="922">
        <f>'Table 4 Level 3'!P35</f>
        <v>727.17</v>
      </c>
      <c r="G37" s="922">
        <f t="shared" si="34"/>
        <v>0</v>
      </c>
      <c r="H37" s="906">
        <f t="shared" si="35"/>
        <v>0</v>
      </c>
      <c r="I37" s="1752">
        <f>+'[3]Oct midyear DArbonne'!K36</f>
        <v>0</v>
      </c>
      <c r="J37" s="1752">
        <f>'[3]Feb midyear DArbonne'!K36</f>
        <v>0</v>
      </c>
      <c r="K37" s="1698">
        <f t="shared" si="36"/>
        <v>0</v>
      </c>
      <c r="L37" s="1420">
        <f t="shared" si="30"/>
        <v>0</v>
      </c>
      <c r="M37" s="932">
        <f t="shared" si="37"/>
        <v>0</v>
      </c>
      <c r="N37" s="906">
        <f t="shared" si="38"/>
        <v>0</v>
      </c>
      <c r="O37" s="883">
        <v>0</v>
      </c>
      <c r="P37" s="1553">
        <f t="shared" si="39"/>
        <v>0</v>
      </c>
      <c r="Q37" s="1804">
        <f>'[4]Table 5C1B-DArbonne'!M36+'[27]Table 5C1B-DArbonne'!T36+('[26]Table 5C1B-DArbonne'!T36*6)</f>
        <v>0</v>
      </c>
      <c r="R37" s="1822">
        <f t="shared" si="40"/>
        <v>0</v>
      </c>
      <c r="S37" s="1806">
        <f t="shared" si="41"/>
        <v>0</v>
      </c>
      <c r="T37" s="1807">
        <f>'[14]FY2013-14 Final'!K37</f>
        <v>4193</v>
      </c>
      <c r="U37" s="1556">
        <f t="shared" si="31"/>
        <v>0</v>
      </c>
      <c r="V37" s="1795">
        <f>+'[3]Oct midyear DArbonne'!E36</f>
        <v>0</v>
      </c>
      <c r="W37" s="1796">
        <f t="shared" si="42"/>
        <v>0</v>
      </c>
      <c r="X37" s="1762">
        <f>'[3]Feb midyear DArbonne'!E36</f>
        <v>0</v>
      </c>
      <c r="Y37" s="1763">
        <f t="shared" si="43"/>
        <v>0</v>
      </c>
      <c r="Z37" s="1654">
        <f t="shared" si="44"/>
        <v>0</v>
      </c>
      <c r="AA37" s="1424">
        <f t="shared" si="45"/>
        <v>0</v>
      </c>
      <c r="AB37" s="938">
        <f t="shared" si="46"/>
        <v>0</v>
      </c>
      <c r="AC37" s="1556">
        <f t="shared" si="47"/>
        <v>0</v>
      </c>
      <c r="AD37" s="1826">
        <v>0</v>
      </c>
      <c r="AE37" s="1556">
        <f t="shared" si="48"/>
        <v>0</v>
      </c>
      <c r="AF37" s="1833">
        <f>'[4]Table 5C1B-DArbonne'!T36+'[27]Table 5C1B-DArbonne'!AF36+('[26]Table 5C1B-DArbonne'!AF36*6)</f>
        <v>0</v>
      </c>
      <c r="AG37" s="1796">
        <f t="shared" si="49"/>
        <v>0</v>
      </c>
      <c r="AH37" s="1659">
        <f t="shared" si="50"/>
        <v>0</v>
      </c>
      <c r="AI37" s="904">
        <f t="shared" si="32"/>
        <v>0</v>
      </c>
      <c r="AJ37" s="904">
        <f t="shared" si="51"/>
        <v>0</v>
      </c>
      <c r="AL37" s="49">
        <f>-'[4]Table 5C1B-DArbonne'!P36</f>
        <v>0</v>
      </c>
      <c r="AM37" s="49">
        <f t="shared" si="52"/>
        <v>0</v>
      </c>
      <c r="AN37" s="49">
        <f t="shared" si="53"/>
        <v>0</v>
      </c>
    </row>
    <row r="38" spans="1:40">
      <c r="A38" s="870">
        <v>31</v>
      </c>
      <c r="B38" s="871" t="s">
        <v>122</v>
      </c>
      <c r="C38" s="974">
        <f>'2-1-13 SIS'!H37</f>
        <v>8</v>
      </c>
      <c r="D38" s="884">
        <f>'Table 3 Levels 1&amp;2'!AL38</f>
        <v>4348.9307899232972</v>
      </c>
      <c r="E38" s="923">
        <f t="shared" si="33"/>
        <v>34791.446319386378</v>
      </c>
      <c r="F38" s="923">
        <f>'Table 4 Level 3'!P36</f>
        <v>620.83000000000004</v>
      </c>
      <c r="G38" s="923">
        <f t="shared" si="34"/>
        <v>4966.6400000000003</v>
      </c>
      <c r="H38" s="907">
        <f t="shared" si="35"/>
        <v>39758.086319386377</v>
      </c>
      <c r="I38" s="1723">
        <f>+'[3]Oct midyear DArbonne'!K37</f>
        <v>19879.043159693188</v>
      </c>
      <c r="J38" s="1723">
        <f>'[3]Feb midyear DArbonne'!K37</f>
        <v>0</v>
      </c>
      <c r="K38" s="1547">
        <f t="shared" si="36"/>
        <v>19879.043159693188</v>
      </c>
      <c r="L38" s="1421">
        <f t="shared" si="30"/>
        <v>59637.129479079565</v>
      </c>
      <c r="M38" s="933">
        <f t="shared" si="37"/>
        <v>-149.09282369769892</v>
      </c>
      <c r="N38" s="907">
        <f t="shared" si="38"/>
        <v>59488.036655381868</v>
      </c>
      <c r="O38" s="884">
        <v>0</v>
      </c>
      <c r="P38" s="996">
        <f t="shared" si="39"/>
        <v>59488.036655381868</v>
      </c>
      <c r="Q38" s="1718">
        <f>'[4]Table 5C1B-DArbonne'!M37+'[27]Table 5C1B-DArbonne'!T37+('[26]Table 5C1B-DArbonne'!T37*6)</f>
        <v>32748.464623417291</v>
      </c>
      <c r="R38" s="1723">
        <f t="shared" si="40"/>
        <v>26739.572031964577</v>
      </c>
      <c r="S38" s="998">
        <f t="shared" si="41"/>
        <v>6685</v>
      </c>
      <c r="T38" s="1802">
        <f>'[14]FY2013-14 Final'!K38</f>
        <v>4901</v>
      </c>
      <c r="U38" s="999">
        <f t="shared" si="31"/>
        <v>39208</v>
      </c>
      <c r="V38" s="1754">
        <f>+'[3]Oct midyear DArbonne'!E37</f>
        <v>4</v>
      </c>
      <c r="W38" s="1755">
        <f t="shared" si="42"/>
        <v>19604</v>
      </c>
      <c r="X38" s="1754">
        <f>'[3]Feb midyear DArbonne'!E37</f>
        <v>0</v>
      </c>
      <c r="Y38" s="1755">
        <f t="shared" si="43"/>
        <v>0</v>
      </c>
      <c r="Z38" s="1652">
        <f t="shared" si="44"/>
        <v>19604</v>
      </c>
      <c r="AA38" s="1428">
        <f t="shared" si="45"/>
        <v>58812</v>
      </c>
      <c r="AB38" s="936">
        <f t="shared" si="46"/>
        <v>-147.03</v>
      </c>
      <c r="AC38" s="999">
        <f t="shared" si="47"/>
        <v>58664.97</v>
      </c>
      <c r="AD38" s="1755">
        <v>0</v>
      </c>
      <c r="AE38" s="999">
        <f t="shared" si="48"/>
        <v>58664.97</v>
      </c>
      <c r="AF38" s="1755">
        <f>'[4]Table 5C1B-DArbonne'!T37+'[27]Table 5C1B-DArbonne'!AF37+('[26]Table 5C1B-DArbonne'!AF37*6)</f>
        <v>31596.870454545457</v>
      </c>
      <c r="AG38" s="1755">
        <f t="shared" si="49"/>
        <v>27068.099545454545</v>
      </c>
      <c r="AH38" s="999">
        <f t="shared" si="50"/>
        <v>6767</v>
      </c>
      <c r="AI38" s="875">
        <f t="shared" si="32"/>
        <v>118153.00665538188</v>
      </c>
      <c r="AJ38" s="875">
        <f t="shared" si="51"/>
        <v>13452</v>
      </c>
      <c r="AL38" s="49">
        <f>-'[4]Table 5C1B-DArbonne'!P37</f>
        <v>95.9</v>
      </c>
      <c r="AM38" s="49">
        <f t="shared" si="52"/>
        <v>-147.03</v>
      </c>
      <c r="AN38" s="49">
        <f t="shared" si="53"/>
        <v>-51.129999999999995</v>
      </c>
    </row>
    <row r="39" spans="1:40">
      <c r="A39" s="876">
        <v>32</v>
      </c>
      <c r="B39" s="877" t="s">
        <v>123</v>
      </c>
      <c r="C39" s="972">
        <f>'2-1-13 SIS'!H38</f>
        <v>0</v>
      </c>
      <c r="D39" s="882">
        <f>'Table 3 Levels 1&amp;2'!AL39</f>
        <v>5531.5157655456787</v>
      </c>
      <c r="E39" s="921">
        <f t="shared" si="33"/>
        <v>0</v>
      </c>
      <c r="F39" s="921">
        <f>'Table 4 Level 3'!P37</f>
        <v>559.77</v>
      </c>
      <c r="G39" s="921">
        <f t="shared" si="34"/>
        <v>0</v>
      </c>
      <c r="H39" s="905">
        <f t="shared" si="35"/>
        <v>0</v>
      </c>
      <c r="I39" s="1751">
        <f>+'[3]Oct midyear DArbonne'!K38</f>
        <v>0</v>
      </c>
      <c r="J39" s="1751">
        <f>'[3]Feb midyear DArbonne'!K38</f>
        <v>0</v>
      </c>
      <c r="K39" s="1697">
        <f t="shared" si="36"/>
        <v>0</v>
      </c>
      <c r="L39" s="1419">
        <f t="shared" si="30"/>
        <v>0</v>
      </c>
      <c r="M39" s="931">
        <f t="shared" si="37"/>
        <v>0</v>
      </c>
      <c r="N39" s="905">
        <f t="shared" si="38"/>
        <v>0</v>
      </c>
      <c r="O39" s="882">
        <v>0</v>
      </c>
      <c r="P39" s="1552">
        <f t="shared" si="39"/>
        <v>0</v>
      </c>
      <c r="Q39" s="1718">
        <f>'[4]Table 5C1B-DArbonne'!M38+'[27]Table 5C1B-DArbonne'!T38+('[26]Table 5C1B-DArbonne'!T38*6)</f>
        <v>0</v>
      </c>
      <c r="R39" s="1821">
        <f t="shared" si="40"/>
        <v>0</v>
      </c>
      <c r="S39" s="998">
        <f t="shared" si="41"/>
        <v>0</v>
      </c>
      <c r="T39" s="1802">
        <f>'[14]FY2013-14 Final'!K39</f>
        <v>2074</v>
      </c>
      <c r="U39" s="1555">
        <f t="shared" si="31"/>
        <v>0</v>
      </c>
      <c r="V39" s="1793">
        <f>+'[3]Oct midyear DArbonne'!E38</f>
        <v>0</v>
      </c>
      <c r="W39" s="1794">
        <f t="shared" si="42"/>
        <v>0</v>
      </c>
      <c r="X39" s="1758">
        <f>'[3]Feb midyear DArbonne'!E38</f>
        <v>0</v>
      </c>
      <c r="Y39" s="1759">
        <f t="shared" si="43"/>
        <v>0</v>
      </c>
      <c r="Z39" s="1653">
        <f t="shared" si="44"/>
        <v>0</v>
      </c>
      <c r="AA39" s="1425">
        <f t="shared" si="45"/>
        <v>0</v>
      </c>
      <c r="AB39" s="937">
        <f t="shared" si="46"/>
        <v>0</v>
      </c>
      <c r="AC39" s="1555">
        <f t="shared" si="47"/>
        <v>0</v>
      </c>
      <c r="AD39" s="1825">
        <v>0</v>
      </c>
      <c r="AE39" s="1555">
        <f t="shared" si="48"/>
        <v>0</v>
      </c>
      <c r="AF39" s="1755">
        <f>'[4]Table 5C1B-DArbonne'!T38+'[27]Table 5C1B-DArbonne'!AF38+('[26]Table 5C1B-DArbonne'!AF38*6)</f>
        <v>0</v>
      </c>
      <c r="AG39" s="1794">
        <f t="shared" si="49"/>
        <v>0</v>
      </c>
      <c r="AH39" s="999">
        <f t="shared" si="50"/>
        <v>0</v>
      </c>
      <c r="AI39" s="900">
        <f t="shared" si="32"/>
        <v>0</v>
      </c>
      <c r="AJ39" s="900">
        <f t="shared" si="51"/>
        <v>0</v>
      </c>
      <c r="AL39" s="49">
        <f>-'[4]Table 5C1B-DArbonne'!P38</f>
        <v>0</v>
      </c>
      <c r="AM39" s="49">
        <f t="shared" si="52"/>
        <v>0</v>
      </c>
      <c r="AN39" s="49">
        <f t="shared" si="53"/>
        <v>0</v>
      </c>
    </row>
    <row r="40" spans="1:40">
      <c r="A40" s="876">
        <v>33</v>
      </c>
      <c r="B40" s="877" t="s">
        <v>124</v>
      </c>
      <c r="C40" s="972">
        <f>'2-1-13 SIS'!H39</f>
        <v>0</v>
      </c>
      <c r="D40" s="882">
        <f>'Table 3 Levels 1&amp;2'!AL40</f>
        <v>5329.5444226517857</v>
      </c>
      <c r="E40" s="921">
        <f t="shared" si="33"/>
        <v>0</v>
      </c>
      <c r="F40" s="921">
        <f>'Table 4 Level 3'!P38</f>
        <v>655.31000000000006</v>
      </c>
      <c r="G40" s="921">
        <f t="shared" si="34"/>
        <v>0</v>
      </c>
      <c r="H40" s="905">
        <f t="shared" si="35"/>
        <v>0</v>
      </c>
      <c r="I40" s="1751">
        <f>+'[3]Oct midyear DArbonne'!K39</f>
        <v>0</v>
      </c>
      <c r="J40" s="1751">
        <f>'[3]Feb midyear DArbonne'!K39</f>
        <v>0</v>
      </c>
      <c r="K40" s="1697">
        <f t="shared" si="36"/>
        <v>0</v>
      </c>
      <c r="L40" s="1419">
        <f t="shared" ref="L40:L71" si="54">H40+K40</f>
        <v>0</v>
      </c>
      <c r="M40" s="931">
        <f t="shared" si="37"/>
        <v>0</v>
      </c>
      <c r="N40" s="905">
        <f t="shared" si="38"/>
        <v>0</v>
      </c>
      <c r="O40" s="882">
        <v>0</v>
      </c>
      <c r="P40" s="1552">
        <f t="shared" si="39"/>
        <v>0</v>
      </c>
      <c r="Q40" s="1718">
        <f>'[4]Table 5C1B-DArbonne'!M39+'[27]Table 5C1B-DArbonne'!T39+('[26]Table 5C1B-DArbonne'!T39*6)</f>
        <v>0</v>
      </c>
      <c r="R40" s="1821">
        <f t="shared" si="40"/>
        <v>0</v>
      </c>
      <c r="S40" s="998">
        <f t="shared" si="41"/>
        <v>0</v>
      </c>
      <c r="T40" s="1802">
        <f>'[14]FY2013-14 Final'!K40</f>
        <v>3501</v>
      </c>
      <c r="U40" s="1555">
        <f t="shared" ref="U40:U71" si="55">C40*T40</f>
        <v>0</v>
      </c>
      <c r="V40" s="1793">
        <f>+'[3]Oct midyear DArbonne'!E39</f>
        <v>0</v>
      </c>
      <c r="W40" s="1794">
        <f t="shared" si="42"/>
        <v>0</v>
      </c>
      <c r="X40" s="1758">
        <f>'[3]Feb midyear DArbonne'!E39</f>
        <v>0</v>
      </c>
      <c r="Y40" s="1759">
        <f t="shared" si="43"/>
        <v>0</v>
      </c>
      <c r="Z40" s="1653">
        <f t="shared" si="44"/>
        <v>0</v>
      </c>
      <c r="AA40" s="1425">
        <f t="shared" si="45"/>
        <v>0</v>
      </c>
      <c r="AB40" s="937">
        <f t="shared" si="46"/>
        <v>0</v>
      </c>
      <c r="AC40" s="1555">
        <f t="shared" si="47"/>
        <v>0</v>
      </c>
      <c r="AD40" s="1825">
        <v>0</v>
      </c>
      <c r="AE40" s="1555">
        <f t="shared" si="48"/>
        <v>0</v>
      </c>
      <c r="AF40" s="1755">
        <f>'[4]Table 5C1B-DArbonne'!T39+'[27]Table 5C1B-DArbonne'!AF39+('[26]Table 5C1B-DArbonne'!AF39*6)</f>
        <v>0</v>
      </c>
      <c r="AG40" s="1794">
        <f t="shared" si="49"/>
        <v>0</v>
      </c>
      <c r="AH40" s="999">
        <f t="shared" si="50"/>
        <v>0</v>
      </c>
      <c r="AI40" s="900">
        <f t="shared" ref="AI40:AI71" si="56">P40+AE40</f>
        <v>0</v>
      </c>
      <c r="AJ40" s="900">
        <f t="shared" si="51"/>
        <v>0</v>
      </c>
      <c r="AL40" s="49">
        <f>-'[4]Table 5C1B-DArbonne'!P39</f>
        <v>0</v>
      </c>
      <c r="AM40" s="49">
        <f t="shared" si="52"/>
        <v>0</v>
      </c>
      <c r="AN40" s="49">
        <f t="shared" si="53"/>
        <v>0</v>
      </c>
    </row>
    <row r="41" spans="1:40">
      <c r="A41" s="876">
        <v>34</v>
      </c>
      <c r="B41" s="877" t="s">
        <v>125</v>
      </c>
      <c r="C41" s="972">
        <f>'2-1-13 SIS'!H40</f>
        <v>0</v>
      </c>
      <c r="D41" s="882">
        <f>'Table 3 Levels 1&amp;2'!AL41</f>
        <v>6003.632932007491</v>
      </c>
      <c r="E41" s="921">
        <f t="shared" si="33"/>
        <v>0</v>
      </c>
      <c r="F41" s="921">
        <f>'Table 4 Level 3'!P39</f>
        <v>644.11000000000013</v>
      </c>
      <c r="G41" s="921">
        <f t="shared" si="34"/>
        <v>0</v>
      </c>
      <c r="H41" s="905">
        <f t="shared" si="35"/>
        <v>0</v>
      </c>
      <c r="I41" s="1751">
        <f>+'[3]Oct midyear DArbonne'!K40</f>
        <v>0</v>
      </c>
      <c r="J41" s="1751">
        <f>'[3]Feb midyear DArbonne'!K40</f>
        <v>0</v>
      </c>
      <c r="K41" s="1697">
        <f t="shared" si="36"/>
        <v>0</v>
      </c>
      <c r="L41" s="1419">
        <f t="shared" si="54"/>
        <v>0</v>
      </c>
      <c r="M41" s="931">
        <f t="shared" si="37"/>
        <v>0</v>
      </c>
      <c r="N41" s="905">
        <f t="shared" si="38"/>
        <v>0</v>
      </c>
      <c r="O41" s="882">
        <v>0</v>
      </c>
      <c r="P41" s="1552">
        <f t="shared" si="39"/>
        <v>0</v>
      </c>
      <c r="Q41" s="1718">
        <f>'[4]Table 5C1B-DArbonne'!M40+'[27]Table 5C1B-DArbonne'!T40+('[26]Table 5C1B-DArbonne'!T40*6)</f>
        <v>0</v>
      </c>
      <c r="R41" s="1821">
        <f t="shared" si="40"/>
        <v>0</v>
      </c>
      <c r="S41" s="998">
        <f t="shared" si="41"/>
        <v>0</v>
      </c>
      <c r="T41" s="1802">
        <f>'[14]FY2013-14 Final'!K41</f>
        <v>2772</v>
      </c>
      <c r="U41" s="1555">
        <f t="shared" si="55"/>
        <v>0</v>
      </c>
      <c r="V41" s="1793">
        <f>+'[3]Oct midyear DArbonne'!E40</f>
        <v>0</v>
      </c>
      <c r="W41" s="1794">
        <f t="shared" si="42"/>
        <v>0</v>
      </c>
      <c r="X41" s="1758">
        <f>'[3]Feb midyear DArbonne'!E40</f>
        <v>0</v>
      </c>
      <c r="Y41" s="1759">
        <f t="shared" si="43"/>
        <v>0</v>
      </c>
      <c r="Z41" s="1653">
        <f t="shared" si="44"/>
        <v>0</v>
      </c>
      <c r="AA41" s="1425">
        <f t="shared" si="45"/>
        <v>0</v>
      </c>
      <c r="AB41" s="937">
        <f t="shared" si="46"/>
        <v>0</v>
      </c>
      <c r="AC41" s="1555">
        <f t="shared" si="47"/>
        <v>0</v>
      </c>
      <c r="AD41" s="1825">
        <v>0</v>
      </c>
      <c r="AE41" s="1555">
        <f t="shared" si="48"/>
        <v>0</v>
      </c>
      <c r="AF41" s="1755">
        <f>'[4]Table 5C1B-DArbonne'!T40+'[27]Table 5C1B-DArbonne'!AF40+('[26]Table 5C1B-DArbonne'!AF40*6)</f>
        <v>0</v>
      </c>
      <c r="AG41" s="1794">
        <f t="shared" si="49"/>
        <v>0</v>
      </c>
      <c r="AH41" s="999">
        <f t="shared" si="50"/>
        <v>0</v>
      </c>
      <c r="AI41" s="900">
        <f t="shared" si="56"/>
        <v>0</v>
      </c>
      <c r="AJ41" s="900">
        <f t="shared" si="51"/>
        <v>0</v>
      </c>
      <c r="AL41" s="49">
        <f>-'[4]Table 5C1B-DArbonne'!P40</f>
        <v>0</v>
      </c>
      <c r="AM41" s="49">
        <f t="shared" si="52"/>
        <v>0</v>
      </c>
      <c r="AN41" s="49">
        <f t="shared" si="53"/>
        <v>0</v>
      </c>
    </row>
    <row r="42" spans="1:40">
      <c r="A42" s="879">
        <v>35</v>
      </c>
      <c r="B42" s="880" t="s">
        <v>126</v>
      </c>
      <c r="C42" s="973">
        <f>'2-1-13 SIS'!H41</f>
        <v>0</v>
      </c>
      <c r="D42" s="883">
        <f>'Table 3 Levels 1&amp;2'!AL42</f>
        <v>4607.1606416222867</v>
      </c>
      <c r="E42" s="922">
        <f t="shared" si="33"/>
        <v>0</v>
      </c>
      <c r="F42" s="922">
        <f>'Table 4 Level 3'!P40</f>
        <v>537.96</v>
      </c>
      <c r="G42" s="922">
        <f t="shared" si="34"/>
        <v>0</v>
      </c>
      <c r="H42" s="906">
        <f t="shared" si="35"/>
        <v>0</v>
      </c>
      <c r="I42" s="1752">
        <f>+'[3]Oct midyear DArbonne'!K41</f>
        <v>0</v>
      </c>
      <c r="J42" s="1752">
        <f>'[3]Feb midyear DArbonne'!K41</f>
        <v>0</v>
      </c>
      <c r="K42" s="1698">
        <f t="shared" si="36"/>
        <v>0</v>
      </c>
      <c r="L42" s="1420">
        <f t="shared" si="54"/>
        <v>0</v>
      </c>
      <c r="M42" s="932">
        <f t="shared" si="37"/>
        <v>0</v>
      </c>
      <c r="N42" s="906">
        <f t="shared" si="38"/>
        <v>0</v>
      </c>
      <c r="O42" s="883">
        <v>0</v>
      </c>
      <c r="P42" s="1553">
        <f t="shared" si="39"/>
        <v>0</v>
      </c>
      <c r="Q42" s="1804">
        <f>'[4]Table 5C1B-DArbonne'!M41+'[27]Table 5C1B-DArbonne'!T41+('[26]Table 5C1B-DArbonne'!T41*6)</f>
        <v>0</v>
      </c>
      <c r="R42" s="1822">
        <f t="shared" si="40"/>
        <v>0</v>
      </c>
      <c r="S42" s="1806">
        <f t="shared" si="41"/>
        <v>0</v>
      </c>
      <c r="T42" s="1807">
        <f>'[14]FY2013-14 Final'!K42</f>
        <v>3140</v>
      </c>
      <c r="U42" s="1556">
        <f t="shared" si="55"/>
        <v>0</v>
      </c>
      <c r="V42" s="1795">
        <f>+'[3]Oct midyear DArbonne'!E41</f>
        <v>0</v>
      </c>
      <c r="W42" s="1796">
        <f t="shared" si="42"/>
        <v>0</v>
      </c>
      <c r="X42" s="1762">
        <f>'[3]Feb midyear DArbonne'!E41</f>
        <v>0</v>
      </c>
      <c r="Y42" s="1763">
        <f t="shared" si="43"/>
        <v>0</v>
      </c>
      <c r="Z42" s="1654">
        <f t="shared" si="44"/>
        <v>0</v>
      </c>
      <c r="AA42" s="1424">
        <f t="shared" si="45"/>
        <v>0</v>
      </c>
      <c r="AB42" s="938">
        <f t="shared" si="46"/>
        <v>0</v>
      </c>
      <c r="AC42" s="1556">
        <f t="shared" si="47"/>
        <v>0</v>
      </c>
      <c r="AD42" s="1826">
        <v>0</v>
      </c>
      <c r="AE42" s="1556">
        <f t="shared" si="48"/>
        <v>0</v>
      </c>
      <c r="AF42" s="1833">
        <f>'[4]Table 5C1B-DArbonne'!T41+'[27]Table 5C1B-DArbonne'!AF41+('[26]Table 5C1B-DArbonne'!AF41*6)</f>
        <v>0</v>
      </c>
      <c r="AG42" s="1796">
        <f t="shared" si="49"/>
        <v>0</v>
      </c>
      <c r="AH42" s="1659">
        <f t="shared" si="50"/>
        <v>0</v>
      </c>
      <c r="AI42" s="904">
        <f t="shared" si="56"/>
        <v>0</v>
      </c>
      <c r="AJ42" s="904">
        <f t="shared" si="51"/>
        <v>0</v>
      </c>
      <c r="AL42" s="49">
        <f>-'[4]Table 5C1B-DArbonne'!P41</f>
        <v>0</v>
      </c>
      <c r="AM42" s="49">
        <f t="shared" si="52"/>
        <v>0</v>
      </c>
      <c r="AN42" s="49">
        <f t="shared" si="53"/>
        <v>0</v>
      </c>
    </row>
    <row r="43" spans="1:40">
      <c r="A43" s="870">
        <v>36</v>
      </c>
      <c r="B43" s="871" t="s">
        <v>127</v>
      </c>
      <c r="C43" s="974">
        <f>'2-1-13 SIS'!H42</f>
        <v>0</v>
      </c>
      <c r="D43" s="884">
        <f>'Table 3 Levels 1&amp;2'!AL43</f>
        <v>3520.4894337711748</v>
      </c>
      <c r="E43" s="923">
        <f t="shared" si="33"/>
        <v>0</v>
      </c>
      <c r="F43" s="923">
        <f>'Table 5B1_RSD_Orleans'!F78</f>
        <v>746.0335616438357</v>
      </c>
      <c r="G43" s="923">
        <f t="shared" si="34"/>
        <v>0</v>
      </c>
      <c r="H43" s="907">
        <f t="shared" si="35"/>
        <v>0</v>
      </c>
      <c r="I43" s="1723">
        <f>+'[3]Oct midyear DArbonne'!K42</f>
        <v>0</v>
      </c>
      <c r="J43" s="1723">
        <f>'[3]Feb midyear DArbonne'!K42</f>
        <v>0</v>
      </c>
      <c r="K43" s="1547">
        <f t="shared" si="36"/>
        <v>0</v>
      </c>
      <c r="L43" s="1421">
        <f t="shared" si="54"/>
        <v>0</v>
      </c>
      <c r="M43" s="933">
        <f t="shared" si="37"/>
        <v>0</v>
      </c>
      <c r="N43" s="907">
        <f t="shared" si="38"/>
        <v>0</v>
      </c>
      <c r="O43" s="884">
        <v>0</v>
      </c>
      <c r="P43" s="996">
        <f t="shared" si="39"/>
        <v>0</v>
      </c>
      <c r="Q43" s="1718">
        <f>'[4]Table 5C1B-DArbonne'!M42+'[27]Table 5C1B-DArbonne'!T42+('[26]Table 5C1B-DArbonne'!T42*6)</f>
        <v>0</v>
      </c>
      <c r="R43" s="1723">
        <f t="shared" si="40"/>
        <v>0</v>
      </c>
      <c r="S43" s="998">
        <f t="shared" si="41"/>
        <v>0</v>
      </c>
      <c r="T43" s="1802">
        <f>'[14]FY2013-14 Final'!K43</f>
        <v>5433</v>
      </c>
      <c r="U43" s="999">
        <f t="shared" si="55"/>
        <v>0</v>
      </c>
      <c r="V43" s="1754">
        <f>+'[3]Oct midyear DArbonne'!E42</f>
        <v>0</v>
      </c>
      <c r="W43" s="1755">
        <f t="shared" si="42"/>
        <v>0</v>
      </c>
      <c r="X43" s="1754">
        <f>'[3]Feb midyear DArbonne'!E42</f>
        <v>0</v>
      </c>
      <c r="Y43" s="1755">
        <f t="shared" si="43"/>
        <v>0</v>
      </c>
      <c r="Z43" s="1652">
        <f t="shared" si="44"/>
        <v>0</v>
      </c>
      <c r="AA43" s="1428">
        <f t="shared" si="45"/>
        <v>0</v>
      </c>
      <c r="AB43" s="936">
        <f t="shared" si="46"/>
        <v>0</v>
      </c>
      <c r="AC43" s="999">
        <f t="shared" si="47"/>
        <v>0</v>
      </c>
      <c r="AD43" s="1755">
        <v>0</v>
      </c>
      <c r="AE43" s="999">
        <f t="shared" si="48"/>
        <v>0</v>
      </c>
      <c r="AF43" s="1755">
        <f>'[4]Table 5C1B-DArbonne'!T42+'[27]Table 5C1B-DArbonne'!AF42+('[26]Table 5C1B-DArbonne'!AF42*6)</f>
        <v>0</v>
      </c>
      <c r="AG43" s="1755">
        <f t="shared" si="49"/>
        <v>0</v>
      </c>
      <c r="AH43" s="999">
        <f t="shared" si="50"/>
        <v>0</v>
      </c>
      <c r="AI43" s="875">
        <f t="shared" si="56"/>
        <v>0</v>
      </c>
      <c r="AJ43" s="875">
        <f t="shared" si="51"/>
        <v>0</v>
      </c>
      <c r="AL43" s="49">
        <f>-'[4]Table 5C1B-DArbonne'!P42</f>
        <v>0</v>
      </c>
      <c r="AM43" s="49">
        <f t="shared" si="52"/>
        <v>0</v>
      </c>
      <c r="AN43" s="49">
        <f t="shared" si="53"/>
        <v>0</v>
      </c>
    </row>
    <row r="44" spans="1:40">
      <c r="A44" s="876">
        <v>37</v>
      </c>
      <c r="B44" s="877" t="s">
        <v>128</v>
      </c>
      <c r="C44" s="972">
        <f>'2-1-13 SIS'!H43</f>
        <v>3</v>
      </c>
      <c r="D44" s="882">
        <f>'Table 3 Levels 1&amp;2'!AL44</f>
        <v>5503.7595641818853</v>
      </c>
      <c r="E44" s="921">
        <f t="shared" si="33"/>
        <v>16511.278692545657</v>
      </c>
      <c r="F44" s="921">
        <f>'Table 4 Level 3'!P42</f>
        <v>653.61</v>
      </c>
      <c r="G44" s="921">
        <f t="shared" si="34"/>
        <v>1960.83</v>
      </c>
      <c r="H44" s="905">
        <f t="shared" si="35"/>
        <v>18472.108692545655</v>
      </c>
      <c r="I44" s="1751">
        <f>+'[3]Oct midyear DArbonne'!K43</f>
        <v>0</v>
      </c>
      <c r="J44" s="1751">
        <f>'[3]Feb midyear DArbonne'!K43</f>
        <v>0</v>
      </c>
      <c r="K44" s="1697">
        <f t="shared" si="36"/>
        <v>0</v>
      </c>
      <c r="L44" s="1419">
        <f t="shared" si="54"/>
        <v>18472.108692545655</v>
      </c>
      <c r="M44" s="931">
        <f t="shared" si="37"/>
        <v>-46.180271731364137</v>
      </c>
      <c r="N44" s="905">
        <f t="shared" si="38"/>
        <v>18425.928420814289</v>
      </c>
      <c r="O44" s="882">
        <v>0</v>
      </c>
      <c r="P44" s="1552">
        <f t="shared" si="39"/>
        <v>18425.928420814289</v>
      </c>
      <c r="Q44" s="1718">
        <f>'[4]Table 5C1B-DArbonne'!M43+'[27]Table 5C1B-DArbonne'!T43+('[26]Table 5C1B-DArbonne'!T43*6)</f>
        <v>52597.650219415344</v>
      </c>
      <c r="R44" s="1821">
        <f t="shared" si="40"/>
        <v>-34171.721798601051</v>
      </c>
      <c r="S44" s="998">
        <f t="shared" si="41"/>
        <v>-8543</v>
      </c>
      <c r="T44" s="1802">
        <f>'[14]FY2013-14 Final'!K44</f>
        <v>3310</v>
      </c>
      <c r="U44" s="1555">
        <f t="shared" si="55"/>
        <v>9930</v>
      </c>
      <c r="V44" s="1793">
        <f>+'[3]Oct midyear DArbonne'!E43</f>
        <v>0</v>
      </c>
      <c r="W44" s="1794">
        <f t="shared" si="42"/>
        <v>0</v>
      </c>
      <c r="X44" s="1758">
        <f>'[3]Feb midyear DArbonne'!E43</f>
        <v>0</v>
      </c>
      <c r="Y44" s="1759">
        <f t="shared" si="43"/>
        <v>0</v>
      </c>
      <c r="Z44" s="1653">
        <f t="shared" si="44"/>
        <v>0</v>
      </c>
      <c r="AA44" s="1425">
        <f t="shared" si="45"/>
        <v>9930</v>
      </c>
      <c r="AB44" s="937">
        <f t="shared" si="46"/>
        <v>-24.824999999999999</v>
      </c>
      <c r="AC44" s="1555">
        <f t="shared" si="47"/>
        <v>9905.1749999999993</v>
      </c>
      <c r="AD44" s="1825">
        <v>0</v>
      </c>
      <c r="AE44" s="1555">
        <f t="shared" si="48"/>
        <v>9905.1749999999993</v>
      </c>
      <c r="AF44" s="1755">
        <f>'[4]Table 5C1B-DArbonne'!T43+'[27]Table 5C1B-DArbonne'!AF43+('[26]Table 5C1B-DArbonne'!AF43*6)</f>
        <v>27565.767409090906</v>
      </c>
      <c r="AG44" s="1794">
        <f t="shared" si="49"/>
        <v>-17660.592409090907</v>
      </c>
      <c r="AH44" s="999">
        <f t="shared" si="50"/>
        <v>-4415</v>
      </c>
      <c r="AI44" s="900">
        <f t="shared" si="56"/>
        <v>28331.103420814288</v>
      </c>
      <c r="AJ44" s="900">
        <f t="shared" si="51"/>
        <v>-12958</v>
      </c>
      <c r="AL44" s="49">
        <f>-'[4]Table 5C1B-DArbonne'!P43</f>
        <v>24.202500000000001</v>
      </c>
      <c r="AM44" s="49">
        <f t="shared" si="52"/>
        <v>-24.824999999999999</v>
      </c>
      <c r="AN44" s="49">
        <f t="shared" si="53"/>
        <v>-0.62249999999999872</v>
      </c>
    </row>
    <row r="45" spans="1:40">
      <c r="A45" s="876">
        <v>38</v>
      </c>
      <c r="B45" s="877" t="s">
        <v>129</v>
      </c>
      <c r="C45" s="972">
        <f>'2-1-13 SIS'!H44</f>
        <v>0</v>
      </c>
      <c r="D45" s="882">
        <f>'Table 3 Levels 1&amp;2'!AL45</f>
        <v>2192.7545275590551</v>
      </c>
      <c r="E45" s="921">
        <f t="shared" si="33"/>
        <v>0</v>
      </c>
      <c r="F45" s="921">
        <f>'Table 4 Level 3'!P43</f>
        <v>829.92000000000007</v>
      </c>
      <c r="G45" s="921">
        <f t="shared" si="34"/>
        <v>0</v>
      </c>
      <c r="H45" s="905">
        <f t="shared" si="35"/>
        <v>0</v>
      </c>
      <c r="I45" s="1751">
        <f>+'[3]Oct midyear DArbonne'!K44</f>
        <v>0</v>
      </c>
      <c r="J45" s="1751">
        <f>'[3]Feb midyear DArbonne'!K44</f>
        <v>0</v>
      </c>
      <c r="K45" s="1697">
        <f t="shared" si="36"/>
        <v>0</v>
      </c>
      <c r="L45" s="1419">
        <f t="shared" si="54"/>
        <v>0</v>
      </c>
      <c r="M45" s="931">
        <f t="shared" si="37"/>
        <v>0</v>
      </c>
      <c r="N45" s="905">
        <f t="shared" si="38"/>
        <v>0</v>
      </c>
      <c r="O45" s="882">
        <v>0</v>
      </c>
      <c r="P45" s="1552">
        <f t="shared" si="39"/>
        <v>0</v>
      </c>
      <c r="Q45" s="1718">
        <f>'[4]Table 5C1B-DArbonne'!M44+'[27]Table 5C1B-DArbonne'!T44+('[26]Table 5C1B-DArbonne'!T44*6)</f>
        <v>0</v>
      </c>
      <c r="R45" s="1821">
        <f t="shared" si="40"/>
        <v>0</v>
      </c>
      <c r="S45" s="998">
        <f t="shared" si="41"/>
        <v>0</v>
      </c>
      <c r="T45" s="1802">
        <f>'[14]FY2013-14 Final'!K45</f>
        <v>12521</v>
      </c>
      <c r="U45" s="1555">
        <f t="shared" si="55"/>
        <v>0</v>
      </c>
      <c r="V45" s="1793">
        <f>+'[3]Oct midyear DArbonne'!E44</f>
        <v>0</v>
      </c>
      <c r="W45" s="1794">
        <f t="shared" si="42"/>
        <v>0</v>
      </c>
      <c r="X45" s="1758">
        <f>'[3]Feb midyear DArbonne'!E44</f>
        <v>0</v>
      </c>
      <c r="Y45" s="1759">
        <f t="shared" si="43"/>
        <v>0</v>
      </c>
      <c r="Z45" s="1653">
        <f t="shared" si="44"/>
        <v>0</v>
      </c>
      <c r="AA45" s="1425">
        <f t="shared" si="45"/>
        <v>0</v>
      </c>
      <c r="AB45" s="937">
        <f t="shared" si="46"/>
        <v>0</v>
      </c>
      <c r="AC45" s="1555">
        <f t="shared" si="47"/>
        <v>0</v>
      </c>
      <c r="AD45" s="1825">
        <v>0</v>
      </c>
      <c r="AE45" s="1555">
        <f t="shared" si="48"/>
        <v>0</v>
      </c>
      <c r="AF45" s="1755">
        <f>'[4]Table 5C1B-DArbonne'!T44+'[27]Table 5C1B-DArbonne'!AF44+('[26]Table 5C1B-DArbonne'!AF44*6)</f>
        <v>0</v>
      </c>
      <c r="AG45" s="1794">
        <f t="shared" si="49"/>
        <v>0</v>
      </c>
      <c r="AH45" s="999">
        <f t="shared" si="50"/>
        <v>0</v>
      </c>
      <c r="AI45" s="900">
        <f t="shared" si="56"/>
        <v>0</v>
      </c>
      <c r="AJ45" s="900">
        <f t="shared" si="51"/>
        <v>0</v>
      </c>
      <c r="AL45" s="49">
        <f>-'[4]Table 5C1B-DArbonne'!P44</f>
        <v>0</v>
      </c>
      <c r="AM45" s="49">
        <f t="shared" si="52"/>
        <v>0</v>
      </c>
      <c r="AN45" s="49">
        <f t="shared" si="53"/>
        <v>0</v>
      </c>
    </row>
    <row r="46" spans="1:40">
      <c r="A46" s="876">
        <v>39</v>
      </c>
      <c r="B46" s="877" t="s">
        <v>130</v>
      </c>
      <c r="C46" s="972">
        <f>'2-1-13 SIS'!H45</f>
        <v>0</v>
      </c>
      <c r="D46" s="882">
        <f>'Table 3 Levels 1&amp;2'!AL46</f>
        <v>3639.9942778062696</v>
      </c>
      <c r="E46" s="921">
        <f t="shared" si="33"/>
        <v>0</v>
      </c>
      <c r="F46" s="921">
        <f>'Table 5B2_RSD_LA'!F21</f>
        <v>779.65573042776441</v>
      </c>
      <c r="G46" s="921">
        <f t="shared" si="34"/>
        <v>0</v>
      </c>
      <c r="H46" s="905">
        <f t="shared" si="35"/>
        <v>0</v>
      </c>
      <c r="I46" s="1751">
        <f>+'[3]Oct midyear DArbonne'!K45</f>
        <v>0</v>
      </c>
      <c r="J46" s="1751">
        <f>'[3]Feb midyear DArbonne'!K45</f>
        <v>0</v>
      </c>
      <c r="K46" s="1697">
        <f t="shared" si="36"/>
        <v>0</v>
      </c>
      <c r="L46" s="1419">
        <f t="shared" si="54"/>
        <v>0</v>
      </c>
      <c r="M46" s="931">
        <f t="shared" si="37"/>
        <v>0</v>
      </c>
      <c r="N46" s="905">
        <f t="shared" si="38"/>
        <v>0</v>
      </c>
      <c r="O46" s="882">
        <v>0</v>
      </c>
      <c r="P46" s="1552">
        <f t="shared" si="39"/>
        <v>0</v>
      </c>
      <c r="Q46" s="1718">
        <f>'[4]Table 5C1B-DArbonne'!M45+'[27]Table 5C1B-DArbonne'!T45+('[26]Table 5C1B-DArbonne'!T45*6)</f>
        <v>0</v>
      </c>
      <c r="R46" s="1821">
        <f t="shared" si="40"/>
        <v>0</v>
      </c>
      <c r="S46" s="998">
        <f t="shared" si="41"/>
        <v>0</v>
      </c>
      <c r="T46" s="1802">
        <f>'[14]FY2013-14 Final'!K46</f>
        <v>4436</v>
      </c>
      <c r="U46" s="1555">
        <f t="shared" si="55"/>
        <v>0</v>
      </c>
      <c r="V46" s="1793">
        <f>+'[3]Oct midyear DArbonne'!E45</f>
        <v>0</v>
      </c>
      <c r="W46" s="1794">
        <f t="shared" si="42"/>
        <v>0</v>
      </c>
      <c r="X46" s="1758">
        <f>'[3]Feb midyear DArbonne'!E45</f>
        <v>0</v>
      </c>
      <c r="Y46" s="1759">
        <f t="shared" si="43"/>
        <v>0</v>
      </c>
      <c r="Z46" s="1653">
        <f t="shared" si="44"/>
        <v>0</v>
      </c>
      <c r="AA46" s="1425">
        <f t="shared" si="45"/>
        <v>0</v>
      </c>
      <c r="AB46" s="937">
        <f t="shared" si="46"/>
        <v>0</v>
      </c>
      <c r="AC46" s="1555">
        <f t="shared" si="47"/>
        <v>0</v>
      </c>
      <c r="AD46" s="1825">
        <v>0</v>
      </c>
      <c r="AE46" s="1555">
        <f t="shared" si="48"/>
        <v>0</v>
      </c>
      <c r="AF46" s="1755">
        <f>'[4]Table 5C1B-DArbonne'!T45+'[27]Table 5C1B-DArbonne'!AF45+('[26]Table 5C1B-DArbonne'!AF45*6)</f>
        <v>0</v>
      </c>
      <c r="AG46" s="1794">
        <f t="shared" si="49"/>
        <v>0</v>
      </c>
      <c r="AH46" s="999">
        <f t="shared" si="50"/>
        <v>0</v>
      </c>
      <c r="AI46" s="900">
        <f t="shared" si="56"/>
        <v>0</v>
      </c>
      <c r="AJ46" s="900">
        <f t="shared" si="51"/>
        <v>0</v>
      </c>
      <c r="AL46" s="49">
        <f>-'[4]Table 5C1B-DArbonne'!P45</f>
        <v>0</v>
      </c>
      <c r="AM46" s="49">
        <f t="shared" si="52"/>
        <v>0</v>
      </c>
      <c r="AN46" s="49">
        <f t="shared" si="53"/>
        <v>0</v>
      </c>
    </row>
    <row r="47" spans="1:40">
      <c r="A47" s="879">
        <v>40</v>
      </c>
      <c r="B47" s="880" t="s">
        <v>131</v>
      </c>
      <c r="C47" s="973">
        <f>'2-1-13 SIS'!H46</f>
        <v>0</v>
      </c>
      <c r="D47" s="883">
        <f>'Table 3 Levels 1&amp;2'!AL47</f>
        <v>4928.4974462701202</v>
      </c>
      <c r="E47" s="922">
        <f t="shared" si="33"/>
        <v>0</v>
      </c>
      <c r="F47" s="922">
        <f>'Table 4 Level 3'!P45</f>
        <v>700.2700000000001</v>
      </c>
      <c r="G47" s="922">
        <f t="shared" si="34"/>
        <v>0</v>
      </c>
      <c r="H47" s="906">
        <f t="shared" si="35"/>
        <v>0</v>
      </c>
      <c r="I47" s="1752">
        <f>+'[3]Oct midyear DArbonne'!K46</f>
        <v>0</v>
      </c>
      <c r="J47" s="1752">
        <f>'[3]Feb midyear DArbonne'!K46</f>
        <v>0</v>
      </c>
      <c r="K47" s="1698">
        <f t="shared" si="36"/>
        <v>0</v>
      </c>
      <c r="L47" s="1420">
        <f t="shared" si="54"/>
        <v>0</v>
      </c>
      <c r="M47" s="932">
        <f t="shared" si="37"/>
        <v>0</v>
      </c>
      <c r="N47" s="906">
        <f t="shared" si="38"/>
        <v>0</v>
      </c>
      <c r="O47" s="883">
        <v>0</v>
      </c>
      <c r="P47" s="1553">
        <f t="shared" si="39"/>
        <v>0</v>
      </c>
      <c r="Q47" s="1804">
        <f>'[4]Table 5C1B-DArbonne'!M46+'[27]Table 5C1B-DArbonne'!T46+('[26]Table 5C1B-DArbonne'!T46*6)</f>
        <v>0</v>
      </c>
      <c r="R47" s="1822">
        <f t="shared" si="40"/>
        <v>0</v>
      </c>
      <c r="S47" s="1806">
        <f t="shared" si="41"/>
        <v>0</v>
      </c>
      <c r="T47" s="1807">
        <f>'[14]FY2013-14 Final'!K47</f>
        <v>3019</v>
      </c>
      <c r="U47" s="1556">
        <f t="shared" si="55"/>
        <v>0</v>
      </c>
      <c r="V47" s="1795">
        <f>+'[3]Oct midyear DArbonne'!E46</f>
        <v>0</v>
      </c>
      <c r="W47" s="1796">
        <f t="shared" si="42"/>
        <v>0</v>
      </c>
      <c r="X47" s="1762">
        <f>'[3]Feb midyear DArbonne'!E46</f>
        <v>0</v>
      </c>
      <c r="Y47" s="1763">
        <f t="shared" si="43"/>
        <v>0</v>
      </c>
      <c r="Z47" s="1654">
        <f t="shared" si="44"/>
        <v>0</v>
      </c>
      <c r="AA47" s="1424">
        <f t="shared" si="45"/>
        <v>0</v>
      </c>
      <c r="AB47" s="938">
        <f t="shared" si="46"/>
        <v>0</v>
      </c>
      <c r="AC47" s="1556">
        <f t="shared" si="47"/>
        <v>0</v>
      </c>
      <c r="AD47" s="1826">
        <v>0</v>
      </c>
      <c r="AE47" s="1556">
        <f t="shared" si="48"/>
        <v>0</v>
      </c>
      <c r="AF47" s="1833">
        <f>'[4]Table 5C1B-DArbonne'!T46+'[27]Table 5C1B-DArbonne'!AF46+('[26]Table 5C1B-DArbonne'!AF46*6)</f>
        <v>0</v>
      </c>
      <c r="AG47" s="1796">
        <f t="shared" si="49"/>
        <v>0</v>
      </c>
      <c r="AH47" s="1659">
        <f t="shared" si="50"/>
        <v>0</v>
      </c>
      <c r="AI47" s="904">
        <f t="shared" si="56"/>
        <v>0</v>
      </c>
      <c r="AJ47" s="904">
        <f t="shared" si="51"/>
        <v>0</v>
      </c>
      <c r="AL47" s="49">
        <f>-'[4]Table 5C1B-DArbonne'!P46</f>
        <v>0</v>
      </c>
      <c r="AM47" s="49">
        <f t="shared" si="52"/>
        <v>0</v>
      </c>
      <c r="AN47" s="49">
        <f t="shared" si="53"/>
        <v>0</v>
      </c>
    </row>
    <row r="48" spans="1:40">
      <c r="A48" s="870">
        <v>41</v>
      </c>
      <c r="B48" s="871" t="s">
        <v>132</v>
      </c>
      <c r="C48" s="974">
        <f>'2-1-13 SIS'!H47</f>
        <v>0</v>
      </c>
      <c r="D48" s="884">
        <f>'Table 3 Levels 1&amp;2'!AL48</f>
        <v>1615.6013465627216</v>
      </c>
      <c r="E48" s="923">
        <f t="shared" si="33"/>
        <v>0</v>
      </c>
      <c r="F48" s="923">
        <f>'Table 4 Level 3'!P46</f>
        <v>886.22</v>
      </c>
      <c r="G48" s="923">
        <f t="shared" si="34"/>
        <v>0</v>
      </c>
      <c r="H48" s="907">
        <f t="shared" si="35"/>
        <v>0</v>
      </c>
      <c r="I48" s="1723">
        <f>+'[3]Oct midyear DArbonne'!K47</f>
        <v>0</v>
      </c>
      <c r="J48" s="1723">
        <f>'[3]Feb midyear DArbonne'!K47</f>
        <v>0</v>
      </c>
      <c r="K48" s="1547">
        <f t="shared" si="36"/>
        <v>0</v>
      </c>
      <c r="L48" s="1421">
        <f t="shared" si="54"/>
        <v>0</v>
      </c>
      <c r="M48" s="933">
        <f t="shared" si="37"/>
        <v>0</v>
      </c>
      <c r="N48" s="907">
        <f t="shared" si="38"/>
        <v>0</v>
      </c>
      <c r="O48" s="884">
        <v>0</v>
      </c>
      <c r="P48" s="996">
        <f t="shared" si="39"/>
        <v>0</v>
      </c>
      <c r="Q48" s="1718">
        <f>'[4]Table 5C1B-DArbonne'!M47+'[27]Table 5C1B-DArbonne'!T47+('[26]Table 5C1B-DArbonne'!T47*6)</f>
        <v>0</v>
      </c>
      <c r="R48" s="1723">
        <f t="shared" si="40"/>
        <v>0</v>
      </c>
      <c r="S48" s="998">
        <f t="shared" si="41"/>
        <v>0</v>
      </c>
      <c r="T48" s="1802">
        <f>'[14]FY2013-14 Final'!K48</f>
        <v>8964</v>
      </c>
      <c r="U48" s="999">
        <f t="shared" si="55"/>
        <v>0</v>
      </c>
      <c r="V48" s="1754">
        <f>+'[3]Oct midyear DArbonne'!E47</f>
        <v>0</v>
      </c>
      <c r="W48" s="1755">
        <f t="shared" si="42"/>
        <v>0</v>
      </c>
      <c r="X48" s="1754">
        <f>'[3]Feb midyear DArbonne'!E47</f>
        <v>0</v>
      </c>
      <c r="Y48" s="1755">
        <f t="shared" si="43"/>
        <v>0</v>
      </c>
      <c r="Z48" s="1652">
        <f t="shared" si="44"/>
        <v>0</v>
      </c>
      <c r="AA48" s="1428">
        <f t="shared" si="45"/>
        <v>0</v>
      </c>
      <c r="AB48" s="936">
        <f t="shared" si="46"/>
        <v>0</v>
      </c>
      <c r="AC48" s="999">
        <f t="shared" si="47"/>
        <v>0</v>
      </c>
      <c r="AD48" s="1755">
        <v>0</v>
      </c>
      <c r="AE48" s="999">
        <f t="shared" si="48"/>
        <v>0</v>
      </c>
      <c r="AF48" s="1755">
        <f>'[4]Table 5C1B-DArbonne'!T47+'[27]Table 5C1B-DArbonne'!AF47+('[26]Table 5C1B-DArbonne'!AF47*6)</f>
        <v>0</v>
      </c>
      <c r="AG48" s="1755">
        <f t="shared" si="49"/>
        <v>0</v>
      </c>
      <c r="AH48" s="999">
        <f t="shared" si="50"/>
        <v>0</v>
      </c>
      <c r="AI48" s="875">
        <f t="shared" si="56"/>
        <v>0</v>
      </c>
      <c r="AJ48" s="875">
        <f t="shared" si="51"/>
        <v>0</v>
      </c>
      <c r="AL48" s="49">
        <f>-'[4]Table 5C1B-DArbonne'!P47</f>
        <v>0</v>
      </c>
      <c r="AM48" s="49">
        <f t="shared" si="52"/>
        <v>0</v>
      </c>
      <c r="AN48" s="49">
        <f t="shared" si="53"/>
        <v>0</v>
      </c>
    </row>
    <row r="49" spans="1:40">
      <c r="A49" s="876">
        <v>42</v>
      </c>
      <c r="B49" s="877" t="s">
        <v>133</v>
      </c>
      <c r="C49" s="972">
        <f>'2-1-13 SIS'!H48</f>
        <v>0</v>
      </c>
      <c r="D49" s="882">
        <f>'Table 3 Levels 1&amp;2'!AL49</f>
        <v>5087.4730460987803</v>
      </c>
      <c r="E49" s="921">
        <f t="shared" si="33"/>
        <v>0</v>
      </c>
      <c r="F49" s="921">
        <f>'Table 4 Level 3'!P47</f>
        <v>534.28</v>
      </c>
      <c r="G49" s="921">
        <f t="shared" si="34"/>
        <v>0</v>
      </c>
      <c r="H49" s="905">
        <f t="shared" si="35"/>
        <v>0</v>
      </c>
      <c r="I49" s="1751">
        <f>+'[3]Oct midyear DArbonne'!K48</f>
        <v>0</v>
      </c>
      <c r="J49" s="1751">
        <f>'[3]Feb midyear DArbonne'!K48</f>
        <v>0</v>
      </c>
      <c r="K49" s="1697">
        <f t="shared" si="36"/>
        <v>0</v>
      </c>
      <c r="L49" s="1419">
        <f t="shared" si="54"/>
        <v>0</v>
      </c>
      <c r="M49" s="931">
        <f t="shared" si="37"/>
        <v>0</v>
      </c>
      <c r="N49" s="905">
        <f t="shared" si="38"/>
        <v>0</v>
      </c>
      <c r="O49" s="882">
        <v>0</v>
      </c>
      <c r="P49" s="1552">
        <f t="shared" si="39"/>
        <v>0</v>
      </c>
      <c r="Q49" s="1718">
        <f>'[4]Table 5C1B-DArbonne'!M48+'[27]Table 5C1B-DArbonne'!T48+('[26]Table 5C1B-DArbonne'!T48*6)</f>
        <v>0</v>
      </c>
      <c r="R49" s="1821">
        <f t="shared" si="40"/>
        <v>0</v>
      </c>
      <c r="S49" s="998">
        <f t="shared" si="41"/>
        <v>0</v>
      </c>
      <c r="T49" s="1802">
        <f>'[14]FY2013-14 Final'!K49</f>
        <v>3535</v>
      </c>
      <c r="U49" s="1555">
        <f t="shared" si="55"/>
        <v>0</v>
      </c>
      <c r="V49" s="1793">
        <f>+'[3]Oct midyear DArbonne'!E48</f>
        <v>0</v>
      </c>
      <c r="W49" s="1794">
        <f t="shared" si="42"/>
        <v>0</v>
      </c>
      <c r="X49" s="1758">
        <f>'[3]Feb midyear DArbonne'!E48</f>
        <v>0</v>
      </c>
      <c r="Y49" s="1759">
        <f t="shared" si="43"/>
        <v>0</v>
      </c>
      <c r="Z49" s="1653">
        <f t="shared" si="44"/>
        <v>0</v>
      </c>
      <c r="AA49" s="1425">
        <f t="shared" si="45"/>
        <v>0</v>
      </c>
      <c r="AB49" s="937">
        <f t="shared" si="46"/>
        <v>0</v>
      </c>
      <c r="AC49" s="1555">
        <f t="shared" si="47"/>
        <v>0</v>
      </c>
      <c r="AD49" s="1825">
        <v>0</v>
      </c>
      <c r="AE49" s="1555">
        <f t="shared" si="48"/>
        <v>0</v>
      </c>
      <c r="AF49" s="1755">
        <f>'[4]Table 5C1B-DArbonne'!T48+'[27]Table 5C1B-DArbonne'!AF48+('[26]Table 5C1B-DArbonne'!AF48*6)</f>
        <v>0</v>
      </c>
      <c r="AG49" s="1794">
        <f t="shared" si="49"/>
        <v>0</v>
      </c>
      <c r="AH49" s="999">
        <f t="shared" si="50"/>
        <v>0</v>
      </c>
      <c r="AI49" s="900">
        <f t="shared" si="56"/>
        <v>0</v>
      </c>
      <c r="AJ49" s="900">
        <f t="shared" si="51"/>
        <v>0</v>
      </c>
      <c r="AL49" s="49">
        <f>-'[4]Table 5C1B-DArbonne'!P48</f>
        <v>0</v>
      </c>
      <c r="AM49" s="49">
        <f t="shared" si="52"/>
        <v>0</v>
      </c>
      <c r="AN49" s="49">
        <f t="shared" si="53"/>
        <v>0</v>
      </c>
    </row>
    <row r="50" spans="1:40">
      <c r="A50" s="876">
        <v>43</v>
      </c>
      <c r="B50" s="877" t="s">
        <v>134</v>
      </c>
      <c r="C50" s="972">
        <f>'2-1-13 SIS'!H49</f>
        <v>0</v>
      </c>
      <c r="D50" s="882">
        <f>'Table 3 Levels 1&amp;2'!AL50</f>
        <v>4717.8414352725031</v>
      </c>
      <c r="E50" s="921">
        <f t="shared" si="33"/>
        <v>0</v>
      </c>
      <c r="F50" s="921">
        <f>'Table 4 Level 3'!P48</f>
        <v>574.6099999999999</v>
      </c>
      <c r="G50" s="921">
        <f t="shared" si="34"/>
        <v>0</v>
      </c>
      <c r="H50" s="905">
        <f t="shared" si="35"/>
        <v>0</v>
      </c>
      <c r="I50" s="1751">
        <f>+'[3]Oct midyear DArbonne'!K49</f>
        <v>0</v>
      </c>
      <c r="J50" s="1751">
        <f>'[3]Feb midyear DArbonne'!K49</f>
        <v>0</v>
      </c>
      <c r="K50" s="1697">
        <f t="shared" si="36"/>
        <v>0</v>
      </c>
      <c r="L50" s="1419">
        <f t="shared" si="54"/>
        <v>0</v>
      </c>
      <c r="M50" s="931">
        <f t="shared" si="37"/>
        <v>0</v>
      </c>
      <c r="N50" s="905">
        <f t="shared" si="38"/>
        <v>0</v>
      </c>
      <c r="O50" s="882">
        <v>0</v>
      </c>
      <c r="P50" s="1552">
        <f t="shared" si="39"/>
        <v>0</v>
      </c>
      <c r="Q50" s="1718">
        <f>'[4]Table 5C1B-DArbonne'!M49+'[27]Table 5C1B-DArbonne'!T49+('[26]Table 5C1B-DArbonne'!T49*6)</f>
        <v>0</v>
      </c>
      <c r="R50" s="1821">
        <f t="shared" si="40"/>
        <v>0</v>
      </c>
      <c r="S50" s="998">
        <f t="shared" si="41"/>
        <v>0</v>
      </c>
      <c r="T50" s="1802">
        <f>'[14]FY2013-14 Final'!K50</f>
        <v>3593</v>
      </c>
      <c r="U50" s="1555">
        <f t="shared" si="55"/>
        <v>0</v>
      </c>
      <c r="V50" s="1793">
        <f>+'[3]Oct midyear DArbonne'!E49</f>
        <v>0</v>
      </c>
      <c r="W50" s="1794">
        <f t="shared" si="42"/>
        <v>0</v>
      </c>
      <c r="X50" s="1758">
        <f>'[3]Feb midyear DArbonne'!E49</f>
        <v>0</v>
      </c>
      <c r="Y50" s="1759">
        <f t="shared" si="43"/>
        <v>0</v>
      </c>
      <c r="Z50" s="1653">
        <f t="shared" si="44"/>
        <v>0</v>
      </c>
      <c r="AA50" s="1425">
        <f t="shared" si="45"/>
        <v>0</v>
      </c>
      <c r="AB50" s="937">
        <f t="shared" si="46"/>
        <v>0</v>
      </c>
      <c r="AC50" s="1555">
        <f t="shared" si="47"/>
        <v>0</v>
      </c>
      <c r="AD50" s="1825">
        <v>0</v>
      </c>
      <c r="AE50" s="1555">
        <f t="shared" si="48"/>
        <v>0</v>
      </c>
      <c r="AF50" s="1755">
        <f>'[4]Table 5C1B-DArbonne'!T49+'[27]Table 5C1B-DArbonne'!AF49+('[26]Table 5C1B-DArbonne'!AF49*6)</f>
        <v>0</v>
      </c>
      <c r="AG50" s="1794">
        <f t="shared" si="49"/>
        <v>0</v>
      </c>
      <c r="AH50" s="999">
        <f t="shared" si="50"/>
        <v>0</v>
      </c>
      <c r="AI50" s="900">
        <f t="shared" si="56"/>
        <v>0</v>
      </c>
      <c r="AJ50" s="900">
        <f t="shared" si="51"/>
        <v>0</v>
      </c>
      <c r="AL50" s="49">
        <f>-'[4]Table 5C1B-DArbonne'!P49</f>
        <v>0</v>
      </c>
      <c r="AM50" s="49">
        <f t="shared" si="52"/>
        <v>0</v>
      </c>
      <c r="AN50" s="49">
        <f t="shared" si="53"/>
        <v>0</v>
      </c>
    </row>
    <row r="51" spans="1:40">
      <c r="A51" s="876">
        <v>44</v>
      </c>
      <c r="B51" s="877" t="s">
        <v>135</v>
      </c>
      <c r="C51" s="972">
        <f>'2-1-13 SIS'!H50</f>
        <v>0</v>
      </c>
      <c r="D51" s="882">
        <f>'Table 3 Levels 1&amp;2'!AL51</f>
        <v>4696.6221228259064</v>
      </c>
      <c r="E51" s="921">
        <f t="shared" si="33"/>
        <v>0</v>
      </c>
      <c r="F51" s="921">
        <f>'Table 4 Level 3'!P49</f>
        <v>663.16000000000008</v>
      </c>
      <c r="G51" s="921">
        <f t="shared" si="34"/>
        <v>0</v>
      </c>
      <c r="H51" s="905">
        <f t="shared" si="35"/>
        <v>0</v>
      </c>
      <c r="I51" s="1751">
        <f>+'[3]Oct midyear DArbonne'!K50</f>
        <v>0</v>
      </c>
      <c r="J51" s="1751">
        <f>'[3]Feb midyear DArbonne'!K50</f>
        <v>0</v>
      </c>
      <c r="K51" s="1697">
        <f t="shared" si="36"/>
        <v>0</v>
      </c>
      <c r="L51" s="1419">
        <f t="shared" si="54"/>
        <v>0</v>
      </c>
      <c r="M51" s="931">
        <f t="shared" si="37"/>
        <v>0</v>
      </c>
      <c r="N51" s="905">
        <f t="shared" si="38"/>
        <v>0</v>
      </c>
      <c r="O51" s="882">
        <v>0</v>
      </c>
      <c r="P51" s="1552">
        <f t="shared" si="39"/>
        <v>0</v>
      </c>
      <c r="Q51" s="1718">
        <f>'[4]Table 5C1B-DArbonne'!M50+'[27]Table 5C1B-DArbonne'!T50+('[26]Table 5C1B-DArbonne'!T50*6)</f>
        <v>0</v>
      </c>
      <c r="R51" s="1821">
        <f t="shared" si="40"/>
        <v>0</v>
      </c>
      <c r="S51" s="998">
        <f t="shared" si="41"/>
        <v>0</v>
      </c>
      <c r="T51" s="1802">
        <f>'[14]FY2013-14 Final'!K51</f>
        <v>4323</v>
      </c>
      <c r="U51" s="1555">
        <f t="shared" si="55"/>
        <v>0</v>
      </c>
      <c r="V51" s="1793">
        <f>+'[3]Oct midyear DArbonne'!E50</f>
        <v>0</v>
      </c>
      <c r="W51" s="1794">
        <f t="shared" si="42"/>
        <v>0</v>
      </c>
      <c r="X51" s="1758">
        <f>'[3]Feb midyear DArbonne'!E50</f>
        <v>0</v>
      </c>
      <c r="Y51" s="1759">
        <f t="shared" si="43"/>
        <v>0</v>
      </c>
      <c r="Z51" s="1653">
        <f t="shared" si="44"/>
        <v>0</v>
      </c>
      <c r="AA51" s="1425">
        <f t="shared" si="45"/>
        <v>0</v>
      </c>
      <c r="AB51" s="937">
        <f t="shared" si="46"/>
        <v>0</v>
      </c>
      <c r="AC51" s="1555">
        <f t="shared" si="47"/>
        <v>0</v>
      </c>
      <c r="AD51" s="1825">
        <v>0</v>
      </c>
      <c r="AE51" s="1555">
        <f t="shared" si="48"/>
        <v>0</v>
      </c>
      <c r="AF51" s="1755">
        <f>'[4]Table 5C1B-DArbonne'!T50+'[27]Table 5C1B-DArbonne'!AF50+('[26]Table 5C1B-DArbonne'!AF50*6)</f>
        <v>0</v>
      </c>
      <c r="AG51" s="1794">
        <f t="shared" si="49"/>
        <v>0</v>
      </c>
      <c r="AH51" s="999">
        <f t="shared" si="50"/>
        <v>0</v>
      </c>
      <c r="AI51" s="900">
        <f t="shared" si="56"/>
        <v>0</v>
      </c>
      <c r="AJ51" s="900">
        <f t="shared" si="51"/>
        <v>0</v>
      </c>
      <c r="AL51" s="49">
        <f>-'[4]Table 5C1B-DArbonne'!P50</f>
        <v>0</v>
      </c>
      <c r="AM51" s="49">
        <f t="shared" si="52"/>
        <v>0</v>
      </c>
      <c r="AN51" s="49">
        <f t="shared" si="53"/>
        <v>0</v>
      </c>
    </row>
    <row r="52" spans="1:40">
      <c r="A52" s="879">
        <v>45</v>
      </c>
      <c r="B52" s="880" t="s">
        <v>136</v>
      </c>
      <c r="C52" s="973">
        <f>'2-1-13 SIS'!H51</f>
        <v>0</v>
      </c>
      <c r="D52" s="883">
        <f>'Table 3 Levels 1&amp;2'!AL52</f>
        <v>2192.4914538932262</v>
      </c>
      <c r="E52" s="922">
        <f t="shared" si="33"/>
        <v>0</v>
      </c>
      <c r="F52" s="922">
        <f>'Table 4 Level 3'!P50</f>
        <v>753.96000000000015</v>
      </c>
      <c r="G52" s="922">
        <f t="shared" si="34"/>
        <v>0</v>
      </c>
      <c r="H52" s="906">
        <f t="shared" si="35"/>
        <v>0</v>
      </c>
      <c r="I52" s="1752">
        <f>+'[3]Oct midyear DArbonne'!K51</f>
        <v>0</v>
      </c>
      <c r="J52" s="1752">
        <f>'[3]Feb midyear DArbonne'!K51</f>
        <v>0</v>
      </c>
      <c r="K52" s="1698">
        <f t="shared" si="36"/>
        <v>0</v>
      </c>
      <c r="L52" s="1420">
        <f t="shared" si="54"/>
        <v>0</v>
      </c>
      <c r="M52" s="932">
        <f t="shared" si="37"/>
        <v>0</v>
      </c>
      <c r="N52" s="906">
        <f t="shared" si="38"/>
        <v>0</v>
      </c>
      <c r="O52" s="883">
        <v>0</v>
      </c>
      <c r="P52" s="1553">
        <f t="shared" si="39"/>
        <v>0</v>
      </c>
      <c r="Q52" s="1804">
        <f>'[4]Table 5C1B-DArbonne'!M51+'[27]Table 5C1B-DArbonne'!T51+('[26]Table 5C1B-DArbonne'!T51*6)</f>
        <v>0</v>
      </c>
      <c r="R52" s="1822">
        <f t="shared" si="40"/>
        <v>0</v>
      </c>
      <c r="S52" s="1806">
        <f t="shared" si="41"/>
        <v>0</v>
      </c>
      <c r="T52" s="1807">
        <f>'[14]FY2013-14 Final'!K52</f>
        <v>12792</v>
      </c>
      <c r="U52" s="1556">
        <f t="shared" si="55"/>
        <v>0</v>
      </c>
      <c r="V52" s="1795">
        <f>+'[3]Oct midyear DArbonne'!E51</f>
        <v>0</v>
      </c>
      <c r="W52" s="1796">
        <f t="shared" si="42"/>
        <v>0</v>
      </c>
      <c r="X52" s="1762">
        <f>'[3]Feb midyear DArbonne'!E51</f>
        <v>0</v>
      </c>
      <c r="Y52" s="1763">
        <f t="shared" si="43"/>
        <v>0</v>
      </c>
      <c r="Z52" s="1654">
        <f t="shared" si="44"/>
        <v>0</v>
      </c>
      <c r="AA52" s="1424">
        <f t="shared" si="45"/>
        <v>0</v>
      </c>
      <c r="AB52" s="938">
        <f t="shared" si="46"/>
        <v>0</v>
      </c>
      <c r="AC52" s="1556">
        <f t="shared" si="47"/>
        <v>0</v>
      </c>
      <c r="AD52" s="1826">
        <v>0</v>
      </c>
      <c r="AE52" s="1556">
        <f t="shared" si="48"/>
        <v>0</v>
      </c>
      <c r="AF52" s="1833">
        <f>'[4]Table 5C1B-DArbonne'!T51+'[27]Table 5C1B-DArbonne'!AF51+('[26]Table 5C1B-DArbonne'!AF51*6)</f>
        <v>0</v>
      </c>
      <c r="AG52" s="1796">
        <f t="shared" si="49"/>
        <v>0</v>
      </c>
      <c r="AH52" s="1659">
        <f t="shared" si="50"/>
        <v>0</v>
      </c>
      <c r="AI52" s="904">
        <f t="shared" si="56"/>
        <v>0</v>
      </c>
      <c r="AJ52" s="904">
        <f t="shared" si="51"/>
        <v>0</v>
      </c>
      <c r="AL52" s="49">
        <f>-'[4]Table 5C1B-DArbonne'!P51</f>
        <v>0</v>
      </c>
      <c r="AM52" s="49">
        <f t="shared" si="52"/>
        <v>0</v>
      </c>
      <c r="AN52" s="49">
        <f t="shared" si="53"/>
        <v>0</v>
      </c>
    </row>
    <row r="53" spans="1:40">
      <c r="A53" s="870">
        <v>46</v>
      </c>
      <c r="B53" s="871" t="s">
        <v>137</v>
      </c>
      <c r="C53" s="974">
        <f>'2-1-13 SIS'!H52</f>
        <v>0</v>
      </c>
      <c r="D53" s="884">
        <f>'Table 3 Levels 1&amp;2'!AL53</f>
        <v>5644.6599115241634</v>
      </c>
      <c r="E53" s="923">
        <f t="shared" si="33"/>
        <v>0</v>
      </c>
      <c r="F53" s="923">
        <f>'Table 4 Level 3'!P51</f>
        <v>728.06</v>
      </c>
      <c r="G53" s="923">
        <f t="shared" si="34"/>
        <v>0</v>
      </c>
      <c r="H53" s="907">
        <f t="shared" si="35"/>
        <v>0</v>
      </c>
      <c r="I53" s="1723">
        <f>+'[3]Oct midyear DArbonne'!K52</f>
        <v>0</v>
      </c>
      <c r="J53" s="1723">
        <f>'[3]Feb midyear DArbonne'!K52</f>
        <v>0</v>
      </c>
      <c r="K53" s="1547">
        <f t="shared" si="36"/>
        <v>0</v>
      </c>
      <c r="L53" s="1421">
        <f t="shared" si="54"/>
        <v>0</v>
      </c>
      <c r="M53" s="933">
        <f t="shared" si="37"/>
        <v>0</v>
      </c>
      <c r="N53" s="907">
        <f t="shared" si="38"/>
        <v>0</v>
      </c>
      <c r="O53" s="884">
        <v>0</v>
      </c>
      <c r="P53" s="996">
        <f t="shared" si="39"/>
        <v>0</v>
      </c>
      <c r="Q53" s="1718">
        <f>'[4]Table 5C1B-DArbonne'!M52+'[27]Table 5C1B-DArbonne'!T52+('[26]Table 5C1B-DArbonne'!T52*6)</f>
        <v>0</v>
      </c>
      <c r="R53" s="1723">
        <f t="shared" si="40"/>
        <v>0</v>
      </c>
      <c r="S53" s="998">
        <f t="shared" si="41"/>
        <v>0</v>
      </c>
      <c r="T53" s="1802">
        <f>'[14]FY2013-14 Final'!K53</f>
        <v>2423</v>
      </c>
      <c r="U53" s="999">
        <f t="shared" si="55"/>
        <v>0</v>
      </c>
      <c r="V53" s="1754">
        <f>+'[3]Oct midyear DArbonne'!E52</f>
        <v>0</v>
      </c>
      <c r="W53" s="1755">
        <f t="shared" si="42"/>
        <v>0</v>
      </c>
      <c r="X53" s="1754">
        <f>'[3]Feb midyear DArbonne'!E52</f>
        <v>0</v>
      </c>
      <c r="Y53" s="1755">
        <f t="shared" si="43"/>
        <v>0</v>
      </c>
      <c r="Z53" s="1652">
        <f t="shared" si="44"/>
        <v>0</v>
      </c>
      <c r="AA53" s="1428">
        <f t="shared" si="45"/>
        <v>0</v>
      </c>
      <c r="AB53" s="936">
        <f t="shared" si="46"/>
        <v>0</v>
      </c>
      <c r="AC53" s="999">
        <f t="shared" si="47"/>
        <v>0</v>
      </c>
      <c r="AD53" s="1755">
        <v>0</v>
      </c>
      <c r="AE53" s="999">
        <f t="shared" si="48"/>
        <v>0</v>
      </c>
      <c r="AF53" s="1755">
        <f>'[4]Table 5C1B-DArbonne'!T52+'[27]Table 5C1B-DArbonne'!AF52+('[26]Table 5C1B-DArbonne'!AF52*6)</f>
        <v>0</v>
      </c>
      <c r="AG53" s="1755">
        <f t="shared" si="49"/>
        <v>0</v>
      </c>
      <c r="AH53" s="999">
        <f t="shared" si="50"/>
        <v>0</v>
      </c>
      <c r="AI53" s="875">
        <f t="shared" si="56"/>
        <v>0</v>
      </c>
      <c r="AJ53" s="875">
        <f t="shared" si="51"/>
        <v>0</v>
      </c>
      <c r="AL53" s="49">
        <f>-'[4]Table 5C1B-DArbonne'!P52</f>
        <v>0</v>
      </c>
      <c r="AM53" s="49">
        <f t="shared" si="52"/>
        <v>0</v>
      </c>
      <c r="AN53" s="49">
        <f t="shared" si="53"/>
        <v>0</v>
      </c>
    </row>
    <row r="54" spans="1:40">
      <c r="A54" s="876">
        <v>47</v>
      </c>
      <c r="B54" s="877" t="s">
        <v>138</v>
      </c>
      <c r="C54" s="972">
        <f>'2-1-13 SIS'!H53</f>
        <v>0</v>
      </c>
      <c r="D54" s="882">
        <f>'Table 3 Levels 1&amp;2'!AL54</f>
        <v>2731.2444076222037</v>
      </c>
      <c r="E54" s="921">
        <f t="shared" si="33"/>
        <v>0</v>
      </c>
      <c r="F54" s="921">
        <f>'Table 4 Level 3'!P52</f>
        <v>910.76</v>
      </c>
      <c r="G54" s="921">
        <f t="shared" si="34"/>
        <v>0</v>
      </c>
      <c r="H54" s="905">
        <f t="shared" si="35"/>
        <v>0</v>
      </c>
      <c r="I54" s="1751">
        <f>+'[3]Oct midyear DArbonne'!K53</f>
        <v>0</v>
      </c>
      <c r="J54" s="1751">
        <f>'[3]Feb midyear DArbonne'!K53</f>
        <v>0</v>
      </c>
      <c r="K54" s="1697">
        <f t="shared" si="36"/>
        <v>0</v>
      </c>
      <c r="L54" s="1419">
        <f t="shared" si="54"/>
        <v>0</v>
      </c>
      <c r="M54" s="931">
        <f t="shared" si="37"/>
        <v>0</v>
      </c>
      <c r="N54" s="905">
        <f t="shared" si="38"/>
        <v>0</v>
      </c>
      <c r="O54" s="882">
        <v>0</v>
      </c>
      <c r="P54" s="1552">
        <f t="shared" si="39"/>
        <v>0</v>
      </c>
      <c r="Q54" s="1718">
        <f>'[4]Table 5C1B-DArbonne'!M53+'[27]Table 5C1B-DArbonne'!T53+('[26]Table 5C1B-DArbonne'!T53*6)</f>
        <v>0</v>
      </c>
      <c r="R54" s="1821">
        <f t="shared" si="40"/>
        <v>0</v>
      </c>
      <c r="S54" s="998">
        <f t="shared" si="41"/>
        <v>0</v>
      </c>
      <c r="T54" s="1802">
        <f>'[14]FY2013-14 Final'!K54</f>
        <v>12963</v>
      </c>
      <c r="U54" s="1555">
        <f t="shared" si="55"/>
        <v>0</v>
      </c>
      <c r="V54" s="1793">
        <f>+'[3]Oct midyear DArbonne'!E53</f>
        <v>0</v>
      </c>
      <c r="W54" s="1794">
        <f t="shared" si="42"/>
        <v>0</v>
      </c>
      <c r="X54" s="1758">
        <f>'[3]Feb midyear DArbonne'!E53</f>
        <v>0</v>
      </c>
      <c r="Y54" s="1759">
        <f t="shared" si="43"/>
        <v>0</v>
      </c>
      <c r="Z54" s="1653">
        <f t="shared" si="44"/>
        <v>0</v>
      </c>
      <c r="AA54" s="1425">
        <f t="shared" si="45"/>
        <v>0</v>
      </c>
      <c r="AB54" s="937">
        <f t="shared" si="46"/>
        <v>0</v>
      </c>
      <c r="AC54" s="1555">
        <f t="shared" si="47"/>
        <v>0</v>
      </c>
      <c r="AD54" s="1825">
        <v>0</v>
      </c>
      <c r="AE54" s="1555">
        <f t="shared" si="48"/>
        <v>0</v>
      </c>
      <c r="AF54" s="1755">
        <f>'[4]Table 5C1B-DArbonne'!T53+'[27]Table 5C1B-DArbonne'!AF53+('[26]Table 5C1B-DArbonne'!AF53*6)</f>
        <v>0</v>
      </c>
      <c r="AG54" s="1794">
        <f t="shared" si="49"/>
        <v>0</v>
      </c>
      <c r="AH54" s="999">
        <f t="shared" si="50"/>
        <v>0</v>
      </c>
      <c r="AI54" s="900">
        <f t="shared" si="56"/>
        <v>0</v>
      </c>
      <c r="AJ54" s="900">
        <f t="shared" si="51"/>
        <v>0</v>
      </c>
      <c r="AL54" s="49">
        <f>-'[4]Table 5C1B-DArbonne'!P53</f>
        <v>0</v>
      </c>
      <c r="AM54" s="49">
        <f t="shared" si="52"/>
        <v>0</v>
      </c>
      <c r="AN54" s="49">
        <f t="shared" si="53"/>
        <v>0</v>
      </c>
    </row>
    <row r="55" spans="1:40">
      <c r="A55" s="876">
        <v>48</v>
      </c>
      <c r="B55" s="877" t="s">
        <v>195</v>
      </c>
      <c r="C55" s="972">
        <f>'2-1-13 SIS'!H54</f>
        <v>0</v>
      </c>
      <c r="D55" s="882">
        <f>'Table 3 Levels 1&amp;2'!AL55</f>
        <v>4272.723323083942</v>
      </c>
      <c r="E55" s="921">
        <f t="shared" si="33"/>
        <v>0</v>
      </c>
      <c r="F55" s="921">
        <f>'Table 4 Level 3'!P53</f>
        <v>871.07</v>
      </c>
      <c r="G55" s="921">
        <f t="shared" si="34"/>
        <v>0</v>
      </c>
      <c r="H55" s="905">
        <f t="shared" si="35"/>
        <v>0</v>
      </c>
      <c r="I55" s="1751">
        <f>+'[3]Oct midyear DArbonne'!K54</f>
        <v>0</v>
      </c>
      <c r="J55" s="1751">
        <f>'[3]Feb midyear DArbonne'!K54</f>
        <v>0</v>
      </c>
      <c r="K55" s="1697">
        <f t="shared" si="36"/>
        <v>0</v>
      </c>
      <c r="L55" s="1419">
        <f t="shared" si="54"/>
        <v>0</v>
      </c>
      <c r="M55" s="931">
        <f t="shared" si="37"/>
        <v>0</v>
      </c>
      <c r="N55" s="905">
        <f t="shared" si="38"/>
        <v>0</v>
      </c>
      <c r="O55" s="882">
        <v>0</v>
      </c>
      <c r="P55" s="1552">
        <f t="shared" si="39"/>
        <v>0</v>
      </c>
      <c r="Q55" s="1718">
        <f>'[4]Table 5C1B-DArbonne'!M54+'[27]Table 5C1B-DArbonne'!T54+('[26]Table 5C1B-DArbonne'!T54*6)</f>
        <v>0</v>
      </c>
      <c r="R55" s="1821">
        <f t="shared" si="40"/>
        <v>0</v>
      </c>
      <c r="S55" s="998">
        <f t="shared" si="41"/>
        <v>0</v>
      </c>
      <c r="T55" s="1802">
        <f>'[14]FY2013-14 Final'!K55</f>
        <v>6585</v>
      </c>
      <c r="U55" s="1555">
        <f t="shared" si="55"/>
        <v>0</v>
      </c>
      <c r="V55" s="1793">
        <f>+'[3]Oct midyear DArbonne'!E54</f>
        <v>0</v>
      </c>
      <c r="W55" s="1794">
        <f t="shared" si="42"/>
        <v>0</v>
      </c>
      <c r="X55" s="1758">
        <f>'[3]Feb midyear DArbonne'!E54</f>
        <v>0</v>
      </c>
      <c r="Y55" s="1759">
        <f t="shared" si="43"/>
        <v>0</v>
      </c>
      <c r="Z55" s="1653">
        <f t="shared" si="44"/>
        <v>0</v>
      </c>
      <c r="AA55" s="1425">
        <f t="shared" si="45"/>
        <v>0</v>
      </c>
      <c r="AB55" s="937">
        <f t="shared" si="46"/>
        <v>0</v>
      </c>
      <c r="AC55" s="1555">
        <f t="shared" si="47"/>
        <v>0</v>
      </c>
      <c r="AD55" s="1825">
        <v>0</v>
      </c>
      <c r="AE55" s="1555">
        <f t="shared" si="48"/>
        <v>0</v>
      </c>
      <c r="AF55" s="1755">
        <f>'[4]Table 5C1B-DArbonne'!T54+'[27]Table 5C1B-DArbonne'!AF54+('[26]Table 5C1B-DArbonne'!AF54*6)</f>
        <v>0</v>
      </c>
      <c r="AG55" s="1794">
        <f t="shared" si="49"/>
        <v>0</v>
      </c>
      <c r="AH55" s="999">
        <f t="shared" si="50"/>
        <v>0</v>
      </c>
      <c r="AI55" s="900">
        <f t="shared" si="56"/>
        <v>0</v>
      </c>
      <c r="AJ55" s="900">
        <f t="shared" si="51"/>
        <v>0</v>
      </c>
      <c r="AL55" s="49">
        <f>-'[4]Table 5C1B-DArbonne'!P54</f>
        <v>0</v>
      </c>
      <c r="AM55" s="49">
        <f t="shared" si="52"/>
        <v>0</v>
      </c>
      <c r="AN55" s="49">
        <f t="shared" si="53"/>
        <v>0</v>
      </c>
    </row>
    <row r="56" spans="1:40">
      <c r="A56" s="876">
        <v>49</v>
      </c>
      <c r="B56" s="877" t="s">
        <v>139</v>
      </c>
      <c r="C56" s="972">
        <f>'2-1-13 SIS'!H55</f>
        <v>0</v>
      </c>
      <c r="D56" s="882">
        <f>'Table 3 Levels 1&amp;2'!AL56</f>
        <v>4836.7092570332552</v>
      </c>
      <c r="E56" s="921">
        <f t="shared" si="33"/>
        <v>0</v>
      </c>
      <c r="F56" s="921">
        <f>'Table 4 Level 3'!P54</f>
        <v>574.43999999999994</v>
      </c>
      <c r="G56" s="921">
        <f t="shared" si="34"/>
        <v>0</v>
      </c>
      <c r="H56" s="905">
        <f t="shared" si="35"/>
        <v>0</v>
      </c>
      <c r="I56" s="1751">
        <f>+'[3]Oct midyear DArbonne'!K55</f>
        <v>0</v>
      </c>
      <c r="J56" s="1751">
        <f>'[3]Feb midyear DArbonne'!K55</f>
        <v>0</v>
      </c>
      <c r="K56" s="1697">
        <f t="shared" si="36"/>
        <v>0</v>
      </c>
      <c r="L56" s="1419">
        <f t="shared" si="54"/>
        <v>0</v>
      </c>
      <c r="M56" s="931">
        <f t="shared" si="37"/>
        <v>0</v>
      </c>
      <c r="N56" s="905">
        <f t="shared" si="38"/>
        <v>0</v>
      </c>
      <c r="O56" s="882">
        <v>0</v>
      </c>
      <c r="P56" s="1552">
        <f t="shared" si="39"/>
        <v>0</v>
      </c>
      <c r="Q56" s="1718">
        <f>'[4]Table 5C1B-DArbonne'!M55+'[27]Table 5C1B-DArbonne'!T55+('[26]Table 5C1B-DArbonne'!T55*6)</f>
        <v>0</v>
      </c>
      <c r="R56" s="1821">
        <f t="shared" si="40"/>
        <v>0</v>
      </c>
      <c r="S56" s="998">
        <f t="shared" si="41"/>
        <v>0</v>
      </c>
      <c r="T56" s="1802">
        <f>'[14]FY2013-14 Final'!K56</f>
        <v>2402</v>
      </c>
      <c r="U56" s="1555">
        <f t="shared" si="55"/>
        <v>0</v>
      </c>
      <c r="V56" s="1793">
        <f>+'[3]Oct midyear DArbonne'!E55</f>
        <v>0</v>
      </c>
      <c r="W56" s="1794">
        <f t="shared" si="42"/>
        <v>0</v>
      </c>
      <c r="X56" s="1758">
        <f>'[3]Feb midyear DArbonne'!E55</f>
        <v>0</v>
      </c>
      <c r="Y56" s="1759">
        <f t="shared" si="43"/>
        <v>0</v>
      </c>
      <c r="Z56" s="1653">
        <f t="shared" si="44"/>
        <v>0</v>
      </c>
      <c r="AA56" s="1425">
        <f t="shared" si="45"/>
        <v>0</v>
      </c>
      <c r="AB56" s="937">
        <f t="shared" si="46"/>
        <v>0</v>
      </c>
      <c r="AC56" s="1555">
        <f t="shared" si="47"/>
        <v>0</v>
      </c>
      <c r="AD56" s="1825">
        <v>0</v>
      </c>
      <c r="AE56" s="1555">
        <f t="shared" si="48"/>
        <v>0</v>
      </c>
      <c r="AF56" s="1755">
        <f>'[4]Table 5C1B-DArbonne'!T55+'[27]Table 5C1B-DArbonne'!AF55+('[26]Table 5C1B-DArbonne'!AF55*6)</f>
        <v>0</v>
      </c>
      <c r="AG56" s="1794">
        <f t="shared" si="49"/>
        <v>0</v>
      </c>
      <c r="AH56" s="999">
        <f t="shared" si="50"/>
        <v>0</v>
      </c>
      <c r="AI56" s="900">
        <f t="shared" si="56"/>
        <v>0</v>
      </c>
      <c r="AJ56" s="900">
        <f t="shared" si="51"/>
        <v>0</v>
      </c>
      <c r="AL56" s="49">
        <f>-'[4]Table 5C1B-DArbonne'!P55</f>
        <v>0</v>
      </c>
      <c r="AM56" s="49">
        <f t="shared" si="52"/>
        <v>0</v>
      </c>
      <c r="AN56" s="49">
        <f t="shared" si="53"/>
        <v>0</v>
      </c>
    </row>
    <row r="57" spans="1:40">
      <c r="A57" s="879">
        <v>50</v>
      </c>
      <c r="B57" s="880" t="s">
        <v>140</v>
      </c>
      <c r="C57" s="973">
        <f>'2-1-13 SIS'!H56</f>
        <v>0</v>
      </c>
      <c r="D57" s="883">
        <f>'Table 3 Levels 1&amp;2'!AL57</f>
        <v>5032.6862895017111</v>
      </c>
      <c r="E57" s="922">
        <f t="shared" si="33"/>
        <v>0</v>
      </c>
      <c r="F57" s="922">
        <f>'Table 4 Level 3'!P55</f>
        <v>634.46</v>
      </c>
      <c r="G57" s="922">
        <f t="shared" si="34"/>
        <v>0</v>
      </c>
      <c r="H57" s="906">
        <f t="shared" si="35"/>
        <v>0</v>
      </c>
      <c r="I57" s="1752">
        <f>+'[3]Oct midyear DArbonne'!K56</f>
        <v>0</v>
      </c>
      <c r="J57" s="1752">
        <f>'[3]Feb midyear DArbonne'!K56</f>
        <v>0</v>
      </c>
      <c r="K57" s="1698">
        <f t="shared" si="36"/>
        <v>0</v>
      </c>
      <c r="L57" s="1420">
        <f t="shared" si="54"/>
        <v>0</v>
      </c>
      <c r="M57" s="932">
        <f t="shared" si="37"/>
        <v>0</v>
      </c>
      <c r="N57" s="906">
        <f t="shared" si="38"/>
        <v>0</v>
      </c>
      <c r="O57" s="883">
        <v>0</v>
      </c>
      <c r="P57" s="1553">
        <f t="shared" si="39"/>
        <v>0</v>
      </c>
      <c r="Q57" s="1804">
        <f>'[4]Table 5C1B-DArbonne'!M56+'[27]Table 5C1B-DArbonne'!T56+('[26]Table 5C1B-DArbonne'!T56*6)</f>
        <v>0</v>
      </c>
      <c r="R57" s="1822">
        <f t="shared" si="40"/>
        <v>0</v>
      </c>
      <c r="S57" s="1806">
        <f t="shared" si="41"/>
        <v>0</v>
      </c>
      <c r="T57" s="1807">
        <f>'[14]FY2013-14 Final'!K57</f>
        <v>3143</v>
      </c>
      <c r="U57" s="1556">
        <f t="shared" si="55"/>
        <v>0</v>
      </c>
      <c r="V57" s="1795">
        <f>+'[3]Oct midyear DArbonne'!E56</f>
        <v>0</v>
      </c>
      <c r="W57" s="1796">
        <f t="shared" si="42"/>
        <v>0</v>
      </c>
      <c r="X57" s="1762">
        <f>'[3]Feb midyear DArbonne'!E56</f>
        <v>0</v>
      </c>
      <c r="Y57" s="1763">
        <f t="shared" si="43"/>
        <v>0</v>
      </c>
      <c r="Z57" s="1654">
        <f t="shared" si="44"/>
        <v>0</v>
      </c>
      <c r="AA57" s="1424">
        <f t="shared" si="45"/>
        <v>0</v>
      </c>
      <c r="AB57" s="938">
        <f t="shared" si="46"/>
        <v>0</v>
      </c>
      <c r="AC57" s="1556">
        <f t="shared" si="47"/>
        <v>0</v>
      </c>
      <c r="AD57" s="1826">
        <v>0</v>
      </c>
      <c r="AE57" s="1556">
        <f t="shared" si="48"/>
        <v>0</v>
      </c>
      <c r="AF57" s="1833">
        <f>'[4]Table 5C1B-DArbonne'!T56+'[27]Table 5C1B-DArbonne'!AF56+('[26]Table 5C1B-DArbonne'!AF56*6)</f>
        <v>0</v>
      </c>
      <c r="AG57" s="1796">
        <f t="shared" si="49"/>
        <v>0</v>
      </c>
      <c r="AH57" s="1659">
        <f t="shared" si="50"/>
        <v>0</v>
      </c>
      <c r="AI57" s="904">
        <f t="shared" si="56"/>
        <v>0</v>
      </c>
      <c r="AJ57" s="904">
        <f t="shared" si="51"/>
        <v>0</v>
      </c>
      <c r="AL57" s="49">
        <f>-'[4]Table 5C1B-DArbonne'!P56</f>
        <v>0</v>
      </c>
      <c r="AM57" s="49">
        <f t="shared" si="52"/>
        <v>0</v>
      </c>
      <c r="AN57" s="49">
        <f t="shared" si="53"/>
        <v>0</v>
      </c>
    </row>
    <row r="58" spans="1:40">
      <c r="A58" s="870">
        <v>51</v>
      </c>
      <c r="B58" s="871" t="s">
        <v>141</v>
      </c>
      <c r="C58" s="974">
        <f>'2-1-13 SIS'!H57</f>
        <v>0</v>
      </c>
      <c r="D58" s="884">
        <f>'Table 3 Levels 1&amp;2'!AL58</f>
        <v>4246.0339872793602</v>
      </c>
      <c r="E58" s="923">
        <f t="shared" si="33"/>
        <v>0</v>
      </c>
      <c r="F58" s="923">
        <f>'Table 4 Level 3'!P56</f>
        <v>706.66</v>
      </c>
      <c r="G58" s="923">
        <f t="shared" si="34"/>
        <v>0</v>
      </c>
      <c r="H58" s="907">
        <f t="shared" si="35"/>
        <v>0</v>
      </c>
      <c r="I58" s="1723">
        <f>+'[3]Oct midyear DArbonne'!K57</f>
        <v>0</v>
      </c>
      <c r="J58" s="1723">
        <f>'[3]Feb midyear DArbonne'!K57</f>
        <v>0</v>
      </c>
      <c r="K58" s="1547">
        <f t="shared" si="36"/>
        <v>0</v>
      </c>
      <c r="L58" s="1421">
        <f t="shared" si="54"/>
        <v>0</v>
      </c>
      <c r="M58" s="933">
        <f t="shared" si="37"/>
        <v>0</v>
      </c>
      <c r="N58" s="907">
        <f t="shared" si="38"/>
        <v>0</v>
      </c>
      <c r="O58" s="884">
        <v>0</v>
      </c>
      <c r="P58" s="996">
        <f t="shared" si="39"/>
        <v>0</v>
      </c>
      <c r="Q58" s="1718">
        <f>'[4]Table 5C1B-DArbonne'!M57+'[27]Table 5C1B-DArbonne'!T57+('[26]Table 5C1B-DArbonne'!T57*6)</f>
        <v>0</v>
      </c>
      <c r="R58" s="1723">
        <f t="shared" si="40"/>
        <v>0</v>
      </c>
      <c r="S58" s="998">
        <f t="shared" si="41"/>
        <v>0</v>
      </c>
      <c r="T58" s="1802">
        <f>'[14]FY2013-14 Final'!K58</f>
        <v>4370</v>
      </c>
      <c r="U58" s="999">
        <f t="shared" si="55"/>
        <v>0</v>
      </c>
      <c r="V58" s="1754">
        <f>+'[3]Oct midyear DArbonne'!E57</f>
        <v>0</v>
      </c>
      <c r="W58" s="1755">
        <f t="shared" si="42"/>
        <v>0</v>
      </c>
      <c r="X58" s="1754">
        <f>'[3]Feb midyear DArbonne'!E57</f>
        <v>0</v>
      </c>
      <c r="Y58" s="1755">
        <f t="shared" si="43"/>
        <v>0</v>
      </c>
      <c r="Z58" s="1652">
        <f t="shared" si="44"/>
        <v>0</v>
      </c>
      <c r="AA58" s="1428">
        <f t="shared" si="45"/>
        <v>0</v>
      </c>
      <c r="AB58" s="936">
        <f t="shared" si="46"/>
        <v>0</v>
      </c>
      <c r="AC58" s="999">
        <f t="shared" si="47"/>
        <v>0</v>
      </c>
      <c r="AD58" s="1755">
        <v>0</v>
      </c>
      <c r="AE58" s="999">
        <f t="shared" si="48"/>
        <v>0</v>
      </c>
      <c r="AF58" s="1755">
        <f>'[4]Table 5C1B-DArbonne'!T57+'[27]Table 5C1B-DArbonne'!AF57+('[26]Table 5C1B-DArbonne'!AF57*6)</f>
        <v>0</v>
      </c>
      <c r="AG58" s="1755">
        <f t="shared" si="49"/>
        <v>0</v>
      </c>
      <c r="AH58" s="999">
        <f t="shared" si="50"/>
        <v>0</v>
      </c>
      <c r="AI58" s="875">
        <f t="shared" si="56"/>
        <v>0</v>
      </c>
      <c r="AJ58" s="875">
        <f t="shared" si="51"/>
        <v>0</v>
      </c>
      <c r="AL58" s="49">
        <f>-'[4]Table 5C1B-DArbonne'!P57</f>
        <v>0</v>
      </c>
      <c r="AM58" s="49">
        <f t="shared" si="52"/>
        <v>0</v>
      </c>
      <c r="AN58" s="49">
        <f t="shared" si="53"/>
        <v>0</v>
      </c>
    </row>
    <row r="59" spans="1:40">
      <c r="A59" s="876">
        <v>52</v>
      </c>
      <c r="B59" s="877" t="s">
        <v>142</v>
      </c>
      <c r="C59" s="972">
        <f>'2-1-13 SIS'!H58</f>
        <v>0</v>
      </c>
      <c r="D59" s="882">
        <f>'Table 3 Levels 1&amp;2'!AL59</f>
        <v>5013.4438050113249</v>
      </c>
      <c r="E59" s="921">
        <f t="shared" si="33"/>
        <v>0</v>
      </c>
      <c r="F59" s="921">
        <f>'Table 4 Level 3'!P57</f>
        <v>658.37</v>
      </c>
      <c r="G59" s="921">
        <f t="shared" si="34"/>
        <v>0</v>
      </c>
      <c r="H59" s="905">
        <f t="shared" si="35"/>
        <v>0</v>
      </c>
      <c r="I59" s="1751">
        <f>+'[3]Oct midyear DArbonne'!K58</f>
        <v>0</v>
      </c>
      <c r="J59" s="1751">
        <f>'[3]Feb midyear DArbonne'!K58</f>
        <v>0</v>
      </c>
      <c r="K59" s="1697">
        <f t="shared" si="36"/>
        <v>0</v>
      </c>
      <c r="L59" s="1419">
        <f t="shared" si="54"/>
        <v>0</v>
      </c>
      <c r="M59" s="931">
        <f t="shared" si="37"/>
        <v>0</v>
      </c>
      <c r="N59" s="905">
        <f t="shared" si="38"/>
        <v>0</v>
      </c>
      <c r="O59" s="882">
        <v>0</v>
      </c>
      <c r="P59" s="1552">
        <f t="shared" si="39"/>
        <v>0</v>
      </c>
      <c r="Q59" s="1718">
        <f>'[4]Table 5C1B-DArbonne'!M58+'[27]Table 5C1B-DArbonne'!T58+('[26]Table 5C1B-DArbonne'!T58*6)</f>
        <v>0</v>
      </c>
      <c r="R59" s="1821">
        <f t="shared" si="40"/>
        <v>0</v>
      </c>
      <c r="S59" s="998">
        <f t="shared" si="41"/>
        <v>0</v>
      </c>
      <c r="T59" s="1802">
        <f>'[14]FY2013-14 Final'!K59</f>
        <v>5143</v>
      </c>
      <c r="U59" s="1555">
        <f t="shared" si="55"/>
        <v>0</v>
      </c>
      <c r="V59" s="1793">
        <f>+'[3]Oct midyear DArbonne'!E58</f>
        <v>0</v>
      </c>
      <c r="W59" s="1794">
        <f t="shared" si="42"/>
        <v>0</v>
      </c>
      <c r="X59" s="1758">
        <f>'[3]Feb midyear DArbonne'!E58</f>
        <v>0</v>
      </c>
      <c r="Y59" s="1759">
        <f t="shared" si="43"/>
        <v>0</v>
      </c>
      <c r="Z59" s="1653">
        <f t="shared" si="44"/>
        <v>0</v>
      </c>
      <c r="AA59" s="1425">
        <f t="shared" si="45"/>
        <v>0</v>
      </c>
      <c r="AB59" s="937">
        <f t="shared" si="46"/>
        <v>0</v>
      </c>
      <c r="AC59" s="1555">
        <f t="shared" si="47"/>
        <v>0</v>
      </c>
      <c r="AD59" s="1825">
        <v>0</v>
      </c>
      <c r="AE59" s="1555">
        <f t="shared" si="48"/>
        <v>0</v>
      </c>
      <c r="AF59" s="1755">
        <f>'[4]Table 5C1B-DArbonne'!T58+'[27]Table 5C1B-DArbonne'!AF58+('[26]Table 5C1B-DArbonne'!AF58*6)</f>
        <v>0</v>
      </c>
      <c r="AG59" s="1794">
        <f t="shared" si="49"/>
        <v>0</v>
      </c>
      <c r="AH59" s="999">
        <f t="shared" si="50"/>
        <v>0</v>
      </c>
      <c r="AI59" s="900">
        <f t="shared" si="56"/>
        <v>0</v>
      </c>
      <c r="AJ59" s="900">
        <f t="shared" si="51"/>
        <v>0</v>
      </c>
      <c r="AL59" s="49">
        <f>-'[4]Table 5C1B-DArbonne'!P58</f>
        <v>0</v>
      </c>
      <c r="AM59" s="49">
        <f t="shared" si="52"/>
        <v>0</v>
      </c>
      <c r="AN59" s="49">
        <f t="shared" si="53"/>
        <v>0</v>
      </c>
    </row>
    <row r="60" spans="1:40">
      <c r="A60" s="876">
        <v>53</v>
      </c>
      <c r="B60" s="877" t="s">
        <v>143</v>
      </c>
      <c r="C60" s="972">
        <f>'2-1-13 SIS'!H59</f>
        <v>0</v>
      </c>
      <c r="D60" s="882">
        <f>'Table 3 Levels 1&amp;2'!AL60</f>
        <v>4775.5877635581091</v>
      </c>
      <c r="E60" s="921">
        <f t="shared" si="33"/>
        <v>0</v>
      </c>
      <c r="F60" s="921">
        <f>'Table 4 Level 3'!P58</f>
        <v>689.74</v>
      </c>
      <c r="G60" s="921">
        <f t="shared" si="34"/>
        <v>0</v>
      </c>
      <c r="H60" s="905">
        <f t="shared" si="35"/>
        <v>0</v>
      </c>
      <c r="I60" s="1751">
        <f>+'[3]Oct midyear DArbonne'!K59</f>
        <v>0</v>
      </c>
      <c r="J60" s="1751">
        <f>'[3]Feb midyear DArbonne'!K59</f>
        <v>0</v>
      </c>
      <c r="K60" s="1697">
        <f t="shared" si="36"/>
        <v>0</v>
      </c>
      <c r="L60" s="1419">
        <f t="shared" si="54"/>
        <v>0</v>
      </c>
      <c r="M60" s="931">
        <f t="shared" si="37"/>
        <v>0</v>
      </c>
      <c r="N60" s="905">
        <f t="shared" si="38"/>
        <v>0</v>
      </c>
      <c r="O60" s="882">
        <v>0</v>
      </c>
      <c r="P60" s="1552">
        <f t="shared" si="39"/>
        <v>0</v>
      </c>
      <c r="Q60" s="1718">
        <f>'[4]Table 5C1B-DArbonne'!M59+'[27]Table 5C1B-DArbonne'!T59+('[26]Table 5C1B-DArbonne'!T59*6)</f>
        <v>0</v>
      </c>
      <c r="R60" s="1821">
        <f t="shared" si="40"/>
        <v>0</v>
      </c>
      <c r="S60" s="998">
        <f t="shared" si="41"/>
        <v>0</v>
      </c>
      <c r="T60" s="1802">
        <f>'[14]FY2013-14 Final'!K60</f>
        <v>2109</v>
      </c>
      <c r="U60" s="1555">
        <f t="shared" si="55"/>
        <v>0</v>
      </c>
      <c r="V60" s="1793">
        <f>+'[3]Oct midyear DArbonne'!E59</f>
        <v>0</v>
      </c>
      <c r="W60" s="1794">
        <f t="shared" si="42"/>
        <v>0</v>
      </c>
      <c r="X60" s="1758">
        <f>'[3]Feb midyear DArbonne'!E59</f>
        <v>0</v>
      </c>
      <c r="Y60" s="1759">
        <f t="shared" si="43"/>
        <v>0</v>
      </c>
      <c r="Z60" s="1653">
        <f t="shared" si="44"/>
        <v>0</v>
      </c>
      <c r="AA60" s="1425">
        <f t="shared" si="45"/>
        <v>0</v>
      </c>
      <c r="AB60" s="937">
        <f t="shared" si="46"/>
        <v>0</v>
      </c>
      <c r="AC60" s="1555">
        <f t="shared" si="47"/>
        <v>0</v>
      </c>
      <c r="AD60" s="1825">
        <v>0</v>
      </c>
      <c r="AE60" s="1555">
        <f t="shared" si="48"/>
        <v>0</v>
      </c>
      <c r="AF60" s="1755">
        <f>'[4]Table 5C1B-DArbonne'!T59+'[27]Table 5C1B-DArbonne'!AF59+('[26]Table 5C1B-DArbonne'!AF59*6)</f>
        <v>0</v>
      </c>
      <c r="AG60" s="1794">
        <f t="shared" si="49"/>
        <v>0</v>
      </c>
      <c r="AH60" s="999">
        <f t="shared" si="50"/>
        <v>0</v>
      </c>
      <c r="AI60" s="900">
        <f t="shared" si="56"/>
        <v>0</v>
      </c>
      <c r="AJ60" s="900">
        <f t="shared" si="51"/>
        <v>0</v>
      </c>
      <c r="AL60" s="49">
        <f>-'[4]Table 5C1B-DArbonne'!P59</f>
        <v>0</v>
      </c>
      <c r="AM60" s="49">
        <f t="shared" si="52"/>
        <v>0</v>
      </c>
      <c r="AN60" s="49">
        <f t="shared" si="53"/>
        <v>0</v>
      </c>
    </row>
    <row r="61" spans="1:40">
      <c r="A61" s="876">
        <v>54</v>
      </c>
      <c r="B61" s="877" t="s">
        <v>144</v>
      </c>
      <c r="C61" s="972">
        <f>'2-1-13 SIS'!H60</f>
        <v>0</v>
      </c>
      <c r="D61" s="882">
        <f>'Table 3 Levels 1&amp;2'!AL61</f>
        <v>5951.8009386275662</v>
      </c>
      <c r="E61" s="921">
        <f t="shared" si="33"/>
        <v>0</v>
      </c>
      <c r="F61" s="921">
        <f>'Table 4 Level 3'!P59</f>
        <v>951.45</v>
      </c>
      <c r="G61" s="921">
        <f t="shared" si="34"/>
        <v>0</v>
      </c>
      <c r="H61" s="905">
        <f t="shared" si="35"/>
        <v>0</v>
      </c>
      <c r="I61" s="1751">
        <f>+'[3]Oct midyear DArbonne'!K60</f>
        <v>0</v>
      </c>
      <c r="J61" s="1751">
        <f>'[3]Feb midyear DArbonne'!K60</f>
        <v>0</v>
      </c>
      <c r="K61" s="1697">
        <f t="shared" si="36"/>
        <v>0</v>
      </c>
      <c r="L61" s="1419">
        <f t="shared" si="54"/>
        <v>0</v>
      </c>
      <c r="M61" s="931">
        <f t="shared" si="37"/>
        <v>0</v>
      </c>
      <c r="N61" s="905">
        <f t="shared" si="38"/>
        <v>0</v>
      </c>
      <c r="O61" s="882">
        <v>0</v>
      </c>
      <c r="P61" s="1552">
        <f t="shared" si="39"/>
        <v>0</v>
      </c>
      <c r="Q61" s="1718">
        <f>'[4]Table 5C1B-DArbonne'!M60+'[27]Table 5C1B-DArbonne'!T60+('[26]Table 5C1B-DArbonne'!T60*6)</f>
        <v>0</v>
      </c>
      <c r="R61" s="1821">
        <f t="shared" si="40"/>
        <v>0</v>
      </c>
      <c r="S61" s="998">
        <f t="shared" si="41"/>
        <v>0</v>
      </c>
      <c r="T61" s="1802">
        <f>'[14]FY2013-14 Final'!K61</f>
        <v>3760</v>
      </c>
      <c r="U61" s="1555">
        <f t="shared" si="55"/>
        <v>0</v>
      </c>
      <c r="V61" s="1793">
        <f>+'[3]Oct midyear DArbonne'!E60</f>
        <v>0</v>
      </c>
      <c r="W61" s="1794">
        <f t="shared" si="42"/>
        <v>0</v>
      </c>
      <c r="X61" s="1758">
        <f>'[3]Feb midyear DArbonne'!E60</f>
        <v>0</v>
      </c>
      <c r="Y61" s="1759">
        <f t="shared" si="43"/>
        <v>0</v>
      </c>
      <c r="Z61" s="1653">
        <f t="shared" si="44"/>
        <v>0</v>
      </c>
      <c r="AA61" s="1425">
        <f t="shared" si="45"/>
        <v>0</v>
      </c>
      <c r="AB61" s="937">
        <f t="shared" si="46"/>
        <v>0</v>
      </c>
      <c r="AC61" s="1555">
        <f t="shared" si="47"/>
        <v>0</v>
      </c>
      <c r="AD61" s="1825">
        <v>0</v>
      </c>
      <c r="AE61" s="1555">
        <f t="shared" si="48"/>
        <v>0</v>
      </c>
      <c r="AF61" s="1755">
        <f>'[4]Table 5C1B-DArbonne'!T60+'[27]Table 5C1B-DArbonne'!AF60+('[26]Table 5C1B-DArbonne'!AF60*6)</f>
        <v>0</v>
      </c>
      <c r="AG61" s="1794">
        <f t="shared" si="49"/>
        <v>0</v>
      </c>
      <c r="AH61" s="999">
        <f t="shared" si="50"/>
        <v>0</v>
      </c>
      <c r="AI61" s="900">
        <f t="shared" si="56"/>
        <v>0</v>
      </c>
      <c r="AJ61" s="900">
        <f t="shared" si="51"/>
        <v>0</v>
      </c>
      <c r="AL61" s="49">
        <f>-'[4]Table 5C1B-DArbonne'!P60</f>
        <v>0</v>
      </c>
      <c r="AM61" s="49">
        <f t="shared" si="52"/>
        <v>0</v>
      </c>
      <c r="AN61" s="49">
        <f t="shared" si="53"/>
        <v>0</v>
      </c>
    </row>
    <row r="62" spans="1:40">
      <c r="A62" s="879">
        <v>55</v>
      </c>
      <c r="B62" s="880" t="s">
        <v>145</v>
      </c>
      <c r="C62" s="973">
        <f>'2-1-13 SIS'!H61</f>
        <v>0</v>
      </c>
      <c r="D62" s="883">
        <f>'Table 3 Levels 1&amp;2'!AL62</f>
        <v>4171.0434735233157</v>
      </c>
      <c r="E62" s="922">
        <f t="shared" si="33"/>
        <v>0</v>
      </c>
      <c r="F62" s="922">
        <f>'Table 4 Level 3'!P60</f>
        <v>795.14</v>
      </c>
      <c r="G62" s="922">
        <f t="shared" si="34"/>
        <v>0</v>
      </c>
      <c r="H62" s="906">
        <f t="shared" si="35"/>
        <v>0</v>
      </c>
      <c r="I62" s="1752">
        <f>+'[3]Oct midyear DArbonne'!K61</f>
        <v>0</v>
      </c>
      <c r="J62" s="1752">
        <f>'[3]Feb midyear DArbonne'!K61</f>
        <v>0</v>
      </c>
      <c r="K62" s="1698">
        <f t="shared" si="36"/>
        <v>0</v>
      </c>
      <c r="L62" s="1420">
        <f t="shared" si="54"/>
        <v>0</v>
      </c>
      <c r="M62" s="932">
        <f t="shared" si="37"/>
        <v>0</v>
      </c>
      <c r="N62" s="906">
        <f t="shared" si="38"/>
        <v>0</v>
      </c>
      <c r="O62" s="883">
        <v>0</v>
      </c>
      <c r="P62" s="1553">
        <f t="shared" si="39"/>
        <v>0</v>
      </c>
      <c r="Q62" s="1804">
        <f>'[4]Table 5C1B-DArbonne'!M61+'[27]Table 5C1B-DArbonne'!T61+('[26]Table 5C1B-DArbonne'!T61*6)</f>
        <v>0</v>
      </c>
      <c r="R62" s="1822">
        <f t="shared" si="40"/>
        <v>0</v>
      </c>
      <c r="S62" s="1806">
        <f t="shared" si="41"/>
        <v>0</v>
      </c>
      <c r="T62" s="1807">
        <f>'[14]FY2013-14 Final'!K62</f>
        <v>3359</v>
      </c>
      <c r="U62" s="1556">
        <f t="shared" si="55"/>
        <v>0</v>
      </c>
      <c r="V62" s="1795">
        <f>+'[3]Oct midyear DArbonne'!E61</f>
        <v>0</v>
      </c>
      <c r="W62" s="1796">
        <f t="shared" si="42"/>
        <v>0</v>
      </c>
      <c r="X62" s="1762">
        <f>'[3]Feb midyear DArbonne'!E61</f>
        <v>0</v>
      </c>
      <c r="Y62" s="1763">
        <f t="shared" si="43"/>
        <v>0</v>
      </c>
      <c r="Z62" s="1654">
        <f t="shared" si="44"/>
        <v>0</v>
      </c>
      <c r="AA62" s="1424">
        <f t="shared" si="45"/>
        <v>0</v>
      </c>
      <c r="AB62" s="938">
        <f t="shared" si="46"/>
        <v>0</v>
      </c>
      <c r="AC62" s="1556">
        <f t="shared" si="47"/>
        <v>0</v>
      </c>
      <c r="AD62" s="1826">
        <v>0</v>
      </c>
      <c r="AE62" s="1556">
        <f t="shared" si="48"/>
        <v>0</v>
      </c>
      <c r="AF62" s="1833">
        <f>'[4]Table 5C1B-DArbonne'!T61+'[27]Table 5C1B-DArbonne'!AF61+('[26]Table 5C1B-DArbonne'!AF61*6)</f>
        <v>0</v>
      </c>
      <c r="AG62" s="1796">
        <f t="shared" si="49"/>
        <v>0</v>
      </c>
      <c r="AH62" s="1659">
        <f t="shared" si="50"/>
        <v>0</v>
      </c>
      <c r="AI62" s="904">
        <f t="shared" si="56"/>
        <v>0</v>
      </c>
      <c r="AJ62" s="904">
        <f t="shared" si="51"/>
        <v>0</v>
      </c>
      <c r="AL62" s="49">
        <f>-'[4]Table 5C1B-DArbonne'!P61</f>
        <v>0</v>
      </c>
      <c r="AM62" s="49">
        <f t="shared" si="52"/>
        <v>0</v>
      </c>
      <c r="AN62" s="49">
        <f t="shared" si="53"/>
        <v>0</v>
      </c>
    </row>
    <row r="63" spans="1:40">
      <c r="A63" s="870">
        <v>56</v>
      </c>
      <c r="B63" s="871" t="s">
        <v>146</v>
      </c>
      <c r="C63" s="974">
        <f>'2-1-13 SIS'!H62</f>
        <v>531</v>
      </c>
      <c r="D63" s="884">
        <f>'Table 3 Levels 1&amp;2'!AL63</f>
        <v>4968.593189672727</v>
      </c>
      <c r="E63" s="923">
        <f t="shared" si="33"/>
        <v>2638322.9837162183</v>
      </c>
      <c r="F63" s="923">
        <f>'Table 4 Level 3'!P61</f>
        <v>614.66000000000008</v>
      </c>
      <c r="G63" s="923">
        <f t="shared" si="34"/>
        <v>326384.46000000002</v>
      </c>
      <c r="H63" s="907">
        <f t="shared" si="35"/>
        <v>2964707.4437162182</v>
      </c>
      <c r="I63" s="1723">
        <f>+'[3]Oct midyear DArbonne'!K62</f>
        <v>954736.29543403629</v>
      </c>
      <c r="J63" s="1723">
        <f>'[3]Feb midyear DArbonne'!K62</f>
        <v>-50249.278707054546</v>
      </c>
      <c r="K63" s="1547">
        <f t="shared" si="36"/>
        <v>904487.01672698173</v>
      </c>
      <c r="L63" s="1421">
        <f t="shared" si="54"/>
        <v>3869194.4604432001</v>
      </c>
      <c r="M63" s="933">
        <f t="shared" si="37"/>
        <v>-9672.9861511079998</v>
      </c>
      <c r="N63" s="907">
        <f t="shared" si="38"/>
        <v>3859521.474292092</v>
      </c>
      <c r="O63" s="1723">
        <v>0</v>
      </c>
      <c r="P63" s="996">
        <f t="shared" si="39"/>
        <v>3859521.474292092</v>
      </c>
      <c r="Q63" s="1718">
        <f>'[4]Table 5C1B-DArbonne'!M62+'[27]Table 5C1B-DArbonne'!T62+('[26]Table 5C1B-DArbonne'!T62*6)</f>
        <v>2604404.8883324834</v>
      </c>
      <c r="R63" s="1723">
        <f t="shared" si="40"/>
        <v>1255116.5859596087</v>
      </c>
      <c r="S63" s="998">
        <f t="shared" si="41"/>
        <v>313779</v>
      </c>
      <c r="T63" s="1802">
        <f>'[14]FY2013-14 Final'!K63</f>
        <v>2853</v>
      </c>
      <c r="U63" s="999">
        <f t="shared" si="55"/>
        <v>1514943</v>
      </c>
      <c r="V63" s="1754">
        <f>+'[3]Oct midyear DArbonne'!E62</f>
        <v>171</v>
      </c>
      <c r="W63" s="1755">
        <f t="shared" si="42"/>
        <v>487863</v>
      </c>
      <c r="X63" s="1754">
        <f>'[3]Feb midyear DArbonne'!E62</f>
        <v>-18</v>
      </c>
      <c r="Y63" s="1755">
        <f t="shared" si="43"/>
        <v>-25677</v>
      </c>
      <c r="Z63" s="1652">
        <f t="shared" si="44"/>
        <v>462186</v>
      </c>
      <c r="AA63" s="1428">
        <f t="shared" si="45"/>
        <v>1977129</v>
      </c>
      <c r="AB63" s="936">
        <f t="shared" si="46"/>
        <v>-4942.8225000000002</v>
      </c>
      <c r="AC63" s="999">
        <f t="shared" si="47"/>
        <v>1972186.1775</v>
      </c>
      <c r="AD63" s="1755">
        <v>0</v>
      </c>
      <c r="AE63" s="999">
        <f t="shared" si="48"/>
        <v>1972186.1775</v>
      </c>
      <c r="AF63" s="1755">
        <f>'[4]Table 5C1B-DArbonne'!T62+'[27]Table 5C1B-DArbonne'!AF62+('[26]Table 5C1B-DArbonne'!AF62*6)</f>
        <v>1296312.550909091</v>
      </c>
      <c r="AG63" s="1755">
        <f t="shared" si="49"/>
        <v>675873.62659090897</v>
      </c>
      <c r="AH63" s="999">
        <f t="shared" si="50"/>
        <v>168968</v>
      </c>
      <c r="AI63" s="875">
        <f t="shared" si="56"/>
        <v>5831707.6517920922</v>
      </c>
      <c r="AJ63" s="875">
        <f t="shared" si="51"/>
        <v>482747</v>
      </c>
      <c r="AL63" s="49">
        <f>-'[4]Table 5C1B-DArbonne'!P62</f>
        <v>3689.1224999999999</v>
      </c>
      <c r="AM63" s="49">
        <f t="shared" si="52"/>
        <v>-4942.8225000000002</v>
      </c>
      <c r="AN63" s="49">
        <f t="shared" si="53"/>
        <v>-1253.7000000000003</v>
      </c>
    </row>
    <row r="64" spans="1:40">
      <c r="A64" s="876">
        <v>57</v>
      </c>
      <c r="B64" s="877" t="s">
        <v>147</v>
      </c>
      <c r="C64" s="972">
        <f>'2-1-13 SIS'!H63</f>
        <v>0</v>
      </c>
      <c r="D64" s="882">
        <f>'Table 3 Levels 1&amp;2'!AL64</f>
        <v>4485.7073020218859</v>
      </c>
      <c r="E64" s="921">
        <f t="shared" si="33"/>
        <v>0</v>
      </c>
      <c r="F64" s="921">
        <f>'Table 4 Level 3'!P62</f>
        <v>764.51</v>
      </c>
      <c r="G64" s="921">
        <f t="shared" si="34"/>
        <v>0</v>
      </c>
      <c r="H64" s="905">
        <f t="shared" si="35"/>
        <v>0</v>
      </c>
      <c r="I64" s="1751">
        <f>+'[3]Oct midyear DArbonne'!K63</f>
        <v>0</v>
      </c>
      <c r="J64" s="1751">
        <f>'[3]Feb midyear DArbonne'!K63</f>
        <v>0</v>
      </c>
      <c r="K64" s="1697">
        <f t="shared" si="36"/>
        <v>0</v>
      </c>
      <c r="L64" s="1419">
        <f t="shared" si="54"/>
        <v>0</v>
      </c>
      <c r="M64" s="931">
        <f t="shared" si="37"/>
        <v>0</v>
      </c>
      <c r="N64" s="905">
        <f t="shared" si="38"/>
        <v>0</v>
      </c>
      <c r="O64" s="882">
        <v>0</v>
      </c>
      <c r="P64" s="1552">
        <f t="shared" si="39"/>
        <v>0</v>
      </c>
      <c r="Q64" s="1718">
        <f>'[4]Table 5C1B-DArbonne'!M63+'[27]Table 5C1B-DArbonne'!T63+('[26]Table 5C1B-DArbonne'!T63*6)</f>
        <v>0</v>
      </c>
      <c r="R64" s="1821">
        <f t="shared" si="40"/>
        <v>0</v>
      </c>
      <c r="S64" s="998">
        <f t="shared" si="41"/>
        <v>0</v>
      </c>
      <c r="T64" s="1802">
        <f>'[14]FY2013-14 Final'!K64</f>
        <v>3178</v>
      </c>
      <c r="U64" s="1555">
        <f t="shared" si="55"/>
        <v>0</v>
      </c>
      <c r="V64" s="1793">
        <f>+'[3]Oct midyear DArbonne'!E63</f>
        <v>0</v>
      </c>
      <c r="W64" s="1794">
        <f t="shared" si="42"/>
        <v>0</v>
      </c>
      <c r="X64" s="1758">
        <f>'[3]Feb midyear DArbonne'!E63</f>
        <v>0</v>
      </c>
      <c r="Y64" s="1759">
        <f t="shared" si="43"/>
        <v>0</v>
      </c>
      <c r="Z64" s="1653">
        <f t="shared" si="44"/>
        <v>0</v>
      </c>
      <c r="AA64" s="1425">
        <f t="shared" si="45"/>
        <v>0</v>
      </c>
      <c r="AB64" s="937">
        <f t="shared" si="46"/>
        <v>0</v>
      </c>
      <c r="AC64" s="1555">
        <f t="shared" si="47"/>
        <v>0</v>
      </c>
      <c r="AD64" s="1825">
        <v>0</v>
      </c>
      <c r="AE64" s="1555">
        <f t="shared" si="48"/>
        <v>0</v>
      </c>
      <c r="AF64" s="1755">
        <f>'[4]Table 5C1B-DArbonne'!T63+'[27]Table 5C1B-DArbonne'!AF63+('[26]Table 5C1B-DArbonne'!AF63*6)</f>
        <v>0</v>
      </c>
      <c r="AG64" s="1794">
        <f t="shared" si="49"/>
        <v>0</v>
      </c>
      <c r="AH64" s="999">
        <f t="shared" si="50"/>
        <v>0</v>
      </c>
      <c r="AI64" s="900">
        <f t="shared" si="56"/>
        <v>0</v>
      </c>
      <c r="AJ64" s="900">
        <f t="shared" si="51"/>
        <v>0</v>
      </c>
      <c r="AL64" s="49">
        <f>-'[4]Table 5C1B-DArbonne'!P63</f>
        <v>0</v>
      </c>
      <c r="AM64" s="49">
        <f t="shared" si="52"/>
        <v>0</v>
      </c>
      <c r="AN64" s="49">
        <f t="shared" si="53"/>
        <v>0</v>
      </c>
    </row>
    <row r="65" spans="1:40">
      <c r="A65" s="876">
        <v>58</v>
      </c>
      <c r="B65" s="877" t="s">
        <v>148</v>
      </c>
      <c r="C65" s="972">
        <f>'2-1-13 SIS'!H64</f>
        <v>0</v>
      </c>
      <c r="D65" s="882">
        <f>'Table 3 Levels 1&amp;2'!AL65</f>
        <v>5457.8662803476354</v>
      </c>
      <c r="E65" s="921">
        <f t="shared" si="33"/>
        <v>0</v>
      </c>
      <c r="F65" s="921">
        <f>'Table 4 Level 3'!P63</f>
        <v>697.04</v>
      </c>
      <c r="G65" s="921">
        <f t="shared" si="34"/>
        <v>0</v>
      </c>
      <c r="H65" s="905">
        <f t="shared" si="35"/>
        <v>0</v>
      </c>
      <c r="I65" s="1751">
        <f>+'[3]Oct midyear DArbonne'!K64</f>
        <v>0</v>
      </c>
      <c r="J65" s="1751">
        <f>'[3]Feb midyear DArbonne'!K64</f>
        <v>0</v>
      </c>
      <c r="K65" s="1697">
        <f t="shared" si="36"/>
        <v>0</v>
      </c>
      <c r="L65" s="1419">
        <f t="shared" si="54"/>
        <v>0</v>
      </c>
      <c r="M65" s="931">
        <f t="shared" si="37"/>
        <v>0</v>
      </c>
      <c r="N65" s="905">
        <f t="shared" si="38"/>
        <v>0</v>
      </c>
      <c r="O65" s="882">
        <v>0</v>
      </c>
      <c r="P65" s="1552">
        <f t="shared" si="39"/>
        <v>0</v>
      </c>
      <c r="Q65" s="1718">
        <f>'[4]Table 5C1B-DArbonne'!M64+'[27]Table 5C1B-DArbonne'!T64+('[26]Table 5C1B-DArbonne'!T64*6)</f>
        <v>0</v>
      </c>
      <c r="R65" s="1821">
        <f t="shared" si="40"/>
        <v>0</v>
      </c>
      <c r="S65" s="998">
        <f t="shared" si="41"/>
        <v>0</v>
      </c>
      <c r="T65" s="1802">
        <f>'[14]FY2013-14 Final'!K65</f>
        <v>2127</v>
      </c>
      <c r="U65" s="1555">
        <f t="shared" si="55"/>
        <v>0</v>
      </c>
      <c r="V65" s="1793">
        <f>+'[3]Oct midyear DArbonne'!E64</f>
        <v>0</v>
      </c>
      <c r="W65" s="1794">
        <f t="shared" si="42"/>
        <v>0</v>
      </c>
      <c r="X65" s="1758">
        <f>'[3]Feb midyear DArbonne'!E64</f>
        <v>0</v>
      </c>
      <c r="Y65" s="1759">
        <f t="shared" si="43"/>
        <v>0</v>
      </c>
      <c r="Z65" s="1653">
        <f t="shared" si="44"/>
        <v>0</v>
      </c>
      <c r="AA65" s="1425">
        <f t="shared" si="45"/>
        <v>0</v>
      </c>
      <c r="AB65" s="937">
        <f t="shared" si="46"/>
        <v>0</v>
      </c>
      <c r="AC65" s="1555">
        <f t="shared" si="47"/>
        <v>0</v>
      </c>
      <c r="AD65" s="1825">
        <v>0</v>
      </c>
      <c r="AE65" s="1555">
        <f t="shared" si="48"/>
        <v>0</v>
      </c>
      <c r="AF65" s="1755">
        <f>'[4]Table 5C1B-DArbonne'!T64+'[27]Table 5C1B-DArbonne'!AF64+('[26]Table 5C1B-DArbonne'!AF64*6)</f>
        <v>0</v>
      </c>
      <c r="AG65" s="1794">
        <f t="shared" si="49"/>
        <v>0</v>
      </c>
      <c r="AH65" s="999">
        <f t="shared" si="50"/>
        <v>0</v>
      </c>
      <c r="AI65" s="900">
        <f t="shared" si="56"/>
        <v>0</v>
      </c>
      <c r="AJ65" s="900">
        <f t="shared" si="51"/>
        <v>0</v>
      </c>
      <c r="AL65" s="49">
        <f>-'[4]Table 5C1B-DArbonne'!P64</f>
        <v>0</v>
      </c>
      <c r="AM65" s="49">
        <f t="shared" si="52"/>
        <v>0</v>
      </c>
      <c r="AN65" s="49">
        <f t="shared" si="53"/>
        <v>0</v>
      </c>
    </row>
    <row r="66" spans="1:40">
      <c r="A66" s="876">
        <v>59</v>
      </c>
      <c r="B66" s="877" t="s">
        <v>149</v>
      </c>
      <c r="C66" s="972">
        <f>'2-1-13 SIS'!H65</f>
        <v>0</v>
      </c>
      <c r="D66" s="882">
        <f>'Table 3 Levels 1&amp;2'!AL66</f>
        <v>6274.2786338006481</v>
      </c>
      <c r="E66" s="921">
        <f t="shared" si="33"/>
        <v>0</v>
      </c>
      <c r="F66" s="921">
        <f>'Table 4 Level 3'!P64</f>
        <v>689.52</v>
      </c>
      <c r="G66" s="921">
        <f t="shared" si="34"/>
        <v>0</v>
      </c>
      <c r="H66" s="905">
        <f t="shared" si="35"/>
        <v>0</v>
      </c>
      <c r="I66" s="1751">
        <f>+'[3]Oct midyear DArbonne'!K65</f>
        <v>0</v>
      </c>
      <c r="J66" s="1751">
        <f>'[3]Feb midyear DArbonne'!K65</f>
        <v>0</v>
      </c>
      <c r="K66" s="1697">
        <f t="shared" si="36"/>
        <v>0</v>
      </c>
      <c r="L66" s="1419">
        <f t="shared" si="54"/>
        <v>0</v>
      </c>
      <c r="M66" s="931">
        <f t="shared" si="37"/>
        <v>0</v>
      </c>
      <c r="N66" s="905">
        <f t="shared" si="38"/>
        <v>0</v>
      </c>
      <c r="O66" s="882">
        <v>0</v>
      </c>
      <c r="P66" s="1552">
        <f t="shared" si="39"/>
        <v>0</v>
      </c>
      <c r="Q66" s="1718">
        <f>'[4]Table 5C1B-DArbonne'!M65+'[27]Table 5C1B-DArbonne'!T65+('[26]Table 5C1B-DArbonne'!T65*6)</f>
        <v>0</v>
      </c>
      <c r="R66" s="1821">
        <f t="shared" si="40"/>
        <v>0</v>
      </c>
      <c r="S66" s="998">
        <f t="shared" si="41"/>
        <v>0</v>
      </c>
      <c r="T66" s="1802">
        <f>'[14]FY2013-14 Final'!K66</f>
        <v>1729</v>
      </c>
      <c r="U66" s="1555">
        <f t="shared" si="55"/>
        <v>0</v>
      </c>
      <c r="V66" s="1793">
        <f>+'[3]Oct midyear DArbonne'!E65</f>
        <v>0</v>
      </c>
      <c r="W66" s="1794">
        <f t="shared" si="42"/>
        <v>0</v>
      </c>
      <c r="X66" s="1758">
        <f>'[3]Feb midyear DArbonne'!E65</f>
        <v>0</v>
      </c>
      <c r="Y66" s="1759">
        <f t="shared" si="43"/>
        <v>0</v>
      </c>
      <c r="Z66" s="1653">
        <f t="shared" si="44"/>
        <v>0</v>
      </c>
      <c r="AA66" s="1425">
        <f t="shared" si="45"/>
        <v>0</v>
      </c>
      <c r="AB66" s="937">
        <f t="shared" si="46"/>
        <v>0</v>
      </c>
      <c r="AC66" s="1555">
        <f t="shared" si="47"/>
        <v>0</v>
      </c>
      <c r="AD66" s="1825">
        <v>0</v>
      </c>
      <c r="AE66" s="1555">
        <f t="shared" si="48"/>
        <v>0</v>
      </c>
      <c r="AF66" s="1755">
        <f>'[4]Table 5C1B-DArbonne'!T65+'[27]Table 5C1B-DArbonne'!AF65+('[26]Table 5C1B-DArbonne'!AF65*6)</f>
        <v>0</v>
      </c>
      <c r="AG66" s="1794">
        <f t="shared" si="49"/>
        <v>0</v>
      </c>
      <c r="AH66" s="999">
        <f t="shared" si="50"/>
        <v>0</v>
      </c>
      <c r="AI66" s="900">
        <f t="shared" si="56"/>
        <v>0</v>
      </c>
      <c r="AJ66" s="900">
        <f t="shared" si="51"/>
        <v>0</v>
      </c>
      <c r="AL66" s="49">
        <f>-'[4]Table 5C1B-DArbonne'!P65</f>
        <v>0</v>
      </c>
      <c r="AM66" s="49">
        <f t="shared" si="52"/>
        <v>0</v>
      </c>
      <c r="AN66" s="49">
        <f t="shared" si="53"/>
        <v>0</v>
      </c>
    </row>
    <row r="67" spans="1:40">
      <c r="A67" s="879">
        <v>60</v>
      </c>
      <c r="B67" s="880" t="s">
        <v>150</v>
      </c>
      <c r="C67" s="973">
        <f>'2-1-13 SIS'!H66</f>
        <v>0</v>
      </c>
      <c r="D67" s="883">
        <f>'Table 3 Levels 1&amp;2'!AL67</f>
        <v>4940.9166775610411</v>
      </c>
      <c r="E67" s="922">
        <f t="shared" si="33"/>
        <v>0</v>
      </c>
      <c r="F67" s="922">
        <f>'Table 4 Level 3'!P65</f>
        <v>594.04</v>
      </c>
      <c r="G67" s="922">
        <f t="shared" si="34"/>
        <v>0</v>
      </c>
      <c r="H67" s="906">
        <f t="shared" si="35"/>
        <v>0</v>
      </c>
      <c r="I67" s="1752">
        <f>+'[3]Oct midyear DArbonne'!K66</f>
        <v>0</v>
      </c>
      <c r="J67" s="1752">
        <f>'[3]Feb midyear DArbonne'!K66</f>
        <v>0</v>
      </c>
      <c r="K67" s="1698">
        <f t="shared" si="36"/>
        <v>0</v>
      </c>
      <c r="L67" s="1420">
        <f t="shared" si="54"/>
        <v>0</v>
      </c>
      <c r="M67" s="932">
        <f t="shared" si="37"/>
        <v>0</v>
      </c>
      <c r="N67" s="906">
        <f t="shared" si="38"/>
        <v>0</v>
      </c>
      <c r="O67" s="883">
        <v>0</v>
      </c>
      <c r="P67" s="1553">
        <f t="shared" si="39"/>
        <v>0</v>
      </c>
      <c r="Q67" s="1804">
        <f>'[4]Table 5C1B-DArbonne'!M66+'[27]Table 5C1B-DArbonne'!T66+('[26]Table 5C1B-DArbonne'!T66*6)</f>
        <v>0</v>
      </c>
      <c r="R67" s="1822">
        <f t="shared" si="40"/>
        <v>0</v>
      </c>
      <c r="S67" s="1806">
        <f t="shared" si="41"/>
        <v>0</v>
      </c>
      <c r="T67" s="1807">
        <f>'[14]FY2013-14 Final'!K67</f>
        <v>3801</v>
      </c>
      <c r="U67" s="1556">
        <f t="shared" si="55"/>
        <v>0</v>
      </c>
      <c r="V67" s="1795">
        <f>+'[3]Oct midyear DArbonne'!E66</f>
        <v>0</v>
      </c>
      <c r="W67" s="1796">
        <f t="shared" si="42"/>
        <v>0</v>
      </c>
      <c r="X67" s="1762">
        <f>'[3]Feb midyear DArbonne'!E66</f>
        <v>0</v>
      </c>
      <c r="Y67" s="1763">
        <f t="shared" si="43"/>
        <v>0</v>
      </c>
      <c r="Z67" s="1654">
        <f t="shared" si="44"/>
        <v>0</v>
      </c>
      <c r="AA67" s="1424">
        <f t="shared" si="45"/>
        <v>0</v>
      </c>
      <c r="AB67" s="938">
        <f t="shared" si="46"/>
        <v>0</v>
      </c>
      <c r="AC67" s="1556">
        <f t="shared" si="47"/>
        <v>0</v>
      </c>
      <c r="AD67" s="1826">
        <v>0</v>
      </c>
      <c r="AE67" s="1556">
        <f t="shared" si="48"/>
        <v>0</v>
      </c>
      <c r="AF67" s="1833">
        <f>'[4]Table 5C1B-DArbonne'!T66+'[27]Table 5C1B-DArbonne'!AF66+('[26]Table 5C1B-DArbonne'!AF66*6)</f>
        <v>0</v>
      </c>
      <c r="AG67" s="1796">
        <f t="shared" si="49"/>
        <v>0</v>
      </c>
      <c r="AH67" s="1659">
        <f t="shared" si="50"/>
        <v>0</v>
      </c>
      <c r="AI67" s="904">
        <f t="shared" si="56"/>
        <v>0</v>
      </c>
      <c r="AJ67" s="904">
        <f t="shared" si="51"/>
        <v>0</v>
      </c>
      <c r="AL67" s="49">
        <f>-'[4]Table 5C1B-DArbonne'!P66</f>
        <v>0</v>
      </c>
      <c r="AM67" s="49">
        <f t="shared" si="52"/>
        <v>0</v>
      </c>
      <c r="AN67" s="49">
        <f t="shared" si="53"/>
        <v>0</v>
      </c>
    </row>
    <row r="68" spans="1:40">
      <c r="A68" s="870">
        <v>61</v>
      </c>
      <c r="B68" s="871" t="s">
        <v>151</v>
      </c>
      <c r="C68" s="974">
        <f>'2-1-13 SIS'!H67</f>
        <v>0</v>
      </c>
      <c r="D68" s="884">
        <f>'Table 3 Levels 1&amp;2'!AL68</f>
        <v>2908.0344869339228</v>
      </c>
      <c r="E68" s="923">
        <f t="shared" si="33"/>
        <v>0</v>
      </c>
      <c r="F68" s="923">
        <f>'Table 4 Level 3'!P66</f>
        <v>833.70999999999992</v>
      </c>
      <c r="G68" s="923">
        <f t="shared" si="34"/>
        <v>0</v>
      </c>
      <c r="H68" s="907">
        <f t="shared" si="35"/>
        <v>0</v>
      </c>
      <c r="I68" s="1723">
        <f>+'[3]Oct midyear DArbonne'!K67</f>
        <v>0</v>
      </c>
      <c r="J68" s="1723">
        <f>'[3]Feb midyear DArbonne'!K67</f>
        <v>0</v>
      </c>
      <c r="K68" s="1547">
        <f t="shared" si="36"/>
        <v>0</v>
      </c>
      <c r="L68" s="1421">
        <f t="shared" si="54"/>
        <v>0</v>
      </c>
      <c r="M68" s="933">
        <f t="shared" si="37"/>
        <v>0</v>
      </c>
      <c r="N68" s="907">
        <f t="shared" si="38"/>
        <v>0</v>
      </c>
      <c r="O68" s="884">
        <v>0</v>
      </c>
      <c r="P68" s="996">
        <f t="shared" si="39"/>
        <v>0</v>
      </c>
      <c r="Q68" s="1718">
        <f>'[4]Table 5C1B-DArbonne'!M67+'[27]Table 5C1B-DArbonne'!T67+('[26]Table 5C1B-DArbonne'!T67*6)</f>
        <v>0</v>
      </c>
      <c r="R68" s="1723">
        <f t="shared" si="40"/>
        <v>0</v>
      </c>
      <c r="S68" s="998">
        <f t="shared" si="41"/>
        <v>0</v>
      </c>
      <c r="T68" s="1802">
        <f>'[14]FY2013-14 Final'!K68</f>
        <v>6597</v>
      </c>
      <c r="U68" s="999">
        <f t="shared" si="55"/>
        <v>0</v>
      </c>
      <c r="V68" s="1754">
        <f>+'[3]Oct midyear DArbonne'!E67</f>
        <v>0</v>
      </c>
      <c r="W68" s="1755">
        <f t="shared" si="42"/>
        <v>0</v>
      </c>
      <c r="X68" s="1754">
        <f>'[3]Feb midyear DArbonne'!E67</f>
        <v>0</v>
      </c>
      <c r="Y68" s="1755">
        <f t="shared" si="43"/>
        <v>0</v>
      </c>
      <c r="Z68" s="1652">
        <f t="shared" si="44"/>
        <v>0</v>
      </c>
      <c r="AA68" s="1428">
        <f t="shared" si="45"/>
        <v>0</v>
      </c>
      <c r="AB68" s="936">
        <f t="shared" si="46"/>
        <v>0</v>
      </c>
      <c r="AC68" s="999">
        <f t="shared" si="47"/>
        <v>0</v>
      </c>
      <c r="AD68" s="1755">
        <v>0</v>
      </c>
      <c r="AE68" s="999">
        <f t="shared" si="48"/>
        <v>0</v>
      </c>
      <c r="AF68" s="1755">
        <f>'[4]Table 5C1B-DArbonne'!T67+'[27]Table 5C1B-DArbonne'!AF67+('[26]Table 5C1B-DArbonne'!AF67*6)</f>
        <v>0</v>
      </c>
      <c r="AG68" s="1755">
        <f t="shared" si="49"/>
        <v>0</v>
      </c>
      <c r="AH68" s="999">
        <f t="shared" si="50"/>
        <v>0</v>
      </c>
      <c r="AI68" s="875">
        <f t="shared" si="56"/>
        <v>0</v>
      </c>
      <c r="AJ68" s="875">
        <f t="shared" si="51"/>
        <v>0</v>
      </c>
      <c r="AL68" s="49">
        <f>-'[4]Table 5C1B-DArbonne'!P67</f>
        <v>0</v>
      </c>
      <c r="AM68" s="49">
        <f t="shared" si="52"/>
        <v>0</v>
      </c>
      <c r="AN68" s="49">
        <f t="shared" si="53"/>
        <v>0</v>
      </c>
    </row>
    <row r="69" spans="1:40">
      <c r="A69" s="876">
        <v>62</v>
      </c>
      <c r="B69" s="877" t="s">
        <v>152</v>
      </c>
      <c r="C69" s="972">
        <f>'2-1-13 SIS'!H68</f>
        <v>0</v>
      </c>
      <c r="D69" s="882">
        <f>'Table 3 Levels 1&amp;2'!AL69</f>
        <v>5652.1730736722093</v>
      </c>
      <c r="E69" s="921">
        <f t="shared" si="33"/>
        <v>0</v>
      </c>
      <c r="F69" s="921">
        <f>'Table 4 Level 3'!P67</f>
        <v>516.08000000000004</v>
      </c>
      <c r="G69" s="921">
        <f t="shared" si="34"/>
        <v>0</v>
      </c>
      <c r="H69" s="905">
        <f t="shared" si="35"/>
        <v>0</v>
      </c>
      <c r="I69" s="1751">
        <f>+'[3]Oct midyear DArbonne'!K68</f>
        <v>0</v>
      </c>
      <c r="J69" s="1751">
        <f>'[3]Feb midyear DArbonne'!K68</f>
        <v>0</v>
      </c>
      <c r="K69" s="1697">
        <f t="shared" si="36"/>
        <v>0</v>
      </c>
      <c r="L69" s="1419">
        <f t="shared" si="54"/>
        <v>0</v>
      </c>
      <c r="M69" s="931">
        <f t="shared" si="37"/>
        <v>0</v>
      </c>
      <c r="N69" s="905">
        <f t="shared" si="38"/>
        <v>0</v>
      </c>
      <c r="O69" s="882">
        <v>0</v>
      </c>
      <c r="P69" s="1552">
        <f t="shared" si="39"/>
        <v>0</v>
      </c>
      <c r="Q69" s="1718">
        <f>'[4]Table 5C1B-DArbonne'!M68+'[27]Table 5C1B-DArbonne'!T68+('[26]Table 5C1B-DArbonne'!T68*6)</f>
        <v>0</v>
      </c>
      <c r="R69" s="1821">
        <f t="shared" si="40"/>
        <v>0</v>
      </c>
      <c r="S69" s="998">
        <f t="shared" si="41"/>
        <v>0</v>
      </c>
      <c r="T69" s="1802">
        <f>'[14]FY2013-14 Final'!K69</f>
        <v>1998</v>
      </c>
      <c r="U69" s="1555">
        <f t="shared" si="55"/>
        <v>0</v>
      </c>
      <c r="V69" s="1793">
        <f>+'[3]Oct midyear DArbonne'!E68</f>
        <v>0</v>
      </c>
      <c r="W69" s="1794">
        <f t="shared" si="42"/>
        <v>0</v>
      </c>
      <c r="X69" s="1758">
        <f>'[3]Feb midyear DArbonne'!E68</f>
        <v>0</v>
      </c>
      <c r="Y69" s="1759">
        <f t="shared" si="43"/>
        <v>0</v>
      </c>
      <c r="Z69" s="1653">
        <f t="shared" si="44"/>
        <v>0</v>
      </c>
      <c r="AA69" s="1425">
        <f t="shared" si="45"/>
        <v>0</v>
      </c>
      <c r="AB69" s="937">
        <f t="shared" si="46"/>
        <v>0</v>
      </c>
      <c r="AC69" s="1555">
        <f t="shared" si="47"/>
        <v>0</v>
      </c>
      <c r="AD69" s="1825">
        <v>0</v>
      </c>
      <c r="AE69" s="1555">
        <f t="shared" si="48"/>
        <v>0</v>
      </c>
      <c r="AF69" s="1755">
        <f>'[4]Table 5C1B-DArbonne'!T68+'[27]Table 5C1B-DArbonne'!AF68+('[26]Table 5C1B-DArbonne'!AF68*6)</f>
        <v>0</v>
      </c>
      <c r="AG69" s="1794">
        <f t="shared" si="49"/>
        <v>0</v>
      </c>
      <c r="AH69" s="999">
        <f t="shared" si="50"/>
        <v>0</v>
      </c>
      <c r="AI69" s="900">
        <f t="shared" si="56"/>
        <v>0</v>
      </c>
      <c r="AJ69" s="900">
        <f t="shared" si="51"/>
        <v>0</v>
      </c>
      <c r="AL69" s="49">
        <f>-'[4]Table 5C1B-DArbonne'!P68</f>
        <v>0</v>
      </c>
      <c r="AM69" s="49">
        <f t="shared" si="52"/>
        <v>0</v>
      </c>
      <c r="AN69" s="49">
        <f t="shared" si="53"/>
        <v>0</v>
      </c>
    </row>
    <row r="70" spans="1:40">
      <c r="A70" s="876">
        <v>63</v>
      </c>
      <c r="B70" s="877" t="s">
        <v>153</v>
      </c>
      <c r="C70" s="972">
        <f>'2-1-13 SIS'!H69</f>
        <v>0</v>
      </c>
      <c r="D70" s="882">
        <f>'Table 3 Levels 1&amp;2'!AL70</f>
        <v>4362.300753810403</v>
      </c>
      <c r="E70" s="921">
        <f t="shared" si="33"/>
        <v>0</v>
      </c>
      <c r="F70" s="921">
        <f>'Table 4 Level 3'!P68</f>
        <v>756.79</v>
      </c>
      <c r="G70" s="921">
        <f t="shared" si="34"/>
        <v>0</v>
      </c>
      <c r="H70" s="905">
        <f t="shared" si="35"/>
        <v>0</v>
      </c>
      <c r="I70" s="1751">
        <f>+'[3]Oct midyear DArbonne'!K69</f>
        <v>0</v>
      </c>
      <c r="J70" s="1751">
        <f>'[3]Feb midyear DArbonne'!K69</f>
        <v>0</v>
      </c>
      <c r="K70" s="1697">
        <f t="shared" si="36"/>
        <v>0</v>
      </c>
      <c r="L70" s="1419">
        <f t="shared" si="54"/>
        <v>0</v>
      </c>
      <c r="M70" s="931">
        <f t="shared" si="37"/>
        <v>0</v>
      </c>
      <c r="N70" s="905">
        <f t="shared" si="38"/>
        <v>0</v>
      </c>
      <c r="O70" s="882">
        <v>0</v>
      </c>
      <c r="P70" s="1552">
        <f t="shared" si="39"/>
        <v>0</v>
      </c>
      <c r="Q70" s="1718">
        <f>'[4]Table 5C1B-DArbonne'!M69+'[27]Table 5C1B-DArbonne'!T69+('[26]Table 5C1B-DArbonne'!T69*6)</f>
        <v>0</v>
      </c>
      <c r="R70" s="1821">
        <f t="shared" si="40"/>
        <v>0</v>
      </c>
      <c r="S70" s="998">
        <f t="shared" si="41"/>
        <v>0</v>
      </c>
      <c r="T70" s="1802">
        <f>'[14]FY2013-14 Final'!K70</f>
        <v>7391</v>
      </c>
      <c r="U70" s="1555">
        <f t="shared" si="55"/>
        <v>0</v>
      </c>
      <c r="V70" s="1793">
        <f>+'[3]Oct midyear DArbonne'!E69</f>
        <v>0</v>
      </c>
      <c r="W70" s="1794">
        <f t="shared" si="42"/>
        <v>0</v>
      </c>
      <c r="X70" s="1758">
        <f>'[3]Feb midyear DArbonne'!E69</f>
        <v>0</v>
      </c>
      <c r="Y70" s="1759">
        <f t="shared" si="43"/>
        <v>0</v>
      </c>
      <c r="Z70" s="1653">
        <f t="shared" si="44"/>
        <v>0</v>
      </c>
      <c r="AA70" s="1425">
        <f t="shared" si="45"/>
        <v>0</v>
      </c>
      <c r="AB70" s="937">
        <f t="shared" si="46"/>
        <v>0</v>
      </c>
      <c r="AC70" s="1555">
        <f t="shared" si="47"/>
        <v>0</v>
      </c>
      <c r="AD70" s="1825">
        <v>0</v>
      </c>
      <c r="AE70" s="1555">
        <f t="shared" si="48"/>
        <v>0</v>
      </c>
      <c r="AF70" s="1755">
        <f>'[4]Table 5C1B-DArbonne'!T69+'[27]Table 5C1B-DArbonne'!AF69+('[26]Table 5C1B-DArbonne'!AF69*6)</f>
        <v>0</v>
      </c>
      <c r="AG70" s="1794">
        <f t="shared" si="49"/>
        <v>0</v>
      </c>
      <c r="AH70" s="999">
        <f t="shared" si="50"/>
        <v>0</v>
      </c>
      <c r="AI70" s="900">
        <f t="shared" si="56"/>
        <v>0</v>
      </c>
      <c r="AJ70" s="900">
        <f t="shared" si="51"/>
        <v>0</v>
      </c>
      <c r="AL70" s="49">
        <f>-'[4]Table 5C1B-DArbonne'!P69</f>
        <v>0</v>
      </c>
      <c r="AM70" s="49">
        <f t="shared" si="52"/>
        <v>0</v>
      </c>
      <c r="AN70" s="49">
        <f t="shared" si="53"/>
        <v>0</v>
      </c>
    </row>
    <row r="71" spans="1:40">
      <c r="A71" s="876">
        <v>64</v>
      </c>
      <c r="B71" s="877" t="s">
        <v>154</v>
      </c>
      <c r="C71" s="972">
        <f>'2-1-13 SIS'!H70</f>
        <v>0</v>
      </c>
      <c r="D71" s="882">
        <f>'Table 3 Levels 1&amp;2'!AL71</f>
        <v>5960.2049072003338</v>
      </c>
      <c r="E71" s="921">
        <f t="shared" si="33"/>
        <v>0</v>
      </c>
      <c r="F71" s="921">
        <f>'Table 4 Level 3'!P69</f>
        <v>592.66</v>
      </c>
      <c r="G71" s="921">
        <f t="shared" si="34"/>
        <v>0</v>
      </c>
      <c r="H71" s="905">
        <f t="shared" si="35"/>
        <v>0</v>
      </c>
      <c r="I71" s="1751">
        <f>+'[3]Oct midyear DArbonne'!K70</f>
        <v>0</v>
      </c>
      <c r="J71" s="1751">
        <f>'[3]Feb midyear DArbonne'!K70</f>
        <v>0</v>
      </c>
      <c r="K71" s="1697">
        <f t="shared" si="36"/>
        <v>0</v>
      </c>
      <c r="L71" s="1419">
        <f t="shared" si="54"/>
        <v>0</v>
      </c>
      <c r="M71" s="931">
        <f t="shared" si="37"/>
        <v>0</v>
      </c>
      <c r="N71" s="905">
        <f t="shared" si="38"/>
        <v>0</v>
      </c>
      <c r="O71" s="882">
        <v>0</v>
      </c>
      <c r="P71" s="1552">
        <f t="shared" si="39"/>
        <v>0</v>
      </c>
      <c r="Q71" s="1718">
        <f>'[4]Table 5C1B-DArbonne'!M70+'[27]Table 5C1B-DArbonne'!T70+('[26]Table 5C1B-DArbonne'!T70*6)</f>
        <v>0</v>
      </c>
      <c r="R71" s="1821">
        <f t="shared" si="40"/>
        <v>0</v>
      </c>
      <c r="S71" s="998">
        <f t="shared" si="41"/>
        <v>0</v>
      </c>
      <c r="T71" s="1802">
        <f>'[14]FY2013-14 Final'!K71</f>
        <v>2902</v>
      </c>
      <c r="U71" s="1555">
        <f t="shared" si="55"/>
        <v>0</v>
      </c>
      <c r="V71" s="1793">
        <f>+'[3]Oct midyear DArbonne'!E70</f>
        <v>0</v>
      </c>
      <c r="W71" s="1794">
        <f t="shared" si="42"/>
        <v>0</v>
      </c>
      <c r="X71" s="1758">
        <f>'[3]Feb midyear DArbonne'!E70</f>
        <v>0</v>
      </c>
      <c r="Y71" s="1759">
        <f t="shared" si="43"/>
        <v>0</v>
      </c>
      <c r="Z71" s="1653">
        <f t="shared" si="44"/>
        <v>0</v>
      </c>
      <c r="AA71" s="1425">
        <f t="shared" si="45"/>
        <v>0</v>
      </c>
      <c r="AB71" s="937">
        <f t="shared" si="46"/>
        <v>0</v>
      </c>
      <c r="AC71" s="1555">
        <f t="shared" si="47"/>
        <v>0</v>
      </c>
      <c r="AD71" s="1825">
        <v>0</v>
      </c>
      <c r="AE71" s="1555">
        <f t="shared" si="48"/>
        <v>0</v>
      </c>
      <c r="AF71" s="1755">
        <f>'[4]Table 5C1B-DArbonne'!T70+'[27]Table 5C1B-DArbonne'!AF70+('[26]Table 5C1B-DArbonne'!AF70*6)</f>
        <v>0</v>
      </c>
      <c r="AG71" s="1794">
        <f t="shared" si="49"/>
        <v>0</v>
      </c>
      <c r="AH71" s="999">
        <f t="shared" si="50"/>
        <v>0</v>
      </c>
      <c r="AI71" s="900">
        <f t="shared" si="56"/>
        <v>0</v>
      </c>
      <c r="AJ71" s="900">
        <f t="shared" si="51"/>
        <v>0</v>
      </c>
      <c r="AL71" s="49">
        <f>-'[4]Table 5C1B-DArbonne'!P70</f>
        <v>0</v>
      </c>
      <c r="AM71" s="49">
        <f t="shared" si="52"/>
        <v>0</v>
      </c>
      <c r="AN71" s="49">
        <f t="shared" si="53"/>
        <v>0</v>
      </c>
    </row>
    <row r="72" spans="1:40">
      <c r="A72" s="879">
        <v>65</v>
      </c>
      <c r="B72" s="880" t="s">
        <v>155</v>
      </c>
      <c r="C72" s="973">
        <f>'2-1-13 SIS'!H71</f>
        <v>3</v>
      </c>
      <c r="D72" s="883">
        <f>'Table 3 Levels 1&amp;2'!AL72</f>
        <v>4579.2772303106676</v>
      </c>
      <c r="E72" s="922">
        <f t="shared" si="33"/>
        <v>13737.831690932002</v>
      </c>
      <c r="F72" s="922">
        <f>'Table 4 Level 3'!P70</f>
        <v>829.12</v>
      </c>
      <c r="G72" s="922">
        <f t="shared" si="34"/>
        <v>2487.36</v>
      </c>
      <c r="H72" s="906">
        <f t="shared" si="35"/>
        <v>16225.191690932003</v>
      </c>
      <c r="I72" s="1752">
        <f>+'[3]Oct midyear DArbonne'!K71</f>
        <v>0</v>
      </c>
      <c r="J72" s="1752">
        <f>'[3]Feb midyear DArbonne'!K71</f>
        <v>0</v>
      </c>
      <c r="K72" s="1698">
        <f t="shared" si="36"/>
        <v>0</v>
      </c>
      <c r="L72" s="1420">
        <f t="shared" ref="L72:L77" si="57">H72+K72</f>
        <v>16225.191690932003</v>
      </c>
      <c r="M72" s="932">
        <f t="shared" si="37"/>
        <v>-40.562979227330004</v>
      </c>
      <c r="N72" s="906">
        <f t="shared" si="38"/>
        <v>16184.628711704672</v>
      </c>
      <c r="O72" s="883">
        <v>0</v>
      </c>
      <c r="P72" s="1553">
        <f t="shared" si="39"/>
        <v>16184.628711704672</v>
      </c>
      <c r="Q72" s="1804">
        <f>'[4]Table 5C1B-DArbonne'!M71+'[27]Table 5C1B-DArbonne'!T71+('[26]Table 5C1B-DArbonne'!T71*6)</f>
        <v>1078.9752474469778</v>
      </c>
      <c r="R72" s="1822">
        <f t="shared" si="40"/>
        <v>15105.653464257695</v>
      </c>
      <c r="S72" s="1806">
        <f t="shared" si="41"/>
        <v>3776</v>
      </c>
      <c r="T72" s="1807">
        <f>'[14]FY2013-14 Final'!K72</f>
        <v>4823</v>
      </c>
      <c r="U72" s="1556">
        <f t="shared" ref="U72:U76" si="58">C72*T72</f>
        <v>14469</v>
      </c>
      <c r="V72" s="1795">
        <f>+'[3]Oct midyear DArbonne'!E71</f>
        <v>0</v>
      </c>
      <c r="W72" s="1796">
        <f t="shared" si="42"/>
        <v>0</v>
      </c>
      <c r="X72" s="1762">
        <f>'[3]Feb midyear DArbonne'!E71</f>
        <v>0</v>
      </c>
      <c r="Y72" s="1763">
        <f t="shared" si="43"/>
        <v>0</v>
      </c>
      <c r="Z72" s="1654">
        <f t="shared" si="44"/>
        <v>0</v>
      </c>
      <c r="AA72" s="1424">
        <f t="shared" si="45"/>
        <v>14469</v>
      </c>
      <c r="AB72" s="938">
        <f t="shared" si="46"/>
        <v>-36.172499999999999</v>
      </c>
      <c r="AC72" s="1556">
        <f t="shared" si="47"/>
        <v>14432.827499999999</v>
      </c>
      <c r="AD72" s="1826">
        <v>0</v>
      </c>
      <c r="AE72" s="1556">
        <f t="shared" si="48"/>
        <v>14432.827499999999</v>
      </c>
      <c r="AF72" s="1833">
        <f>'[4]Table 5C1B-DArbonne'!T71+'[27]Table 5C1B-DArbonne'!AF71+('[26]Table 5C1B-DArbonne'!AF71*6)</f>
        <v>997.69950000000017</v>
      </c>
      <c r="AG72" s="1796">
        <f t="shared" si="49"/>
        <v>13435.127999999999</v>
      </c>
      <c r="AH72" s="1659">
        <f t="shared" si="50"/>
        <v>3359</v>
      </c>
      <c r="AI72" s="904">
        <f t="shared" ref="AI72:AI76" si="59">P72+AE72</f>
        <v>30617.456211704673</v>
      </c>
      <c r="AJ72" s="904">
        <f t="shared" si="51"/>
        <v>7135</v>
      </c>
      <c r="AL72" s="49">
        <f>-'[4]Table 5C1B-DArbonne'!P71</f>
        <v>37.5075</v>
      </c>
      <c r="AM72" s="49">
        <f t="shared" si="52"/>
        <v>-36.172499999999999</v>
      </c>
      <c r="AN72" s="49">
        <f t="shared" si="53"/>
        <v>1.3350000000000009</v>
      </c>
    </row>
    <row r="73" spans="1:40">
      <c r="A73" s="870">
        <v>66</v>
      </c>
      <c r="B73" s="871" t="s">
        <v>156</v>
      </c>
      <c r="C73" s="974">
        <f>'2-1-13 SIS'!H72</f>
        <v>0</v>
      </c>
      <c r="D73" s="884">
        <f>'Table 3 Levels 1&amp;2'!AL73</f>
        <v>6370.8108195713585</v>
      </c>
      <c r="E73" s="923">
        <f t="shared" ref="E73:E77" si="60">C73*D73</f>
        <v>0</v>
      </c>
      <c r="F73" s="923">
        <f>'Table 4 Level 3'!P71</f>
        <v>730.06</v>
      </c>
      <c r="G73" s="923">
        <f t="shared" ref="G73:G77" si="61">C73*F73</f>
        <v>0</v>
      </c>
      <c r="H73" s="907">
        <f t="shared" ref="H73:H77" si="62">E73+G73</f>
        <v>0</v>
      </c>
      <c r="I73" s="1723">
        <f>+'[3]Oct midyear DArbonne'!K72</f>
        <v>0</v>
      </c>
      <c r="J73" s="1723">
        <f>'[3]Feb midyear DArbonne'!K72</f>
        <v>0</v>
      </c>
      <c r="K73" s="1547">
        <f t="shared" ref="K73:K77" si="63">SUM(I73:J73)</f>
        <v>0</v>
      </c>
      <c r="L73" s="1421">
        <f t="shared" si="57"/>
        <v>0</v>
      </c>
      <c r="M73" s="933">
        <f t="shared" ref="M73:M77" si="64">-(0.25%*L73)</f>
        <v>0</v>
      </c>
      <c r="N73" s="907">
        <f t="shared" ref="N73:N77" si="65">SUM(L73:M73)</f>
        <v>0</v>
      </c>
      <c r="O73" s="884">
        <v>0</v>
      </c>
      <c r="P73" s="996">
        <f t="shared" ref="P73:P77" si="66">SUM(N73:O73)</f>
        <v>0</v>
      </c>
      <c r="Q73" s="1718">
        <f>'[4]Table 5C1B-DArbonne'!M72+'[27]Table 5C1B-DArbonne'!T72+('[26]Table 5C1B-DArbonne'!T72*6)</f>
        <v>0</v>
      </c>
      <c r="R73" s="1723">
        <f t="shared" ref="R73:R77" si="67">P73-Q73</f>
        <v>0</v>
      </c>
      <c r="S73" s="998">
        <f t="shared" ref="S73:S76" si="68">ROUND(R73/4,0)</f>
        <v>0</v>
      </c>
      <c r="T73" s="1802">
        <f>'[14]FY2013-14 Final'!K73</f>
        <v>3524</v>
      </c>
      <c r="U73" s="999">
        <f t="shared" si="58"/>
        <v>0</v>
      </c>
      <c r="V73" s="1754">
        <f>+'[3]Oct midyear DArbonne'!E72</f>
        <v>0</v>
      </c>
      <c r="W73" s="1755">
        <f t="shared" ref="W73:W76" si="69">V73*T73</f>
        <v>0</v>
      </c>
      <c r="X73" s="1754">
        <f>'[3]Feb midyear DArbonne'!E72</f>
        <v>0</v>
      </c>
      <c r="Y73" s="1755">
        <f t="shared" ref="Y73:Y76" si="70">(T73*X73)*0.5</f>
        <v>0</v>
      </c>
      <c r="Z73" s="1652">
        <f t="shared" ref="Z73:Z76" si="71">+W73+Y73</f>
        <v>0</v>
      </c>
      <c r="AA73" s="1428">
        <f t="shared" ref="AA73:AA76" si="72">U73+Z73</f>
        <v>0</v>
      </c>
      <c r="AB73" s="936">
        <f t="shared" ref="AB73:AB76" si="73">-(0.25%*AA73)</f>
        <v>0</v>
      </c>
      <c r="AC73" s="999">
        <f t="shared" ref="AC73:AC76" si="74">SUM(AA73:AB73)</f>
        <v>0</v>
      </c>
      <c r="AD73" s="1755">
        <v>0</v>
      </c>
      <c r="AE73" s="999">
        <f t="shared" ref="AE73:AE76" si="75">SUM(AC73:AD73)</f>
        <v>0</v>
      </c>
      <c r="AF73" s="1755">
        <f>'[4]Table 5C1B-DArbonne'!T72+'[27]Table 5C1B-DArbonne'!AF72+('[26]Table 5C1B-DArbonne'!AF72*6)</f>
        <v>0</v>
      </c>
      <c r="AG73" s="1755">
        <f t="shared" ref="AG73:AG76" si="76">AE73-AF73</f>
        <v>0</v>
      </c>
      <c r="AH73" s="999">
        <f t="shared" ref="AH73:AH76" si="77">ROUND(AG73/4,0)</f>
        <v>0</v>
      </c>
      <c r="AI73" s="875">
        <f t="shared" si="59"/>
        <v>0</v>
      </c>
      <c r="AJ73" s="875">
        <f t="shared" ref="AJ73:AJ76" si="78">S73+AH73</f>
        <v>0</v>
      </c>
      <c r="AL73" s="49">
        <f>-'[4]Table 5C1B-DArbonne'!P72</f>
        <v>0</v>
      </c>
      <c r="AM73" s="49">
        <f>AB73</f>
        <v>0</v>
      </c>
      <c r="AN73" s="49">
        <f t="shared" ref="AN73:AN77" si="79">SUM(AL73:AM73)</f>
        <v>0</v>
      </c>
    </row>
    <row r="74" spans="1:40">
      <c r="A74" s="876">
        <v>67</v>
      </c>
      <c r="B74" s="877" t="s">
        <v>32</v>
      </c>
      <c r="C74" s="972">
        <f>'2-1-13 SIS'!H73</f>
        <v>0</v>
      </c>
      <c r="D74" s="882">
        <f>'Table 3 Levels 1&amp;2'!AL74</f>
        <v>4951.6009932106244</v>
      </c>
      <c r="E74" s="921">
        <f t="shared" si="60"/>
        <v>0</v>
      </c>
      <c r="F74" s="921">
        <f>'Table 4 Level 3'!P72</f>
        <v>715.61</v>
      </c>
      <c r="G74" s="921">
        <f t="shared" si="61"/>
        <v>0</v>
      </c>
      <c r="H74" s="905">
        <f t="shared" si="62"/>
        <v>0</v>
      </c>
      <c r="I74" s="1751">
        <f>+'[3]Oct midyear DArbonne'!K73</f>
        <v>0</v>
      </c>
      <c r="J74" s="1751">
        <f>'[3]Feb midyear DArbonne'!K73</f>
        <v>0</v>
      </c>
      <c r="K74" s="1697">
        <f t="shared" si="63"/>
        <v>0</v>
      </c>
      <c r="L74" s="1419">
        <f t="shared" si="57"/>
        <v>0</v>
      </c>
      <c r="M74" s="931">
        <f t="shared" si="64"/>
        <v>0</v>
      </c>
      <c r="N74" s="905">
        <f t="shared" si="65"/>
        <v>0</v>
      </c>
      <c r="O74" s="882">
        <v>0</v>
      </c>
      <c r="P74" s="1552">
        <f t="shared" si="66"/>
        <v>0</v>
      </c>
      <c r="Q74" s="1718">
        <f>'[4]Table 5C1B-DArbonne'!M73+'[27]Table 5C1B-DArbonne'!T73+('[26]Table 5C1B-DArbonne'!T73*6)</f>
        <v>0</v>
      </c>
      <c r="R74" s="1821">
        <f t="shared" si="67"/>
        <v>0</v>
      </c>
      <c r="S74" s="998">
        <f t="shared" si="68"/>
        <v>0</v>
      </c>
      <c r="T74" s="1802">
        <f>'[14]FY2013-14 Final'!K74</f>
        <v>5007</v>
      </c>
      <c r="U74" s="1555">
        <f t="shared" si="58"/>
        <v>0</v>
      </c>
      <c r="V74" s="1793">
        <f>+'[3]Oct midyear DArbonne'!E73</f>
        <v>0</v>
      </c>
      <c r="W74" s="1794">
        <f t="shared" si="69"/>
        <v>0</v>
      </c>
      <c r="X74" s="1758">
        <f>'[3]Feb midyear DArbonne'!E73</f>
        <v>0</v>
      </c>
      <c r="Y74" s="1759">
        <f t="shared" si="70"/>
        <v>0</v>
      </c>
      <c r="Z74" s="1653">
        <f t="shared" si="71"/>
        <v>0</v>
      </c>
      <c r="AA74" s="1425">
        <f t="shared" si="72"/>
        <v>0</v>
      </c>
      <c r="AB74" s="937">
        <f t="shared" si="73"/>
        <v>0</v>
      </c>
      <c r="AC74" s="1555">
        <f t="shared" si="74"/>
        <v>0</v>
      </c>
      <c r="AD74" s="1825">
        <v>0</v>
      </c>
      <c r="AE74" s="1555">
        <f t="shared" si="75"/>
        <v>0</v>
      </c>
      <c r="AF74" s="1755">
        <f>'[4]Table 5C1B-DArbonne'!T73+'[27]Table 5C1B-DArbonne'!AF73+('[26]Table 5C1B-DArbonne'!AF73*6)</f>
        <v>0</v>
      </c>
      <c r="AG74" s="1794">
        <f t="shared" si="76"/>
        <v>0</v>
      </c>
      <c r="AH74" s="999">
        <f t="shared" si="77"/>
        <v>0</v>
      </c>
      <c r="AI74" s="900">
        <f t="shared" si="59"/>
        <v>0</v>
      </c>
      <c r="AJ74" s="900">
        <f t="shared" si="78"/>
        <v>0</v>
      </c>
      <c r="AL74" s="49">
        <f>-'[4]Table 5C1B-DArbonne'!P73</f>
        <v>0</v>
      </c>
      <c r="AM74" s="49">
        <f>AB74</f>
        <v>0</v>
      </c>
      <c r="AN74" s="49">
        <f t="shared" si="79"/>
        <v>0</v>
      </c>
    </row>
    <row r="75" spans="1:40">
      <c r="A75" s="876">
        <v>68</v>
      </c>
      <c r="B75" s="877" t="s">
        <v>30</v>
      </c>
      <c r="C75" s="972">
        <f>'2-1-13 SIS'!H74</f>
        <v>0</v>
      </c>
      <c r="D75" s="882">
        <f>'Table 3 Levels 1&amp;2'!AL75</f>
        <v>6077.2398733698947</v>
      </c>
      <c r="E75" s="921">
        <f t="shared" si="60"/>
        <v>0</v>
      </c>
      <c r="F75" s="921">
        <f>'Table 4 Level 3'!P73</f>
        <v>798.7</v>
      </c>
      <c r="G75" s="921">
        <f t="shared" si="61"/>
        <v>0</v>
      </c>
      <c r="H75" s="905">
        <f t="shared" si="62"/>
        <v>0</v>
      </c>
      <c r="I75" s="1751">
        <f>+'[3]Oct midyear DArbonne'!K74</f>
        <v>0</v>
      </c>
      <c r="J75" s="1751">
        <f>'[3]Feb midyear DArbonne'!K74</f>
        <v>0</v>
      </c>
      <c r="K75" s="1697">
        <f t="shared" si="63"/>
        <v>0</v>
      </c>
      <c r="L75" s="1419">
        <f t="shared" si="57"/>
        <v>0</v>
      </c>
      <c r="M75" s="931">
        <f t="shared" si="64"/>
        <v>0</v>
      </c>
      <c r="N75" s="905">
        <f t="shared" si="65"/>
        <v>0</v>
      </c>
      <c r="O75" s="882">
        <v>0</v>
      </c>
      <c r="P75" s="1552">
        <f t="shared" si="66"/>
        <v>0</v>
      </c>
      <c r="Q75" s="1718">
        <f>'[4]Table 5C1B-DArbonne'!M74+'[27]Table 5C1B-DArbonne'!T74+('[26]Table 5C1B-DArbonne'!T74*6)</f>
        <v>0</v>
      </c>
      <c r="R75" s="1821">
        <f t="shared" si="67"/>
        <v>0</v>
      </c>
      <c r="S75" s="998">
        <f t="shared" si="68"/>
        <v>0</v>
      </c>
      <c r="T75" s="1802">
        <f>'[14]FY2013-14 Final'!K75</f>
        <v>2927</v>
      </c>
      <c r="U75" s="1555">
        <f t="shared" si="58"/>
        <v>0</v>
      </c>
      <c r="V75" s="1793">
        <f>+'[3]Oct midyear DArbonne'!E74</f>
        <v>0</v>
      </c>
      <c r="W75" s="1794">
        <f t="shared" si="69"/>
        <v>0</v>
      </c>
      <c r="X75" s="1758">
        <f>'[3]Feb midyear DArbonne'!E74</f>
        <v>0</v>
      </c>
      <c r="Y75" s="1759">
        <f t="shared" si="70"/>
        <v>0</v>
      </c>
      <c r="Z75" s="1653">
        <f t="shared" si="71"/>
        <v>0</v>
      </c>
      <c r="AA75" s="1425">
        <f t="shared" si="72"/>
        <v>0</v>
      </c>
      <c r="AB75" s="937">
        <f t="shared" si="73"/>
        <v>0</v>
      </c>
      <c r="AC75" s="1555">
        <f t="shared" si="74"/>
        <v>0</v>
      </c>
      <c r="AD75" s="1825">
        <v>0</v>
      </c>
      <c r="AE75" s="1555">
        <f t="shared" si="75"/>
        <v>0</v>
      </c>
      <c r="AF75" s="1755">
        <f>'[4]Table 5C1B-DArbonne'!T74+'[27]Table 5C1B-DArbonne'!AF74+('[26]Table 5C1B-DArbonne'!AF74*6)</f>
        <v>0</v>
      </c>
      <c r="AG75" s="1794">
        <f t="shared" si="76"/>
        <v>0</v>
      </c>
      <c r="AH75" s="999">
        <f t="shared" si="77"/>
        <v>0</v>
      </c>
      <c r="AI75" s="900">
        <f t="shared" si="59"/>
        <v>0</v>
      </c>
      <c r="AJ75" s="900">
        <f t="shared" si="78"/>
        <v>0</v>
      </c>
      <c r="AL75" s="49">
        <f>-'[4]Table 5C1B-DArbonne'!P74</f>
        <v>0</v>
      </c>
      <c r="AM75" s="49">
        <f>AB75</f>
        <v>0</v>
      </c>
      <c r="AN75" s="49">
        <f t="shared" si="79"/>
        <v>0</v>
      </c>
    </row>
    <row r="76" spans="1:40">
      <c r="A76" s="989">
        <v>69</v>
      </c>
      <c r="B76" s="990" t="s">
        <v>205</v>
      </c>
      <c r="C76" s="991">
        <f>'2-1-13 SIS'!H75</f>
        <v>0</v>
      </c>
      <c r="D76" s="992">
        <f>'Table 3 Levels 1&amp;2'!AL76</f>
        <v>5585.8253106686579</v>
      </c>
      <c r="E76" s="924">
        <f t="shared" si="60"/>
        <v>0</v>
      </c>
      <c r="F76" s="993">
        <f>'Table 4 Level 3'!P74</f>
        <v>705.67</v>
      </c>
      <c r="G76" s="924">
        <f t="shared" si="61"/>
        <v>0</v>
      </c>
      <c r="H76" s="908">
        <f t="shared" si="62"/>
        <v>0</v>
      </c>
      <c r="I76" s="1753">
        <f>+'[3]Oct midyear DArbonne'!K75</f>
        <v>0</v>
      </c>
      <c r="J76" s="1753">
        <f>'[3]Feb midyear DArbonne'!K75</f>
        <v>0</v>
      </c>
      <c r="K76" s="1699">
        <f t="shared" si="63"/>
        <v>0</v>
      </c>
      <c r="L76" s="1405">
        <f t="shared" si="57"/>
        <v>0</v>
      </c>
      <c r="M76" s="994">
        <f t="shared" si="64"/>
        <v>0</v>
      </c>
      <c r="N76" s="995">
        <f t="shared" si="65"/>
        <v>0</v>
      </c>
      <c r="O76" s="992">
        <v>0</v>
      </c>
      <c r="P76" s="1823">
        <f t="shared" si="66"/>
        <v>0</v>
      </c>
      <c r="Q76" s="1718">
        <f>'[4]Table 5C1B-DArbonne'!M75+'[27]Table 5C1B-DArbonne'!T75+('[26]Table 5C1B-DArbonne'!T75*6)</f>
        <v>0</v>
      </c>
      <c r="R76" s="1824">
        <f t="shared" si="67"/>
        <v>0</v>
      </c>
      <c r="S76" s="998">
        <f t="shared" si="68"/>
        <v>0</v>
      </c>
      <c r="T76" s="1802">
        <f>'[14]FY2013-14 Final'!K76</f>
        <v>3404</v>
      </c>
      <c r="U76" s="1557">
        <f t="shared" si="58"/>
        <v>0</v>
      </c>
      <c r="V76" s="1797">
        <f>+'[3]Oct midyear DArbonne'!E75</f>
        <v>0</v>
      </c>
      <c r="W76" s="1798">
        <f t="shared" si="69"/>
        <v>0</v>
      </c>
      <c r="X76" s="1766">
        <f>'[3]Feb midyear DArbonne'!E75</f>
        <v>0</v>
      </c>
      <c r="Y76" s="1767">
        <f t="shared" si="70"/>
        <v>0</v>
      </c>
      <c r="Z76" s="1655">
        <f t="shared" si="71"/>
        <v>0</v>
      </c>
      <c r="AA76" s="1411">
        <f t="shared" si="72"/>
        <v>0</v>
      </c>
      <c r="AB76" s="939">
        <f t="shared" si="73"/>
        <v>0</v>
      </c>
      <c r="AC76" s="1557">
        <f t="shared" si="74"/>
        <v>0</v>
      </c>
      <c r="AD76" s="1827">
        <v>0</v>
      </c>
      <c r="AE76" s="1557">
        <f t="shared" si="75"/>
        <v>0</v>
      </c>
      <c r="AF76" s="1755">
        <f>'[4]Table 5C1B-DArbonne'!T75+'[27]Table 5C1B-DArbonne'!AF75+('[26]Table 5C1B-DArbonne'!AF75*6)</f>
        <v>0</v>
      </c>
      <c r="AG76" s="1798">
        <f t="shared" si="76"/>
        <v>0</v>
      </c>
      <c r="AH76" s="999">
        <f t="shared" si="77"/>
        <v>0</v>
      </c>
      <c r="AI76" s="910">
        <f t="shared" si="59"/>
        <v>0</v>
      </c>
      <c r="AJ76" s="910">
        <f t="shared" si="78"/>
        <v>0</v>
      </c>
      <c r="AL76" s="49">
        <f>-'[4]Table 5C1B-DArbonne'!P75</f>
        <v>0</v>
      </c>
      <c r="AM76" s="49">
        <f>AB76</f>
        <v>0</v>
      </c>
      <c r="AN76" s="49">
        <f t="shared" si="79"/>
        <v>0</v>
      </c>
    </row>
    <row r="77" spans="1:40">
      <c r="A77" s="980"/>
      <c r="B77" s="981" t="s">
        <v>436</v>
      </c>
      <c r="C77" s="988">
        <f>'2-1-13 SIS'!H76</f>
        <v>1</v>
      </c>
      <c r="D77" s="884">
        <f>'Table 3 Levels 1&amp;2'!AL63</f>
        <v>4968.593189672727</v>
      </c>
      <c r="E77" s="924">
        <f t="shared" si="60"/>
        <v>4968.593189672727</v>
      </c>
      <c r="F77" s="923">
        <f>'Table 4 Level 3'!P61</f>
        <v>614.66000000000008</v>
      </c>
      <c r="G77" s="924">
        <f t="shared" si="61"/>
        <v>614.66000000000008</v>
      </c>
      <c r="H77" s="908">
        <f t="shared" si="62"/>
        <v>5583.2531896727269</v>
      </c>
      <c r="I77" s="1753">
        <f>+'[3]Oct midyear DArbonne'!K76</f>
        <v>0</v>
      </c>
      <c r="J77" s="1753">
        <f>'[3]Feb midyear DArbonne'!K76</f>
        <v>0</v>
      </c>
      <c r="K77" s="1699">
        <f t="shared" si="63"/>
        <v>0</v>
      </c>
      <c r="L77" s="1405">
        <f t="shared" si="57"/>
        <v>5583.2531896727269</v>
      </c>
      <c r="M77" s="994">
        <f t="shared" si="64"/>
        <v>-13.958132974181817</v>
      </c>
      <c r="N77" s="995">
        <f t="shared" si="65"/>
        <v>5569.2950566985446</v>
      </c>
      <c r="O77" s="992">
        <v>0</v>
      </c>
      <c r="P77" s="1823">
        <f t="shared" si="66"/>
        <v>5569.2950566985446</v>
      </c>
      <c r="Q77" s="1718">
        <f>'[4]Table 5C1B-DArbonne'!M76+'[27]Table 5C1B-DArbonne'!T76+('[26]Table 5C1B-DArbonne'!T76*6)</f>
        <v>168.76651686965286</v>
      </c>
      <c r="R77" s="1824">
        <f t="shared" si="67"/>
        <v>5400.5285398288916</v>
      </c>
      <c r="S77" s="998">
        <f t="shared" ref="S77" si="80">R77/4</f>
        <v>1350.1321349572229</v>
      </c>
      <c r="T77" s="1802"/>
      <c r="U77" s="1557"/>
      <c r="V77" s="1797">
        <f>+'[3]Oct midyear DArbonne'!E76</f>
        <v>0</v>
      </c>
      <c r="W77" s="1798"/>
      <c r="X77" s="1766">
        <f>'[3]Feb midyear DArbonne'!E76</f>
        <v>0</v>
      </c>
      <c r="Y77" s="1767"/>
      <c r="Z77" s="1655"/>
      <c r="AA77" s="1664"/>
      <c r="AB77" s="939"/>
      <c r="AC77" s="1557"/>
      <c r="AD77" s="1827"/>
      <c r="AE77" s="1557"/>
      <c r="AF77" s="1755"/>
      <c r="AG77" s="1798"/>
      <c r="AH77" s="999"/>
      <c r="AI77" s="910">
        <f>P77+AE77</f>
        <v>5569.2950566985446</v>
      </c>
      <c r="AJ77" s="910">
        <f>S77+AH77</f>
        <v>1350.1321349572229</v>
      </c>
      <c r="AL77" s="49">
        <f>-'[4]Table 5C1B-DArbonne'!P76</f>
        <v>0</v>
      </c>
      <c r="AM77" s="49">
        <f>AB77</f>
        <v>0</v>
      </c>
      <c r="AN77" s="49">
        <f t="shared" si="79"/>
        <v>0</v>
      </c>
    </row>
    <row r="78" spans="1:40" ht="13.5" thickBot="1">
      <c r="A78" s="888"/>
      <c r="B78" s="889" t="s">
        <v>157</v>
      </c>
      <c r="C78" s="890">
        <f>SUM(C8:C77)</f>
        <v>548</v>
      </c>
      <c r="D78" s="891"/>
      <c r="E78" s="925">
        <f>SUM(E8:E77)</f>
        <v>2719087.971096464</v>
      </c>
      <c r="F78" s="925">
        <f>'Table 4 Level 3'!P75</f>
        <v>704.49059912051428</v>
      </c>
      <c r="G78" s="925">
        <f t="shared" ref="G78:S78" si="81">SUM(G8:G77)</f>
        <v>338033.91</v>
      </c>
      <c r="H78" s="892">
        <f t="shared" si="81"/>
        <v>3057121.8810964641</v>
      </c>
      <c r="I78" s="1422">
        <f t="shared" ref="I78:K78" si="82">SUM(I8:I77)</f>
        <v>974615.33859372954</v>
      </c>
      <c r="J78" s="2058">
        <f t="shared" si="82"/>
        <v>-50249.278707054546</v>
      </c>
      <c r="K78" s="1422">
        <f t="shared" si="82"/>
        <v>924366.05988667486</v>
      </c>
      <c r="L78" s="1415">
        <f>SUM(L8:L77)</f>
        <v>3981487.940983139</v>
      </c>
      <c r="M78" s="935">
        <f t="shared" si="81"/>
        <v>-9953.7198524578471</v>
      </c>
      <c r="N78" s="892">
        <f t="shared" si="81"/>
        <v>3971534.2211306812</v>
      </c>
      <c r="O78" s="997">
        <f t="shared" si="81"/>
        <v>0</v>
      </c>
      <c r="P78" s="892">
        <f t="shared" si="81"/>
        <v>3971534.2211306812</v>
      </c>
      <c r="Q78" s="892">
        <f t="shared" si="81"/>
        <v>2691372.8315455108</v>
      </c>
      <c r="R78" s="892">
        <f t="shared" si="81"/>
        <v>1280161.3895851702</v>
      </c>
      <c r="S78" s="892">
        <f t="shared" si="81"/>
        <v>320040.13213495724</v>
      </c>
      <c r="T78" s="911">
        <f>'Table 5C1A-Madison Prep'!T77</f>
        <v>4626</v>
      </c>
      <c r="U78" s="893">
        <f t="shared" ref="U78:AJ78" si="83">SUM(U8:U77)</f>
        <v>1587428</v>
      </c>
      <c r="V78" s="1716">
        <f>SUM(V8:V77)</f>
        <v>175</v>
      </c>
      <c r="W78" s="1714">
        <f>SUM(W8:W77)</f>
        <v>507467</v>
      </c>
      <c r="X78" s="1715">
        <f t="shared" ref="X78:Z78" si="84">SUM(X8:X77)</f>
        <v>-18</v>
      </c>
      <c r="Y78" s="1665">
        <f t="shared" si="84"/>
        <v>-25677</v>
      </c>
      <c r="Z78" s="1665">
        <f t="shared" si="84"/>
        <v>481790</v>
      </c>
      <c r="AA78" s="1401">
        <f>SUM(AA8:AA77)</f>
        <v>2069218</v>
      </c>
      <c r="AB78" s="940">
        <f t="shared" si="83"/>
        <v>-5173.0450000000001</v>
      </c>
      <c r="AC78" s="893">
        <f t="shared" si="83"/>
        <v>2064044.9549999998</v>
      </c>
      <c r="AD78" s="893">
        <f t="shared" si="83"/>
        <v>0</v>
      </c>
      <c r="AE78" s="893">
        <f t="shared" si="83"/>
        <v>2064044.9549999998</v>
      </c>
      <c r="AF78" s="893">
        <f t="shared" si="83"/>
        <v>1356713.8600909093</v>
      </c>
      <c r="AG78" s="893">
        <f t="shared" si="83"/>
        <v>707331.09490909078</v>
      </c>
      <c r="AH78" s="893">
        <f t="shared" si="83"/>
        <v>176833</v>
      </c>
      <c r="AI78" s="894">
        <f t="shared" si="83"/>
        <v>6035579.1761306822</v>
      </c>
      <c r="AJ78" s="894">
        <f t="shared" si="83"/>
        <v>496873.13213495724</v>
      </c>
      <c r="AL78" s="49">
        <f>SUM(AL8:AL77)</f>
        <v>3866.6624999999999</v>
      </c>
      <c r="AM78" s="49">
        <f>SUM(AM8:AM77)</f>
        <v>-5173.0450000000001</v>
      </c>
      <c r="AN78" s="49">
        <f t="shared" ref="AN78" si="85">SUM(AN8:AN77)</f>
        <v>-1306.3825000000002</v>
      </c>
    </row>
    <row r="79" spans="1:40" ht="11.25" customHeight="1" thickTop="1"/>
    <row r="80" spans="1:40" hidden="1">
      <c r="M80" t="s">
        <v>951</v>
      </c>
      <c r="N80" s="49">
        <f>-'[4]Table 5C1B-DArbonne'!$I$77</f>
        <v>7642.8047027411612</v>
      </c>
    </row>
    <row r="81" spans="13:14" hidden="1">
      <c r="M81" t="s">
        <v>952</v>
      </c>
      <c r="N81" s="49">
        <f>M78</f>
        <v>-9953.7198524578471</v>
      </c>
    </row>
    <row r="82" spans="13:14" hidden="1">
      <c r="M82" t="s">
        <v>953</v>
      </c>
      <c r="N82" s="49">
        <f>SUM(N80:N81)</f>
        <v>-2310.9151497166858</v>
      </c>
    </row>
  </sheetData>
  <mergeCells count="30">
    <mergeCell ref="A2:B5"/>
    <mergeCell ref="C2:S2"/>
    <mergeCell ref="T2:AH2"/>
    <mergeCell ref="AI2:AI5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I4:I5"/>
    <mergeCell ref="J4:J5"/>
    <mergeCell ref="K4:K5"/>
    <mergeCell ref="L4:L5"/>
    <mergeCell ref="I3:K3"/>
    <mergeCell ref="V3:Z3"/>
    <mergeCell ref="V4:V5"/>
    <mergeCell ref="W4:W5"/>
    <mergeCell ref="AA4:AA5"/>
    <mergeCell ref="P4:P5"/>
    <mergeCell ref="S4:S5"/>
    <mergeCell ref="T4:T5"/>
    <mergeCell ref="X4:X5"/>
    <mergeCell ref="Y4:Y5"/>
  </mergeCells>
  <pageMargins left="0.32" right="0.32" top="0.75" bottom="0.75" header="0.3" footer="0.3"/>
  <pageSetup paperSize="5" scale="59" firstPageNumber="52" orientation="portrait" useFirstPageNumber="1" r:id="rId1"/>
  <headerFooter>
    <oddHeader>&amp;L&amp;"Arial,Bold"&amp;20Table 5C1-B: FY2013-14 MFP Budget Letter (March 2014)
D'Arbonne Woods Charter School</oddHeader>
    <oddFooter>&amp;R&amp;P</oddFooter>
  </headerFooter>
  <colBreaks count="3" manualBreakCount="3">
    <brk id="12" max="1048575" man="1"/>
    <brk id="19" max="1048575" man="1"/>
    <brk id="31" min="1" max="7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N82"/>
  <sheetViews>
    <sheetView view="pageBreakPreview" zoomScale="90" zoomScaleNormal="100" zoomScaleSheetLayoutView="90" workbookViewId="0">
      <pane xSplit="2" ySplit="7" topLeftCell="C65" activePane="bottomRight" state="frozen"/>
      <selection activeCell="AL6" sqref="AL6"/>
      <selection pane="topRight" activeCell="AL6" sqref="AL6"/>
      <selection pane="bottomLeft" activeCell="AL6" sqref="AL6"/>
      <selection pane="bottomRight" activeCell="M1" sqref="M1:S1048576"/>
    </sheetView>
  </sheetViews>
  <sheetFormatPr defaultRowHeight="12.75"/>
  <cols>
    <col min="1" max="1" width="4.28515625" customWidth="1"/>
    <col min="2" max="2" width="17.85546875" bestFit="1" customWidth="1"/>
    <col min="3" max="3" width="12.5703125" customWidth="1"/>
    <col min="4" max="4" width="17" customWidth="1"/>
    <col min="5" max="5" width="11" bestFit="1" customWidth="1"/>
    <col min="6" max="6" width="12" customWidth="1"/>
    <col min="7" max="7" width="12.5703125" bestFit="1" customWidth="1"/>
    <col min="8" max="8" width="11.85546875" bestFit="1" customWidth="1"/>
    <col min="9" max="12" width="11.85546875" style="1464" customWidth="1"/>
    <col min="13" max="13" width="12.28515625" customWidth="1"/>
    <col min="14" max="14" width="12" bestFit="1" customWidth="1"/>
    <col min="15" max="15" width="13.42578125" bestFit="1" customWidth="1"/>
    <col min="16" max="16" width="13.5703125" bestFit="1" customWidth="1"/>
    <col min="17" max="18" width="13.5703125" style="1464" customWidth="1"/>
    <col min="19" max="19" width="10.28515625" customWidth="1"/>
    <col min="20" max="20" width="17.28515625" customWidth="1"/>
    <col min="21" max="21" width="16.7109375" customWidth="1"/>
    <col min="22" max="27" width="16.7109375" style="1464" customWidth="1"/>
    <col min="28" max="28" width="13.7109375" customWidth="1"/>
    <col min="29" max="29" width="17" customWidth="1"/>
    <col min="30" max="30" width="15.28515625" customWidth="1"/>
    <col min="31" max="31" width="13.140625" customWidth="1"/>
    <col min="32" max="33" width="13.140625" style="1464" customWidth="1"/>
    <col min="34" max="34" width="12" customWidth="1"/>
    <col min="35" max="35" width="11" customWidth="1"/>
    <col min="36" max="36" width="12.140625" customWidth="1"/>
    <col min="37" max="37" width="2.5703125" customWidth="1"/>
    <col min="38" max="38" width="9.140625" hidden="1" customWidth="1"/>
    <col min="39" max="39" width="10.5703125" hidden="1" customWidth="1"/>
    <col min="40" max="40" width="9.140625" hidden="1" customWidth="1"/>
  </cols>
  <sheetData>
    <row r="1" spans="1:40">
      <c r="C1" s="271"/>
      <c r="D1" s="271"/>
      <c r="E1" s="271"/>
      <c r="F1" s="271"/>
      <c r="G1" s="271"/>
      <c r="H1" s="271"/>
      <c r="I1" s="1465"/>
      <c r="J1" s="1465"/>
      <c r="K1" s="1465"/>
      <c r="L1" s="1465"/>
      <c r="M1" s="271"/>
      <c r="N1" s="271"/>
      <c r="O1" s="271"/>
      <c r="P1" s="271"/>
      <c r="Q1" s="1465"/>
      <c r="R1" s="1465"/>
      <c r="S1" s="271"/>
    </row>
    <row r="2" spans="1:40" ht="45" customHeight="1">
      <c r="A2" s="2350" t="s">
        <v>753</v>
      </c>
      <c r="B2" s="2351"/>
      <c r="C2" s="2343" t="s">
        <v>440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46"/>
      <c r="W2" s="2346"/>
      <c r="X2" s="2320"/>
      <c r="Y2" s="2320"/>
      <c r="Z2" s="2320"/>
      <c r="AA2" s="2346"/>
      <c r="AB2" s="2318"/>
      <c r="AC2" s="2318"/>
      <c r="AD2" s="2318"/>
      <c r="AE2" s="2318"/>
      <c r="AF2" s="2346"/>
      <c r="AG2" s="2346"/>
      <c r="AH2" s="2321"/>
      <c r="AI2" s="2307" t="s">
        <v>542</v>
      </c>
      <c r="AJ2" s="2307" t="s">
        <v>527</v>
      </c>
    </row>
    <row r="3" spans="1:40" s="1464" customFormat="1" ht="22.15" customHeight="1">
      <c r="A3" s="2352"/>
      <c r="B3" s="2353"/>
      <c r="C3" s="1585"/>
      <c r="D3" s="1593"/>
      <c r="E3" s="1593"/>
      <c r="F3" s="1593"/>
      <c r="G3" s="1593"/>
      <c r="H3" s="1593"/>
      <c r="I3" s="2347" t="s">
        <v>772</v>
      </c>
      <c r="J3" s="2348"/>
      <c r="K3" s="2349"/>
      <c r="L3" s="1593"/>
      <c r="M3" s="1593"/>
      <c r="N3" s="1593"/>
      <c r="O3" s="1593"/>
      <c r="P3" s="1593"/>
      <c r="Q3" s="1593"/>
      <c r="R3" s="1593"/>
      <c r="S3" s="1594"/>
      <c r="T3" s="1584"/>
      <c r="U3" s="1582"/>
      <c r="V3" s="2357" t="s">
        <v>772</v>
      </c>
      <c r="W3" s="2358"/>
      <c r="X3" s="2358"/>
      <c r="Y3" s="2358"/>
      <c r="Z3" s="2359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</row>
    <row r="4" spans="1:40" ht="135" customHeight="1">
      <c r="A4" s="2354"/>
      <c r="B4" s="2353"/>
      <c r="C4" s="2311" t="s">
        <v>825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42" t="s">
        <v>784</v>
      </c>
      <c r="J4" s="2342" t="s">
        <v>785</v>
      </c>
      <c r="K4" s="2342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89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89" t="s">
        <v>808</v>
      </c>
      <c r="AC4" s="2314" t="s">
        <v>805</v>
      </c>
      <c r="AD4" s="2314" t="s">
        <v>794</v>
      </c>
      <c r="AE4" s="2314" t="s">
        <v>806</v>
      </c>
      <c r="AF4" s="1592" t="s">
        <v>807</v>
      </c>
      <c r="AG4" s="1592" t="s">
        <v>795</v>
      </c>
      <c r="AH4" s="1589" t="s">
        <v>540</v>
      </c>
      <c r="AI4" s="2309"/>
      <c r="AJ4" s="2309"/>
    </row>
    <row r="5" spans="1:40" ht="22.5" customHeight="1">
      <c r="A5" s="2355"/>
      <c r="B5" s="2356"/>
      <c r="C5" s="231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90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590"/>
      <c r="AG5" s="1590"/>
      <c r="AH5" s="1590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AJ6" si="1">E6+1</f>
        <v>4</v>
      </c>
      <c r="G6" s="869">
        <f t="shared" si="1"/>
        <v>5</v>
      </c>
      <c r="H6" s="869">
        <f t="shared" si="1"/>
        <v>6</v>
      </c>
      <c r="I6" s="869">
        <f t="shared" ref="I6" si="2">H6+1</f>
        <v>7</v>
      </c>
      <c r="J6" s="869">
        <f t="shared" ref="J6" si="3">I6+1</f>
        <v>8</v>
      </c>
      <c r="K6" s="869">
        <f t="shared" ref="K6" si="4">J6+1</f>
        <v>9</v>
      </c>
      <c r="L6" s="869">
        <f t="shared" ref="L6" si="5">K6+1</f>
        <v>10</v>
      </c>
      <c r="M6" s="869">
        <f t="shared" ref="M6" si="6">L6+1</f>
        <v>11</v>
      </c>
      <c r="N6" s="869">
        <f t="shared" si="1"/>
        <v>12</v>
      </c>
      <c r="O6" s="869">
        <f t="shared" si="1"/>
        <v>13</v>
      </c>
      <c r="P6" s="869">
        <f t="shared" si="1"/>
        <v>14</v>
      </c>
      <c r="Q6" s="869">
        <f t="shared" ref="Q6" si="7">P6+1</f>
        <v>15</v>
      </c>
      <c r="R6" s="869">
        <f t="shared" ref="R6" si="8">Q6+1</f>
        <v>16</v>
      </c>
      <c r="S6" s="869">
        <f t="shared" ref="S6" si="9">R6+1</f>
        <v>17</v>
      </c>
      <c r="T6" s="869">
        <f t="shared" si="1"/>
        <v>18</v>
      </c>
      <c r="U6" s="869">
        <f t="shared" si="1"/>
        <v>19</v>
      </c>
      <c r="V6" s="869">
        <f t="shared" ref="V6" si="10">U6+1</f>
        <v>20</v>
      </c>
      <c r="W6" s="869">
        <f t="shared" ref="W6" si="11">V6+1</f>
        <v>21</v>
      </c>
      <c r="X6" s="869">
        <f t="shared" ref="X6" si="12">W6+1</f>
        <v>22</v>
      </c>
      <c r="Y6" s="869">
        <f t="shared" ref="Y6" si="13">X6+1</f>
        <v>23</v>
      </c>
      <c r="Z6" s="869">
        <f t="shared" ref="Z6" si="14">Y6+1</f>
        <v>24</v>
      </c>
      <c r="AA6" s="869">
        <f t="shared" ref="AA6" si="15">Z6+1</f>
        <v>25</v>
      </c>
      <c r="AB6" s="869">
        <f t="shared" ref="AB6" si="16">AA6+1</f>
        <v>26</v>
      </c>
      <c r="AC6" s="869">
        <f t="shared" si="1"/>
        <v>27</v>
      </c>
      <c r="AD6" s="869">
        <f t="shared" si="1"/>
        <v>28</v>
      </c>
      <c r="AE6" s="869">
        <f t="shared" si="1"/>
        <v>29</v>
      </c>
      <c r="AF6" s="869">
        <f t="shared" ref="AF6" si="17">AE6+1</f>
        <v>30</v>
      </c>
      <c r="AG6" s="869">
        <f t="shared" ref="AG6" si="18">AF6+1</f>
        <v>31</v>
      </c>
      <c r="AH6" s="869">
        <f t="shared" ref="AH6" si="19">AG6+1</f>
        <v>32</v>
      </c>
      <c r="AI6" s="869">
        <f t="shared" si="1"/>
        <v>33</v>
      </c>
      <c r="AJ6" s="869">
        <f t="shared" si="1"/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535"/>
      <c r="J7" s="1535"/>
      <c r="K7" s="1535"/>
      <c r="L7" s="1535"/>
      <c r="M7" s="896"/>
      <c r="N7" s="896"/>
      <c r="O7" s="896"/>
      <c r="P7" s="896"/>
      <c r="Q7" s="1535"/>
      <c r="R7" s="1535"/>
      <c r="S7" s="896"/>
      <c r="T7" s="896"/>
      <c r="U7" s="896"/>
      <c r="V7" s="1535"/>
      <c r="W7" s="1535"/>
      <c r="X7" s="1535"/>
      <c r="Y7" s="1535"/>
      <c r="Z7" s="1535"/>
      <c r="AA7" s="1535"/>
      <c r="AB7" s="896"/>
      <c r="AC7" s="896"/>
      <c r="AD7" s="896"/>
      <c r="AE7" s="896"/>
      <c r="AF7" s="1535"/>
      <c r="AG7" s="1535"/>
      <c r="AH7" s="896"/>
      <c r="AI7" s="896"/>
      <c r="AJ7" s="896"/>
      <c r="AL7" s="2036" t="s">
        <v>945</v>
      </c>
      <c r="AM7" s="2035" t="s">
        <v>946</v>
      </c>
      <c r="AN7" s="2035" t="s">
        <v>947</v>
      </c>
    </row>
    <row r="8" spans="1:40">
      <c r="A8" s="870">
        <v>1</v>
      </c>
      <c r="B8" s="871" t="s">
        <v>92</v>
      </c>
      <c r="C8" s="971">
        <f>'2-1-13 SIS'!K7</f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Intl_VIBE '!K7</f>
        <v>0</v>
      </c>
      <c r="J8" s="1718">
        <f>'[3]Feb midyear Intl_VIBE '!K7</f>
        <v>0</v>
      </c>
      <c r="K8" s="1542">
        <f>SUM(I8:J8)</f>
        <v>0</v>
      </c>
      <c r="L8" s="1520">
        <f>+H8+K8</f>
        <v>0</v>
      </c>
      <c r="M8" s="928">
        <f>-(0.25%*L8)</f>
        <v>0</v>
      </c>
      <c r="N8" s="873">
        <f>SUM(L8:M8)</f>
        <v>0</v>
      </c>
      <c r="O8" s="872">
        <v>0</v>
      </c>
      <c r="P8" s="873">
        <f>SUM(N8:O8)</f>
        <v>0</v>
      </c>
      <c r="Q8" s="872">
        <f>+'[4]Table 5C1C-Intl_VIBE'!M7*8</f>
        <v>0</v>
      </c>
      <c r="R8" s="872">
        <f>+P8-Q8</f>
        <v>0</v>
      </c>
      <c r="S8" s="873">
        <f>ROUND(R8/4,0)</f>
        <v>0</v>
      </c>
      <c r="T8" s="897">
        <f>'Table 5C1A-Madison Prep'!T8</f>
        <v>2180</v>
      </c>
      <c r="U8" s="874">
        <f t="shared" ref="U8:U39" si="20">C8*T8</f>
        <v>0</v>
      </c>
      <c r="V8" s="1754">
        <f>+'[3]Oct midyear Intl_VIBE '!E7</f>
        <v>0</v>
      </c>
      <c r="W8" s="1755">
        <f>+T8*V8</f>
        <v>0</v>
      </c>
      <c r="X8" s="1754">
        <f>'[3]Feb midyear Intl_VIBE '!E7</f>
        <v>0</v>
      </c>
      <c r="Y8" s="1755">
        <f>(T8*X8)*0.5</f>
        <v>0</v>
      </c>
      <c r="Z8" s="1652">
        <f>+W8+Y8</f>
        <v>0</v>
      </c>
      <c r="AA8" s="1521">
        <f>+U8+Z8</f>
        <v>0</v>
      </c>
      <c r="AB8" s="936">
        <f>-(0.25%*AA8)</f>
        <v>0</v>
      </c>
      <c r="AC8" s="874">
        <f>SUM(AA8:AB8)</f>
        <v>0</v>
      </c>
      <c r="AD8" s="1829">
        <v>0</v>
      </c>
      <c r="AE8" s="874">
        <f>SUM(AC8:AD8)</f>
        <v>0</v>
      </c>
      <c r="AF8" s="1755">
        <f>+'[4]Table 5C1C-Intl_VIBE'!T7*8</f>
        <v>0</v>
      </c>
      <c r="AG8" s="1755">
        <f>+AE8-AF8</f>
        <v>0</v>
      </c>
      <c r="AH8" s="999">
        <f>ROUND(AG8/4,0)</f>
        <v>0</v>
      </c>
      <c r="AI8" s="875">
        <f>P8+AE8</f>
        <v>0</v>
      </c>
      <c r="AJ8" s="875">
        <f>S8+AH8</f>
        <v>0</v>
      </c>
      <c r="AL8" s="49">
        <f>-'[4]Table 5C1C-Intl_VIBE'!P7</f>
        <v>0</v>
      </c>
      <c r="AM8" s="49">
        <f>AB8</f>
        <v>0</v>
      </c>
      <c r="AN8" s="49">
        <f>SUM(AL8:AM8)</f>
        <v>0</v>
      </c>
    </row>
    <row r="9" spans="1:40">
      <c r="A9" s="876">
        <v>2</v>
      </c>
      <c r="B9" s="877" t="s">
        <v>93</v>
      </c>
      <c r="C9" s="969">
        <f>'2-1-13 SIS'!K8</f>
        <v>0</v>
      </c>
      <c r="D9" s="878">
        <f>'Table 3 Levels 1&amp;2'!AL9</f>
        <v>6182.4313545138375</v>
      </c>
      <c r="E9" s="919">
        <f t="shared" ref="E9:E72" si="21">C9*D9</f>
        <v>0</v>
      </c>
      <c r="F9" s="919">
        <f>'Table 4 Level 3'!P7</f>
        <v>842.32</v>
      </c>
      <c r="G9" s="919">
        <f t="shared" ref="G9:G72" si="22">C9*F9</f>
        <v>0</v>
      </c>
      <c r="H9" s="898">
        <f t="shared" ref="H9:H72" si="23">E9+G9</f>
        <v>0</v>
      </c>
      <c r="I9" s="1732">
        <f>+'[3]Oct midyear Intl_VIBE '!K8</f>
        <v>0</v>
      </c>
      <c r="J9" s="1732">
        <f>'[3]Feb midyear Intl_VIBE '!K8</f>
        <v>0</v>
      </c>
      <c r="K9" s="1543">
        <f t="shared" ref="K9:K72" si="24">SUM(I9:J9)</f>
        <v>0</v>
      </c>
      <c r="L9" s="1485">
        <f t="shared" ref="L9:L72" si="25">+H9+K9</f>
        <v>0</v>
      </c>
      <c r="M9" s="929">
        <f t="shared" ref="M9:M72" si="26">-(0.25%*L9)</f>
        <v>0</v>
      </c>
      <c r="N9" s="898">
        <f t="shared" ref="N9:N72" si="27">SUM(L9:M9)</f>
        <v>0</v>
      </c>
      <c r="O9" s="878">
        <v>0</v>
      </c>
      <c r="P9" s="898">
        <f t="shared" ref="P9:P72" si="28">SUM(N9:O9)</f>
        <v>0</v>
      </c>
      <c r="Q9" s="1844">
        <f>+'[4]Table 5C1C-Intl_VIBE'!M8*8</f>
        <v>0</v>
      </c>
      <c r="R9" s="1844">
        <f t="shared" ref="R9:R72" si="29">+P9-Q9</f>
        <v>0</v>
      </c>
      <c r="S9" s="898">
        <f t="shared" ref="S9:S72" si="30">ROUND(R9/4,0)</f>
        <v>0</v>
      </c>
      <c r="T9" s="897">
        <f>'Table 5C1A-Madison Prep'!T9</f>
        <v>2759</v>
      </c>
      <c r="U9" s="899">
        <f t="shared" si="20"/>
        <v>0</v>
      </c>
      <c r="V9" s="1758">
        <f>+'[3]Oct midyear Intl_VIBE '!E8</f>
        <v>0</v>
      </c>
      <c r="W9" s="1759">
        <f t="shared" ref="W9:W72" si="31">+T9*V9</f>
        <v>0</v>
      </c>
      <c r="X9" s="1758">
        <f>'[3]Feb midyear Intl_VIBE '!E8</f>
        <v>0</v>
      </c>
      <c r="Y9" s="1759">
        <f t="shared" ref="Y9:Y72" si="32">(T9*X9)*0.5</f>
        <v>0</v>
      </c>
      <c r="Z9" s="1653">
        <f t="shared" ref="Z9:Z72" si="33">+W9+Y9</f>
        <v>0</v>
      </c>
      <c r="AA9" s="1486">
        <f t="shared" ref="AA9:AA72" si="34">+U9+Z9</f>
        <v>0</v>
      </c>
      <c r="AB9" s="937">
        <f t="shared" ref="AB9:AB72" si="35">-(0.25%*AA9)</f>
        <v>0</v>
      </c>
      <c r="AC9" s="899">
        <f t="shared" ref="AC9:AC72" si="36">SUM(AA9:AB9)</f>
        <v>0</v>
      </c>
      <c r="AD9" s="1830">
        <v>0</v>
      </c>
      <c r="AE9" s="899">
        <f t="shared" ref="AE9:AE72" si="37">SUM(AC9:AD9)</f>
        <v>0</v>
      </c>
      <c r="AF9" s="1759">
        <f>+'[4]Table 5C1C-Intl_VIBE'!T8*8</f>
        <v>0</v>
      </c>
      <c r="AG9" s="1759">
        <f t="shared" ref="AG9:AG72" si="38">+AE9-AF9</f>
        <v>0</v>
      </c>
      <c r="AH9" s="999">
        <f t="shared" ref="AH9:AH72" si="39">ROUND(AG9/4,0)</f>
        <v>0</v>
      </c>
      <c r="AI9" s="900">
        <f t="shared" ref="AI9:AI40" si="40">P9+AE9</f>
        <v>0</v>
      </c>
      <c r="AJ9" s="900">
        <f t="shared" ref="AJ9:AJ72" si="41">S9+AH9</f>
        <v>0</v>
      </c>
      <c r="AL9" s="49">
        <f>-'[4]Table 5C1C-Intl_VIBE'!P8</f>
        <v>0</v>
      </c>
      <c r="AM9" s="49">
        <f t="shared" ref="AM9:AM72" si="42">AB9</f>
        <v>0</v>
      </c>
      <c r="AN9" s="49">
        <f t="shared" ref="AN9:AN56" si="43">SUM(AL9:AM9)</f>
        <v>0</v>
      </c>
    </row>
    <row r="10" spans="1:40">
      <c r="A10" s="876">
        <v>3</v>
      </c>
      <c r="B10" s="877" t="s">
        <v>94</v>
      </c>
      <c r="C10" s="969">
        <f>'2-1-13 SIS'!K9</f>
        <v>0</v>
      </c>
      <c r="D10" s="878">
        <f>'Table 3 Levels 1&amp;2'!AL10</f>
        <v>4206.710737685361</v>
      </c>
      <c r="E10" s="919">
        <f t="shared" si="21"/>
        <v>0</v>
      </c>
      <c r="F10" s="919">
        <f>'Table 4 Level 3'!P8</f>
        <v>596.84</v>
      </c>
      <c r="G10" s="919">
        <f t="shared" si="22"/>
        <v>0</v>
      </c>
      <c r="H10" s="898">
        <f t="shared" si="23"/>
        <v>0</v>
      </c>
      <c r="I10" s="1732">
        <f>+'[3]Oct midyear Intl_VIBE '!K9</f>
        <v>0</v>
      </c>
      <c r="J10" s="1732">
        <f>'[3]Feb midyear Intl_VIBE '!K9</f>
        <v>0</v>
      </c>
      <c r="K10" s="1543">
        <f t="shared" si="24"/>
        <v>0</v>
      </c>
      <c r="L10" s="1485">
        <f t="shared" si="25"/>
        <v>0</v>
      </c>
      <c r="M10" s="929">
        <f t="shared" si="26"/>
        <v>0</v>
      </c>
      <c r="N10" s="898">
        <f t="shared" si="27"/>
        <v>0</v>
      </c>
      <c r="O10" s="878">
        <v>0</v>
      </c>
      <c r="P10" s="898">
        <f t="shared" si="28"/>
        <v>0</v>
      </c>
      <c r="Q10" s="1844">
        <f>+'[4]Table 5C1C-Intl_VIBE'!M9*8</f>
        <v>0</v>
      </c>
      <c r="R10" s="1844">
        <f t="shared" si="29"/>
        <v>0</v>
      </c>
      <c r="S10" s="898">
        <f t="shared" si="30"/>
        <v>0</v>
      </c>
      <c r="T10" s="897">
        <f>'Table 5C1A-Madison Prep'!T10</f>
        <v>5538</v>
      </c>
      <c r="U10" s="899">
        <f t="shared" si="20"/>
        <v>0</v>
      </c>
      <c r="V10" s="1758">
        <f>+'[3]Oct midyear Intl_VIBE '!E9</f>
        <v>0</v>
      </c>
      <c r="W10" s="1759">
        <f t="shared" si="31"/>
        <v>0</v>
      </c>
      <c r="X10" s="1758">
        <f>'[3]Feb midyear Intl_VIBE '!E9</f>
        <v>0</v>
      </c>
      <c r="Y10" s="1759">
        <f t="shared" si="32"/>
        <v>0</v>
      </c>
      <c r="Z10" s="1653">
        <f t="shared" si="33"/>
        <v>0</v>
      </c>
      <c r="AA10" s="1486">
        <f t="shared" si="34"/>
        <v>0</v>
      </c>
      <c r="AB10" s="937">
        <f t="shared" si="35"/>
        <v>0</v>
      </c>
      <c r="AC10" s="899">
        <f t="shared" si="36"/>
        <v>0</v>
      </c>
      <c r="AD10" s="1830">
        <v>0</v>
      </c>
      <c r="AE10" s="899">
        <f t="shared" si="37"/>
        <v>0</v>
      </c>
      <c r="AF10" s="1759">
        <f>+'[4]Table 5C1C-Intl_VIBE'!T9*8</f>
        <v>0</v>
      </c>
      <c r="AG10" s="1759">
        <f t="shared" si="38"/>
        <v>0</v>
      </c>
      <c r="AH10" s="999">
        <f t="shared" si="39"/>
        <v>0</v>
      </c>
      <c r="AI10" s="900">
        <f t="shared" si="40"/>
        <v>0</v>
      </c>
      <c r="AJ10" s="900">
        <f t="shared" si="41"/>
        <v>0</v>
      </c>
      <c r="AL10" s="49">
        <f>-'[4]Table 5C1C-Intl_VIBE'!P9</f>
        <v>0</v>
      </c>
      <c r="AM10" s="49">
        <f t="shared" si="42"/>
        <v>0</v>
      </c>
      <c r="AN10" s="49">
        <f t="shared" si="43"/>
        <v>0</v>
      </c>
    </row>
    <row r="11" spans="1:40">
      <c r="A11" s="876">
        <v>4</v>
      </c>
      <c r="B11" s="877" t="s">
        <v>95</v>
      </c>
      <c r="C11" s="969">
        <f>'2-1-13 SIS'!K10</f>
        <v>0</v>
      </c>
      <c r="D11" s="878">
        <f>'Table 3 Levels 1&amp;2'!AL11</f>
        <v>5987.4993535453223</v>
      </c>
      <c r="E11" s="919">
        <f t="shared" si="21"/>
        <v>0</v>
      </c>
      <c r="F11" s="919">
        <f>'Table 4 Level 3'!P9</f>
        <v>585.76</v>
      </c>
      <c r="G11" s="919">
        <f t="shared" si="22"/>
        <v>0</v>
      </c>
      <c r="H11" s="898">
        <f t="shared" si="23"/>
        <v>0</v>
      </c>
      <c r="I11" s="1732">
        <f>+'[3]Oct midyear Intl_VIBE '!K10</f>
        <v>0</v>
      </c>
      <c r="J11" s="1732">
        <f>'[3]Feb midyear Intl_VIBE '!K10</f>
        <v>0</v>
      </c>
      <c r="K11" s="1543">
        <f t="shared" si="24"/>
        <v>0</v>
      </c>
      <c r="L11" s="1485">
        <f t="shared" si="25"/>
        <v>0</v>
      </c>
      <c r="M11" s="929">
        <f t="shared" si="26"/>
        <v>0</v>
      </c>
      <c r="N11" s="898">
        <f t="shared" si="27"/>
        <v>0</v>
      </c>
      <c r="O11" s="878">
        <v>0</v>
      </c>
      <c r="P11" s="898">
        <f t="shared" si="28"/>
        <v>0</v>
      </c>
      <c r="Q11" s="1844">
        <f>+'[4]Table 5C1C-Intl_VIBE'!M10*8</f>
        <v>0</v>
      </c>
      <c r="R11" s="1844">
        <f t="shared" si="29"/>
        <v>0</v>
      </c>
      <c r="S11" s="898">
        <f t="shared" si="30"/>
        <v>0</v>
      </c>
      <c r="T11" s="897">
        <f>'Table 5C1A-Madison Prep'!T11</f>
        <v>3507</v>
      </c>
      <c r="U11" s="899">
        <f t="shared" si="20"/>
        <v>0</v>
      </c>
      <c r="V11" s="1758">
        <f>+'[3]Oct midyear Intl_VIBE '!E10</f>
        <v>0</v>
      </c>
      <c r="W11" s="1759">
        <f t="shared" si="31"/>
        <v>0</v>
      </c>
      <c r="X11" s="1758">
        <f>'[3]Feb midyear Intl_VIBE '!E10</f>
        <v>0</v>
      </c>
      <c r="Y11" s="1759">
        <f t="shared" si="32"/>
        <v>0</v>
      </c>
      <c r="Z11" s="1653">
        <f t="shared" si="33"/>
        <v>0</v>
      </c>
      <c r="AA11" s="1486">
        <f t="shared" si="34"/>
        <v>0</v>
      </c>
      <c r="AB11" s="937">
        <f t="shared" si="35"/>
        <v>0</v>
      </c>
      <c r="AC11" s="899">
        <f t="shared" si="36"/>
        <v>0</v>
      </c>
      <c r="AD11" s="1830">
        <v>0</v>
      </c>
      <c r="AE11" s="899">
        <f t="shared" si="37"/>
        <v>0</v>
      </c>
      <c r="AF11" s="1759">
        <f>+'[4]Table 5C1C-Intl_VIBE'!T10*8</f>
        <v>0</v>
      </c>
      <c r="AG11" s="1759">
        <f t="shared" si="38"/>
        <v>0</v>
      </c>
      <c r="AH11" s="999">
        <f t="shared" si="39"/>
        <v>0</v>
      </c>
      <c r="AI11" s="900">
        <f t="shared" si="40"/>
        <v>0</v>
      </c>
      <c r="AJ11" s="900">
        <f t="shared" si="41"/>
        <v>0</v>
      </c>
      <c r="AL11" s="49">
        <f>-'[4]Table 5C1C-Intl_VIBE'!P10</f>
        <v>0</v>
      </c>
      <c r="AM11" s="49">
        <f t="shared" si="42"/>
        <v>0</v>
      </c>
      <c r="AN11" s="49">
        <f t="shared" si="43"/>
        <v>0</v>
      </c>
    </row>
    <row r="12" spans="1:40">
      <c r="A12" s="879">
        <v>5</v>
      </c>
      <c r="B12" s="880" t="s">
        <v>96</v>
      </c>
      <c r="C12" s="970">
        <f>'2-1-13 SIS'!K11</f>
        <v>0</v>
      </c>
      <c r="D12" s="881">
        <f>'Table 3 Levels 1&amp;2'!AL12</f>
        <v>4986.8166927080074</v>
      </c>
      <c r="E12" s="920">
        <f t="shared" si="21"/>
        <v>0</v>
      </c>
      <c r="F12" s="920">
        <f>'Table 4 Level 3'!P10</f>
        <v>555.91</v>
      </c>
      <c r="G12" s="920">
        <f t="shared" si="22"/>
        <v>0</v>
      </c>
      <c r="H12" s="901">
        <f t="shared" si="23"/>
        <v>0</v>
      </c>
      <c r="I12" s="1733">
        <f>+'[3]Oct midyear Intl_VIBE '!K11</f>
        <v>0</v>
      </c>
      <c r="J12" s="1733">
        <f>'[3]Feb midyear Intl_VIBE '!K11</f>
        <v>0</v>
      </c>
      <c r="K12" s="1544">
        <f t="shared" si="24"/>
        <v>0</v>
      </c>
      <c r="L12" s="1487">
        <f t="shared" si="25"/>
        <v>0</v>
      </c>
      <c r="M12" s="930">
        <f t="shared" si="26"/>
        <v>0</v>
      </c>
      <c r="N12" s="901">
        <f t="shared" si="27"/>
        <v>0</v>
      </c>
      <c r="O12" s="881">
        <v>0</v>
      </c>
      <c r="P12" s="901">
        <f t="shared" si="28"/>
        <v>0</v>
      </c>
      <c r="Q12" s="1845">
        <f>+'[4]Table 5C1C-Intl_VIBE'!M11*8</f>
        <v>0</v>
      </c>
      <c r="R12" s="1845">
        <f t="shared" si="29"/>
        <v>0</v>
      </c>
      <c r="S12" s="901">
        <f t="shared" si="30"/>
        <v>0</v>
      </c>
      <c r="T12" s="902">
        <f>'Table 5C1A-Madison Prep'!T12</f>
        <v>2086</v>
      </c>
      <c r="U12" s="903">
        <f t="shared" si="20"/>
        <v>0</v>
      </c>
      <c r="V12" s="1762">
        <f>+'[3]Oct midyear Intl_VIBE '!E11</f>
        <v>0</v>
      </c>
      <c r="W12" s="1763">
        <f t="shared" si="31"/>
        <v>0</v>
      </c>
      <c r="X12" s="1762">
        <f>'[3]Feb midyear Intl_VIBE '!E11</f>
        <v>0</v>
      </c>
      <c r="Y12" s="1763">
        <f t="shared" si="32"/>
        <v>0</v>
      </c>
      <c r="Z12" s="1654">
        <f t="shared" si="33"/>
        <v>0</v>
      </c>
      <c r="AA12" s="1488">
        <f t="shared" si="34"/>
        <v>0</v>
      </c>
      <c r="AB12" s="938">
        <f t="shared" si="35"/>
        <v>0</v>
      </c>
      <c r="AC12" s="903">
        <f t="shared" si="36"/>
        <v>0</v>
      </c>
      <c r="AD12" s="1831">
        <v>0</v>
      </c>
      <c r="AE12" s="903">
        <f t="shared" si="37"/>
        <v>0</v>
      </c>
      <c r="AF12" s="1763">
        <f>+'[4]Table 5C1C-Intl_VIBE'!T11*8</f>
        <v>0</v>
      </c>
      <c r="AG12" s="1763">
        <f t="shared" si="38"/>
        <v>0</v>
      </c>
      <c r="AH12" s="1659">
        <f t="shared" si="39"/>
        <v>0</v>
      </c>
      <c r="AI12" s="904">
        <f t="shared" si="40"/>
        <v>0</v>
      </c>
      <c r="AJ12" s="904">
        <f t="shared" si="41"/>
        <v>0</v>
      </c>
      <c r="AL12" s="49">
        <f>-'[4]Table 5C1C-Intl_VIBE'!P11</f>
        <v>0</v>
      </c>
      <c r="AM12" s="49">
        <f t="shared" si="42"/>
        <v>0</v>
      </c>
      <c r="AN12" s="49">
        <f t="shared" si="43"/>
        <v>0</v>
      </c>
    </row>
    <row r="13" spans="1:40">
      <c r="A13" s="870">
        <v>6</v>
      </c>
      <c r="B13" s="871" t="s">
        <v>97</v>
      </c>
      <c r="C13" s="971">
        <f>'2-1-13 SIS'!K12</f>
        <v>0</v>
      </c>
      <c r="D13" s="872">
        <f>'Table 3 Levels 1&amp;2'!AL13</f>
        <v>5412.7883404260592</v>
      </c>
      <c r="E13" s="918">
        <f t="shared" si="21"/>
        <v>0</v>
      </c>
      <c r="F13" s="918">
        <f>'Table 4 Level 3'!P11</f>
        <v>545.4799999999999</v>
      </c>
      <c r="G13" s="918">
        <f t="shared" si="22"/>
        <v>0</v>
      </c>
      <c r="H13" s="873">
        <f t="shared" si="23"/>
        <v>0</v>
      </c>
      <c r="I13" s="1718">
        <f>+'[3]Oct midyear Intl_VIBE '!K12</f>
        <v>0</v>
      </c>
      <c r="J13" s="1718">
        <f>'[3]Feb midyear Intl_VIBE '!K12</f>
        <v>0</v>
      </c>
      <c r="K13" s="1542">
        <f t="shared" si="24"/>
        <v>0</v>
      </c>
      <c r="L13" s="1520">
        <f t="shared" si="25"/>
        <v>0</v>
      </c>
      <c r="M13" s="928">
        <f t="shared" si="26"/>
        <v>0</v>
      </c>
      <c r="N13" s="873">
        <f t="shared" si="27"/>
        <v>0</v>
      </c>
      <c r="O13" s="872">
        <v>0</v>
      </c>
      <c r="P13" s="873">
        <f t="shared" si="28"/>
        <v>0</v>
      </c>
      <c r="Q13" s="872">
        <f>+'[4]Table 5C1C-Intl_VIBE'!M12*8</f>
        <v>0</v>
      </c>
      <c r="R13" s="872">
        <f t="shared" si="29"/>
        <v>0</v>
      </c>
      <c r="S13" s="873">
        <f t="shared" si="30"/>
        <v>0</v>
      </c>
      <c r="T13" s="897">
        <f>'Table 5C1A-Madison Prep'!T13</f>
        <v>3683</v>
      </c>
      <c r="U13" s="874">
        <f t="shared" si="20"/>
        <v>0</v>
      </c>
      <c r="V13" s="1754">
        <f>+'[3]Oct midyear Intl_VIBE '!E12</f>
        <v>0</v>
      </c>
      <c r="W13" s="1755">
        <f t="shared" si="31"/>
        <v>0</v>
      </c>
      <c r="X13" s="1754">
        <f>'[3]Feb midyear Intl_VIBE '!E12</f>
        <v>0</v>
      </c>
      <c r="Y13" s="1755">
        <f t="shared" si="32"/>
        <v>0</v>
      </c>
      <c r="Z13" s="1652">
        <f t="shared" si="33"/>
        <v>0</v>
      </c>
      <c r="AA13" s="1521">
        <f t="shared" si="34"/>
        <v>0</v>
      </c>
      <c r="AB13" s="936">
        <f t="shared" si="35"/>
        <v>0</v>
      </c>
      <c r="AC13" s="874">
        <f t="shared" si="36"/>
        <v>0</v>
      </c>
      <c r="AD13" s="1829">
        <v>0</v>
      </c>
      <c r="AE13" s="874">
        <f t="shared" si="37"/>
        <v>0</v>
      </c>
      <c r="AF13" s="1755">
        <f>+'[4]Table 5C1C-Intl_VIBE'!T12*8</f>
        <v>0</v>
      </c>
      <c r="AG13" s="1755">
        <f t="shared" si="38"/>
        <v>0</v>
      </c>
      <c r="AH13" s="999">
        <f t="shared" si="39"/>
        <v>0</v>
      </c>
      <c r="AI13" s="875">
        <f t="shared" si="40"/>
        <v>0</v>
      </c>
      <c r="AJ13" s="875">
        <f t="shared" si="41"/>
        <v>0</v>
      </c>
      <c r="AL13" s="49">
        <f>-'[4]Table 5C1C-Intl_VIBE'!P12</f>
        <v>0</v>
      </c>
      <c r="AM13" s="49">
        <f t="shared" si="42"/>
        <v>0</v>
      </c>
      <c r="AN13" s="49">
        <f t="shared" si="43"/>
        <v>0</v>
      </c>
    </row>
    <row r="14" spans="1:40">
      <c r="A14" s="876">
        <v>7</v>
      </c>
      <c r="B14" s="877" t="s">
        <v>98</v>
      </c>
      <c r="C14" s="969">
        <f>'2-1-13 SIS'!K13</f>
        <v>0</v>
      </c>
      <c r="D14" s="878">
        <f>'Table 3 Levels 1&amp;2'!AL14</f>
        <v>1766.1023604176123</v>
      </c>
      <c r="E14" s="919">
        <f t="shared" si="21"/>
        <v>0</v>
      </c>
      <c r="F14" s="919">
        <f>'Table 4 Level 3'!P12</f>
        <v>756.91999999999985</v>
      </c>
      <c r="G14" s="919">
        <f t="shared" si="22"/>
        <v>0</v>
      </c>
      <c r="H14" s="898">
        <f t="shared" si="23"/>
        <v>0</v>
      </c>
      <c r="I14" s="1732">
        <f>+'[3]Oct midyear Intl_VIBE '!K13</f>
        <v>0</v>
      </c>
      <c r="J14" s="1732">
        <f>'[3]Feb midyear Intl_VIBE '!K13</f>
        <v>0</v>
      </c>
      <c r="K14" s="1543">
        <f t="shared" si="24"/>
        <v>0</v>
      </c>
      <c r="L14" s="1485">
        <f t="shared" si="25"/>
        <v>0</v>
      </c>
      <c r="M14" s="929">
        <f t="shared" si="26"/>
        <v>0</v>
      </c>
      <c r="N14" s="898">
        <f t="shared" si="27"/>
        <v>0</v>
      </c>
      <c r="O14" s="878">
        <v>0</v>
      </c>
      <c r="P14" s="898">
        <f t="shared" si="28"/>
        <v>0</v>
      </c>
      <c r="Q14" s="1844">
        <f>+'[4]Table 5C1C-Intl_VIBE'!M13*8</f>
        <v>0</v>
      </c>
      <c r="R14" s="1844">
        <f t="shared" si="29"/>
        <v>0</v>
      </c>
      <c r="S14" s="898">
        <f t="shared" si="30"/>
        <v>0</v>
      </c>
      <c r="T14" s="897">
        <f>'Table 5C1A-Madison Prep'!T14</f>
        <v>11801</v>
      </c>
      <c r="U14" s="899">
        <f t="shared" si="20"/>
        <v>0</v>
      </c>
      <c r="V14" s="1758">
        <f>+'[3]Oct midyear Intl_VIBE '!E13</f>
        <v>0</v>
      </c>
      <c r="W14" s="1759">
        <f t="shared" si="31"/>
        <v>0</v>
      </c>
      <c r="X14" s="1758">
        <f>'[3]Feb midyear Intl_VIBE '!E13</f>
        <v>0</v>
      </c>
      <c r="Y14" s="1759">
        <f t="shared" si="32"/>
        <v>0</v>
      </c>
      <c r="Z14" s="1653">
        <f t="shared" si="33"/>
        <v>0</v>
      </c>
      <c r="AA14" s="1486">
        <f t="shared" si="34"/>
        <v>0</v>
      </c>
      <c r="AB14" s="937">
        <f t="shared" si="35"/>
        <v>0</v>
      </c>
      <c r="AC14" s="899">
        <f t="shared" si="36"/>
        <v>0</v>
      </c>
      <c r="AD14" s="1830">
        <v>0</v>
      </c>
      <c r="AE14" s="899">
        <f t="shared" si="37"/>
        <v>0</v>
      </c>
      <c r="AF14" s="1759">
        <f>+'[4]Table 5C1C-Intl_VIBE'!T13*8</f>
        <v>0</v>
      </c>
      <c r="AG14" s="1759">
        <f t="shared" si="38"/>
        <v>0</v>
      </c>
      <c r="AH14" s="999">
        <f t="shared" si="39"/>
        <v>0</v>
      </c>
      <c r="AI14" s="900">
        <f t="shared" si="40"/>
        <v>0</v>
      </c>
      <c r="AJ14" s="900">
        <f t="shared" si="41"/>
        <v>0</v>
      </c>
      <c r="AL14" s="49">
        <f>-'[4]Table 5C1C-Intl_VIBE'!P13</f>
        <v>0</v>
      </c>
      <c r="AM14" s="49">
        <f t="shared" si="42"/>
        <v>0</v>
      </c>
      <c r="AN14" s="49">
        <f t="shared" si="43"/>
        <v>0</v>
      </c>
    </row>
    <row r="15" spans="1:40">
      <c r="A15" s="876">
        <v>8</v>
      </c>
      <c r="B15" s="877" t="s">
        <v>99</v>
      </c>
      <c r="C15" s="969">
        <f>'2-1-13 SIS'!K14</f>
        <v>0</v>
      </c>
      <c r="D15" s="878">
        <f>'Table 3 Levels 1&amp;2'!AL15</f>
        <v>4289.5073606712331</v>
      </c>
      <c r="E15" s="919">
        <f t="shared" si="21"/>
        <v>0</v>
      </c>
      <c r="F15" s="919">
        <f>'Table 4 Level 3'!P13</f>
        <v>725.76</v>
      </c>
      <c r="G15" s="919">
        <f t="shared" si="22"/>
        <v>0</v>
      </c>
      <c r="H15" s="898">
        <f t="shared" si="23"/>
        <v>0</v>
      </c>
      <c r="I15" s="1732">
        <f>+'[3]Oct midyear Intl_VIBE '!K14</f>
        <v>0</v>
      </c>
      <c r="J15" s="1732">
        <f>'[3]Feb midyear Intl_VIBE '!K14</f>
        <v>0</v>
      </c>
      <c r="K15" s="1543">
        <f t="shared" si="24"/>
        <v>0</v>
      </c>
      <c r="L15" s="1485">
        <f t="shared" si="25"/>
        <v>0</v>
      </c>
      <c r="M15" s="929">
        <f t="shared" si="26"/>
        <v>0</v>
      </c>
      <c r="N15" s="898">
        <f t="shared" si="27"/>
        <v>0</v>
      </c>
      <c r="O15" s="878">
        <v>0</v>
      </c>
      <c r="P15" s="898">
        <f t="shared" si="28"/>
        <v>0</v>
      </c>
      <c r="Q15" s="1844">
        <f>+'[4]Table 5C1C-Intl_VIBE'!M14*8</f>
        <v>0</v>
      </c>
      <c r="R15" s="1844">
        <f t="shared" si="29"/>
        <v>0</v>
      </c>
      <c r="S15" s="898">
        <f t="shared" si="30"/>
        <v>0</v>
      </c>
      <c r="T15" s="897">
        <f>'Table 5C1A-Madison Prep'!T15</f>
        <v>3988</v>
      </c>
      <c r="U15" s="899">
        <f t="shared" si="20"/>
        <v>0</v>
      </c>
      <c r="V15" s="1758">
        <f>+'[3]Oct midyear Intl_VIBE '!E14</f>
        <v>0</v>
      </c>
      <c r="W15" s="1759">
        <f t="shared" si="31"/>
        <v>0</v>
      </c>
      <c r="X15" s="1758">
        <f>'[3]Feb midyear Intl_VIBE '!E14</f>
        <v>0</v>
      </c>
      <c r="Y15" s="1759">
        <f t="shared" si="32"/>
        <v>0</v>
      </c>
      <c r="Z15" s="1653">
        <f t="shared" si="33"/>
        <v>0</v>
      </c>
      <c r="AA15" s="1486">
        <f t="shared" si="34"/>
        <v>0</v>
      </c>
      <c r="AB15" s="937">
        <f t="shared" si="35"/>
        <v>0</v>
      </c>
      <c r="AC15" s="899">
        <f t="shared" si="36"/>
        <v>0</v>
      </c>
      <c r="AD15" s="1830">
        <v>0</v>
      </c>
      <c r="AE15" s="899">
        <f t="shared" si="37"/>
        <v>0</v>
      </c>
      <c r="AF15" s="1759">
        <f>+'[4]Table 5C1C-Intl_VIBE'!T14*8</f>
        <v>0</v>
      </c>
      <c r="AG15" s="1759">
        <f t="shared" si="38"/>
        <v>0</v>
      </c>
      <c r="AH15" s="999">
        <f t="shared" si="39"/>
        <v>0</v>
      </c>
      <c r="AI15" s="900">
        <f t="shared" si="40"/>
        <v>0</v>
      </c>
      <c r="AJ15" s="900">
        <f t="shared" si="41"/>
        <v>0</v>
      </c>
      <c r="AL15" s="49">
        <f>-'[4]Table 5C1C-Intl_VIBE'!P14</f>
        <v>0</v>
      </c>
      <c r="AM15" s="49">
        <f t="shared" si="42"/>
        <v>0</v>
      </c>
      <c r="AN15" s="49">
        <f t="shared" si="43"/>
        <v>0</v>
      </c>
    </row>
    <row r="16" spans="1:40">
      <c r="A16" s="876">
        <v>9</v>
      </c>
      <c r="B16" s="877" t="s">
        <v>100</v>
      </c>
      <c r="C16" s="969">
        <f>'2-1-13 SIS'!K15</f>
        <v>0</v>
      </c>
      <c r="D16" s="878">
        <f>'Table 3 Levels 1&amp;2'!AL16</f>
        <v>4395.6154516889328</v>
      </c>
      <c r="E16" s="919">
        <f t="shared" si="21"/>
        <v>0</v>
      </c>
      <c r="F16" s="919">
        <f>'Table 4 Level 3'!P14</f>
        <v>744.76</v>
      </c>
      <c r="G16" s="919">
        <f t="shared" si="22"/>
        <v>0</v>
      </c>
      <c r="H16" s="898">
        <f t="shared" si="23"/>
        <v>0</v>
      </c>
      <c r="I16" s="1732">
        <f>+'[3]Oct midyear Intl_VIBE '!K15</f>
        <v>0</v>
      </c>
      <c r="J16" s="1732">
        <f>'[3]Feb midyear Intl_VIBE '!K15</f>
        <v>0</v>
      </c>
      <c r="K16" s="1543">
        <f t="shared" si="24"/>
        <v>0</v>
      </c>
      <c r="L16" s="1485">
        <f t="shared" si="25"/>
        <v>0</v>
      </c>
      <c r="M16" s="929">
        <f t="shared" si="26"/>
        <v>0</v>
      </c>
      <c r="N16" s="898">
        <f t="shared" si="27"/>
        <v>0</v>
      </c>
      <c r="O16" s="878">
        <v>0</v>
      </c>
      <c r="P16" s="898">
        <f t="shared" si="28"/>
        <v>0</v>
      </c>
      <c r="Q16" s="1844">
        <f>+'[4]Table 5C1C-Intl_VIBE'!M15*8</f>
        <v>0</v>
      </c>
      <c r="R16" s="1844">
        <f t="shared" si="29"/>
        <v>0</v>
      </c>
      <c r="S16" s="898">
        <f t="shared" si="30"/>
        <v>0</v>
      </c>
      <c r="T16" s="897">
        <f>'Table 5C1A-Madison Prep'!T16</f>
        <v>4677</v>
      </c>
      <c r="U16" s="899">
        <f t="shared" si="20"/>
        <v>0</v>
      </c>
      <c r="V16" s="1758">
        <f>+'[3]Oct midyear Intl_VIBE '!E15</f>
        <v>0</v>
      </c>
      <c r="W16" s="1759">
        <f t="shared" si="31"/>
        <v>0</v>
      </c>
      <c r="X16" s="1758">
        <f>'[3]Feb midyear Intl_VIBE '!E15</f>
        <v>0</v>
      </c>
      <c r="Y16" s="1759">
        <f t="shared" si="32"/>
        <v>0</v>
      </c>
      <c r="Z16" s="1653">
        <f t="shared" si="33"/>
        <v>0</v>
      </c>
      <c r="AA16" s="1486">
        <f t="shared" si="34"/>
        <v>0</v>
      </c>
      <c r="AB16" s="937">
        <f t="shared" si="35"/>
        <v>0</v>
      </c>
      <c r="AC16" s="899">
        <f t="shared" si="36"/>
        <v>0</v>
      </c>
      <c r="AD16" s="1830">
        <v>0</v>
      </c>
      <c r="AE16" s="899">
        <f t="shared" si="37"/>
        <v>0</v>
      </c>
      <c r="AF16" s="1759">
        <f>+'[4]Table 5C1C-Intl_VIBE'!T15*8</f>
        <v>0</v>
      </c>
      <c r="AG16" s="1759">
        <f t="shared" si="38"/>
        <v>0</v>
      </c>
      <c r="AH16" s="999">
        <f t="shared" si="39"/>
        <v>0</v>
      </c>
      <c r="AI16" s="900">
        <f t="shared" si="40"/>
        <v>0</v>
      </c>
      <c r="AJ16" s="900">
        <f t="shared" si="41"/>
        <v>0</v>
      </c>
      <c r="AL16" s="49">
        <f>-'[4]Table 5C1C-Intl_VIBE'!P15</f>
        <v>0</v>
      </c>
      <c r="AM16" s="49">
        <f t="shared" si="42"/>
        <v>0</v>
      </c>
      <c r="AN16" s="49">
        <f t="shared" si="43"/>
        <v>0</v>
      </c>
    </row>
    <row r="17" spans="1:40">
      <c r="A17" s="879">
        <v>10</v>
      </c>
      <c r="B17" s="880" t="s">
        <v>101</v>
      </c>
      <c r="C17" s="970">
        <f>'2-1-13 SIS'!K16</f>
        <v>0</v>
      </c>
      <c r="D17" s="881">
        <f>'Table 3 Levels 1&amp;2'!AL17</f>
        <v>4253.5980618992444</v>
      </c>
      <c r="E17" s="920">
        <f t="shared" si="21"/>
        <v>0</v>
      </c>
      <c r="F17" s="920">
        <f>'Table 4 Level 3'!P15</f>
        <v>608.04000000000008</v>
      </c>
      <c r="G17" s="920">
        <f t="shared" si="22"/>
        <v>0</v>
      </c>
      <c r="H17" s="901">
        <f t="shared" si="23"/>
        <v>0</v>
      </c>
      <c r="I17" s="1733">
        <f>+'[3]Oct midyear Intl_VIBE '!K16</f>
        <v>0</v>
      </c>
      <c r="J17" s="1733">
        <f>'[3]Feb midyear Intl_VIBE '!K16</f>
        <v>0</v>
      </c>
      <c r="K17" s="1544">
        <f t="shared" si="24"/>
        <v>0</v>
      </c>
      <c r="L17" s="1487">
        <f t="shared" si="25"/>
        <v>0</v>
      </c>
      <c r="M17" s="930">
        <f t="shared" si="26"/>
        <v>0</v>
      </c>
      <c r="N17" s="901">
        <f t="shared" si="27"/>
        <v>0</v>
      </c>
      <c r="O17" s="881">
        <v>0</v>
      </c>
      <c r="P17" s="901">
        <f t="shared" si="28"/>
        <v>0</v>
      </c>
      <c r="Q17" s="1845">
        <f>+'[4]Table 5C1C-Intl_VIBE'!M16*8</f>
        <v>0</v>
      </c>
      <c r="R17" s="1845">
        <f t="shared" si="29"/>
        <v>0</v>
      </c>
      <c r="S17" s="901">
        <f t="shared" si="30"/>
        <v>0</v>
      </c>
      <c r="T17" s="902">
        <f>'Table 5C1A-Madison Prep'!T17</f>
        <v>4502</v>
      </c>
      <c r="U17" s="903">
        <f t="shared" si="20"/>
        <v>0</v>
      </c>
      <c r="V17" s="1762">
        <f>+'[3]Oct midyear Intl_VIBE '!E16</f>
        <v>0</v>
      </c>
      <c r="W17" s="1763">
        <f t="shared" si="31"/>
        <v>0</v>
      </c>
      <c r="X17" s="1762">
        <f>'[3]Feb midyear Intl_VIBE '!E16</f>
        <v>0</v>
      </c>
      <c r="Y17" s="1763">
        <f t="shared" si="32"/>
        <v>0</v>
      </c>
      <c r="Z17" s="1654">
        <f t="shared" si="33"/>
        <v>0</v>
      </c>
      <c r="AA17" s="1488">
        <f t="shared" si="34"/>
        <v>0</v>
      </c>
      <c r="AB17" s="938">
        <f t="shared" si="35"/>
        <v>0</v>
      </c>
      <c r="AC17" s="903">
        <f t="shared" si="36"/>
        <v>0</v>
      </c>
      <c r="AD17" s="1831">
        <v>0</v>
      </c>
      <c r="AE17" s="903">
        <f t="shared" si="37"/>
        <v>0</v>
      </c>
      <c r="AF17" s="1763">
        <f>+'[4]Table 5C1C-Intl_VIBE'!T16*8</f>
        <v>0</v>
      </c>
      <c r="AG17" s="1763">
        <f t="shared" si="38"/>
        <v>0</v>
      </c>
      <c r="AH17" s="1659">
        <f t="shared" si="39"/>
        <v>0</v>
      </c>
      <c r="AI17" s="904">
        <f t="shared" si="40"/>
        <v>0</v>
      </c>
      <c r="AJ17" s="904">
        <f t="shared" si="41"/>
        <v>0</v>
      </c>
      <c r="AL17" s="49">
        <f>-'[4]Table 5C1C-Intl_VIBE'!P16</f>
        <v>0</v>
      </c>
      <c r="AM17" s="49">
        <f t="shared" si="42"/>
        <v>0</v>
      </c>
      <c r="AN17" s="49">
        <f t="shared" si="43"/>
        <v>0</v>
      </c>
    </row>
    <row r="18" spans="1:40">
      <c r="A18" s="870">
        <v>11</v>
      </c>
      <c r="B18" s="871" t="s">
        <v>102</v>
      </c>
      <c r="C18" s="971">
        <f>'2-1-13 SIS'!K17</f>
        <v>0</v>
      </c>
      <c r="D18" s="872">
        <f>'Table 3 Levels 1&amp;2'!AL18</f>
        <v>6852.9138435383502</v>
      </c>
      <c r="E18" s="918">
        <f t="shared" si="21"/>
        <v>0</v>
      </c>
      <c r="F18" s="918">
        <f>'Table 4 Level 3'!P16</f>
        <v>706.55</v>
      </c>
      <c r="G18" s="918">
        <f t="shared" si="22"/>
        <v>0</v>
      </c>
      <c r="H18" s="873">
        <f t="shared" si="23"/>
        <v>0</v>
      </c>
      <c r="I18" s="1718">
        <f>+'[3]Oct midyear Intl_VIBE '!K17</f>
        <v>0</v>
      </c>
      <c r="J18" s="1718">
        <f>'[3]Feb midyear Intl_VIBE '!K17</f>
        <v>0</v>
      </c>
      <c r="K18" s="1542">
        <f t="shared" si="24"/>
        <v>0</v>
      </c>
      <c r="L18" s="1520">
        <f t="shared" si="25"/>
        <v>0</v>
      </c>
      <c r="M18" s="928">
        <f t="shared" si="26"/>
        <v>0</v>
      </c>
      <c r="N18" s="873">
        <f t="shared" si="27"/>
        <v>0</v>
      </c>
      <c r="O18" s="872">
        <v>0</v>
      </c>
      <c r="P18" s="873">
        <f t="shared" si="28"/>
        <v>0</v>
      </c>
      <c r="Q18" s="872">
        <f>+'[4]Table 5C1C-Intl_VIBE'!M17*8</f>
        <v>0</v>
      </c>
      <c r="R18" s="872">
        <f t="shared" si="29"/>
        <v>0</v>
      </c>
      <c r="S18" s="873">
        <f t="shared" si="30"/>
        <v>0</v>
      </c>
      <c r="T18" s="897">
        <f>'Table 5C1A-Madison Prep'!T18</f>
        <v>3776</v>
      </c>
      <c r="U18" s="874">
        <f t="shared" si="20"/>
        <v>0</v>
      </c>
      <c r="V18" s="1754">
        <f>+'[3]Oct midyear Intl_VIBE '!E17</f>
        <v>0</v>
      </c>
      <c r="W18" s="1755">
        <f t="shared" si="31"/>
        <v>0</v>
      </c>
      <c r="X18" s="1754">
        <f>'[3]Feb midyear Intl_VIBE '!E17</f>
        <v>0</v>
      </c>
      <c r="Y18" s="1755">
        <f t="shared" si="32"/>
        <v>0</v>
      </c>
      <c r="Z18" s="1652">
        <f t="shared" si="33"/>
        <v>0</v>
      </c>
      <c r="AA18" s="1521">
        <f t="shared" si="34"/>
        <v>0</v>
      </c>
      <c r="AB18" s="936">
        <f t="shared" si="35"/>
        <v>0</v>
      </c>
      <c r="AC18" s="874">
        <f t="shared" si="36"/>
        <v>0</v>
      </c>
      <c r="AD18" s="1829">
        <v>0</v>
      </c>
      <c r="AE18" s="874">
        <f t="shared" si="37"/>
        <v>0</v>
      </c>
      <c r="AF18" s="1755">
        <f>+'[4]Table 5C1C-Intl_VIBE'!T17*8</f>
        <v>0</v>
      </c>
      <c r="AG18" s="1755">
        <f t="shared" si="38"/>
        <v>0</v>
      </c>
      <c r="AH18" s="999">
        <f t="shared" si="39"/>
        <v>0</v>
      </c>
      <c r="AI18" s="875">
        <f t="shared" si="40"/>
        <v>0</v>
      </c>
      <c r="AJ18" s="875">
        <f t="shared" si="41"/>
        <v>0</v>
      </c>
      <c r="AL18" s="49">
        <f>-'[4]Table 5C1C-Intl_VIBE'!P17</f>
        <v>0</v>
      </c>
      <c r="AM18" s="49">
        <f t="shared" si="42"/>
        <v>0</v>
      </c>
      <c r="AN18" s="49">
        <f t="shared" si="43"/>
        <v>0</v>
      </c>
    </row>
    <row r="19" spans="1:40">
      <c r="A19" s="876">
        <v>12</v>
      </c>
      <c r="B19" s="877" t="s">
        <v>103</v>
      </c>
      <c r="C19" s="969">
        <f>'2-1-13 SIS'!K18</f>
        <v>0</v>
      </c>
      <c r="D19" s="878">
        <f>'Table 3 Levels 1&amp;2'!AL19</f>
        <v>1733.9056059356967</v>
      </c>
      <c r="E19" s="919">
        <f t="shared" si="21"/>
        <v>0</v>
      </c>
      <c r="F19" s="919">
        <f>'Table 4 Level 3'!P17</f>
        <v>1063.31</v>
      </c>
      <c r="G19" s="919">
        <f t="shared" si="22"/>
        <v>0</v>
      </c>
      <c r="H19" s="898">
        <f t="shared" si="23"/>
        <v>0</v>
      </c>
      <c r="I19" s="1732">
        <f>+'[3]Oct midyear Intl_VIBE '!K18</f>
        <v>0</v>
      </c>
      <c r="J19" s="1732">
        <f>'[3]Feb midyear Intl_VIBE '!K18</f>
        <v>0</v>
      </c>
      <c r="K19" s="1543">
        <f t="shared" si="24"/>
        <v>0</v>
      </c>
      <c r="L19" s="1485">
        <f t="shared" si="25"/>
        <v>0</v>
      </c>
      <c r="M19" s="929">
        <f t="shared" si="26"/>
        <v>0</v>
      </c>
      <c r="N19" s="898">
        <f t="shared" si="27"/>
        <v>0</v>
      </c>
      <c r="O19" s="878">
        <v>0</v>
      </c>
      <c r="P19" s="898">
        <f t="shared" si="28"/>
        <v>0</v>
      </c>
      <c r="Q19" s="1844">
        <f>+'[4]Table 5C1C-Intl_VIBE'!M18*8</f>
        <v>0</v>
      </c>
      <c r="R19" s="1844">
        <f t="shared" si="29"/>
        <v>0</v>
      </c>
      <c r="S19" s="898">
        <f t="shared" si="30"/>
        <v>0</v>
      </c>
      <c r="T19" s="897">
        <f>'Table 5C1A-Madison Prep'!T19</f>
        <v>13312</v>
      </c>
      <c r="U19" s="899">
        <f t="shared" si="20"/>
        <v>0</v>
      </c>
      <c r="V19" s="1758">
        <f>+'[3]Oct midyear Intl_VIBE '!E18</f>
        <v>0</v>
      </c>
      <c r="W19" s="1759">
        <f t="shared" si="31"/>
        <v>0</v>
      </c>
      <c r="X19" s="1758">
        <f>'[3]Feb midyear Intl_VIBE '!E18</f>
        <v>0</v>
      </c>
      <c r="Y19" s="1759">
        <f t="shared" si="32"/>
        <v>0</v>
      </c>
      <c r="Z19" s="1653">
        <f t="shared" si="33"/>
        <v>0</v>
      </c>
      <c r="AA19" s="1486">
        <f t="shared" si="34"/>
        <v>0</v>
      </c>
      <c r="AB19" s="937">
        <f t="shared" si="35"/>
        <v>0</v>
      </c>
      <c r="AC19" s="899">
        <f t="shared" si="36"/>
        <v>0</v>
      </c>
      <c r="AD19" s="1830">
        <v>0</v>
      </c>
      <c r="AE19" s="899">
        <f t="shared" si="37"/>
        <v>0</v>
      </c>
      <c r="AF19" s="1759">
        <f>+'[4]Table 5C1C-Intl_VIBE'!T18*8</f>
        <v>0</v>
      </c>
      <c r="AG19" s="1759">
        <f t="shared" si="38"/>
        <v>0</v>
      </c>
      <c r="AH19" s="999">
        <f t="shared" si="39"/>
        <v>0</v>
      </c>
      <c r="AI19" s="900">
        <f t="shared" si="40"/>
        <v>0</v>
      </c>
      <c r="AJ19" s="900">
        <f t="shared" si="41"/>
        <v>0</v>
      </c>
      <c r="AL19" s="49">
        <f>-'[4]Table 5C1C-Intl_VIBE'!P18</f>
        <v>0</v>
      </c>
      <c r="AM19" s="49">
        <f t="shared" si="42"/>
        <v>0</v>
      </c>
      <c r="AN19" s="49">
        <f t="shared" si="43"/>
        <v>0</v>
      </c>
    </row>
    <row r="20" spans="1:40">
      <c r="A20" s="876">
        <v>13</v>
      </c>
      <c r="B20" s="877" t="s">
        <v>104</v>
      </c>
      <c r="C20" s="969">
        <f>'2-1-13 SIS'!K19</f>
        <v>0</v>
      </c>
      <c r="D20" s="878">
        <f>'Table 3 Levels 1&amp;2'!AL20</f>
        <v>6254.1238637730876</v>
      </c>
      <c r="E20" s="919">
        <f t="shared" si="21"/>
        <v>0</v>
      </c>
      <c r="F20" s="919">
        <f>'Table 4 Level 3'!P18</f>
        <v>749.43000000000006</v>
      </c>
      <c r="G20" s="919">
        <f t="shared" si="22"/>
        <v>0</v>
      </c>
      <c r="H20" s="898">
        <f t="shared" si="23"/>
        <v>0</v>
      </c>
      <c r="I20" s="1732">
        <f>+'[3]Oct midyear Intl_VIBE '!K19</f>
        <v>0</v>
      </c>
      <c r="J20" s="1732">
        <f>'[3]Feb midyear Intl_VIBE '!K19</f>
        <v>0</v>
      </c>
      <c r="K20" s="1543">
        <f t="shared" si="24"/>
        <v>0</v>
      </c>
      <c r="L20" s="1485">
        <f t="shared" si="25"/>
        <v>0</v>
      </c>
      <c r="M20" s="929">
        <f t="shared" si="26"/>
        <v>0</v>
      </c>
      <c r="N20" s="898">
        <f t="shared" si="27"/>
        <v>0</v>
      </c>
      <c r="O20" s="878">
        <v>0</v>
      </c>
      <c r="P20" s="898">
        <f t="shared" si="28"/>
        <v>0</v>
      </c>
      <c r="Q20" s="1844">
        <f>+'[4]Table 5C1C-Intl_VIBE'!M19*8</f>
        <v>0</v>
      </c>
      <c r="R20" s="1844">
        <f t="shared" si="29"/>
        <v>0</v>
      </c>
      <c r="S20" s="898">
        <f t="shared" si="30"/>
        <v>0</v>
      </c>
      <c r="T20" s="897">
        <f>'Table 5C1A-Madison Prep'!T20</f>
        <v>2671</v>
      </c>
      <c r="U20" s="899">
        <f t="shared" si="20"/>
        <v>0</v>
      </c>
      <c r="V20" s="1758">
        <f>+'[3]Oct midyear Intl_VIBE '!E19</f>
        <v>0</v>
      </c>
      <c r="W20" s="1759">
        <f t="shared" si="31"/>
        <v>0</v>
      </c>
      <c r="X20" s="1758">
        <f>'[3]Feb midyear Intl_VIBE '!E19</f>
        <v>0</v>
      </c>
      <c r="Y20" s="1759">
        <f t="shared" si="32"/>
        <v>0</v>
      </c>
      <c r="Z20" s="1653">
        <f t="shared" si="33"/>
        <v>0</v>
      </c>
      <c r="AA20" s="1486">
        <f t="shared" si="34"/>
        <v>0</v>
      </c>
      <c r="AB20" s="937">
        <f t="shared" si="35"/>
        <v>0</v>
      </c>
      <c r="AC20" s="899">
        <f t="shared" si="36"/>
        <v>0</v>
      </c>
      <c r="AD20" s="1830">
        <v>0</v>
      </c>
      <c r="AE20" s="899">
        <f t="shared" si="37"/>
        <v>0</v>
      </c>
      <c r="AF20" s="1759">
        <f>+'[4]Table 5C1C-Intl_VIBE'!T19*8</f>
        <v>0</v>
      </c>
      <c r="AG20" s="1759">
        <f t="shared" si="38"/>
        <v>0</v>
      </c>
      <c r="AH20" s="999">
        <f t="shared" si="39"/>
        <v>0</v>
      </c>
      <c r="AI20" s="900">
        <f t="shared" si="40"/>
        <v>0</v>
      </c>
      <c r="AJ20" s="900">
        <f t="shared" si="41"/>
        <v>0</v>
      </c>
      <c r="AL20" s="49">
        <f>-'[4]Table 5C1C-Intl_VIBE'!P19</f>
        <v>0</v>
      </c>
      <c r="AM20" s="49">
        <f t="shared" si="42"/>
        <v>0</v>
      </c>
      <c r="AN20" s="49">
        <f t="shared" si="43"/>
        <v>0</v>
      </c>
    </row>
    <row r="21" spans="1:40">
      <c r="A21" s="876">
        <v>14</v>
      </c>
      <c r="B21" s="877" t="s">
        <v>105</v>
      </c>
      <c r="C21" s="969">
        <f>'2-1-13 SIS'!K20</f>
        <v>0</v>
      </c>
      <c r="D21" s="878">
        <f>'Table 3 Levels 1&amp;2'!AL21</f>
        <v>5377.9187438545459</v>
      </c>
      <c r="E21" s="919">
        <f t="shared" si="21"/>
        <v>0</v>
      </c>
      <c r="F21" s="919">
        <f>'Table 4 Level 3'!P19</f>
        <v>809.9799999999999</v>
      </c>
      <c r="G21" s="919">
        <f t="shared" si="22"/>
        <v>0</v>
      </c>
      <c r="H21" s="898">
        <f t="shared" si="23"/>
        <v>0</v>
      </c>
      <c r="I21" s="1732">
        <f>+'[3]Oct midyear Intl_VIBE '!K20</f>
        <v>0</v>
      </c>
      <c r="J21" s="1732">
        <f>'[3]Feb midyear Intl_VIBE '!K20</f>
        <v>0</v>
      </c>
      <c r="K21" s="1543">
        <f t="shared" si="24"/>
        <v>0</v>
      </c>
      <c r="L21" s="1485">
        <f t="shared" si="25"/>
        <v>0</v>
      </c>
      <c r="M21" s="929">
        <f t="shared" si="26"/>
        <v>0</v>
      </c>
      <c r="N21" s="898">
        <f t="shared" si="27"/>
        <v>0</v>
      </c>
      <c r="O21" s="878">
        <v>0</v>
      </c>
      <c r="P21" s="898">
        <f t="shared" si="28"/>
        <v>0</v>
      </c>
      <c r="Q21" s="1844">
        <f>+'[4]Table 5C1C-Intl_VIBE'!M20*8</f>
        <v>0</v>
      </c>
      <c r="R21" s="1844">
        <f t="shared" si="29"/>
        <v>0</v>
      </c>
      <c r="S21" s="898">
        <f t="shared" si="30"/>
        <v>0</v>
      </c>
      <c r="T21" s="897">
        <f>'Table 5C1A-Madison Prep'!T21</f>
        <v>4439</v>
      </c>
      <c r="U21" s="899">
        <f t="shared" si="20"/>
        <v>0</v>
      </c>
      <c r="V21" s="1758">
        <f>+'[3]Oct midyear Intl_VIBE '!E20</f>
        <v>0</v>
      </c>
      <c r="W21" s="1759">
        <f t="shared" si="31"/>
        <v>0</v>
      </c>
      <c r="X21" s="1758">
        <f>'[3]Feb midyear Intl_VIBE '!E20</f>
        <v>0</v>
      </c>
      <c r="Y21" s="1759">
        <f t="shared" si="32"/>
        <v>0</v>
      </c>
      <c r="Z21" s="1653">
        <f t="shared" si="33"/>
        <v>0</v>
      </c>
      <c r="AA21" s="1486">
        <f t="shared" si="34"/>
        <v>0</v>
      </c>
      <c r="AB21" s="937">
        <f t="shared" si="35"/>
        <v>0</v>
      </c>
      <c r="AC21" s="899">
        <f t="shared" si="36"/>
        <v>0</v>
      </c>
      <c r="AD21" s="1830">
        <v>0</v>
      </c>
      <c r="AE21" s="899">
        <f t="shared" si="37"/>
        <v>0</v>
      </c>
      <c r="AF21" s="1759">
        <f>+'[4]Table 5C1C-Intl_VIBE'!T20*8</f>
        <v>0</v>
      </c>
      <c r="AG21" s="1759">
        <f t="shared" si="38"/>
        <v>0</v>
      </c>
      <c r="AH21" s="999">
        <f t="shared" si="39"/>
        <v>0</v>
      </c>
      <c r="AI21" s="900">
        <f t="shared" si="40"/>
        <v>0</v>
      </c>
      <c r="AJ21" s="900">
        <f t="shared" si="41"/>
        <v>0</v>
      </c>
      <c r="AL21" s="49">
        <f>-'[4]Table 5C1C-Intl_VIBE'!P20</f>
        <v>0</v>
      </c>
      <c r="AM21" s="49">
        <f t="shared" si="42"/>
        <v>0</v>
      </c>
      <c r="AN21" s="49">
        <f t="shared" si="43"/>
        <v>0</v>
      </c>
    </row>
    <row r="22" spans="1:40">
      <c r="A22" s="879">
        <v>15</v>
      </c>
      <c r="B22" s="880" t="s">
        <v>106</v>
      </c>
      <c r="C22" s="970">
        <f>'2-1-13 SIS'!K21</f>
        <v>0</v>
      </c>
      <c r="D22" s="881">
        <f>'Table 3 Levels 1&amp;2'!AL22</f>
        <v>5527.7651197617861</v>
      </c>
      <c r="E22" s="920">
        <f t="shared" si="21"/>
        <v>0</v>
      </c>
      <c r="F22" s="920">
        <f>'Table 4 Level 3'!P20</f>
        <v>553.79999999999995</v>
      </c>
      <c r="G22" s="920">
        <f t="shared" si="22"/>
        <v>0</v>
      </c>
      <c r="H22" s="901">
        <f t="shared" si="23"/>
        <v>0</v>
      </c>
      <c r="I22" s="1733">
        <f>+'[3]Oct midyear Intl_VIBE '!K21</f>
        <v>0</v>
      </c>
      <c r="J22" s="1733">
        <f>'[3]Feb midyear Intl_VIBE '!K21</f>
        <v>0</v>
      </c>
      <c r="K22" s="1544">
        <f t="shared" si="24"/>
        <v>0</v>
      </c>
      <c r="L22" s="1487">
        <f t="shared" si="25"/>
        <v>0</v>
      </c>
      <c r="M22" s="930">
        <f t="shared" si="26"/>
        <v>0</v>
      </c>
      <c r="N22" s="901">
        <f t="shared" si="27"/>
        <v>0</v>
      </c>
      <c r="O22" s="881">
        <v>0</v>
      </c>
      <c r="P22" s="901">
        <f t="shared" si="28"/>
        <v>0</v>
      </c>
      <c r="Q22" s="1845">
        <f>+'[4]Table 5C1C-Intl_VIBE'!M21*8</f>
        <v>0</v>
      </c>
      <c r="R22" s="1845">
        <f t="shared" si="29"/>
        <v>0</v>
      </c>
      <c r="S22" s="901">
        <f t="shared" si="30"/>
        <v>0</v>
      </c>
      <c r="T22" s="902">
        <f>'Table 5C1A-Madison Prep'!T22</f>
        <v>2800</v>
      </c>
      <c r="U22" s="903">
        <f t="shared" si="20"/>
        <v>0</v>
      </c>
      <c r="V22" s="1762">
        <f>+'[3]Oct midyear Intl_VIBE '!E21</f>
        <v>0</v>
      </c>
      <c r="W22" s="1763">
        <f t="shared" si="31"/>
        <v>0</v>
      </c>
      <c r="X22" s="1762">
        <f>'[3]Feb midyear Intl_VIBE '!E21</f>
        <v>0</v>
      </c>
      <c r="Y22" s="1763">
        <f t="shared" si="32"/>
        <v>0</v>
      </c>
      <c r="Z22" s="1654">
        <f t="shared" si="33"/>
        <v>0</v>
      </c>
      <c r="AA22" s="1488">
        <f t="shared" si="34"/>
        <v>0</v>
      </c>
      <c r="AB22" s="938">
        <f t="shared" si="35"/>
        <v>0</v>
      </c>
      <c r="AC22" s="903">
        <f t="shared" si="36"/>
        <v>0</v>
      </c>
      <c r="AD22" s="1831">
        <v>0</v>
      </c>
      <c r="AE22" s="903">
        <f t="shared" si="37"/>
        <v>0</v>
      </c>
      <c r="AF22" s="1763">
        <f>+'[4]Table 5C1C-Intl_VIBE'!T21*8</f>
        <v>0</v>
      </c>
      <c r="AG22" s="1763">
        <f t="shared" si="38"/>
        <v>0</v>
      </c>
      <c r="AH22" s="1659">
        <f t="shared" si="39"/>
        <v>0</v>
      </c>
      <c r="AI22" s="904">
        <f t="shared" si="40"/>
        <v>0</v>
      </c>
      <c r="AJ22" s="904">
        <f t="shared" si="41"/>
        <v>0</v>
      </c>
      <c r="AL22" s="49">
        <f>-'[4]Table 5C1C-Intl_VIBE'!P21</f>
        <v>0</v>
      </c>
      <c r="AM22" s="49">
        <f t="shared" si="42"/>
        <v>0</v>
      </c>
      <c r="AN22" s="49">
        <f t="shared" si="43"/>
        <v>0</v>
      </c>
    </row>
    <row r="23" spans="1:40">
      <c r="A23" s="870">
        <v>16</v>
      </c>
      <c r="B23" s="871" t="s">
        <v>107</v>
      </c>
      <c r="C23" s="971">
        <f>'2-1-13 SIS'!K22</f>
        <v>0</v>
      </c>
      <c r="D23" s="872">
        <f>'Table 3 Levels 1&amp;2'!AL23</f>
        <v>1530.3678845377474</v>
      </c>
      <c r="E23" s="918">
        <f t="shared" si="21"/>
        <v>0</v>
      </c>
      <c r="F23" s="918">
        <f>'Table 4 Level 3'!P21</f>
        <v>686.73</v>
      </c>
      <c r="G23" s="918">
        <f t="shared" si="22"/>
        <v>0</v>
      </c>
      <c r="H23" s="873">
        <f t="shared" si="23"/>
        <v>0</v>
      </c>
      <c r="I23" s="1718">
        <f>+'[3]Oct midyear Intl_VIBE '!K22</f>
        <v>0</v>
      </c>
      <c r="J23" s="1718">
        <f>'[3]Feb midyear Intl_VIBE '!K22</f>
        <v>0</v>
      </c>
      <c r="K23" s="1542">
        <f t="shared" si="24"/>
        <v>0</v>
      </c>
      <c r="L23" s="1520">
        <f t="shared" si="25"/>
        <v>0</v>
      </c>
      <c r="M23" s="928">
        <f t="shared" si="26"/>
        <v>0</v>
      </c>
      <c r="N23" s="873">
        <f t="shared" si="27"/>
        <v>0</v>
      </c>
      <c r="O23" s="872">
        <v>0</v>
      </c>
      <c r="P23" s="873">
        <f t="shared" si="28"/>
        <v>0</v>
      </c>
      <c r="Q23" s="872">
        <f>+'[4]Table 5C1C-Intl_VIBE'!M22*8</f>
        <v>0</v>
      </c>
      <c r="R23" s="872">
        <f t="shared" si="29"/>
        <v>0</v>
      </c>
      <c r="S23" s="873">
        <f t="shared" si="30"/>
        <v>0</v>
      </c>
      <c r="T23" s="897">
        <f>'Table 5C1A-Madison Prep'!T23</f>
        <v>12312</v>
      </c>
      <c r="U23" s="874">
        <f t="shared" si="20"/>
        <v>0</v>
      </c>
      <c r="V23" s="1754">
        <f>+'[3]Oct midyear Intl_VIBE '!E22</f>
        <v>0</v>
      </c>
      <c r="W23" s="1755">
        <f t="shared" si="31"/>
        <v>0</v>
      </c>
      <c r="X23" s="1754">
        <f>'[3]Feb midyear Intl_VIBE '!E22</f>
        <v>0</v>
      </c>
      <c r="Y23" s="1755">
        <f t="shared" si="32"/>
        <v>0</v>
      </c>
      <c r="Z23" s="1652">
        <f t="shared" si="33"/>
        <v>0</v>
      </c>
      <c r="AA23" s="1521">
        <f t="shared" si="34"/>
        <v>0</v>
      </c>
      <c r="AB23" s="936">
        <f t="shared" si="35"/>
        <v>0</v>
      </c>
      <c r="AC23" s="874">
        <f t="shared" si="36"/>
        <v>0</v>
      </c>
      <c r="AD23" s="1829">
        <v>0</v>
      </c>
      <c r="AE23" s="874">
        <f t="shared" si="37"/>
        <v>0</v>
      </c>
      <c r="AF23" s="1755">
        <f>+'[4]Table 5C1C-Intl_VIBE'!T22*8</f>
        <v>0</v>
      </c>
      <c r="AG23" s="1755">
        <f t="shared" si="38"/>
        <v>0</v>
      </c>
      <c r="AH23" s="999">
        <f t="shared" si="39"/>
        <v>0</v>
      </c>
      <c r="AI23" s="875">
        <f t="shared" si="40"/>
        <v>0</v>
      </c>
      <c r="AJ23" s="875">
        <f t="shared" si="41"/>
        <v>0</v>
      </c>
      <c r="AL23" s="49">
        <f>-'[4]Table 5C1C-Intl_VIBE'!P22</f>
        <v>0</v>
      </c>
      <c r="AM23" s="49">
        <f t="shared" si="42"/>
        <v>0</v>
      </c>
      <c r="AN23" s="49">
        <f t="shared" si="43"/>
        <v>0</v>
      </c>
    </row>
    <row r="24" spans="1:40">
      <c r="A24" s="876">
        <v>17</v>
      </c>
      <c r="B24" s="877" t="s">
        <v>108</v>
      </c>
      <c r="C24" s="969">
        <f>'2-1-13 SIS'!K23</f>
        <v>0</v>
      </c>
      <c r="D24" s="878">
        <f>'Table 3 Levels 1&amp;2'!AL24</f>
        <v>3313.0666313017805</v>
      </c>
      <c r="E24" s="919">
        <f t="shared" si="21"/>
        <v>0</v>
      </c>
      <c r="F24" s="919">
        <f>'Table 5B2_RSD_LA'!F7</f>
        <v>801.47762416806802</v>
      </c>
      <c r="G24" s="919">
        <f t="shared" si="22"/>
        <v>0</v>
      </c>
      <c r="H24" s="898">
        <f t="shared" si="23"/>
        <v>0</v>
      </c>
      <c r="I24" s="1732">
        <f>+'[3]Oct midyear Intl_VIBE '!K23</f>
        <v>0</v>
      </c>
      <c r="J24" s="1732">
        <f>'[3]Feb midyear Intl_VIBE '!K23</f>
        <v>0</v>
      </c>
      <c r="K24" s="1543">
        <f t="shared" si="24"/>
        <v>0</v>
      </c>
      <c r="L24" s="1485">
        <f t="shared" si="25"/>
        <v>0</v>
      </c>
      <c r="M24" s="929">
        <f t="shared" si="26"/>
        <v>0</v>
      </c>
      <c r="N24" s="898">
        <f t="shared" si="27"/>
        <v>0</v>
      </c>
      <c r="O24" s="878">
        <v>0</v>
      </c>
      <c r="P24" s="898">
        <f t="shared" si="28"/>
        <v>0</v>
      </c>
      <c r="Q24" s="1844">
        <f>+'[4]Table 5C1C-Intl_VIBE'!M23*8</f>
        <v>0</v>
      </c>
      <c r="R24" s="1844">
        <f t="shared" si="29"/>
        <v>0</v>
      </c>
      <c r="S24" s="898">
        <f t="shared" si="30"/>
        <v>0</v>
      </c>
      <c r="T24" s="897">
        <f>'Table 5C1A-Madison Prep'!T24</f>
        <v>6866</v>
      </c>
      <c r="U24" s="899">
        <f t="shared" si="20"/>
        <v>0</v>
      </c>
      <c r="V24" s="1758">
        <f>+'[3]Oct midyear Intl_VIBE '!E23</f>
        <v>0</v>
      </c>
      <c r="W24" s="1759">
        <f t="shared" si="31"/>
        <v>0</v>
      </c>
      <c r="X24" s="1758">
        <f>'[3]Feb midyear Intl_VIBE '!E23</f>
        <v>0</v>
      </c>
      <c r="Y24" s="1759">
        <f t="shared" si="32"/>
        <v>0</v>
      </c>
      <c r="Z24" s="1653">
        <f t="shared" si="33"/>
        <v>0</v>
      </c>
      <c r="AA24" s="1486">
        <f t="shared" si="34"/>
        <v>0</v>
      </c>
      <c r="AB24" s="937">
        <f t="shared" si="35"/>
        <v>0</v>
      </c>
      <c r="AC24" s="899">
        <f t="shared" si="36"/>
        <v>0</v>
      </c>
      <c r="AD24" s="1830">
        <v>0</v>
      </c>
      <c r="AE24" s="899">
        <f t="shared" si="37"/>
        <v>0</v>
      </c>
      <c r="AF24" s="1759">
        <f>+'[4]Table 5C1C-Intl_VIBE'!T23*8</f>
        <v>0</v>
      </c>
      <c r="AG24" s="1759">
        <f t="shared" si="38"/>
        <v>0</v>
      </c>
      <c r="AH24" s="999">
        <f t="shared" si="39"/>
        <v>0</v>
      </c>
      <c r="AI24" s="900">
        <f t="shared" si="40"/>
        <v>0</v>
      </c>
      <c r="AJ24" s="900">
        <f t="shared" si="41"/>
        <v>0</v>
      </c>
      <c r="AL24" s="49">
        <f>-'[4]Table 5C1C-Intl_VIBE'!P23</f>
        <v>0</v>
      </c>
      <c r="AM24" s="49">
        <f t="shared" si="42"/>
        <v>0</v>
      </c>
      <c r="AN24" s="49">
        <f t="shared" si="43"/>
        <v>0</v>
      </c>
    </row>
    <row r="25" spans="1:40">
      <c r="A25" s="876">
        <v>18</v>
      </c>
      <c r="B25" s="877" t="s">
        <v>109</v>
      </c>
      <c r="C25" s="969">
        <f>'2-1-13 SIS'!K24</f>
        <v>0</v>
      </c>
      <c r="D25" s="878">
        <f>'Table 3 Levels 1&amp;2'!AL25</f>
        <v>5989.1351892854573</v>
      </c>
      <c r="E25" s="919">
        <f t="shared" si="21"/>
        <v>0</v>
      </c>
      <c r="F25" s="919">
        <f>'Table 4 Level 3'!P23</f>
        <v>845.94999999999993</v>
      </c>
      <c r="G25" s="919">
        <f t="shared" si="22"/>
        <v>0</v>
      </c>
      <c r="H25" s="898">
        <f t="shared" si="23"/>
        <v>0</v>
      </c>
      <c r="I25" s="1732">
        <f>+'[3]Oct midyear Intl_VIBE '!K24</f>
        <v>0</v>
      </c>
      <c r="J25" s="1732">
        <f>'[3]Feb midyear Intl_VIBE '!K24</f>
        <v>0</v>
      </c>
      <c r="K25" s="1543">
        <f t="shared" si="24"/>
        <v>0</v>
      </c>
      <c r="L25" s="1485">
        <f t="shared" si="25"/>
        <v>0</v>
      </c>
      <c r="M25" s="929">
        <f t="shared" si="26"/>
        <v>0</v>
      </c>
      <c r="N25" s="898">
        <f t="shared" si="27"/>
        <v>0</v>
      </c>
      <c r="O25" s="878">
        <v>0</v>
      </c>
      <c r="P25" s="898">
        <f t="shared" si="28"/>
        <v>0</v>
      </c>
      <c r="Q25" s="1844">
        <f>+'[4]Table 5C1C-Intl_VIBE'!M24*8</f>
        <v>0</v>
      </c>
      <c r="R25" s="1844">
        <f t="shared" si="29"/>
        <v>0</v>
      </c>
      <c r="S25" s="898">
        <f t="shared" si="30"/>
        <v>0</v>
      </c>
      <c r="T25" s="897">
        <f>'Table 5C1A-Madison Prep'!T25</f>
        <v>3071</v>
      </c>
      <c r="U25" s="899">
        <f t="shared" si="20"/>
        <v>0</v>
      </c>
      <c r="V25" s="1758">
        <f>+'[3]Oct midyear Intl_VIBE '!E24</f>
        <v>0</v>
      </c>
      <c r="W25" s="1759">
        <f t="shared" si="31"/>
        <v>0</v>
      </c>
      <c r="X25" s="1758">
        <f>'[3]Feb midyear Intl_VIBE '!E24</f>
        <v>0</v>
      </c>
      <c r="Y25" s="1759">
        <f t="shared" si="32"/>
        <v>0</v>
      </c>
      <c r="Z25" s="1653">
        <f t="shared" si="33"/>
        <v>0</v>
      </c>
      <c r="AA25" s="1486">
        <f t="shared" si="34"/>
        <v>0</v>
      </c>
      <c r="AB25" s="937">
        <f t="shared" si="35"/>
        <v>0</v>
      </c>
      <c r="AC25" s="899">
        <f t="shared" si="36"/>
        <v>0</v>
      </c>
      <c r="AD25" s="1830">
        <v>0</v>
      </c>
      <c r="AE25" s="899">
        <f t="shared" si="37"/>
        <v>0</v>
      </c>
      <c r="AF25" s="1759">
        <f>+'[4]Table 5C1C-Intl_VIBE'!T24*8</f>
        <v>0</v>
      </c>
      <c r="AG25" s="1759">
        <f t="shared" si="38"/>
        <v>0</v>
      </c>
      <c r="AH25" s="999">
        <f t="shared" si="39"/>
        <v>0</v>
      </c>
      <c r="AI25" s="900">
        <f t="shared" si="40"/>
        <v>0</v>
      </c>
      <c r="AJ25" s="900">
        <f t="shared" si="41"/>
        <v>0</v>
      </c>
      <c r="AL25" s="49">
        <f>-'[4]Table 5C1C-Intl_VIBE'!P24</f>
        <v>0</v>
      </c>
      <c r="AM25" s="49">
        <f t="shared" si="42"/>
        <v>0</v>
      </c>
      <c r="AN25" s="49">
        <f t="shared" si="43"/>
        <v>0</v>
      </c>
    </row>
    <row r="26" spans="1:40">
      <c r="A26" s="876">
        <v>19</v>
      </c>
      <c r="B26" s="877" t="s">
        <v>110</v>
      </c>
      <c r="C26" s="969">
        <f>'2-1-13 SIS'!K25</f>
        <v>0</v>
      </c>
      <c r="D26" s="878">
        <f>'Table 3 Levels 1&amp;2'!AL26</f>
        <v>5315.8913399708035</v>
      </c>
      <c r="E26" s="919">
        <f t="shared" si="21"/>
        <v>0</v>
      </c>
      <c r="F26" s="919">
        <f>'Table 4 Level 3'!P24</f>
        <v>905.43</v>
      </c>
      <c r="G26" s="919">
        <f t="shared" si="22"/>
        <v>0</v>
      </c>
      <c r="H26" s="898">
        <f t="shared" si="23"/>
        <v>0</v>
      </c>
      <c r="I26" s="1732">
        <f>+'[3]Oct midyear Intl_VIBE '!K25</f>
        <v>0</v>
      </c>
      <c r="J26" s="1732">
        <f>'[3]Feb midyear Intl_VIBE '!K25</f>
        <v>0</v>
      </c>
      <c r="K26" s="1543">
        <f t="shared" si="24"/>
        <v>0</v>
      </c>
      <c r="L26" s="1485">
        <f t="shared" si="25"/>
        <v>0</v>
      </c>
      <c r="M26" s="929">
        <f t="shared" si="26"/>
        <v>0</v>
      </c>
      <c r="N26" s="898">
        <f t="shared" si="27"/>
        <v>0</v>
      </c>
      <c r="O26" s="878">
        <v>0</v>
      </c>
      <c r="P26" s="898">
        <f t="shared" si="28"/>
        <v>0</v>
      </c>
      <c r="Q26" s="1844">
        <f>+'[4]Table 5C1C-Intl_VIBE'!M25*8</f>
        <v>0</v>
      </c>
      <c r="R26" s="1844">
        <f t="shared" si="29"/>
        <v>0</v>
      </c>
      <c r="S26" s="898">
        <f t="shared" si="30"/>
        <v>0</v>
      </c>
      <c r="T26" s="897">
        <f>'Table 5C1A-Madison Prep'!T26</f>
        <v>2566</v>
      </c>
      <c r="U26" s="899">
        <f t="shared" si="20"/>
        <v>0</v>
      </c>
      <c r="V26" s="1758">
        <f>+'[3]Oct midyear Intl_VIBE '!E25</f>
        <v>0</v>
      </c>
      <c r="W26" s="1759">
        <f t="shared" si="31"/>
        <v>0</v>
      </c>
      <c r="X26" s="1758">
        <f>'[3]Feb midyear Intl_VIBE '!E25</f>
        <v>0</v>
      </c>
      <c r="Y26" s="1759">
        <f t="shared" si="32"/>
        <v>0</v>
      </c>
      <c r="Z26" s="1653">
        <f t="shared" si="33"/>
        <v>0</v>
      </c>
      <c r="AA26" s="1486">
        <f t="shared" si="34"/>
        <v>0</v>
      </c>
      <c r="AB26" s="937">
        <f t="shared" si="35"/>
        <v>0</v>
      </c>
      <c r="AC26" s="899">
        <f t="shared" si="36"/>
        <v>0</v>
      </c>
      <c r="AD26" s="1830">
        <v>0</v>
      </c>
      <c r="AE26" s="899">
        <f t="shared" si="37"/>
        <v>0</v>
      </c>
      <c r="AF26" s="1759">
        <f>+'[4]Table 5C1C-Intl_VIBE'!T25*8</f>
        <v>0</v>
      </c>
      <c r="AG26" s="1759">
        <f t="shared" si="38"/>
        <v>0</v>
      </c>
      <c r="AH26" s="999">
        <f t="shared" si="39"/>
        <v>0</v>
      </c>
      <c r="AI26" s="900">
        <f t="shared" si="40"/>
        <v>0</v>
      </c>
      <c r="AJ26" s="900">
        <f t="shared" si="41"/>
        <v>0</v>
      </c>
      <c r="AL26" s="49">
        <f>-'[4]Table 5C1C-Intl_VIBE'!P25</f>
        <v>0</v>
      </c>
      <c r="AM26" s="49">
        <f t="shared" si="42"/>
        <v>0</v>
      </c>
      <c r="AN26" s="49">
        <f t="shared" si="43"/>
        <v>0</v>
      </c>
    </row>
    <row r="27" spans="1:40">
      <c r="A27" s="879">
        <v>20</v>
      </c>
      <c r="B27" s="880" t="s">
        <v>111</v>
      </c>
      <c r="C27" s="970">
        <f>'2-1-13 SIS'!K26</f>
        <v>0</v>
      </c>
      <c r="D27" s="881">
        <f>'Table 3 Levels 1&amp;2'!AL27</f>
        <v>5420.2042919205833</v>
      </c>
      <c r="E27" s="920">
        <f t="shared" si="21"/>
        <v>0</v>
      </c>
      <c r="F27" s="920">
        <f>'Table 4 Level 3'!P25</f>
        <v>586.16999999999996</v>
      </c>
      <c r="G27" s="920">
        <f t="shared" si="22"/>
        <v>0</v>
      </c>
      <c r="H27" s="901">
        <f t="shared" si="23"/>
        <v>0</v>
      </c>
      <c r="I27" s="1733">
        <f>+'[3]Oct midyear Intl_VIBE '!K26</f>
        <v>0</v>
      </c>
      <c r="J27" s="1733">
        <f>'[3]Feb midyear Intl_VIBE '!K26</f>
        <v>0</v>
      </c>
      <c r="K27" s="1544">
        <f t="shared" si="24"/>
        <v>0</v>
      </c>
      <c r="L27" s="1487">
        <f t="shared" si="25"/>
        <v>0</v>
      </c>
      <c r="M27" s="930">
        <f t="shared" si="26"/>
        <v>0</v>
      </c>
      <c r="N27" s="901">
        <f t="shared" si="27"/>
        <v>0</v>
      </c>
      <c r="O27" s="881">
        <v>0</v>
      </c>
      <c r="P27" s="901">
        <f t="shared" si="28"/>
        <v>0</v>
      </c>
      <c r="Q27" s="1845">
        <f>+'[4]Table 5C1C-Intl_VIBE'!M26*8</f>
        <v>0</v>
      </c>
      <c r="R27" s="1845">
        <f t="shared" si="29"/>
        <v>0</v>
      </c>
      <c r="S27" s="901">
        <f t="shared" si="30"/>
        <v>0</v>
      </c>
      <c r="T27" s="902">
        <f>'Table 5C1A-Madison Prep'!T27</f>
        <v>2621</v>
      </c>
      <c r="U27" s="903">
        <f t="shared" si="20"/>
        <v>0</v>
      </c>
      <c r="V27" s="1762">
        <f>+'[3]Oct midyear Intl_VIBE '!E26</f>
        <v>0</v>
      </c>
      <c r="W27" s="1763">
        <f t="shared" si="31"/>
        <v>0</v>
      </c>
      <c r="X27" s="1762">
        <f>'[3]Feb midyear Intl_VIBE '!E26</f>
        <v>0</v>
      </c>
      <c r="Y27" s="1763">
        <f t="shared" si="32"/>
        <v>0</v>
      </c>
      <c r="Z27" s="1654">
        <f t="shared" si="33"/>
        <v>0</v>
      </c>
      <c r="AA27" s="1488">
        <f t="shared" si="34"/>
        <v>0</v>
      </c>
      <c r="AB27" s="938">
        <f t="shared" si="35"/>
        <v>0</v>
      </c>
      <c r="AC27" s="903">
        <f t="shared" si="36"/>
        <v>0</v>
      </c>
      <c r="AD27" s="1831">
        <v>0</v>
      </c>
      <c r="AE27" s="903">
        <f t="shared" si="37"/>
        <v>0</v>
      </c>
      <c r="AF27" s="1763">
        <f>+'[4]Table 5C1C-Intl_VIBE'!T26*8</f>
        <v>0</v>
      </c>
      <c r="AG27" s="1763">
        <f t="shared" si="38"/>
        <v>0</v>
      </c>
      <c r="AH27" s="1659">
        <f t="shared" si="39"/>
        <v>0</v>
      </c>
      <c r="AI27" s="904">
        <f t="shared" si="40"/>
        <v>0</v>
      </c>
      <c r="AJ27" s="904">
        <f t="shared" si="41"/>
        <v>0</v>
      </c>
      <c r="AL27" s="49">
        <f>-'[4]Table 5C1C-Intl_VIBE'!P26</f>
        <v>0</v>
      </c>
      <c r="AM27" s="49">
        <f t="shared" si="42"/>
        <v>0</v>
      </c>
      <c r="AN27" s="49">
        <f t="shared" si="43"/>
        <v>0</v>
      </c>
    </row>
    <row r="28" spans="1:40">
      <c r="A28" s="870">
        <v>21</v>
      </c>
      <c r="B28" s="871" t="s">
        <v>112</v>
      </c>
      <c r="C28" s="971">
        <f>'2-1-13 SIS'!K27</f>
        <v>0</v>
      </c>
      <c r="D28" s="872">
        <f>'Table 3 Levels 1&amp;2'!AL28</f>
        <v>5724.5404916279067</v>
      </c>
      <c r="E28" s="918">
        <f t="shared" si="21"/>
        <v>0</v>
      </c>
      <c r="F28" s="918">
        <f>'Table 4 Level 3'!P26</f>
        <v>610.35</v>
      </c>
      <c r="G28" s="918">
        <f t="shared" si="22"/>
        <v>0</v>
      </c>
      <c r="H28" s="873">
        <f t="shared" si="23"/>
        <v>0</v>
      </c>
      <c r="I28" s="1718">
        <f>+'[3]Oct midyear Intl_VIBE '!K27</f>
        <v>0</v>
      </c>
      <c r="J28" s="1718">
        <f>'[3]Feb midyear Intl_VIBE '!K27</f>
        <v>0</v>
      </c>
      <c r="K28" s="1542">
        <f t="shared" si="24"/>
        <v>0</v>
      </c>
      <c r="L28" s="1520">
        <f t="shared" si="25"/>
        <v>0</v>
      </c>
      <c r="M28" s="928">
        <f t="shared" si="26"/>
        <v>0</v>
      </c>
      <c r="N28" s="873">
        <f t="shared" si="27"/>
        <v>0</v>
      </c>
      <c r="O28" s="872">
        <v>0</v>
      </c>
      <c r="P28" s="873">
        <f t="shared" si="28"/>
        <v>0</v>
      </c>
      <c r="Q28" s="872">
        <f>+'[4]Table 5C1C-Intl_VIBE'!M27*8</f>
        <v>0</v>
      </c>
      <c r="R28" s="872">
        <f t="shared" si="29"/>
        <v>0</v>
      </c>
      <c r="S28" s="873">
        <f t="shared" si="30"/>
        <v>0</v>
      </c>
      <c r="T28" s="897">
        <f>'Table 5C1A-Madison Prep'!T28</f>
        <v>2445</v>
      </c>
      <c r="U28" s="874">
        <f t="shared" si="20"/>
        <v>0</v>
      </c>
      <c r="V28" s="1754">
        <f>+'[3]Oct midyear Intl_VIBE '!E27</f>
        <v>0</v>
      </c>
      <c r="W28" s="1755">
        <f t="shared" si="31"/>
        <v>0</v>
      </c>
      <c r="X28" s="1754">
        <f>'[3]Feb midyear Intl_VIBE '!E27</f>
        <v>0</v>
      </c>
      <c r="Y28" s="1755">
        <f t="shared" si="32"/>
        <v>0</v>
      </c>
      <c r="Z28" s="1652">
        <f t="shared" si="33"/>
        <v>0</v>
      </c>
      <c r="AA28" s="1521">
        <f t="shared" si="34"/>
        <v>0</v>
      </c>
      <c r="AB28" s="936">
        <f t="shared" si="35"/>
        <v>0</v>
      </c>
      <c r="AC28" s="874">
        <f t="shared" si="36"/>
        <v>0</v>
      </c>
      <c r="AD28" s="1829">
        <v>0</v>
      </c>
      <c r="AE28" s="874">
        <f t="shared" si="37"/>
        <v>0</v>
      </c>
      <c r="AF28" s="1755">
        <f>+'[4]Table 5C1C-Intl_VIBE'!T27*8</f>
        <v>0</v>
      </c>
      <c r="AG28" s="1755">
        <f t="shared" si="38"/>
        <v>0</v>
      </c>
      <c r="AH28" s="999">
        <f t="shared" si="39"/>
        <v>0</v>
      </c>
      <c r="AI28" s="875">
        <f t="shared" si="40"/>
        <v>0</v>
      </c>
      <c r="AJ28" s="875">
        <f t="shared" si="41"/>
        <v>0</v>
      </c>
      <c r="AL28" s="49">
        <f>-'[4]Table 5C1C-Intl_VIBE'!P27</f>
        <v>0</v>
      </c>
      <c r="AM28" s="49">
        <f t="shared" si="42"/>
        <v>0</v>
      </c>
      <c r="AN28" s="49">
        <f t="shared" si="43"/>
        <v>0</v>
      </c>
    </row>
    <row r="29" spans="1:40">
      <c r="A29" s="876">
        <v>22</v>
      </c>
      <c r="B29" s="877" t="s">
        <v>113</v>
      </c>
      <c r="C29" s="969">
        <f>'2-1-13 SIS'!K28</f>
        <v>0</v>
      </c>
      <c r="D29" s="878">
        <f>'Table 3 Levels 1&amp;2'!AL29</f>
        <v>6203.2933768722742</v>
      </c>
      <c r="E29" s="919">
        <f t="shared" si="21"/>
        <v>0</v>
      </c>
      <c r="F29" s="919">
        <f>'Table 4 Level 3'!P27</f>
        <v>496.36</v>
      </c>
      <c r="G29" s="919">
        <f t="shared" si="22"/>
        <v>0</v>
      </c>
      <c r="H29" s="898">
        <f t="shared" si="23"/>
        <v>0</v>
      </c>
      <c r="I29" s="1732">
        <f>+'[3]Oct midyear Intl_VIBE '!K28</f>
        <v>0</v>
      </c>
      <c r="J29" s="1732">
        <f>'[3]Feb midyear Intl_VIBE '!K28</f>
        <v>0</v>
      </c>
      <c r="K29" s="1543">
        <f t="shared" si="24"/>
        <v>0</v>
      </c>
      <c r="L29" s="1485">
        <f t="shared" si="25"/>
        <v>0</v>
      </c>
      <c r="M29" s="929">
        <f t="shared" si="26"/>
        <v>0</v>
      </c>
      <c r="N29" s="898">
        <f t="shared" si="27"/>
        <v>0</v>
      </c>
      <c r="O29" s="878">
        <v>0</v>
      </c>
      <c r="P29" s="898">
        <f t="shared" si="28"/>
        <v>0</v>
      </c>
      <c r="Q29" s="1844">
        <f>+'[4]Table 5C1C-Intl_VIBE'!M28*8</f>
        <v>0</v>
      </c>
      <c r="R29" s="1844">
        <f t="shared" si="29"/>
        <v>0</v>
      </c>
      <c r="S29" s="898">
        <f t="shared" si="30"/>
        <v>0</v>
      </c>
      <c r="T29" s="897">
        <f>'Table 5C1A-Madison Prep'!T29</f>
        <v>1519</v>
      </c>
      <c r="U29" s="899">
        <f t="shared" si="20"/>
        <v>0</v>
      </c>
      <c r="V29" s="1758">
        <f>+'[3]Oct midyear Intl_VIBE '!E28</f>
        <v>0</v>
      </c>
      <c r="W29" s="1759">
        <f t="shared" si="31"/>
        <v>0</v>
      </c>
      <c r="X29" s="1758">
        <f>'[3]Feb midyear Intl_VIBE '!E28</f>
        <v>0</v>
      </c>
      <c r="Y29" s="1759">
        <f t="shared" si="32"/>
        <v>0</v>
      </c>
      <c r="Z29" s="1653">
        <f t="shared" si="33"/>
        <v>0</v>
      </c>
      <c r="AA29" s="1486">
        <f t="shared" si="34"/>
        <v>0</v>
      </c>
      <c r="AB29" s="937">
        <f t="shared" si="35"/>
        <v>0</v>
      </c>
      <c r="AC29" s="899">
        <f t="shared" si="36"/>
        <v>0</v>
      </c>
      <c r="AD29" s="1830">
        <v>0</v>
      </c>
      <c r="AE29" s="899">
        <f t="shared" si="37"/>
        <v>0</v>
      </c>
      <c r="AF29" s="1759">
        <f>+'[4]Table 5C1C-Intl_VIBE'!T28*8</f>
        <v>0</v>
      </c>
      <c r="AG29" s="1759">
        <f t="shared" si="38"/>
        <v>0</v>
      </c>
      <c r="AH29" s="999">
        <f t="shared" si="39"/>
        <v>0</v>
      </c>
      <c r="AI29" s="900">
        <f t="shared" si="40"/>
        <v>0</v>
      </c>
      <c r="AJ29" s="900">
        <f t="shared" si="41"/>
        <v>0</v>
      </c>
      <c r="AL29" s="49">
        <f>-'[4]Table 5C1C-Intl_VIBE'!P28</f>
        <v>0</v>
      </c>
      <c r="AM29" s="49">
        <f t="shared" si="42"/>
        <v>0</v>
      </c>
      <c r="AN29" s="49">
        <f t="shared" si="43"/>
        <v>0</v>
      </c>
    </row>
    <row r="30" spans="1:40">
      <c r="A30" s="876">
        <v>23</v>
      </c>
      <c r="B30" s="877" t="s">
        <v>114</v>
      </c>
      <c r="C30" s="969">
        <f>'2-1-13 SIS'!K29</f>
        <v>0</v>
      </c>
      <c r="D30" s="878">
        <f>'Table 3 Levels 1&amp;2'!AL30</f>
        <v>4846.0802490067681</v>
      </c>
      <c r="E30" s="919">
        <f t="shared" si="21"/>
        <v>0</v>
      </c>
      <c r="F30" s="919">
        <f>'Table 4 Level 3'!P28</f>
        <v>688.58</v>
      </c>
      <c r="G30" s="919">
        <f t="shared" si="22"/>
        <v>0</v>
      </c>
      <c r="H30" s="898">
        <f t="shared" si="23"/>
        <v>0</v>
      </c>
      <c r="I30" s="1732">
        <f>+'[3]Oct midyear Intl_VIBE '!K29</f>
        <v>0</v>
      </c>
      <c r="J30" s="1732">
        <f>'[3]Feb midyear Intl_VIBE '!K29</f>
        <v>0</v>
      </c>
      <c r="K30" s="1543">
        <f t="shared" si="24"/>
        <v>0</v>
      </c>
      <c r="L30" s="1485">
        <f t="shared" si="25"/>
        <v>0</v>
      </c>
      <c r="M30" s="929">
        <f t="shared" si="26"/>
        <v>0</v>
      </c>
      <c r="N30" s="898">
        <f t="shared" si="27"/>
        <v>0</v>
      </c>
      <c r="O30" s="878">
        <v>0</v>
      </c>
      <c r="P30" s="898">
        <f t="shared" si="28"/>
        <v>0</v>
      </c>
      <c r="Q30" s="1844">
        <f>+'[4]Table 5C1C-Intl_VIBE'!M29*8</f>
        <v>0</v>
      </c>
      <c r="R30" s="1844">
        <f t="shared" si="29"/>
        <v>0</v>
      </c>
      <c r="S30" s="898">
        <f t="shared" si="30"/>
        <v>0</v>
      </c>
      <c r="T30" s="897">
        <f>'Table 5C1A-Madison Prep'!T30</f>
        <v>3365</v>
      </c>
      <c r="U30" s="899">
        <f t="shared" si="20"/>
        <v>0</v>
      </c>
      <c r="V30" s="1758">
        <f>+'[3]Oct midyear Intl_VIBE '!E29</f>
        <v>0</v>
      </c>
      <c r="W30" s="1759">
        <f t="shared" si="31"/>
        <v>0</v>
      </c>
      <c r="X30" s="1758">
        <f>'[3]Feb midyear Intl_VIBE '!E29</f>
        <v>0</v>
      </c>
      <c r="Y30" s="1759">
        <f t="shared" si="32"/>
        <v>0</v>
      </c>
      <c r="Z30" s="1653">
        <f t="shared" si="33"/>
        <v>0</v>
      </c>
      <c r="AA30" s="1486">
        <f t="shared" si="34"/>
        <v>0</v>
      </c>
      <c r="AB30" s="937">
        <f t="shared" si="35"/>
        <v>0</v>
      </c>
      <c r="AC30" s="899">
        <f t="shared" si="36"/>
        <v>0</v>
      </c>
      <c r="AD30" s="1830">
        <v>0</v>
      </c>
      <c r="AE30" s="899">
        <f t="shared" si="37"/>
        <v>0</v>
      </c>
      <c r="AF30" s="1759">
        <f>+'[4]Table 5C1C-Intl_VIBE'!T29*8</f>
        <v>0</v>
      </c>
      <c r="AG30" s="1759">
        <f t="shared" si="38"/>
        <v>0</v>
      </c>
      <c r="AH30" s="999">
        <f t="shared" si="39"/>
        <v>0</v>
      </c>
      <c r="AI30" s="900">
        <f t="shared" si="40"/>
        <v>0</v>
      </c>
      <c r="AJ30" s="900">
        <f t="shared" si="41"/>
        <v>0</v>
      </c>
      <c r="AL30" s="49">
        <f>-'[4]Table 5C1C-Intl_VIBE'!P29</f>
        <v>0</v>
      </c>
      <c r="AM30" s="49">
        <f t="shared" si="42"/>
        <v>0</v>
      </c>
      <c r="AN30" s="49">
        <f t="shared" si="43"/>
        <v>0</v>
      </c>
    </row>
    <row r="31" spans="1:40">
      <c r="A31" s="876">
        <v>24</v>
      </c>
      <c r="B31" s="877" t="s">
        <v>115</v>
      </c>
      <c r="C31" s="969">
        <f>'2-1-13 SIS'!K30</f>
        <v>0</v>
      </c>
      <c r="D31" s="878">
        <f>'Table 3 Levels 1&amp;2'!AL31</f>
        <v>2764.1216755319151</v>
      </c>
      <c r="E31" s="919">
        <f t="shared" si="21"/>
        <v>0</v>
      </c>
      <c r="F31" s="919">
        <f>'Table 4 Level 3'!P29</f>
        <v>854.24999999999989</v>
      </c>
      <c r="G31" s="919">
        <f t="shared" si="22"/>
        <v>0</v>
      </c>
      <c r="H31" s="898">
        <f t="shared" si="23"/>
        <v>0</v>
      </c>
      <c r="I31" s="1732">
        <f>+'[3]Oct midyear Intl_VIBE '!K30</f>
        <v>0</v>
      </c>
      <c r="J31" s="1732">
        <f>'[3]Feb midyear Intl_VIBE '!K30</f>
        <v>0</v>
      </c>
      <c r="K31" s="1543">
        <f t="shared" si="24"/>
        <v>0</v>
      </c>
      <c r="L31" s="1485">
        <f t="shared" si="25"/>
        <v>0</v>
      </c>
      <c r="M31" s="929">
        <f t="shared" si="26"/>
        <v>0</v>
      </c>
      <c r="N31" s="898">
        <f t="shared" si="27"/>
        <v>0</v>
      </c>
      <c r="O31" s="878">
        <v>0</v>
      </c>
      <c r="P31" s="898">
        <f t="shared" si="28"/>
        <v>0</v>
      </c>
      <c r="Q31" s="1844">
        <f>+'[4]Table 5C1C-Intl_VIBE'!M30*8</f>
        <v>0</v>
      </c>
      <c r="R31" s="1844">
        <f t="shared" si="29"/>
        <v>0</v>
      </c>
      <c r="S31" s="898">
        <f t="shared" si="30"/>
        <v>0</v>
      </c>
      <c r="T31" s="897">
        <f>'Table 5C1A-Madison Prep'!T31</f>
        <v>10907</v>
      </c>
      <c r="U31" s="899">
        <f t="shared" si="20"/>
        <v>0</v>
      </c>
      <c r="V31" s="1758">
        <f>+'[3]Oct midyear Intl_VIBE '!E30</f>
        <v>0</v>
      </c>
      <c r="W31" s="1759">
        <f t="shared" si="31"/>
        <v>0</v>
      </c>
      <c r="X31" s="1758">
        <f>'[3]Feb midyear Intl_VIBE '!E30</f>
        <v>0</v>
      </c>
      <c r="Y31" s="1759">
        <f t="shared" si="32"/>
        <v>0</v>
      </c>
      <c r="Z31" s="1653">
        <f t="shared" si="33"/>
        <v>0</v>
      </c>
      <c r="AA31" s="1486">
        <f t="shared" si="34"/>
        <v>0</v>
      </c>
      <c r="AB31" s="937">
        <f t="shared" si="35"/>
        <v>0</v>
      </c>
      <c r="AC31" s="899">
        <f t="shared" si="36"/>
        <v>0</v>
      </c>
      <c r="AD31" s="1830">
        <v>0</v>
      </c>
      <c r="AE31" s="899">
        <f t="shared" si="37"/>
        <v>0</v>
      </c>
      <c r="AF31" s="1759">
        <f>+'[4]Table 5C1C-Intl_VIBE'!T30*8</f>
        <v>0</v>
      </c>
      <c r="AG31" s="1759">
        <f t="shared" si="38"/>
        <v>0</v>
      </c>
      <c r="AH31" s="999">
        <f t="shared" si="39"/>
        <v>0</v>
      </c>
      <c r="AI31" s="900">
        <f t="shared" si="40"/>
        <v>0</v>
      </c>
      <c r="AJ31" s="900">
        <f t="shared" si="41"/>
        <v>0</v>
      </c>
      <c r="AL31" s="49">
        <f>-'[4]Table 5C1C-Intl_VIBE'!P30</f>
        <v>0</v>
      </c>
      <c r="AM31" s="49">
        <f t="shared" si="42"/>
        <v>0</v>
      </c>
      <c r="AN31" s="49">
        <f t="shared" si="43"/>
        <v>0</v>
      </c>
    </row>
    <row r="32" spans="1:40">
      <c r="A32" s="879">
        <v>25</v>
      </c>
      <c r="B32" s="880" t="s">
        <v>116</v>
      </c>
      <c r="C32" s="970">
        <f>'2-1-13 SIS'!K31</f>
        <v>0</v>
      </c>
      <c r="D32" s="881">
        <f>'Table 3 Levels 1&amp;2'!AL32</f>
        <v>3867.4480692053257</v>
      </c>
      <c r="E32" s="920">
        <f t="shared" si="21"/>
        <v>0</v>
      </c>
      <c r="F32" s="920">
        <f>'Table 4 Level 3'!P30</f>
        <v>653.73</v>
      </c>
      <c r="G32" s="920">
        <f t="shared" si="22"/>
        <v>0</v>
      </c>
      <c r="H32" s="901">
        <f t="shared" si="23"/>
        <v>0</v>
      </c>
      <c r="I32" s="1733">
        <f>+'[3]Oct midyear Intl_VIBE '!K31</f>
        <v>0</v>
      </c>
      <c r="J32" s="1733">
        <f>'[3]Feb midyear Intl_VIBE '!K31</f>
        <v>0</v>
      </c>
      <c r="K32" s="1544">
        <f t="shared" si="24"/>
        <v>0</v>
      </c>
      <c r="L32" s="1487">
        <f t="shared" si="25"/>
        <v>0</v>
      </c>
      <c r="M32" s="930">
        <f t="shared" si="26"/>
        <v>0</v>
      </c>
      <c r="N32" s="901">
        <f t="shared" si="27"/>
        <v>0</v>
      </c>
      <c r="O32" s="881">
        <v>0</v>
      </c>
      <c r="P32" s="901">
        <f t="shared" si="28"/>
        <v>0</v>
      </c>
      <c r="Q32" s="1845">
        <f>+'[4]Table 5C1C-Intl_VIBE'!M31*8</f>
        <v>0</v>
      </c>
      <c r="R32" s="1845">
        <f t="shared" si="29"/>
        <v>0</v>
      </c>
      <c r="S32" s="901">
        <f t="shared" si="30"/>
        <v>0</v>
      </c>
      <c r="T32" s="902">
        <f>'Table 5C1A-Madison Prep'!T32</f>
        <v>5156</v>
      </c>
      <c r="U32" s="903">
        <f t="shared" si="20"/>
        <v>0</v>
      </c>
      <c r="V32" s="1762">
        <f>+'[3]Oct midyear Intl_VIBE '!E31</f>
        <v>0</v>
      </c>
      <c r="W32" s="1763">
        <f t="shared" si="31"/>
        <v>0</v>
      </c>
      <c r="X32" s="1762">
        <f>'[3]Feb midyear Intl_VIBE '!E31</f>
        <v>0</v>
      </c>
      <c r="Y32" s="1763">
        <f t="shared" si="32"/>
        <v>0</v>
      </c>
      <c r="Z32" s="1654">
        <f t="shared" si="33"/>
        <v>0</v>
      </c>
      <c r="AA32" s="1488">
        <f t="shared" si="34"/>
        <v>0</v>
      </c>
      <c r="AB32" s="938">
        <f t="shared" si="35"/>
        <v>0</v>
      </c>
      <c r="AC32" s="903">
        <f t="shared" si="36"/>
        <v>0</v>
      </c>
      <c r="AD32" s="1831">
        <v>0</v>
      </c>
      <c r="AE32" s="903">
        <f t="shared" si="37"/>
        <v>0</v>
      </c>
      <c r="AF32" s="1763">
        <f>+'[4]Table 5C1C-Intl_VIBE'!T31*8</f>
        <v>0</v>
      </c>
      <c r="AG32" s="1763">
        <f t="shared" si="38"/>
        <v>0</v>
      </c>
      <c r="AH32" s="1659">
        <f t="shared" si="39"/>
        <v>0</v>
      </c>
      <c r="AI32" s="904">
        <f t="shared" si="40"/>
        <v>0</v>
      </c>
      <c r="AJ32" s="904">
        <f t="shared" si="41"/>
        <v>0</v>
      </c>
      <c r="AL32" s="49">
        <f>-'[4]Table 5C1C-Intl_VIBE'!P31</f>
        <v>0</v>
      </c>
      <c r="AM32" s="49">
        <f t="shared" si="42"/>
        <v>0</v>
      </c>
      <c r="AN32" s="49">
        <f t="shared" si="43"/>
        <v>0</v>
      </c>
    </row>
    <row r="33" spans="1:40">
      <c r="A33" s="870">
        <v>26</v>
      </c>
      <c r="B33" s="871" t="s">
        <v>117</v>
      </c>
      <c r="C33" s="971">
        <f>'2-1-13 SIS'!K32</f>
        <v>46</v>
      </c>
      <c r="D33" s="872">
        <f>'Table 3 Levels 1&amp;2'!AL33</f>
        <v>3293.481526790355</v>
      </c>
      <c r="E33" s="918">
        <f t="shared" si="21"/>
        <v>151500.15023235633</v>
      </c>
      <c r="F33" s="918">
        <f>'Table 4 Level 3'!P31</f>
        <v>836.83</v>
      </c>
      <c r="G33" s="918">
        <f t="shared" si="22"/>
        <v>38494.18</v>
      </c>
      <c r="H33" s="873">
        <f t="shared" si="23"/>
        <v>189994.33023235633</v>
      </c>
      <c r="I33" s="1718">
        <f>+'[3]Oct midyear Intl_VIBE '!K32</f>
        <v>66084.984428645679</v>
      </c>
      <c r="J33" s="1718">
        <f>'[3]Feb midyear Intl_VIBE '!K32</f>
        <v>-8260.6230535807099</v>
      </c>
      <c r="K33" s="1542">
        <f t="shared" si="24"/>
        <v>57824.361375064967</v>
      </c>
      <c r="L33" s="1520">
        <f t="shared" si="25"/>
        <v>247818.69160742129</v>
      </c>
      <c r="M33" s="928">
        <f t="shared" si="26"/>
        <v>-619.54672901855326</v>
      </c>
      <c r="N33" s="873">
        <f t="shared" si="27"/>
        <v>247199.14487840273</v>
      </c>
      <c r="O33" s="872">
        <v>0</v>
      </c>
      <c r="P33" s="873">
        <f t="shared" si="28"/>
        <v>247199.14487840273</v>
      </c>
      <c r="Q33" s="872">
        <f>+'[4]Table 5C1C-Intl_VIBE'!M32*8</f>
        <v>126346.22960451695</v>
      </c>
      <c r="R33" s="872">
        <f t="shared" si="29"/>
        <v>120852.91527388578</v>
      </c>
      <c r="S33" s="873">
        <f t="shared" si="30"/>
        <v>30213</v>
      </c>
      <c r="T33" s="897">
        <f>'Table 5C1A-Madison Prep'!T33</f>
        <v>5344</v>
      </c>
      <c r="U33" s="874">
        <f t="shared" si="20"/>
        <v>245824</v>
      </c>
      <c r="V33" s="1754">
        <f>+'[3]Oct midyear Intl_VIBE '!E32</f>
        <v>16</v>
      </c>
      <c r="W33" s="1755">
        <f t="shared" si="31"/>
        <v>85504</v>
      </c>
      <c r="X33" s="1754">
        <f>'[3]Feb midyear Intl_VIBE '!E32</f>
        <v>-4</v>
      </c>
      <c r="Y33" s="1755">
        <f t="shared" si="32"/>
        <v>-10688</v>
      </c>
      <c r="Z33" s="1652">
        <f t="shared" si="33"/>
        <v>74816</v>
      </c>
      <c r="AA33" s="1521">
        <f t="shared" si="34"/>
        <v>320640</v>
      </c>
      <c r="AB33" s="936">
        <f t="shared" si="35"/>
        <v>-801.6</v>
      </c>
      <c r="AC33" s="874">
        <f t="shared" si="36"/>
        <v>319838.40000000002</v>
      </c>
      <c r="AD33" s="1829">
        <v>0</v>
      </c>
      <c r="AE33" s="874">
        <f t="shared" si="37"/>
        <v>319838.40000000002</v>
      </c>
      <c r="AF33" s="1755">
        <f>+'[4]Table 5C1C-Intl_VIBE'!T32*8</f>
        <v>162127</v>
      </c>
      <c r="AG33" s="1755">
        <f t="shared" si="38"/>
        <v>157711.40000000002</v>
      </c>
      <c r="AH33" s="999">
        <f t="shared" si="39"/>
        <v>39428</v>
      </c>
      <c r="AI33" s="875">
        <f t="shared" si="40"/>
        <v>567037.54487840272</v>
      </c>
      <c r="AJ33" s="875">
        <f t="shared" si="41"/>
        <v>69641</v>
      </c>
      <c r="AL33" s="49">
        <f>-'[4]Table 5C1C-Intl_VIBE'!P32</f>
        <v>609.5</v>
      </c>
      <c r="AM33" s="49">
        <f t="shared" si="42"/>
        <v>-801.6</v>
      </c>
      <c r="AN33" s="49">
        <f t="shared" si="43"/>
        <v>-192.10000000000002</v>
      </c>
    </row>
    <row r="34" spans="1:40">
      <c r="A34" s="876">
        <v>27</v>
      </c>
      <c r="B34" s="877" t="s">
        <v>118</v>
      </c>
      <c r="C34" s="972">
        <f>'2-1-13 SIS'!K33</f>
        <v>0</v>
      </c>
      <c r="D34" s="882">
        <f>'Table 3 Levels 1&amp;2'!AL34</f>
        <v>5680.7727517381973</v>
      </c>
      <c r="E34" s="921">
        <f t="shared" si="21"/>
        <v>0</v>
      </c>
      <c r="F34" s="921">
        <f>'Table 4 Level 3'!P32</f>
        <v>693.06</v>
      </c>
      <c r="G34" s="921">
        <f t="shared" si="22"/>
        <v>0</v>
      </c>
      <c r="H34" s="905">
        <f t="shared" si="23"/>
        <v>0</v>
      </c>
      <c r="I34" s="1734">
        <f>+'[3]Oct midyear Intl_VIBE '!K33</f>
        <v>0</v>
      </c>
      <c r="J34" s="1734">
        <f>'[3]Feb midyear Intl_VIBE '!K33</f>
        <v>0</v>
      </c>
      <c r="K34" s="1545">
        <f t="shared" si="24"/>
        <v>0</v>
      </c>
      <c r="L34" s="1489">
        <f t="shared" si="25"/>
        <v>0</v>
      </c>
      <c r="M34" s="931">
        <f t="shared" si="26"/>
        <v>0</v>
      </c>
      <c r="N34" s="905">
        <f t="shared" si="27"/>
        <v>0</v>
      </c>
      <c r="O34" s="882">
        <v>0</v>
      </c>
      <c r="P34" s="905">
        <f t="shared" si="28"/>
        <v>0</v>
      </c>
      <c r="Q34" s="1846">
        <f>+'[4]Table 5C1C-Intl_VIBE'!M33*8</f>
        <v>0</v>
      </c>
      <c r="R34" s="1846">
        <f t="shared" si="29"/>
        <v>0</v>
      </c>
      <c r="S34" s="905">
        <f t="shared" si="30"/>
        <v>0</v>
      </c>
      <c r="T34" s="897">
        <f>'Table 5C1A-Madison Prep'!T34</f>
        <v>3271</v>
      </c>
      <c r="U34" s="899">
        <f t="shared" si="20"/>
        <v>0</v>
      </c>
      <c r="V34" s="1758">
        <f>+'[3]Oct midyear Intl_VIBE '!E33</f>
        <v>0</v>
      </c>
      <c r="W34" s="1759">
        <f t="shared" si="31"/>
        <v>0</v>
      </c>
      <c r="X34" s="1758">
        <f>'[3]Feb midyear Intl_VIBE '!E33</f>
        <v>0</v>
      </c>
      <c r="Y34" s="1759">
        <f t="shared" si="32"/>
        <v>0</v>
      </c>
      <c r="Z34" s="1653">
        <f t="shared" si="33"/>
        <v>0</v>
      </c>
      <c r="AA34" s="1486">
        <f t="shared" si="34"/>
        <v>0</v>
      </c>
      <c r="AB34" s="937">
        <f t="shared" si="35"/>
        <v>0</v>
      </c>
      <c r="AC34" s="899">
        <f t="shared" si="36"/>
        <v>0</v>
      </c>
      <c r="AD34" s="1830">
        <v>0</v>
      </c>
      <c r="AE34" s="899">
        <f t="shared" si="37"/>
        <v>0</v>
      </c>
      <c r="AF34" s="1759">
        <f>+'[4]Table 5C1C-Intl_VIBE'!T33*8</f>
        <v>0</v>
      </c>
      <c r="AG34" s="1759">
        <f t="shared" si="38"/>
        <v>0</v>
      </c>
      <c r="AH34" s="999">
        <f t="shared" si="39"/>
        <v>0</v>
      </c>
      <c r="AI34" s="900">
        <f t="shared" si="40"/>
        <v>0</v>
      </c>
      <c r="AJ34" s="900">
        <f t="shared" si="41"/>
        <v>0</v>
      </c>
      <c r="AL34" s="49">
        <f>-'[4]Table 5C1C-Intl_VIBE'!P33</f>
        <v>0</v>
      </c>
      <c r="AM34" s="49">
        <f t="shared" si="42"/>
        <v>0</v>
      </c>
      <c r="AN34" s="49">
        <f t="shared" si="43"/>
        <v>0</v>
      </c>
    </row>
    <row r="35" spans="1:40">
      <c r="A35" s="876">
        <v>28</v>
      </c>
      <c r="B35" s="877" t="s">
        <v>119</v>
      </c>
      <c r="C35" s="972">
        <f>'2-1-13 SIS'!K34</f>
        <v>0</v>
      </c>
      <c r="D35" s="882">
        <f>'Table 3 Levels 1&amp;2'!AL35</f>
        <v>3163.1694438483169</v>
      </c>
      <c r="E35" s="921">
        <f t="shared" si="21"/>
        <v>0</v>
      </c>
      <c r="F35" s="921">
        <f>'Table 4 Level 3'!P33</f>
        <v>694.4</v>
      </c>
      <c r="G35" s="921">
        <f t="shared" si="22"/>
        <v>0</v>
      </c>
      <c r="H35" s="905">
        <f t="shared" si="23"/>
        <v>0</v>
      </c>
      <c r="I35" s="1734">
        <f>+'[3]Oct midyear Intl_VIBE '!K34</f>
        <v>0</v>
      </c>
      <c r="J35" s="1734">
        <f>'[3]Feb midyear Intl_VIBE '!K34</f>
        <v>0</v>
      </c>
      <c r="K35" s="1545">
        <f t="shared" si="24"/>
        <v>0</v>
      </c>
      <c r="L35" s="1489">
        <f t="shared" si="25"/>
        <v>0</v>
      </c>
      <c r="M35" s="931">
        <f t="shared" si="26"/>
        <v>0</v>
      </c>
      <c r="N35" s="905">
        <f t="shared" si="27"/>
        <v>0</v>
      </c>
      <c r="O35" s="882">
        <v>0</v>
      </c>
      <c r="P35" s="905">
        <f t="shared" si="28"/>
        <v>0</v>
      </c>
      <c r="Q35" s="1846">
        <f>+'[4]Table 5C1C-Intl_VIBE'!M34*8</f>
        <v>0</v>
      </c>
      <c r="R35" s="1846">
        <f t="shared" si="29"/>
        <v>0</v>
      </c>
      <c r="S35" s="905">
        <f t="shared" si="30"/>
        <v>0</v>
      </c>
      <c r="T35" s="897">
        <f>'Table 5C1A-Madison Prep'!T35</f>
        <v>5647</v>
      </c>
      <c r="U35" s="899">
        <f t="shared" si="20"/>
        <v>0</v>
      </c>
      <c r="V35" s="1758">
        <f>+'[3]Oct midyear Intl_VIBE '!E34</f>
        <v>0</v>
      </c>
      <c r="W35" s="1759">
        <f t="shared" si="31"/>
        <v>0</v>
      </c>
      <c r="X35" s="1758">
        <f>'[3]Feb midyear Intl_VIBE '!E34</f>
        <v>0</v>
      </c>
      <c r="Y35" s="1759">
        <f t="shared" si="32"/>
        <v>0</v>
      </c>
      <c r="Z35" s="1653">
        <f t="shared" si="33"/>
        <v>0</v>
      </c>
      <c r="AA35" s="1486">
        <f t="shared" si="34"/>
        <v>0</v>
      </c>
      <c r="AB35" s="937">
        <f t="shared" si="35"/>
        <v>0</v>
      </c>
      <c r="AC35" s="899">
        <f t="shared" si="36"/>
        <v>0</v>
      </c>
      <c r="AD35" s="1830">
        <v>0</v>
      </c>
      <c r="AE35" s="899">
        <f t="shared" si="37"/>
        <v>0</v>
      </c>
      <c r="AF35" s="1759">
        <f>+'[4]Table 5C1C-Intl_VIBE'!T34*8</f>
        <v>0</v>
      </c>
      <c r="AG35" s="1759">
        <f t="shared" si="38"/>
        <v>0</v>
      </c>
      <c r="AH35" s="999">
        <f t="shared" si="39"/>
        <v>0</v>
      </c>
      <c r="AI35" s="900">
        <f t="shared" si="40"/>
        <v>0</v>
      </c>
      <c r="AJ35" s="900">
        <f t="shared" si="41"/>
        <v>0</v>
      </c>
      <c r="AL35" s="49">
        <f>-'[4]Table 5C1C-Intl_VIBE'!P34</f>
        <v>0</v>
      </c>
      <c r="AM35" s="49">
        <f t="shared" si="42"/>
        <v>0</v>
      </c>
      <c r="AN35" s="49">
        <f t="shared" si="43"/>
        <v>0</v>
      </c>
    </row>
    <row r="36" spans="1:40">
      <c r="A36" s="876">
        <v>29</v>
      </c>
      <c r="B36" s="877" t="s">
        <v>120</v>
      </c>
      <c r="C36" s="972">
        <f>'2-1-13 SIS'!K35</f>
        <v>0</v>
      </c>
      <c r="D36" s="882">
        <f>'Table 3 Levels 1&amp;2'!AL36</f>
        <v>3952.5586133052648</v>
      </c>
      <c r="E36" s="921">
        <f t="shared" si="21"/>
        <v>0</v>
      </c>
      <c r="F36" s="921">
        <f>'Table 4 Level 3'!P34</f>
        <v>754.94999999999993</v>
      </c>
      <c r="G36" s="921">
        <f t="shared" si="22"/>
        <v>0</v>
      </c>
      <c r="H36" s="905">
        <f t="shared" si="23"/>
        <v>0</v>
      </c>
      <c r="I36" s="1734">
        <f>+'[3]Oct midyear Intl_VIBE '!K35</f>
        <v>0</v>
      </c>
      <c r="J36" s="1734">
        <f>'[3]Feb midyear Intl_VIBE '!K35</f>
        <v>0</v>
      </c>
      <c r="K36" s="1545">
        <f t="shared" si="24"/>
        <v>0</v>
      </c>
      <c r="L36" s="1489">
        <f t="shared" si="25"/>
        <v>0</v>
      </c>
      <c r="M36" s="931">
        <f t="shared" si="26"/>
        <v>0</v>
      </c>
      <c r="N36" s="905">
        <f t="shared" si="27"/>
        <v>0</v>
      </c>
      <c r="O36" s="882">
        <v>0</v>
      </c>
      <c r="P36" s="905">
        <f t="shared" si="28"/>
        <v>0</v>
      </c>
      <c r="Q36" s="1846">
        <f>+'[4]Table 5C1C-Intl_VIBE'!M35*8</f>
        <v>0</v>
      </c>
      <c r="R36" s="1846">
        <f t="shared" si="29"/>
        <v>0</v>
      </c>
      <c r="S36" s="905">
        <f t="shared" si="30"/>
        <v>0</v>
      </c>
      <c r="T36" s="897">
        <f>'Table 5C1A-Madison Prep'!T36</f>
        <v>4826</v>
      </c>
      <c r="U36" s="899">
        <f t="shared" si="20"/>
        <v>0</v>
      </c>
      <c r="V36" s="1758">
        <f>+'[3]Oct midyear Intl_VIBE '!E35</f>
        <v>0</v>
      </c>
      <c r="W36" s="1759">
        <f t="shared" si="31"/>
        <v>0</v>
      </c>
      <c r="X36" s="1758">
        <f>'[3]Feb midyear Intl_VIBE '!E35</f>
        <v>0</v>
      </c>
      <c r="Y36" s="1759">
        <f t="shared" si="32"/>
        <v>0</v>
      </c>
      <c r="Z36" s="1653">
        <f t="shared" si="33"/>
        <v>0</v>
      </c>
      <c r="AA36" s="1486">
        <f t="shared" si="34"/>
        <v>0</v>
      </c>
      <c r="AB36" s="937">
        <f t="shared" si="35"/>
        <v>0</v>
      </c>
      <c r="AC36" s="899">
        <f t="shared" si="36"/>
        <v>0</v>
      </c>
      <c r="AD36" s="1830">
        <v>0</v>
      </c>
      <c r="AE36" s="899">
        <f t="shared" si="37"/>
        <v>0</v>
      </c>
      <c r="AF36" s="1759">
        <f>+'[4]Table 5C1C-Intl_VIBE'!T35*8</f>
        <v>0</v>
      </c>
      <c r="AG36" s="1759">
        <f t="shared" si="38"/>
        <v>0</v>
      </c>
      <c r="AH36" s="999">
        <f t="shared" si="39"/>
        <v>0</v>
      </c>
      <c r="AI36" s="900">
        <f t="shared" si="40"/>
        <v>0</v>
      </c>
      <c r="AJ36" s="900">
        <f t="shared" si="41"/>
        <v>0</v>
      </c>
      <c r="AL36" s="49">
        <f>-'[4]Table 5C1C-Intl_VIBE'!P35</f>
        <v>0</v>
      </c>
      <c r="AM36" s="49">
        <f t="shared" si="42"/>
        <v>0</v>
      </c>
      <c r="AN36" s="49">
        <f t="shared" si="43"/>
        <v>0</v>
      </c>
    </row>
    <row r="37" spans="1:40">
      <c r="A37" s="879">
        <v>30</v>
      </c>
      <c r="B37" s="880" t="s">
        <v>121</v>
      </c>
      <c r="C37" s="973">
        <f>'2-1-13 SIS'!K36</f>
        <v>0</v>
      </c>
      <c r="D37" s="883">
        <f>'Table 3 Levels 1&amp;2'!AL37</f>
        <v>5648.6510465852989</v>
      </c>
      <c r="E37" s="922">
        <f t="shared" si="21"/>
        <v>0</v>
      </c>
      <c r="F37" s="922">
        <f>'Table 4 Level 3'!P35</f>
        <v>727.17</v>
      </c>
      <c r="G37" s="922">
        <f t="shared" si="22"/>
        <v>0</v>
      </c>
      <c r="H37" s="906">
        <f t="shared" si="23"/>
        <v>0</v>
      </c>
      <c r="I37" s="1735">
        <f>+'[3]Oct midyear Intl_VIBE '!K36</f>
        <v>0</v>
      </c>
      <c r="J37" s="1735">
        <f>'[3]Feb midyear Intl_VIBE '!K36</f>
        <v>0</v>
      </c>
      <c r="K37" s="1546">
        <f t="shared" si="24"/>
        <v>0</v>
      </c>
      <c r="L37" s="1490">
        <f t="shared" si="25"/>
        <v>0</v>
      </c>
      <c r="M37" s="932">
        <f t="shared" si="26"/>
        <v>0</v>
      </c>
      <c r="N37" s="906">
        <f t="shared" si="27"/>
        <v>0</v>
      </c>
      <c r="O37" s="883">
        <v>0</v>
      </c>
      <c r="P37" s="906">
        <f t="shared" si="28"/>
        <v>0</v>
      </c>
      <c r="Q37" s="1847">
        <f>+'[4]Table 5C1C-Intl_VIBE'!M36*8</f>
        <v>0</v>
      </c>
      <c r="R37" s="1847">
        <f t="shared" si="29"/>
        <v>0</v>
      </c>
      <c r="S37" s="906">
        <f t="shared" si="30"/>
        <v>0</v>
      </c>
      <c r="T37" s="902">
        <f>'Table 5C1A-Madison Prep'!T37</f>
        <v>4193</v>
      </c>
      <c r="U37" s="903">
        <f t="shared" si="20"/>
        <v>0</v>
      </c>
      <c r="V37" s="1762">
        <f>+'[3]Oct midyear Intl_VIBE '!E36</f>
        <v>0</v>
      </c>
      <c r="W37" s="1763">
        <f t="shared" si="31"/>
        <v>0</v>
      </c>
      <c r="X37" s="1762">
        <f>'[3]Feb midyear Intl_VIBE '!E36</f>
        <v>0</v>
      </c>
      <c r="Y37" s="1763">
        <f t="shared" si="32"/>
        <v>0</v>
      </c>
      <c r="Z37" s="1654">
        <f t="shared" si="33"/>
        <v>0</v>
      </c>
      <c r="AA37" s="1488">
        <f t="shared" si="34"/>
        <v>0</v>
      </c>
      <c r="AB37" s="938">
        <f t="shared" si="35"/>
        <v>0</v>
      </c>
      <c r="AC37" s="903">
        <f t="shared" si="36"/>
        <v>0</v>
      </c>
      <c r="AD37" s="1831">
        <v>0</v>
      </c>
      <c r="AE37" s="903">
        <f t="shared" si="37"/>
        <v>0</v>
      </c>
      <c r="AF37" s="1763">
        <f>+'[4]Table 5C1C-Intl_VIBE'!T36*8</f>
        <v>0</v>
      </c>
      <c r="AG37" s="1763">
        <f t="shared" si="38"/>
        <v>0</v>
      </c>
      <c r="AH37" s="1659">
        <f t="shared" si="39"/>
        <v>0</v>
      </c>
      <c r="AI37" s="904">
        <f t="shared" si="40"/>
        <v>0</v>
      </c>
      <c r="AJ37" s="904">
        <f t="shared" si="41"/>
        <v>0</v>
      </c>
      <c r="AL37" s="49">
        <f>-'[4]Table 5C1C-Intl_VIBE'!P36</f>
        <v>0</v>
      </c>
      <c r="AM37" s="49">
        <f t="shared" si="42"/>
        <v>0</v>
      </c>
      <c r="AN37" s="49">
        <f t="shared" si="43"/>
        <v>0</v>
      </c>
    </row>
    <row r="38" spans="1:40">
      <c r="A38" s="870">
        <v>31</v>
      </c>
      <c r="B38" s="871" t="s">
        <v>122</v>
      </c>
      <c r="C38" s="974">
        <f>'2-1-13 SIS'!K37</f>
        <v>0</v>
      </c>
      <c r="D38" s="884">
        <f>'Table 3 Levels 1&amp;2'!AL38</f>
        <v>4348.9307899232972</v>
      </c>
      <c r="E38" s="923">
        <f t="shared" si="21"/>
        <v>0</v>
      </c>
      <c r="F38" s="923">
        <f>'Table 4 Level 3'!P36</f>
        <v>620.83000000000004</v>
      </c>
      <c r="G38" s="923">
        <f t="shared" si="22"/>
        <v>0</v>
      </c>
      <c r="H38" s="907">
        <f t="shared" si="23"/>
        <v>0</v>
      </c>
      <c r="I38" s="1723">
        <f>+'[3]Oct midyear Intl_VIBE '!K37</f>
        <v>0</v>
      </c>
      <c r="J38" s="1723">
        <f>'[3]Feb midyear Intl_VIBE '!K37</f>
        <v>0</v>
      </c>
      <c r="K38" s="1547">
        <f t="shared" si="24"/>
        <v>0</v>
      </c>
      <c r="L38" s="1491">
        <f t="shared" si="25"/>
        <v>0</v>
      </c>
      <c r="M38" s="933">
        <f t="shared" si="26"/>
        <v>0</v>
      </c>
      <c r="N38" s="907">
        <f t="shared" si="27"/>
        <v>0</v>
      </c>
      <c r="O38" s="884">
        <v>0</v>
      </c>
      <c r="P38" s="907">
        <f t="shared" si="28"/>
        <v>0</v>
      </c>
      <c r="Q38" s="884">
        <f>+'[4]Table 5C1C-Intl_VIBE'!M37*8</f>
        <v>0</v>
      </c>
      <c r="R38" s="884">
        <f t="shared" si="29"/>
        <v>0</v>
      </c>
      <c r="S38" s="907">
        <f t="shared" si="30"/>
        <v>0</v>
      </c>
      <c r="T38" s="897">
        <f>'Table 5C1A-Madison Prep'!T38</f>
        <v>4901</v>
      </c>
      <c r="U38" s="874">
        <f t="shared" si="20"/>
        <v>0</v>
      </c>
      <c r="V38" s="1754">
        <f>+'[3]Oct midyear Intl_VIBE '!E37</f>
        <v>0</v>
      </c>
      <c r="W38" s="1755">
        <f t="shared" si="31"/>
        <v>0</v>
      </c>
      <c r="X38" s="1754">
        <f>'[3]Feb midyear Intl_VIBE '!E37</f>
        <v>0</v>
      </c>
      <c r="Y38" s="1755">
        <f t="shared" si="32"/>
        <v>0</v>
      </c>
      <c r="Z38" s="1652">
        <f t="shared" si="33"/>
        <v>0</v>
      </c>
      <c r="AA38" s="1521">
        <f t="shared" si="34"/>
        <v>0</v>
      </c>
      <c r="AB38" s="936">
        <f t="shared" si="35"/>
        <v>0</v>
      </c>
      <c r="AC38" s="874">
        <f t="shared" si="36"/>
        <v>0</v>
      </c>
      <c r="AD38" s="1829">
        <v>0</v>
      </c>
      <c r="AE38" s="874">
        <f t="shared" si="37"/>
        <v>0</v>
      </c>
      <c r="AF38" s="1755">
        <f>+'[4]Table 5C1C-Intl_VIBE'!T37*8</f>
        <v>0</v>
      </c>
      <c r="AG38" s="1755">
        <f t="shared" si="38"/>
        <v>0</v>
      </c>
      <c r="AH38" s="999">
        <f t="shared" si="39"/>
        <v>0</v>
      </c>
      <c r="AI38" s="875">
        <f t="shared" si="40"/>
        <v>0</v>
      </c>
      <c r="AJ38" s="875">
        <f t="shared" si="41"/>
        <v>0</v>
      </c>
      <c r="AL38" s="49">
        <f>-'[4]Table 5C1C-Intl_VIBE'!P37</f>
        <v>0</v>
      </c>
      <c r="AM38" s="49">
        <f t="shared" si="42"/>
        <v>0</v>
      </c>
      <c r="AN38" s="49">
        <f t="shared" si="43"/>
        <v>0</v>
      </c>
    </row>
    <row r="39" spans="1:40">
      <c r="A39" s="876">
        <v>32</v>
      </c>
      <c r="B39" s="877" t="s">
        <v>123</v>
      </c>
      <c r="C39" s="972">
        <f>'2-1-13 SIS'!K38</f>
        <v>0</v>
      </c>
      <c r="D39" s="882">
        <f>'Table 3 Levels 1&amp;2'!AL39</f>
        <v>5531.5157655456787</v>
      </c>
      <c r="E39" s="921">
        <f t="shared" si="21"/>
        <v>0</v>
      </c>
      <c r="F39" s="921">
        <f>'Table 4 Level 3'!P37</f>
        <v>559.77</v>
      </c>
      <c r="G39" s="921">
        <f t="shared" si="22"/>
        <v>0</v>
      </c>
      <c r="H39" s="905">
        <f t="shared" si="23"/>
        <v>0</v>
      </c>
      <c r="I39" s="1734">
        <f>+'[3]Oct midyear Intl_VIBE '!K38</f>
        <v>0</v>
      </c>
      <c r="J39" s="1734">
        <f>'[3]Feb midyear Intl_VIBE '!K38</f>
        <v>0</v>
      </c>
      <c r="K39" s="1545">
        <f t="shared" si="24"/>
        <v>0</v>
      </c>
      <c r="L39" s="1489">
        <f t="shared" si="25"/>
        <v>0</v>
      </c>
      <c r="M39" s="931">
        <f t="shared" si="26"/>
        <v>0</v>
      </c>
      <c r="N39" s="905">
        <f t="shared" si="27"/>
        <v>0</v>
      </c>
      <c r="O39" s="882">
        <v>0</v>
      </c>
      <c r="P39" s="905">
        <f t="shared" si="28"/>
        <v>0</v>
      </c>
      <c r="Q39" s="1846">
        <f>+'[4]Table 5C1C-Intl_VIBE'!M38*8</f>
        <v>0</v>
      </c>
      <c r="R39" s="1846">
        <f t="shared" si="29"/>
        <v>0</v>
      </c>
      <c r="S39" s="905">
        <f t="shared" si="30"/>
        <v>0</v>
      </c>
      <c r="T39" s="897">
        <f>'Table 5C1A-Madison Prep'!T39</f>
        <v>2074</v>
      </c>
      <c r="U39" s="899">
        <f t="shared" si="20"/>
        <v>0</v>
      </c>
      <c r="V39" s="1758">
        <f>+'[3]Oct midyear Intl_VIBE '!E38</f>
        <v>0</v>
      </c>
      <c r="W39" s="1759">
        <f t="shared" si="31"/>
        <v>0</v>
      </c>
      <c r="X39" s="1758">
        <f>'[3]Feb midyear Intl_VIBE '!E38</f>
        <v>0</v>
      </c>
      <c r="Y39" s="1759">
        <f t="shared" si="32"/>
        <v>0</v>
      </c>
      <c r="Z39" s="1653">
        <f t="shared" si="33"/>
        <v>0</v>
      </c>
      <c r="AA39" s="1486">
        <f t="shared" si="34"/>
        <v>0</v>
      </c>
      <c r="AB39" s="937">
        <f t="shared" si="35"/>
        <v>0</v>
      </c>
      <c r="AC39" s="899">
        <f t="shared" si="36"/>
        <v>0</v>
      </c>
      <c r="AD39" s="1830">
        <v>0</v>
      </c>
      <c r="AE39" s="899">
        <f t="shared" si="37"/>
        <v>0</v>
      </c>
      <c r="AF39" s="1759">
        <f>+'[4]Table 5C1C-Intl_VIBE'!T38*8</f>
        <v>0</v>
      </c>
      <c r="AG39" s="1759">
        <f t="shared" si="38"/>
        <v>0</v>
      </c>
      <c r="AH39" s="999">
        <f t="shared" si="39"/>
        <v>0</v>
      </c>
      <c r="AI39" s="900">
        <f t="shared" si="40"/>
        <v>0</v>
      </c>
      <c r="AJ39" s="900">
        <f t="shared" si="41"/>
        <v>0</v>
      </c>
      <c r="AL39" s="49">
        <f>-'[4]Table 5C1C-Intl_VIBE'!P38</f>
        <v>0</v>
      </c>
      <c r="AM39" s="49">
        <f t="shared" si="42"/>
        <v>0</v>
      </c>
      <c r="AN39" s="49">
        <f t="shared" si="43"/>
        <v>0</v>
      </c>
    </row>
    <row r="40" spans="1:40">
      <c r="A40" s="876">
        <v>33</v>
      </c>
      <c r="B40" s="877" t="s">
        <v>124</v>
      </c>
      <c r="C40" s="972">
        <f>'2-1-13 SIS'!K39</f>
        <v>0</v>
      </c>
      <c r="D40" s="882">
        <f>'Table 3 Levels 1&amp;2'!AL40</f>
        <v>5329.5444226517857</v>
      </c>
      <c r="E40" s="921">
        <f t="shared" si="21"/>
        <v>0</v>
      </c>
      <c r="F40" s="921">
        <f>'Table 4 Level 3'!P38</f>
        <v>655.31000000000006</v>
      </c>
      <c r="G40" s="921">
        <f t="shared" si="22"/>
        <v>0</v>
      </c>
      <c r="H40" s="905">
        <f t="shared" si="23"/>
        <v>0</v>
      </c>
      <c r="I40" s="1734">
        <f>+'[3]Oct midyear Intl_VIBE '!K39</f>
        <v>0</v>
      </c>
      <c r="J40" s="1734">
        <f>'[3]Feb midyear Intl_VIBE '!K39</f>
        <v>0</v>
      </c>
      <c r="K40" s="1545">
        <f t="shared" si="24"/>
        <v>0</v>
      </c>
      <c r="L40" s="1489">
        <f t="shared" si="25"/>
        <v>0</v>
      </c>
      <c r="M40" s="931">
        <f t="shared" si="26"/>
        <v>0</v>
      </c>
      <c r="N40" s="905">
        <f t="shared" si="27"/>
        <v>0</v>
      </c>
      <c r="O40" s="882">
        <v>0</v>
      </c>
      <c r="P40" s="905">
        <f t="shared" si="28"/>
        <v>0</v>
      </c>
      <c r="Q40" s="1846">
        <f>+'[4]Table 5C1C-Intl_VIBE'!M39*8</f>
        <v>0</v>
      </c>
      <c r="R40" s="1846">
        <f t="shared" si="29"/>
        <v>0</v>
      </c>
      <c r="S40" s="905">
        <f t="shared" si="30"/>
        <v>0</v>
      </c>
      <c r="T40" s="897">
        <f>'Table 5C1A-Madison Prep'!T40</f>
        <v>3501</v>
      </c>
      <c r="U40" s="899">
        <f t="shared" ref="U40:U71" si="44">C40*T40</f>
        <v>0</v>
      </c>
      <c r="V40" s="1758">
        <f>+'[3]Oct midyear Intl_VIBE '!E39</f>
        <v>0</v>
      </c>
      <c r="W40" s="1759">
        <f t="shared" si="31"/>
        <v>0</v>
      </c>
      <c r="X40" s="1758">
        <f>'[3]Feb midyear Intl_VIBE '!E39</f>
        <v>0</v>
      </c>
      <c r="Y40" s="1759">
        <f t="shared" si="32"/>
        <v>0</v>
      </c>
      <c r="Z40" s="1653">
        <f t="shared" si="33"/>
        <v>0</v>
      </c>
      <c r="AA40" s="1486">
        <f t="shared" si="34"/>
        <v>0</v>
      </c>
      <c r="AB40" s="937">
        <f t="shared" si="35"/>
        <v>0</v>
      </c>
      <c r="AC40" s="899">
        <f t="shared" si="36"/>
        <v>0</v>
      </c>
      <c r="AD40" s="1830">
        <v>0</v>
      </c>
      <c r="AE40" s="899">
        <f t="shared" si="37"/>
        <v>0</v>
      </c>
      <c r="AF40" s="1759">
        <f>+'[4]Table 5C1C-Intl_VIBE'!T39*8</f>
        <v>0</v>
      </c>
      <c r="AG40" s="1759">
        <f t="shared" si="38"/>
        <v>0</v>
      </c>
      <c r="AH40" s="999">
        <f t="shared" si="39"/>
        <v>0</v>
      </c>
      <c r="AI40" s="900">
        <f t="shared" si="40"/>
        <v>0</v>
      </c>
      <c r="AJ40" s="900">
        <f t="shared" si="41"/>
        <v>0</v>
      </c>
      <c r="AL40" s="49">
        <f>-'[4]Table 5C1C-Intl_VIBE'!P39</f>
        <v>0</v>
      </c>
      <c r="AM40" s="49">
        <f t="shared" si="42"/>
        <v>0</v>
      </c>
      <c r="AN40" s="49">
        <f t="shared" si="43"/>
        <v>0</v>
      </c>
    </row>
    <row r="41" spans="1:40">
      <c r="A41" s="876">
        <v>34</v>
      </c>
      <c r="B41" s="877" t="s">
        <v>125</v>
      </c>
      <c r="C41" s="972">
        <f>'2-1-13 SIS'!K40</f>
        <v>0</v>
      </c>
      <c r="D41" s="882">
        <f>'Table 3 Levels 1&amp;2'!AL41</f>
        <v>6003.632932007491</v>
      </c>
      <c r="E41" s="921">
        <f t="shared" si="21"/>
        <v>0</v>
      </c>
      <c r="F41" s="921">
        <f>'Table 4 Level 3'!P39</f>
        <v>644.11000000000013</v>
      </c>
      <c r="G41" s="921">
        <f t="shared" si="22"/>
        <v>0</v>
      </c>
      <c r="H41" s="905">
        <f t="shared" si="23"/>
        <v>0</v>
      </c>
      <c r="I41" s="1734">
        <f>+'[3]Oct midyear Intl_VIBE '!K40</f>
        <v>0</v>
      </c>
      <c r="J41" s="1734">
        <f>'[3]Feb midyear Intl_VIBE '!K40</f>
        <v>0</v>
      </c>
      <c r="K41" s="1545">
        <f t="shared" si="24"/>
        <v>0</v>
      </c>
      <c r="L41" s="1489">
        <f t="shared" si="25"/>
        <v>0</v>
      </c>
      <c r="M41" s="931">
        <f t="shared" si="26"/>
        <v>0</v>
      </c>
      <c r="N41" s="905">
        <f t="shared" si="27"/>
        <v>0</v>
      </c>
      <c r="O41" s="882">
        <v>0</v>
      </c>
      <c r="P41" s="905">
        <f t="shared" si="28"/>
        <v>0</v>
      </c>
      <c r="Q41" s="1846">
        <f>+'[4]Table 5C1C-Intl_VIBE'!M40*8</f>
        <v>0</v>
      </c>
      <c r="R41" s="1846">
        <f t="shared" si="29"/>
        <v>0</v>
      </c>
      <c r="S41" s="905">
        <f t="shared" si="30"/>
        <v>0</v>
      </c>
      <c r="T41" s="897">
        <f>'Table 5C1A-Madison Prep'!T41</f>
        <v>2772</v>
      </c>
      <c r="U41" s="899">
        <f t="shared" si="44"/>
        <v>0</v>
      </c>
      <c r="V41" s="1758">
        <f>+'[3]Oct midyear Intl_VIBE '!E40</f>
        <v>0</v>
      </c>
      <c r="W41" s="1759">
        <f t="shared" si="31"/>
        <v>0</v>
      </c>
      <c r="X41" s="1758">
        <f>'[3]Feb midyear Intl_VIBE '!E40</f>
        <v>0</v>
      </c>
      <c r="Y41" s="1759">
        <f t="shared" si="32"/>
        <v>0</v>
      </c>
      <c r="Z41" s="1653">
        <f t="shared" si="33"/>
        <v>0</v>
      </c>
      <c r="AA41" s="1486">
        <f t="shared" si="34"/>
        <v>0</v>
      </c>
      <c r="AB41" s="937">
        <f t="shared" si="35"/>
        <v>0</v>
      </c>
      <c r="AC41" s="899">
        <f t="shared" si="36"/>
        <v>0</v>
      </c>
      <c r="AD41" s="1830">
        <v>0</v>
      </c>
      <c r="AE41" s="899">
        <f t="shared" si="37"/>
        <v>0</v>
      </c>
      <c r="AF41" s="1759">
        <f>+'[4]Table 5C1C-Intl_VIBE'!T40*8</f>
        <v>0</v>
      </c>
      <c r="AG41" s="1759">
        <f t="shared" si="38"/>
        <v>0</v>
      </c>
      <c r="AH41" s="999">
        <f t="shared" si="39"/>
        <v>0</v>
      </c>
      <c r="AI41" s="900">
        <f t="shared" ref="AI41:AI76" si="45">P41+AE41</f>
        <v>0</v>
      </c>
      <c r="AJ41" s="900">
        <f t="shared" si="41"/>
        <v>0</v>
      </c>
      <c r="AL41" s="49">
        <f>-'[4]Table 5C1C-Intl_VIBE'!P40</f>
        <v>0</v>
      </c>
      <c r="AM41" s="49">
        <f t="shared" si="42"/>
        <v>0</v>
      </c>
      <c r="AN41" s="49">
        <f t="shared" si="43"/>
        <v>0</v>
      </c>
    </row>
    <row r="42" spans="1:40">
      <c r="A42" s="879">
        <v>35</v>
      </c>
      <c r="B42" s="880" t="s">
        <v>126</v>
      </c>
      <c r="C42" s="973">
        <f>'2-1-13 SIS'!K41</f>
        <v>0</v>
      </c>
      <c r="D42" s="883">
        <f>'Table 3 Levels 1&amp;2'!AL42</f>
        <v>4607.1606416222867</v>
      </c>
      <c r="E42" s="922">
        <f t="shared" si="21"/>
        <v>0</v>
      </c>
      <c r="F42" s="922">
        <f>'Table 4 Level 3'!P40</f>
        <v>537.96</v>
      </c>
      <c r="G42" s="922">
        <f t="shared" si="22"/>
        <v>0</v>
      </c>
      <c r="H42" s="906">
        <f t="shared" si="23"/>
        <v>0</v>
      </c>
      <c r="I42" s="1735">
        <f>+'[3]Oct midyear Intl_VIBE '!K41</f>
        <v>0</v>
      </c>
      <c r="J42" s="1735">
        <f>'[3]Feb midyear Intl_VIBE '!K41</f>
        <v>0</v>
      </c>
      <c r="K42" s="1546">
        <f t="shared" si="24"/>
        <v>0</v>
      </c>
      <c r="L42" s="1490">
        <f t="shared" si="25"/>
        <v>0</v>
      </c>
      <c r="M42" s="932">
        <f t="shared" si="26"/>
        <v>0</v>
      </c>
      <c r="N42" s="906">
        <f t="shared" si="27"/>
        <v>0</v>
      </c>
      <c r="O42" s="883">
        <v>0</v>
      </c>
      <c r="P42" s="906">
        <f t="shared" si="28"/>
        <v>0</v>
      </c>
      <c r="Q42" s="1847">
        <f>+'[4]Table 5C1C-Intl_VIBE'!M41*8</f>
        <v>0</v>
      </c>
      <c r="R42" s="1847">
        <f t="shared" si="29"/>
        <v>0</v>
      </c>
      <c r="S42" s="906">
        <f t="shared" si="30"/>
        <v>0</v>
      </c>
      <c r="T42" s="902">
        <f>'Table 5C1A-Madison Prep'!T42</f>
        <v>3140</v>
      </c>
      <c r="U42" s="903">
        <f t="shared" si="44"/>
        <v>0</v>
      </c>
      <c r="V42" s="1762">
        <f>+'[3]Oct midyear Intl_VIBE '!E41</f>
        <v>0</v>
      </c>
      <c r="W42" s="1763">
        <f t="shared" si="31"/>
        <v>0</v>
      </c>
      <c r="X42" s="1762">
        <f>'[3]Feb midyear Intl_VIBE '!E41</f>
        <v>0</v>
      </c>
      <c r="Y42" s="1763">
        <f t="shared" si="32"/>
        <v>0</v>
      </c>
      <c r="Z42" s="1654">
        <f t="shared" si="33"/>
        <v>0</v>
      </c>
      <c r="AA42" s="1488">
        <f t="shared" si="34"/>
        <v>0</v>
      </c>
      <c r="AB42" s="938">
        <f t="shared" si="35"/>
        <v>0</v>
      </c>
      <c r="AC42" s="903">
        <f t="shared" si="36"/>
        <v>0</v>
      </c>
      <c r="AD42" s="1831">
        <v>0</v>
      </c>
      <c r="AE42" s="903">
        <f t="shared" si="37"/>
        <v>0</v>
      </c>
      <c r="AF42" s="1763">
        <f>+'[4]Table 5C1C-Intl_VIBE'!T41*8</f>
        <v>0</v>
      </c>
      <c r="AG42" s="1763">
        <f t="shared" si="38"/>
        <v>0</v>
      </c>
      <c r="AH42" s="1659">
        <f t="shared" si="39"/>
        <v>0</v>
      </c>
      <c r="AI42" s="904">
        <f t="shared" si="45"/>
        <v>0</v>
      </c>
      <c r="AJ42" s="904">
        <f t="shared" si="41"/>
        <v>0</v>
      </c>
      <c r="AL42" s="49">
        <f>-'[4]Table 5C1C-Intl_VIBE'!P41</f>
        <v>0</v>
      </c>
      <c r="AM42" s="49">
        <f t="shared" si="42"/>
        <v>0</v>
      </c>
      <c r="AN42" s="49">
        <f t="shared" si="43"/>
        <v>0</v>
      </c>
    </row>
    <row r="43" spans="1:40">
      <c r="A43" s="870">
        <v>36</v>
      </c>
      <c r="B43" s="871" t="s">
        <v>127</v>
      </c>
      <c r="C43" s="974">
        <f>'2-1-13 SIS'!K42</f>
        <v>386</v>
      </c>
      <c r="D43" s="884">
        <f>'Table 3 Levels 1&amp;2'!AL43</f>
        <v>3520.4894337711748</v>
      </c>
      <c r="E43" s="923">
        <f t="shared" si="21"/>
        <v>1358908.9214356735</v>
      </c>
      <c r="F43" s="923">
        <f>'Table 5B1_RSD_Orleans'!F78</f>
        <v>746.0335616438357</v>
      </c>
      <c r="G43" s="923">
        <f t="shared" si="22"/>
        <v>287968.95479452057</v>
      </c>
      <c r="H43" s="907">
        <f t="shared" si="23"/>
        <v>1646877.876230194</v>
      </c>
      <c r="I43" s="1723">
        <f>+'[3]Oct midyear Intl_VIBE '!K42</f>
        <v>102396.55188996026</v>
      </c>
      <c r="J43" s="1723">
        <f>'[3]Feb midyear Intl_VIBE '!K42</f>
        <v>-23465.876474782559</v>
      </c>
      <c r="K43" s="1547">
        <f t="shared" si="24"/>
        <v>78930.675415177699</v>
      </c>
      <c r="L43" s="1491">
        <f t="shared" si="25"/>
        <v>1725808.5516453716</v>
      </c>
      <c r="M43" s="933">
        <f t="shared" si="26"/>
        <v>-4314.5213791134292</v>
      </c>
      <c r="N43" s="907">
        <f t="shared" si="27"/>
        <v>1721494.0302662582</v>
      </c>
      <c r="O43" s="1723">
        <v>0</v>
      </c>
      <c r="P43" s="907">
        <f t="shared" si="28"/>
        <v>1721494.0302662582</v>
      </c>
      <c r="Q43" s="884">
        <f>+'[4]Table 5C1C-Intl_VIBE'!M42*8</f>
        <v>1095173.7876930789</v>
      </c>
      <c r="R43" s="884">
        <f t="shared" si="29"/>
        <v>626320.2425731793</v>
      </c>
      <c r="S43" s="907">
        <f t="shared" si="30"/>
        <v>156580</v>
      </c>
      <c r="T43" s="1377">
        <f>'[14]FY2013-14 Final'!$D$43</f>
        <v>4668</v>
      </c>
      <c r="U43" s="874">
        <f t="shared" si="44"/>
        <v>1801848</v>
      </c>
      <c r="V43" s="1754">
        <f>+'[3]Oct midyear Intl_VIBE '!E42</f>
        <v>24</v>
      </c>
      <c r="W43" s="1755">
        <f t="shared" si="31"/>
        <v>112032</v>
      </c>
      <c r="X43" s="1754">
        <f>'[3]Feb midyear Intl_VIBE '!E42</f>
        <v>-11</v>
      </c>
      <c r="Y43" s="1755">
        <f t="shared" si="32"/>
        <v>-25674</v>
      </c>
      <c r="Z43" s="1652">
        <f t="shared" si="33"/>
        <v>86358</v>
      </c>
      <c r="AA43" s="1521">
        <f t="shared" si="34"/>
        <v>1888206</v>
      </c>
      <c r="AB43" s="936">
        <f t="shared" si="35"/>
        <v>-4720.5150000000003</v>
      </c>
      <c r="AC43" s="874">
        <f t="shared" si="36"/>
        <v>1883485.4850000001</v>
      </c>
      <c r="AD43" s="1829">
        <v>0</v>
      </c>
      <c r="AE43" s="874">
        <f t="shared" si="37"/>
        <v>1883485.4850000001</v>
      </c>
      <c r="AF43" s="1755">
        <f>+'[4]Table 5C1C-Intl_VIBE'!T42*8</f>
        <v>1199255.68</v>
      </c>
      <c r="AG43" s="1755">
        <f t="shared" si="38"/>
        <v>684229.80500000017</v>
      </c>
      <c r="AH43" s="999">
        <f t="shared" si="39"/>
        <v>171057</v>
      </c>
      <c r="AI43" s="875">
        <f t="shared" si="45"/>
        <v>3604979.5152662583</v>
      </c>
      <c r="AJ43" s="875">
        <f t="shared" si="41"/>
        <v>327637</v>
      </c>
      <c r="AL43" s="49">
        <f>-'[4]Table 5C1C-Intl_VIBE'!P42</f>
        <v>4508.4800000000005</v>
      </c>
      <c r="AM43" s="49">
        <f t="shared" si="42"/>
        <v>-4720.5150000000003</v>
      </c>
      <c r="AN43" s="49">
        <f t="shared" si="43"/>
        <v>-212.03499999999985</v>
      </c>
    </row>
    <row r="44" spans="1:40">
      <c r="A44" s="876">
        <v>37</v>
      </c>
      <c r="B44" s="877" t="s">
        <v>128</v>
      </c>
      <c r="C44" s="972">
        <f>'2-1-13 SIS'!K43</f>
        <v>0</v>
      </c>
      <c r="D44" s="882">
        <f>'Table 3 Levels 1&amp;2'!AL44</f>
        <v>5503.7595641818853</v>
      </c>
      <c r="E44" s="921">
        <f t="shared" si="21"/>
        <v>0</v>
      </c>
      <c r="F44" s="921">
        <f>'Table 4 Level 3'!P42</f>
        <v>653.61</v>
      </c>
      <c r="G44" s="921">
        <f t="shared" si="22"/>
        <v>0</v>
      </c>
      <c r="H44" s="905">
        <f t="shared" si="23"/>
        <v>0</v>
      </c>
      <c r="I44" s="1734">
        <f>+'[3]Oct midyear Intl_VIBE '!K43</f>
        <v>0</v>
      </c>
      <c r="J44" s="1734">
        <f>'[3]Feb midyear Intl_VIBE '!K43</f>
        <v>0</v>
      </c>
      <c r="K44" s="1545">
        <f t="shared" si="24"/>
        <v>0</v>
      </c>
      <c r="L44" s="1489">
        <f t="shared" si="25"/>
        <v>0</v>
      </c>
      <c r="M44" s="931">
        <f t="shared" si="26"/>
        <v>0</v>
      </c>
      <c r="N44" s="905">
        <f t="shared" si="27"/>
        <v>0</v>
      </c>
      <c r="O44" s="882">
        <v>0</v>
      </c>
      <c r="P44" s="905">
        <f t="shared" si="28"/>
        <v>0</v>
      </c>
      <c r="Q44" s="1846">
        <f>+'[4]Table 5C1C-Intl_VIBE'!M43*8</f>
        <v>0</v>
      </c>
      <c r="R44" s="1846">
        <f t="shared" si="29"/>
        <v>0</v>
      </c>
      <c r="S44" s="905">
        <f t="shared" si="30"/>
        <v>0</v>
      </c>
      <c r="T44" s="897">
        <f>'Table 5C1A-Madison Prep'!T44</f>
        <v>3310</v>
      </c>
      <c r="U44" s="899">
        <f t="shared" si="44"/>
        <v>0</v>
      </c>
      <c r="V44" s="1758">
        <f>+'[3]Oct midyear Intl_VIBE '!E43</f>
        <v>0</v>
      </c>
      <c r="W44" s="1759">
        <f t="shared" si="31"/>
        <v>0</v>
      </c>
      <c r="X44" s="1758">
        <f>'[3]Feb midyear Intl_VIBE '!E43</f>
        <v>0</v>
      </c>
      <c r="Y44" s="1759">
        <f t="shared" si="32"/>
        <v>0</v>
      </c>
      <c r="Z44" s="1653">
        <f t="shared" si="33"/>
        <v>0</v>
      </c>
      <c r="AA44" s="1486">
        <f t="shared" si="34"/>
        <v>0</v>
      </c>
      <c r="AB44" s="937">
        <f t="shared" si="35"/>
        <v>0</v>
      </c>
      <c r="AC44" s="899">
        <f t="shared" si="36"/>
        <v>0</v>
      </c>
      <c r="AD44" s="1830">
        <v>0</v>
      </c>
      <c r="AE44" s="899">
        <f t="shared" si="37"/>
        <v>0</v>
      </c>
      <c r="AF44" s="1759">
        <f>+'[4]Table 5C1C-Intl_VIBE'!T43*8</f>
        <v>0</v>
      </c>
      <c r="AG44" s="1759">
        <f t="shared" si="38"/>
        <v>0</v>
      </c>
      <c r="AH44" s="999">
        <f t="shared" si="39"/>
        <v>0</v>
      </c>
      <c r="AI44" s="900">
        <f t="shared" si="45"/>
        <v>0</v>
      </c>
      <c r="AJ44" s="900">
        <f t="shared" si="41"/>
        <v>0</v>
      </c>
      <c r="AL44" s="49">
        <f>-'[4]Table 5C1C-Intl_VIBE'!P43</f>
        <v>0</v>
      </c>
      <c r="AM44" s="49">
        <f t="shared" si="42"/>
        <v>0</v>
      </c>
      <c r="AN44" s="49">
        <f t="shared" si="43"/>
        <v>0</v>
      </c>
    </row>
    <row r="45" spans="1:40">
      <c r="A45" s="876">
        <v>38</v>
      </c>
      <c r="B45" s="877" t="s">
        <v>129</v>
      </c>
      <c r="C45" s="972">
        <f>'2-1-13 SIS'!K44</f>
        <v>0</v>
      </c>
      <c r="D45" s="882">
        <f>'Table 3 Levels 1&amp;2'!AL45</f>
        <v>2192.7545275590551</v>
      </c>
      <c r="E45" s="921">
        <f t="shared" si="21"/>
        <v>0</v>
      </c>
      <c r="F45" s="921">
        <f>'Table 4 Level 3'!P43</f>
        <v>829.92000000000007</v>
      </c>
      <c r="G45" s="921">
        <f t="shared" si="22"/>
        <v>0</v>
      </c>
      <c r="H45" s="905">
        <f t="shared" si="23"/>
        <v>0</v>
      </c>
      <c r="I45" s="1734">
        <f>+'[3]Oct midyear Intl_VIBE '!K44</f>
        <v>0</v>
      </c>
      <c r="J45" s="1734">
        <f>'[3]Feb midyear Intl_VIBE '!K44</f>
        <v>0</v>
      </c>
      <c r="K45" s="1545">
        <f t="shared" si="24"/>
        <v>0</v>
      </c>
      <c r="L45" s="1489">
        <f t="shared" si="25"/>
        <v>0</v>
      </c>
      <c r="M45" s="931">
        <f t="shared" si="26"/>
        <v>0</v>
      </c>
      <c r="N45" s="905">
        <f t="shared" si="27"/>
        <v>0</v>
      </c>
      <c r="O45" s="882">
        <v>0</v>
      </c>
      <c r="P45" s="905">
        <f t="shared" si="28"/>
        <v>0</v>
      </c>
      <c r="Q45" s="1846">
        <f>+'[4]Table 5C1C-Intl_VIBE'!M44*8</f>
        <v>0</v>
      </c>
      <c r="R45" s="1846">
        <f t="shared" si="29"/>
        <v>0</v>
      </c>
      <c r="S45" s="905">
        <f t="shared" si="30"/>
        <v>0</v>
      </c>
      <c r="T45" s="897">
        <f>'Table 5C1A-Madison Prep'!T45</f>
        <v>12521</v>
      </c>
      <c r="U45" s="899">
        <f t="shared" si="44"/>
        <v>0</v>
      </c>
      <c r="V45" s="1758">
        <f>+'[3]Oct midyear Intl_VIBE '!E44</f>
        <v>0</v>
      </c>
      <c r="W45" s="1759">
        <f t="shared" si="31"/>
        <v>0</v>
      </c>
      <c r="X45" s="1758">
        <f>'[3]Feb midyear Intl_VIBE '!E44</f>
        <v>0</v>
      </c>
      <c r="Y45" s="1759">
        <f t="shared" si="32"/>
        <v>0</v>
      </c>
      <c r="Z45" s="1653">
        <f t="shared" si="33"/>
        <v>0</v>
      </c>
      <c r="AA45" s="1486">
        <f t="shared" si="34"/>
        <v>0</v>
      </c>
      <c r="AB45" s="937">
        <f t="shared" si="35"/>
        <v>0</v>
      </c>
      <c r="AC45" s="899">
        <f t="shared" si="36"/>
        <v>0</v>
      </c>
      <c r="AD45" s="1830">
        <v>0</v>
      </c>
      <c r="AE45" s="899">
        <f t="shared" si="37"/>
        <v>0</v>
      </c>
      <c r="AF45" s="1759">
        <f>+'[4]Table 5C1C-Intl_VIBE'!T44*8</f>
        <v>0</v>
      </c>
      <c r="AG45" s="1759">
        <f t="shared" si="38"/>
        <v>0</v>
      </c>
      <c r="AH45" s="999">
        <f t="shared" si="39"/>
        <v>0</v>
      </c>
      <c r="AI45" s="900">
        <f t="shared" si="45"/>
        <v>0</v>
      </c>
      <c r="AJ45" s="900">
        <f t="shared" si="41"/>
        <v>0</v>
      </c>
      <c r="AL45" s="49">
        <f>-'[4]Table 5C1C-Intl_VIBE'!P44</f>
        <v>0</v>
      </c>
      <c r="AM45" s="49">
        <f t="shared" si="42"/>
        <v>0</v>
      </c>
      <c r="AN45" s="49">
        <f t="shared" si="43"/>
        <v>0</v>
      </c>
    </row>
    <row r="46" spans="1:40">
      <c r="A46" s="876">
        <v>39</v>
      </c>
      <c r="B46" s="877" t="s">
        <v>130</v>
      </c>
      <c r="C46" s="972">
        <f>'2-1-13 SIS'!K45</f>
        <v>0</v>
      </c>
      <c r="D46" s="882">
        <f>'Table 3 Levels 1&amp;2'!AL46</f>
        <v>3639.9942778062696</v>
      </c>
      <c r="E46" s="921">
        <f t="shared" si="21"/>
        <v>0</v>
      </c>
      <c r="F46" s="921">
        <f>'Table 5B2_RSD_LA'!F21</f>
        <v>779.65573042776441</v>
      </c>
      <c r="G46" s="921">
        <f t="shared" si="22"/>
        <v>0</v>
      </c>
      <c r="H46" s="905">
        <f t="shared" si="23"/>
        <v>0</v>
      </c>
      <c r="I46" s="1734">
        <f>+'[3]Oct midyear Intl_VIBE '!K45</f>
        <v>0</v>
      </c>
      <c r="J46" s="1734">
        <f>'[3]Feb midyear Intl_VIBE '!K45</f>
        <v>0</v>
      </c>
      <c r="K46" s="1545">
        <f t="shared" si="24"/>
        <v>0</v>
      </c>
      <c r="L46" s="1489">
        <f t="shared" si="25"/>
        <v>0</v>
      </c>
      <c r="M46" s="931">
        <f t="shared" si="26"/>
        <v>0</v>
      </c>
      <c r="N46" s="905">
        <f t="shared" si="27"/>
        <v>0</v>
      </c>
      <c r="O46" s="882">
        <v>0</v>
      </c>
      <c r="P46" s="905">
        <f t="shared" si="28"/>
        <v>0</v>
      </c>
      <c r="Q46" s="1846">
        <f>+'[4]Table 5C1C-Intl_VIBE'!M45*8</f>
        <v>0</v>
      </c>
      <c r="R46" s="1846">
        <f t="shared" si="29"/>
        <v>0</v>
      </c>
      <c r="S46" s="905">
        <f t="shared" si="30"/>
        <v>0</v>
      </c>
      <c r="T46" s="897">
        <f>'Table 5C1A-Madison Prep'!T46</f>
        <v>4436</v>
      </c>
      <c r="U46" s="899">
        <f t="shared" si="44"/>
        <v>0</v>
      </c>
      <c r="V46" s="1758">
        <f>+'[3]Oct midyear Intl_VIBE '!E45</f>
        <v>0</v>
      </c>
      <c r="W46" s="1759">
        <f t="shared" si="31"/>
        <v>0</v>
      </c>
      <c r="X46" s="1758">
        <f>'[3]Feb midyear Intl_VIBE '!E45</f>
        <v>0</v>
      </c>
      <c r="Y46" s="1759">
        <f t="shared" si="32"/>
        <v>0</v>
      </c>
      <c r="Z46" s="1653">
        <f t="shared" si="33"/>
        <v>0</v>
      </c>
      <c r="AA46" s="1486">
        <f t="shared" si="34"/>
        <v>0</v>
      </c>
      <c r="AB46" s="937">
        <f t="shared" si="35"/>
        <v>0</v>
      </c>
      <c r="AC46" s="899">
        <f t="shared" si="36"/>
        <v>0</v>
      </c>
      <c r="AD46" s="1830">
        <v>0</v>
      </c>
      <c r="AE46" s="899">
        <f t="shared" si="37"/>
        <v>0</v>
      </c>
      <c r="AF46" s="1759">
        <f>+'[4]Table 5C1C-Intl_VIBE'!T45*8</f>
        <v>0</v>
      </c>
      <c r="AG46" s="1759">
        <f t="shared" si="38"/>
        <v>0</v>
      </c>
      <c r="AH46" s="999">
        <f t="shared" si="39"/>
        <v>0</v>
      </c>
      <c r="AI46" s="900">
        <f t="shared" si="45"/>
        <v>0</v>
      </c>
      <c r="AJ46" s="900">
        <f t="shared" si="41"/>
        <v>0</v>
      </c>
      <c r="AL46" s="49">
        <f>-'[4]Table 5C1C-Intl_VIBE'!P45</f>
        <v>0</v>
      </c>
      <c r="AM46" s="49">
        <f t="shared" si="42"/>
        <v>0</v>
      </c>
      <c r="AN46" s="49">
        <f t="shared" si="43"/>
        <v>0</v>
      </c>
    </row>
    <row r="47" spans="1:40">
      <c r="A47" s="879">
        <v>40</v>
      </c>
      <c r="B47" s="880" t="s">
        <v>131</v>
      </c>
      <c r="C47" s="973">
        <f>'2-1-13 SIS'!K46</f>
        <v>0</v>
      </c>
      <c r="D47" s="883">
        <f>'Table 3 Levels 1&amp;2'!AL47</f>
        <v>4928.4974462701202</v>
      </c>
      <c r="E47" s="922">
        <f t="shared" si="21"/>
        <v>0</v>
      </c>
      <c r="F47" s="922">
        <f>'Table 4 Level 3'!P45</f>
        <v>700.2700000000001</v>
      </c>
      <c r="G47" s="922">
        <f t="shared" si="22"/>
        <v>0</v>
      </c>
      <c r="H47" s="906">
        <f t="shared" si="23"/>
        <v>0</v>
      </c>
      <c r="I47" s="1735">
        <f>+'[3]Oct midyear Intl_VIBE '!K46</f>
        <v>0</v>
      </c>
      <c r="J47" s="1735">
        <f>'[3]Feb midyear Intl_VIBE '!K46</f>
        <v>0</v>
      </c>
      <c r="K47" s="1546">
        <f t="shared" si="24"/>
        <v>0</v>
      </c>
      <c r="L47" s="1490">
        <f t="shared" si="25"/>
        <v>0</v>
      </c>
      <c r="M47" s="932">
        <f t="shared" si="26"/>
        <v>0</v>
      </c>
      <c r="N47" s="906">
        <f t="shared" si="27"/>
        <v>0</v>
      </c>
      <c r="O47" s="883">
        <v>0</v>
      </c>
      <c r="P47" s="906">
        <f t="shared" si="28"/>
        <v>0</v>
      </c>
      <c r="Q47" s="1847">
        <f>+'[4]Table 5C1C-Intl_VIBE'!M46*8</f>
        <v>0</v>
      </c>
      <c r="R47" s="1847">
        <f t="shared" si="29"/>
        <v>0</v>
      </c>
      <c r="S47" s="906">
        <f t="shared" si="30"/>
        <v>0</v>
      </c>
      <c r="T47" s="902">
        <f>'Table 5C1A-Madison Prep'!T47</f>
        <v>3019</v>
      </c>
      <c r="U47" s="903">
        <f t="shared" si="44"/>
        <v>0</v>
      </c>
      <c r="V47" s="1762">
        <f>+'[3]Oct midyear Intl_VIBE '!E46</f>
        <v>0</v>
      </c>
      <c r="W47" s="1763">
        <f t="shared" si="31"/>
        <v>0</v>
      </c>
      <c r="X47" s="1762">
        <f>'[3]Feb midyear Intl_VIBE '!E46</f>
        <v>0</v>
      </c>
      <c r="Y47" s="1763">
        <f t="shared" si="32"/>
        <v>0</v>
      </c>
      <c r="Z47" s="1654">
        <f t="shared" si="33"/>
        <v>0</v>
      </c>
      <c r="AA47" s="1488">
        <f t="shared" si="34"/>
        <v>0</v>
      </c>
      <c r="AB47" s="938">
        <f t="shared" si="35"/>
        <v>0</v>
      </c>
      <c r="AC47" s="903">
        <f t="shared" si="36"/>
        <v>0</v>
      </c>
      <c r="AD47" s="1831">
        <v>0</v>
      </c>
      <c r="AE47" s="903">
        <f t="shared" si="37"/>
        <v>0</v>
      </c>
      <c r="AF47" s="1763">
        <f>+'[4]Table 5C1C-Intl_VIBE'!T46*8</f>
        <v>0</v>
      </c>
      <c r="AG47" s="1763">
        <f t="shared" si="38"/>
        <v>0</v>
      </c>
      <c r="AH47" s="1659">
        <f t="shared" si="39"/>
        <v>0</v>
      </c>
      <c r="AI47" s="904">
        <f t="shared" si="45"/>
        <v>0</v>
      </c>
      <c r="AJ47" s="904">
        <f t="shared" si="41"/>
        <v>0</v>
      </c>
      <c r="AL47" s="49">
        <f>-'[4]Table 5C1C-Intl_VIBE'!P46</f>
        <v>0</v>
      </c>
      <c r="AM47" s="49">
        <f t="shared" si="42"/>
        <v>0</v>
      </c>
      <c r="AN47" s="49">
        <f t="shared" si="43"/>
        <v>0</v>
      </c>
    </row>
    <row r="48" spans="1:40">
      <c r="A48" s="870">
        <v>41</v>
      </c>
      <c r="B48" s="871" t="s">
        <v>132</v>
      </c>
      <c r="C48" s="974">
        <f>'2-1-13 SIS'!K47</f>
        <v>0</v>
      </c>
      <c r="D48" s="884">
        <f>'Table 3 Levels 1&amp;2'!AL48</f>
        <v>1615.6013465627216</v>
      </c>
      <c r="E48" s="923">
        <f t="shared" si="21"/>
        <v>0</v>
      </c>
      <c r="F48" s="923">
        <f>'Table 4 Level 3'!P46</f>
        <v>886.22</v>
      </c>
      <c r="G48" s="923">
        <f t="shared" si="22"/>
        <v>0</v>
      </c>
      <c r="H48" s="907">
        <f t="shared" si="23"/>
        <v>0</v>
      </c>
      <c r="I48" s="1723">
        <f>+'[3]Oct midyear Intl_VIBE '!K47</f>
        <v>0</v>
      </c>
      <c r="J48" s="1723">
        <f>'[3]Feb midyear Intl_VIBE '!K47</f>
        <v>0</v>
      </c>
      <c r="K48" s="1547">
        <f t="shared" si="24"/>
        <v>0</v>
      </c>
      <c r="L48" s="1491">
        <f t="shared" si="25"/>
        <v>0</v>
      </c>
      <c r="M48" s="933">
        <f t="shared" si="26"/>
        <v>0</v>
      </c>
      <c r="N48" s="907">
        <f t="shared" si="27"/>
        <v>0</v>
      </c>
      <c r="O48" s="884">
        <v>0</v>
      </c>
      <c r="P48" s="907">
        <f t="shared" si="28"/>
        <v>0</v>
      </c>
      <c r="Q48" s="884">
        <f>+'[4]Table 5C1C-Intl_VIBE'!M47*8</f>
        <v>0</v>
      </c>
      <c r="R48" s="884">
        <f t="shared" si="29"/>
        <v>0</v>
      </c>
      <c r="S48" s="907">
        <f t="shared" si="30"/>
        <v>0</v>
      </c>
      <c r="T48" s="897">
        <f>'Table 5C1A-Madison Prep'!T48</f>
        <v>8964</v>
      </c>
      <c r="U48" s="874">
        <f t="shared" si="44"/>
        <v>0</v>
      </c>
      <c r="V48" s="1754">
        <f>+'[3]Oct midyear Intl_VIBE '!E47</f>
        <v>0</v>
      </c>
      <c r="W48" s="1755">
        <f t="shared" si="31"/>
        <v>0</v>
      </c>
      <c r="X48" s="1754">
        <f>'[3]Feb midyear Intl_VIBE '!E47</f>
        <v>0</v>
      </c>
      <c r="Y48" s="1755">
        <f t="shared" si="32"/>
        <v>0</v>
      </c>
      <c r="Z48" s="1652">
        <f t="shared" si="33"/>
        <v>0</v>
      </c>
      <c r="AA48" s="1521">
        <f t="shared" si="34"/>
        <v>0</v>
      </c>
      <c r="AB48" s="936">
        <f t="shared" si="35"/>
        <v>0</v>
      </c>
      <c r="AC48" s="874">
        <f t="shared" si="36"/>
        <v>0</v>
      </c>
      <c r="AD48" s="1829">
        <v>0</v>
      </c>
      <c r="AE48" s="874">
        <f t="shared" si="37"/>
        <v>0</v>
      </c>
      <c r="AF48" s="1755">
        <f>+'[4]Table 5C1C-Intl_VIBE'!T47*8</f>
        <v>0</v>
      </c>
      <c r="AG48" s="1755">
        <f t="shared" si="38"/>
        <v>0</v>
      </c>
      <c r="AH48" s="999">
        <f t="shared" si="39"/>
        <v>0</v>
      </c>
      <c r="AI48" s="875">
        <f t="shared" si="45"/>
        <v>0</v>
      </c>
      <c r="AJ48" s="875">
        <f t="shared" si="41"/>
        <v>0</v>
      </c>
      <c r="AL48" s="49">
        <f>-'[4]Table 5C1C-Intl_VIBE'!P47</f>
        <v>0</v>
      </c>
      <c r="AM48" s="49">
        <f t="shared" si="42"/>
        <v>0</v>
      </c>
      <c r="AN48" s="49">
        <f t="shared" si="43"/>
        <v>0</v>
      </c>
    </row>
    <row r="49" spans="1:40">
      <c r="A49" s="876">
        <v>42</v>
      </c>
      <c r="B49" s="877" t="s">
        <v>133</v>
      </c>
      <c r="C49" s="972">
        <f>'2-1-13 SIS'!K48</f>
        <v>0</v>
      </c>
      <c r="D49" s="882">
        <f>'Table 3 Levels 1&amp;2'!AL49</f>
        <v>5087.4730460987803</v>
      </c>
      <c r="E49" s="921">
        <f t="shared" si="21"/>
        <v>0</v>
      </c>
      <c r="F49" s="921">
        <f>'Table 4 Level 3'!P47</f>
        <v>534.28</v>
      </c>
      <c r="G49" s="921">
        <f t="shared" si="22"/>
        <v>0</v>
      </c>
      <c r="H49" s="905">
        <f t="shared" si="23"/>
        <v>0</v>
      </c>
      <c r="I49" s="1734">
        <f>+'[3]Oct midyear Intl_VIBE '!K48</f>
        <v>0</v>
      </c>
      <c r="J49" s="1734">
        <f>'[3]Feb midyear Intl_VIBE '!K48</f>
        <v>0</v>
      </c>
      <c r="K49" s="1545">
        <f t="shared" si="24"/>
        <v>0</v>
      </c>
      <c r="L49" s="1489">
        <f t="shared" si="25"/>
        <v>0</v>
      </c>
      <c r="M49" s="931">
        <f t="shared" si="26"/>
        <v>0</v>
      </c>
      <c r="N49" s="905">
        <f t="shared" si="27"/>
        <v>0</v>
      </c>
      <c r="O49" s="882">
        <v>0</v>
      </c>
      <c r="P49" s="905">
        <f t="shared" si="28"/>
        <v>0</v>
      </c>
      <c r="Q49" s="1846">
        <f>+'[4]Table 5C1C-Intl_VIBE'!M48*8</f>
        <v>0</v>
      </c>
      <c r="R49" s="1846">
        <f t="shared" si="29"/>
        <v>0</v>
      </c>
      <c r="S49" s="905">
        <f t="shared" si="30"/>
        <v>0</v>
      </c>
      <c r="T49" s="897">
        <f>'Table 5C1A-Madison Prep'!T49</f>
        <v>3535</v>
      </c>
      <c r="U49" s="899">
        <f t="shared" si="44"/>
        <v>0</v>
      </c>
      <c r="V49" s="1758">
        <f>+'[3]Oct midyear Intl_VIBE '!E48</f>
        <v>0</v>
      </c>
      <c r="W49" s="1759">
        <f t="shared" si="31"/>
        <v>0</v>
      </c>
      <c r="X49" s="1758">
        <f>'[3]Feb midyear Intl_VIBE '!E48</f>
        <v>0</v>
      </c>
      <c r="Y49" s="1759">
        <f t="shared" si="32"/>
        <v>0</v>
      </c>
      <c r="Z49" s="1653">
        <f t="shared" si="33"/>
        <v>0</v>
      </c>
      <c r="AA49" s="1486">
        <f t="shared" si="34"/>
        <v>0</v>
      </c>
      <c r="AB49" s="937">
        <f t="shared" si="35"/>
        <v>0</v>
      </c>
      <c r="AC49" s="899">
        <f t="shared" si="36"/>
        <v>0</v>
      </c>
      <c r="AD49" s="1830">
        <v>0</v>
      </c>
      <c r="AE49" s="899">
        <f t="shared" si="37"/>
        <v>0</v>
      </c>
      <c r="AF49" s="1759">
        <f>+'[4]Table 5C1C-Intl_VIBE'!T48*8</f>
        <v>0</v>
      </c>
      <c r="AG49" s="1759">
        <f t="shared" si="38"/>
        <v>0</v>
      </c>
      <c r="AH49" s="999">
        <f t="shared" si="39"/>
        <v>0</v>
      </c>
      <c r="AI49" s="900">
        <f t="shared" si="45"/>
        <v>0</v>
      </c>
      <c r="AJ49" s="900">
        <f t="shared" si="41"/>
        <v>0</v>
      </c>
      <c r="AL49" s="49">
        <f>-'[4]Table 5C1C-Intl_VIBE'!P48</f>
        <v>0</v>
      </c>
      <c r="AM49" s="49">
        <f t="shared" si="42"/>
        <v>0</v>
      </c>
      <c r="AN49" s="49">
        <f t="shared" si="43"/>
        <v>0</v>
      </c>
    </row>
    <row r="50" spans="1:40">
      <c r="A50" s="876">
        <v>43</v>
      </c>
      <c r="B50" s="877" t="s">
        <v>134</v>
      </c>
      <c r="C50" s="972">
        <f>'2-1-13 SIS'!K49</f>
        <v>0</v>
      </c>
      <c r="D50" s="882">
        <f>'Table 3 Levels 1&amp;2'!AL50</f>
        <v>4717.8414352725031</v>
      </c>
      <c r="E50" s="921">
        <f t="shared" si="21"/>
        <v>0</v>
      </c>
      <c r="F50" s="921">
        <f>'Table 4 Level 3'!P48</f>
        <v>574.6099999999999</v>
      </c>
      <c r="G50" s="921">
        <f t="shared" si="22"/>
        <v>0</v>
      </c>
      <c r="H50" s="905">
        <f t="shared" si="23"/>
        <v>0</v>
      </c>
      <c r="I50" s="1734">
        <f>+'[3]Oct midyear Intl_VIBE '!K49</f>
        <v>0</v>
      </c>
      <c r="J50" s="1734">
        <f>'[3]Feb midyear Intl_VIBE '!K49</f>
        <v>0</v>
      </c>
      <c r="K50" s="1545">
        <f t="shared" si="24"/>
        <v>0</v>
      </c>
      <c r="L50" s="1489">
        <f t="shared" si="25"/>
        <v>0</v>
      </c>
      <c r="M50" s="931">
        <f t="shared" si="26"/>
        <v>0</v>
      </c>
      <c r="N50" s="905">
        <f t="shared" si="27"/>
        <v>0</v>
      </c>
      <c r="O50" s="882">
        <v>0</v>
      </c>
      <c r="P50" s="905">
        <f t="shared" si="28"/>
        <v>0</v>
      </c>
      <c r="Q50" s="1846">
        <f>+'[4]Table 5C1C-Intl_VIBE'!M49*8</f>
        <v>0</v>
      </c>
      <c r="R50" s="1846">
        <f t="shared" si="29"/>
        <v>0</v>
      </c>
      <c r="S50" s="905">
        <f t="shared" si="30"/>
        <v>0</v>
      </c>
      <c r="T50" s="897">
        <f>'Table 5C1A-Madison Prep'!T50</f>
        <v>3593</v>
      </c>
      <c r="U50" s="899">
        <f t="shared" si="44"/>
        <v>0</v>
      </c>
      <c r="V50" s="1758">
        <f>+'[3]Oct midyear Intl_VIBE '!E49</f>
        <v>0</v>
      </c>
      <c r="W50" s="1759">
        <f t="shared" si="31"/>
        <v>0</v>
      </c>
      <c r="X50" s="1758">
        <f>'[3]Feb midyear Intl_VIBE '!E49</f>
        <v>0</v>
      </c>
      <c r="Y50" s="1759">
        <f t="shared" si="32"/>
        <v>0</v>
      </c>
      <c r="Z50" s="1653">
        <f t="shared" si="33"/>
        <v>0</v>
      </c>
      <c r="AA50" s="1486">
        <f t="shared" si="34"/>
        <v>0</v>
      </c>
      <c r="AB50" s="937">
        <f t="shared" si="35"/>
        <v>0</v>
      </c>
      <c r="AC50" s="899">
        <f t="shared" si="36"/>
        <v>0</v>
      </c>
      <c r="AD50" s="1830">
        <v>0</v>
      </c>
      <c r="AE50" s="899">
        <f t="shared" si="37"/>
        <v>0</v>
      </c>
      <c r="AF50" s="1759">
        <f>+'[4]Table 5C1C-Intl_VIBE'!T49*8</f>
        <v>0</v>
      </c>
      <c r="AG50" s="1759">
        <f t="shared" si="38"/>
        <v>0</v>
      </c>
      <c r="AH50" s="999">
        <f t="shared" si="39"/>
        <v>0</v>
      </c>
      <c r="AI50" s="900">
        <f t="shared" si="45"/>
        <v>0</v>
      </c>
      <c r="AJ50" s="900">
        <f t="shared" si="41"/>
        <v>0</v>
      </c>
      <c r="AL50" s="49">
        <f>-'[4]Table 5C1C-Intl_VIBE'!P49</f>
        <v>0</v>
      </c>
      <c r="AM50" s="49">
        <f t="shared" si="42"/>
        <v>0</v>
      </c>
      <c r="AN50" s="49">
        <f t="shared" si="43"/>
        <v>0</v>
      </c>
    </row>
    <row r="51" spans="1:40">
      <c r="A51" s="876">
        <v>44</v>
      </c>
      <c r="B51" s="877" t="s">
        <v>135</v>
      </c>
      <c r="C51" s="972">
        <f>'2-1-13 SIS'!K50</f>
        <v>4</v>
      </c>
      <c r="D51" s="882">
        <f>'Table 3 Levels 1&amp;2'!AL51</f>
        <v>4696.6221228259064</v>
      </c>
      <c r="E51" s="921">
        <f t="shared" si="21"/>
        <v>18786.488491303626</v>
      </c>
      <c r="F51" s="921">
        <f>'Table 4 Level 3'!P49</f>
        <v>663.16000000000008</v>
      </c>
      <c r="G51" s="921">
        <f t="shared" si="22"/>
        <v>2652.6400000000003</v>
      </c>
      <c r="H51" s="905">
        <f t="shared" si="23"/>
        <v>21439.128491303625</v>
      </c>
      <c r="I51" s="1734">
        <f>+'[3]Oct midyear Intl_VIBE '!K50</f>
        <v>-10719.564245651813</v>
      </c>
      <c r="J51" s="1734">
        <f>'[3]Feb midyear Intl_VIBE '!K50</f>
        <v>0</v>
      </c>
      <c r="K51" s="1545">
        <f t="shared" si="24"/>
        <v>-10719.564245651813</v>
      </c>
      <c r="L51" s="1489">
        <f t="shared" si="25"/>
        <v>10719.564245651813</v>
      </c>
      <c r="M51" s="931">
        <f t="shared" si="26"/>
        <v>-26.798910614129532</v>
      </c>
      <c r="N51" s="905">
        <f t="shared" si="27"/>
        <v>10692.765335037682</v>
      </c>
      <c r="O51" s="882">
        <v>0</v>
      </c>
      <c r="P51" s="905">
        <f t="shared" si="28"/>
        <v>10692.765335037682</v>
      </c>
      <c r="Q51" s="1846">
        <f>+'[4]Table 5C1C-Intl_VIBE'!M50*8</f>
        <v>14257.02044671691</v>
      </c>
      <c r="R51" s="1846">
        <f t="shared" si="29"/>
        <v>-3564.2551116792274</v>
      </c>
      <c r="S51" s="905">
        <f t="shared" si="30"/>
        <v>-891</v>
      </c>
      <c r="T51" s="897">
        <f>'Table 5C1A-Madison Prep'!T51</f>
        <v>4323</v>
      </c>
      <c r="U51" s="899">
        <f t="shared" si="44"/>
        <v>17292</v>
      </c>
      <c r="V51" s="1758">
        <f>+'[3]Oct midyear Intl_VIBE '!E50</f>
        <v>-2</v>
      </c>
      <c r="W51" s="1759">
        <f t="shared" si="31"/>
        <v>-8646</v>
      </c>
      <c r="X51" s="1758">
        <f>'[3]Feb midyear Intl_VIBE '!E50</f>
        <v>0</v>
      </c>
      <c r="Y51" s="1759">
        <f t="shared" si="32"/>
        <v>0</v>
      </c>
      <c r="Z51" s="1653">
        <f t="shared" si="33"/>
        <v>-8646</v>
      </c>
      <c r="AA51" s="1486">
        <f t="shared" si="34"/>
        <v>8646</v>
      </c>
      <c r="AB51" s="937">
        <f t="shared" si="35"/>
        <v>-21.615000000000002</v>
      </c>
      <c r="AC51" s="899">
        <f t="shared" si="36"/>
        <v>8624.3850000000002</v>
      </c>
      <c r="AD51" s="1830">
        <v>0</v>
      </c>
      <c r="AE51" s="899">
        <f t="shared" si="37"/>
        <v>8624.3850000000002</v>
      </c>
      <c r="AF51" s="1759">
        <f>+'[4]Table 5C1C-Intl_VIBE'!T50*8</f>
        <v>12129.6</v>
      </c>
      <c r="AG51" s="1759">
        <f t="shared" si="38"/>
        <v>-3505.2150000000001</v>
      </c>
      <c r="AH51" s="999">
        <f t="shared" si="39"/>
        <v>-876</v>
      </c>
      <c r="AI51" s="900">
        <f t="shared" si="45"/>
        <v>19317.150335037681</v>
      </c>
      <c r="AJ51" s="900">
        <f t="shared" si="41"/>
        <v>-1767</v>
      </c>
      <c r="AL51" s="49">
        <f>-'[4]Table 5C1C-Intl_VIBE'!P50</f>
        <v>45.6</v>
      </c>
      <c r="AM51" s="49">
        <f t="shared" si="42"/>
        <v>-21.615000000000002</v>
      </c>
      <c r="AN51" s="49">
        <f t="shared" si="43"/>
        <v>23.984999999999999</v>
      </c>
    </row>
    <row r="52" spans="1:40">
      <c r="A52" s="879">
        <v>45</v>
      </c>
      <c r="B52" s="880" t="s">
        <v>136</v>
      </c>
      <c r="C52" s="973">
        <f>'2-1-13 SIS'!K51</f>
        <v>2</v>
      </c>
      <c r="D52" s="883">
        <f>'Table 3 Levels 1&amp;2'!AL52</f>
        <v>2192.4914538932262</v>
      </c>
      <c r="E52" s="922">
        <f t="shared" si="21"/>
        <v>4384.9829077864524</v>
      </c>
      <c r="F52" s="922">
        <f>'Table 4 Level 3'!P50</f>
        <v>753.96000000000015</v>
      </c>
      <c r="G52" s="922">
        <f t="shared" si="22"/>
        <v>1507.9200000000003</v>
      </c>
      <c r="H52" s="906">
        <f t="shared" si="23"/>
        <v>5892.9029077864525</v>
      </c>
      <c r="I52" s="1735">
        <f>+'[3]Oct midyear Intl_VIBE '!K51</f>
        <v>-5892.9029077864525</v>
      </c>
      <c r="J52" s="1735">
        <f>'[3]Feb midyear Intl_VIBE '!K51</f>
        <v>0</v>
      </c>
      <c r="K52" s="1546">
        <f t="shared" si="24"/>
        <v>-5892.9029077864525</v>
      </c>
      <c r="L52" s="1490">
        <f t="shared" si="25"/>
        <v>0</v>
      </c>
      <c r="M52" s="932">
        <f t="shared" si="26"/>
        <v>0</v>
      </c>
      <c r="N52" s="906">
        <f t="shared" si="27"/>
        <v>0</v>
      </c>
      <c r="O52" s="883">
        <v>0</v>
      </c>
      <c r="P52" s="906">
        <f t="shared" si="28"/>
        <v>0</v>
      </c>
      <c r="Q52" s="1847">
        <f>+'[4]Table 5C1C-Intl_VIBE'!M51*8</f>
        <v>3918.7804336779905</v>
      </c>
      <c r="R52" s="1847">
        <f t="shared" si="29"/>
        <v>-3918.7804336779905</v>
      </c>
      <c r="S52" s="906">
        <f t="shared" si="30"/>
        <v>-980</v>
      </c>
      <c r="T52" s="902">
        <f>'Table 5C1A-Madison Prep'!T52</f>
        <v>12792</v>
      </c>
      <c r="U52" s="903">
        <f t="shared" si="44"/>
        <v>25584</v>
      </c>
      <c r="V52" s="1762">
        <f>+'[3]Oct midyear Intl_VIBE '!E51</f>
        <v>-2</v>
      </c>
      <c r="W52" s="1763">
        <f t="shared" si="31"/>
        <v>-25584</v>
      </c>
      <c r="X52" s="1762">
        <f>'[3]Feb midyear Intl_VIBE '!E51</f>
        <v>0</v>
      </c>
      <c r="Y52" s="1763">
        <f t="shared" si="32"/>
        <v>0</v>
      </c>
      <c r="Z52" s="1654">
        <f t="shared" si="33"/>
        <v>-25584</v>
      </c>
      <c r="AA52" s="1488">
        <f t="shared" si="34"/>
        <v>0</v>
      </c>
      <c r="AB52" s="938">
        <f t="shared" si="35"/>
        <v>0</v>
      </c>
      <c r="AC52" s="903">
        <f t="shared" si="36"/>
        <v>0</v>
      </c>
      <c r="AD52" s="1831">
        <v>0</v>
      </c>
      <c r="AE52" s="903">
        <f t="shared" si="37"/>
        <v>0</v>
      </c>
      <c r="AF52" s="1763">
        <f>+'[4]Table 5C1C-Intl_VIBE'!T51*8</f>
        <v>15010.38</v>
      </c>
      <c r="AG52" s="1763">
        <f t="shared" si="38"/>
        <v>-15010.38</v>
      </c>
      <c r="AH52" s="999">
        <f t="shared" si="39"/>
        <v>-3753</v>
      </c>
      <c r="AI52" s="904">
        <f t="shared" si="45"/>
        <v>0</v>
      </c>
      <c r="AJ52" s="904">
        <f t="shared" si="41"/>
        <v>-4733</v>
      </c>
      <c r="AL52" s="49">
        <f>-'[4]Table 5C1C-Intl_VIBE'!P51</f>
        <v>56.43</v>
      </c>
      <c r="AM52" s="49">
        <f t="shared" si="42"/>
        <v>0</v>
      </c>
      <c r="AN52" s="49">
        <f t="shared" si="43"/>
        <v>56.43</v>
      </c>
    </row>
    <row r="53" spans="1:40">
      <c r="A53" s="870">
        <v>46</v>
      </c>
      <c r="B53" s="871" t="s">
        <v>137</v>
      </c>
      <c r="C53" s="974">
        <f>'2-1-13 SIS'!K52</f>
        <v>0</v>
      </c>
      <c r="D53" s="884">
        <f>'Table 3 Levels 1&amp;2'!AL53</f>
        <v>5644.6599115241634</v>
      </c>
      <c r="E53" s="923">
        <f t="shared" si="21"/>
        <v>0</v>
      </c>
      <c r="F53" s="923">
        <f>'Table 4 Level 3'!P51</f>
        <v>728.06</v>
      </c>
      <c r="G53" s="923">
        <f t="shared" si="22"/>
        <v>0</v>
      </c>
      <c r="H53" s="907">
        <f t="shared" si="23"/>
        <v>0</v>
      </c>
      <c r="I53" s="1723">
        <f>+'[3]Oct midyear Intl_VIBE '!K52</f>
        <v>0</v>
      </c>
      <c r="J53" s="1723">
        <f>'[3]Feb midyear Intl_VIBE '!K52</f>
        <v>0</v>
      </c>
      <c r="K53" s="1547">
        <f t="shared" si="24"/>
        <v>0</v>
      </c>
      <c r="L53" s="1491">
        <f t="shared" si="25"/>
        <v>0</v>
      </c>
      <c r="M53" s="933">
        <f t="shared" si="26"/>
        <v>0</v>
      </c>
      <c r="N53" s="907">
        <f t="shared" si="27"/>
        <v>0</v>
      </c>
      <c r="O53" s="884">
        <v>0</v>
      </c>
      <c r="P53" s="907">
        <f t="shared" si="28"/>
        <v>0</v>
      </c>
      <c r="Q53" s="884">
        <f>+'[4]Table 5C1C-Intl_VIBE'!M52*8</f>
        <v>0</v>
      </c>
      <c r="R53" s="884">
        <f t="shared" si="29"/>
        <v>0</v>
      </c>
      <c r="S53" s="907">
        <f t="shared" si="30"/>
        <v>0</v>
      </c>
      <c r="T53" s="897">
        <f>'Table 5C1A-Madison Prep'!T53</f>
        <v>2423</v>
      </c>
      <c r="U53" s="874">
        <f t="shared" si="44"/>
        <v>0</v>
      </c>
      <c r="V53" s="1754">
        <f>+'[3]Oct midyear Intl_VIBE '!E52</f>
        <v>0</v>
      </c>
      <c r="W53" s="1755">
        <f t="shared" si="31"/>
        <v>0</v>
      </c>
      <c r="X53" s="1754">
        <f>'[3]Feb midyear Intl_VIBE '!E52</f>
        <v>0</v>
      </c>
      <c r="Y53" s="1755">
        <f t="shared" si="32"/>
        <v>0</v>
      </c>
      <c r="Z53" s="1652">
        <f t="shared" si="33"/>
        <v>0</v>
      </c>
      <c r="AA53" s="1521">
        <f t="shared" si="34"/>
        <v>0</v>
      </c>
      <c r="AB53" s="936">
        <f t="shared" si="35"/>
        <v>0</v>
      </c>
      <c r="AC53" s="874">
        <f t="shared" si="36"/>
        <v>0</v>
      </c>
      <c r="AD53" s="1829">
        <v>0</v>
      </c>
      <c r="AE53" s="874">
        <f t="shared" si="37"/>
        <v>0</v>
      </c>
      <c r="AF53" s="1755">
        <f>+'[4]Table 5C1C-Intl_VIBE'!T52*8</f>
        <v>0</v>
      </c>
      <c r="AG53" s="1755">
        <f t="shared" si="38"/>
        <v>0</v>
      </c>
      <c r="AH53" s="999">
        <f t="shared" si="39"/>
        <v>0</v>
      </c>
      <c r="AI53" s="875">
        <f t="shared" si="45"/>
        <v>0</v>
      </c>
      <c r="AJ53" s="875">
        <f t="shared" si="41"/>
        <v>0</v>
      </c>
      <c r="AL53" s="49">
        <f>-'[4]Table 5C1C-Intl_VIBE'!P52</f>
        <v>0</v>
      </c>
      <c r="AM53" s="49">
        <f t="shared" si="42"/>
        <v>0</v>
      </c>
      <c r="AN53" s="49">
        <f t="shared" si="43"/>
        <v>0</v>
      </c>
    </row>
    <row r="54" spans="1:40">
      <c r="A54" s="876">
        <v>47</v>
      </c>
      <c r="B54" s="877" t="s">
        <v>138</v>
      </c>
      <c r="C54" s="972">
        <f>'2-1-13 SIS'!K53</f>
        <v>0</v>
      </c>
      <c r="D54" s="882">
        <f>'Table 3 Levels 1&amp;2'!AL54</f>
        <v>2731.2444076222037</v>
      </c>
      <c r="E54" s="921">
        <f t="shared" si="21"/>
        <v>0</v>
      </c>
      <c r="F54" s="921">
        <f>'Table 4 Level 3'!P52</f>
        <v>910.76</v>
      </c>
      <c r="G54" s="921">
        <f t="shared" si="22"/>
        <v>0</v>
      </c>
      <c r="H54" s="905">
        <f t="shared" si="23"/>
        <v>0</v>
      </c>
      <c r="I54" s="1734">
        <f>+'[3]Oct midyear Intl_VIBE '!K53</f>
        <v>0</v>
      </c>
      <c r="J54" s="1734">
        <f>'[3]Feb midyear Intl_VIBE '!K53</f>
        <v>0</v>
      </c>
      <c r="K54" s="1545">
        <f t="shared" si="24"/>
        <v>0</v>
      </c>
      <c r="L54" s="1489">
        <f t="shared" si="25"/>
        <v>0</v>
      </c>
      <c r="M54" s="931">
        <f t="shared" si="26"/>
        <v>0</v>
      </c>
      <c r="N54" s="905">
        <f t="shared" si="27"/>
        <v>0</v>
      </c>
      <c r="O54" s="882">
        <v>0</v>
      </c>
      <c r="P54" s="905">
        <f t="shared" si="28"/>
        <v>0</v>
      </c>
      <c r="Q54" s="1846">
        <f>+'[4]Table 5C1C-Intl_VIBE'!M53*8</f>
        <v>0</v>
      </c>
      <c r="R54" s="1846">
        <f t="shared" si="29"/>
        <v>0</v>
      </c>
      <c r="S54" s="905">
        <f t="shared" si="30"/>
        <v>0</v>
      </c>
      <c r="T54" s="897">
        <f>'Table 5C1A-Madison Prep'!T54</f>
        <v>12963</v>
      </c>
      <c r="U54" s="899">
        <f t="shared" si="44"/>
        <v>0</v>
      </c>
      <c r="V54" s="1758">
        <f>+'[3]Oct midyear Intl_VIBE '!E53</f>
        <v>0</v>
      </c>
      <c r="W54" s="1759">
        <f t="shared" si="31"/>
        <v>0</v>
      </c>
      <c r="X54" s="1758">
        <f>'[3]Feb midyear Intl_VIBE '!E53</f>
        <v>0</v>
      </c>
      <c r="Y54" s="1759">
        <f t="shared" si="32"/>
        <v>0</v>
      </c>
      <c r="Z54" s="1653">
        <f t="shared" si="33"/>
        <v>0</v>
      </c>
      <c r="AA54" s="1486">
        <f t="shared" si="34"/>
        <v>0</v>
      </c>
      <c r="AB54" s="937">
        <f t="shared" si="35"/>
        <v>0</v>
      </c>
      <c r="AC54" s="899">
        <f t="shared" si="36"/>
        <v>0</v>
      </c>
      <c r="AD54" s="1830">
        <v>0</v>
      </c>
      <c r="AE54" s="899">
        <f t="shared" si="37"/>
        <v>0</v>
      </c>
      <c r="AF54" s="1759">
        <f>+'[4]Table 5C1C-Intl_VIBE'!T53*8</f>
        <v>0</v>
      </c>
      <c r="AG54" s="1759">
        <f t="shared" si="38"/>
        <v>0</v>
      </c>
      <c r="AH54" s="999">
        <f t="shared" si="39"/>
        <v>0</v>
      </c>
      <c r="AI54" s="900">
        <f t="shared" si="45"/>
        <v>0</v>
      </c>
      <c r="AJ54" s="900">
        <f t="shared" si="41"/>
        <v>0</v>
      </c>
      <c r="AL54" s="49">
        <f>-'[4]Table 5C1C-Intl_VIBE'!P53</f>
        <v>0</v>
      </c>
      <c r="AM54" s="49">
        <f t="shared" si="42"/>
        <v>0</v>
      </c>
      <c r="AN54" s="49">
        <f t="shared" si="43"/>
        <v>0</v>
      </c>
    </row>
    <row r="55" spans="1:40">
      <c r="A55" s="876">
        <v>48</v>
      </c>
      <c r="B55" s="877" t="s">
        <v>195</v>
      </c>
      <c r="C55" s="972">
        <f>'2-1-13 SIS'!K54</f>
        <v>2</v>
      </c>
      <c r="D55" s="882">
        <f>'Table 3 Levels 1&amp;2'!AL55</f>
        <v>4272.723323083942</v>
      </c>
      <c r="E55" s="921">
        <f t="shared" si="21"/>
        <v>8545.446646167884</v>
      </c>
      <c r="F55" s="921">
        <f>'Table 4 Level 3'!P53</f>
        <v>871.07</v>
      </c>
      <c r="G55" s="921">
        <f t="shared" si="22"/>
        <v>1742.14</v>
      </c>
      <c r="H55" s="905">
        <f t="shared" si="23"/>
        <v>10287.586646167883</v>
      </c>
      <c r="I55" s="1734">
        <f>+'[3]Oct midyear Intl_VIBE '!K54</f>
        <v>0</v>
      </c>
      <c r="J55" s="1734">
        <f>'[3]Feb midyear Intl_VIBE '!K54</f>
        <v>0</v>
      </c>
      <c r="K55" s="1545">
        <f t="shared" si="24"/>
        <v>0</v>
      </c>
      <c r="L55" s="1489">
        <f t="shared" si="25"/>
        <v>10287.586646167883</v>
      </c>
      <c r="M55" s="931">
        <f t="shared" si="26"/>
        <v>-25.71896661541971</v>
      </c>
      <c r="N55" s="905">
        <f t="shared" si="27"/>
        <v>10261.867679552464</v>
      </c>
      <c r="O55" s="882">
        <v>0</v>
      </c>
      <c r="P55" s="905">
        <f t="shared" si="28"/>
        <v>10261.867679552464</v>
      </c>
      <c r="Q55" s="1846">
        <f>+'[4]Table 5C1C-Intl_VIBE'!M54*8</f>
        <v>6841.2451197016426</v>
      </c>
      <c r="R55" s="1846">
        <f t="shared" si="29"/>
        <v>3420.6225598508217</v>
      </c>
      <c r="S55" s="905">
        <f t="shared" si="30"/>
        <v>855</v>
      </c>
      <c r="T55" s="897">
        <f>'Table 5C1A-Madison Prep'!T55</f>
        <v>6585</v>
      </c>
      <c r="U55" s="899">
        <f t="shared" si="44"/>
        <v>13170</v>
      </c>
      <c r="V55" s="1758">
        <f>+'[3]Oct midyear Intl_VIBE '!E54</f>
        <v>0</v>
      </c>
      <c r="W55" s="1759">
        <f t="shared" si="31"/>
        <v>0</v>
      </c>
      <c r="X55" s="1758">
        <f>'[3]Feb midyear Intl_VIBE '!E54</f>
        <v>0</v>
      </c>
      <c r="Y55" s="1759">
        <f t="shared" si="32"/>
        <v>0</v>
      </c>
      <c r="Z55" s="1653">
        <f t="shared" si="33"/>
        <v>0</v>
      </c>
      <c r="AA55" s="1486">
        <f t="shared" si="34"/>
        <v>13170</v>
      </c>
      <c r="AB55" s="937">
        <f t="shared" si="35"/>
        <v>-32.924999999999997</v>
      </c>
      <c r="AC55" s="899">
        <f t="shared" si="36"/>
        <v>13137.075000000001</v>
      </c>
      <c r="AD55" s="1830">
        <v>0</v>
      </c>
      <c r="AE55" s="899">
        <f t="shared" si="37"/>
        <v>13137.075000000001</v>
      </c>
      <c r="AF55" s="1759">
        <f>+'[4]Table 5C1C-Intl_VIBE'!T54*8</f>
        <v>8582.49</v>
      </c>
      <c r="AG55" s="1759">
        <f t="shared" si="38"/>
        <v>4554.5850000000009</v>
      </c>
      <c r="AH55" s="999">
        <f t="shared" si="39"/>
        <v>1139</v>
      </c>
      <c r="AI55" s="900">
        <f t="shared" si="45"/>
        <v>23398.942679552463</v>
      </c>
      <c r="AJ55" s="900">
        <f t="shared" si="41"/>
        <v>1994</v>
      </c>
      <c r="AL55" s="49">
        <f>-'[4]Table 5C1C-Intl_VIBE'!P54</f>
        <v>32.265000000000001</v>
      </c>
      <c r="AM55" s="49">
        <f t="shared" si="42"/>
        <v>-32.924999999999997</v>
      </c>
      <c r="AN55" s="49">
        <f t="shared" si="43"/>
        <v>-0.65999999999999659</v>
      </c>
    </row>
    <row r="56" spans="1:40">
      <c r="A56" s="876">
        <v>49</v>
      </c>
      <c r="B56" s="877" t="s">
        <v>139</v>
      </c>
      <c r="C56" s="972">
        <f>'2-1-13 SIS'!K55</f>
        <v>0</v>
      </c>
      <c r="D56" s="882">
        <f>'Table 3 Levels 1&amp;2'!AL56</f>
        <v>4836.7092570332552</v>
      </c>
      <c r="E56" s="921">
        <f t="shared" si="21"/>
        <v>0</v>
      </c>
      <c r="F56" s="921">
        <f>'Table 4 Level 3'!P54</f>
        <v>574.43999999999994</v>
      </c>
      <c r="G56" s="921">
        <f t="shared" si="22"/>
        <v>0</v>
      </c>
      <c r="H56" s="905">
        <f t="shared" si="23"/>
        <v>0</v>
      </c>
      <c r="I56" s="1734">
        <f>+'[3]Oct midyear Intl_VIBE '!K55</f>
        <v>0</v>
      </c>
      <c r="J56" s="1734">
        <f>'[3]Feb midyear Intl_VIBE '!K55</f>
        <v>0</v>
      </c>
      <c r="K56" s="1545">
        <f t="shared" si="24"/>
        <v>0</v>
      </c>
      <c r="L56" s="1489">
        <f t="shared" si="25"/>
        <v>0</v>
      </c>
      <c r="M56" s="931">
        <f t="shared" si="26"/>
        <v>0</v>
      </c>
      <c r="N56" s="905">
        <f t="shared" si="27"/>
        <v>0</v>
      </c>
      <c r="O56" s="882">
        <v>0</v>
      </c>
      <c r="P56" s="905">
        <f t="shared" si="28"/>
        <v>0</v>
      </c>
      <c r="Q56" s="1846">
        <f>+'[4]Table 5C1C-Intl_VIBE'!M55*8</f>
        <v>0</v>
      </c>
      <c r="R56" s="1846">
        <f t="shared" si="29"/>
        <v>0</v>
      </c>
      <c r="S56" s="905">
        <f t="shared" si="30"/>
        <v>0</v>
      </c>
      <c r="T56" s="897">
        <f>'Table 5C1A-Madison Prep'!T56</f>
        <v>2402</v>
      </c>
      <c r="U56" s="899">
        <f t="shared" si="44"/>
        <v>0</v>
      </c>
      <c r="V56" s="1758">
        <f>+'[3]Oct midyear Intl_VIBE '!E55</f>
        <v>0</v>
      </c>
      <c r="W56" s="1759">
        <f t="shared" si="31"/>
        <v>0</v>
      </c>
      <c r="X56" s="1758">
        <f>'[3]Feb midyear Intl_VIBE '!E55</f>
        <v>0</v>
      </c>
      <c r="Y56" s="1759">
        <f t="shared" si="32"/>
        <v>0</v>
      </c>
      <c r="Z56" s="1653">
        <f t="shared" si="33"/>
        <v>0</v>
      </c>
      <c r="AA56" s="1486">
        <f t="shared" si="34"/>
        <v>0</v>
      </c>
      <c r="AB56" s="937">
        <f t="shared" si="35"/>
        <v>0</v>
      </c>
      <c r="AC56" s="899">
        <f t="shared" si="36"/>
        <v>0</v>
      </c>
      <c r="AD56" s="1830">
        <v>0</v>
      </c>
      <c r="AE56" s="899">
        <f t="shared" si="37"/>
        <v>0</v>
      </c>
      <c r="AF56" s="1759">
        <f>+'[4]Table 5C1C-Intl_VIBE'!T55*8</f>
        <v>0</v>
      </c>
      <c r="AG56" s="1759">
        <f t="shared" si="38"/>
        <v>0</v>
      </c>
      <c r="AH56" s="999">
        <f t="shared" si="39"/>
        <v>0</v>
      </c>
      <c r="AI56" s="900">
        <f t="shared" si="45"/>
        <v>0</v>
      </c>
      <c r="AJ56" s="900">
        <f t="shared" si="41"/>
        <v>0</v>
      </c>
      <c r="AL56" s="49">
        <f>-'[4]Table 5C1C-Intl_VIBE'!P55</f>
        <v>0</v>
      </c>
      <c r="AM56" s="49">
        <f t="shared" si="42"/>
        <v>0</v>
      </c>
      <c r="AN56" s="49">
        <f t="shared" si="43"/>
        <v>0</v>
      </c>
    </row>
    <row r="57" spans="1:40">
      <c r="A57" s="879">
        <v>50</v>
      </c>
      <c r="B57" s="880" t="s">
        <v>140</v>
      </c>
      <c r="C57" s="973">
        <f>'2-1-13 SIS'!K56</f>
        <v>0</v>
      </c>
      <c r="D57" s="883">
        <f>'Table 3 Levels 1&amp;2'!AL57</f>
        <v>5032.6862895017111</v>
      </c>
      <c r="E57" s="922">
        <f t="shared" si="21"/>
        <v>0</v>
      </c>
      <c r="F57" s="922">
        <f>'Table 4 Level 3'!P55</f>
        <v>634.46</v>
      </c>
      <c r="G57" s="922">
        <f t="shared" si="22"/>
        <v>0</v>
      </c>
      <c r="H57" s="906">
        <f t="shared" si="23"/>
        <v>0</v>
      </c>
      <c r="I57" s="1735">
        <f>+'[3]Oct midyear Intl_VIBE '!K56</f>
        <v>0</v>
      </c>
      <c r="J57" s="1735">
        <f>'[3]Feb midyear Intl_VIBE '!K56</f>
        <v>0</v>
      </c>
      <c r="K57" s="1546">
        <f t="shared" si="24"/>
        <v>0</v>
      </c>
      <c r="L57" s="1490">
        <f t="shared" si="25"/>
        <v>0</v>
      </c>
      <c r="M57" s="932">
        <f t="shared" si="26"/>
        <v>0</v>
      </c>
      <c r="N57" s="906">
        <f t="shared" si="27"/>
        <v>0</v>
      </c>
      <c r="O57" s="883">
        <v>0</v>
      </c>
      <c r="P57" s="906">
        <f t="shared" si="28"/>
        <v>0</v>
      </c>
      <c r="Q57" s="1847">
        <f>+'[4]Table 5C1C-Intl_VIBE'!M56*8</f>
        <v>0</v>
      </c>
      <c r="R57" s="1847">
        <f t="shared" si="29"/>
        <v>0</v>
      </c>
      <c r="S57" s="906">
        <f t="shared" si="30"/>
        <v>0</v>
      </c>
      <c r="T57" s="902">
        <f>'Table 5C1A-Madison Prep'!T57</f>
        <v>3143</v>
      </c>
      <c r="U57" s="903">
        <f t="shared" si="44"/>
        <v>0</v>
      </c>
      <c r="V57" s="1762">
        <f>+'[3]Oct midyear Intl_VIBE '!E56</f>
        <v>0</v>
      </c>
      <c r="W57" s="1763">
        <f t="shared" si="31"/>
        <v>0</v>
      </c>
      <c r="X57" s="1762">
        <f>'[3]Feb midyear Intl_VIBE '!E56</f>
        <v>0</v>
      </c>
      <c r="Y57" s="1763">
        <f t="shared" si="32"/>
        <v>0</v>
      </c>
      <c r="Z57" s="1654">
        <f t="shared" si="33"/>
        <v>0</v>
      </c>
      <c r="AA57" s="1488">
        <f t="shared" si="34"/>
        <v>0</v>
      </c>
      <c r="AB57" s="938">
        <f t="shared" si="35"/>
        <v>0</v>
      </c>
      <c r="AC57" s="903">
        <f t="shared" si="36"/>
        <v>0</v>
      </c>
      <c r="AD57" s="1831">
        <v>0</v>
      </c>
      <c r="AE57" s="903">
        <f t="shared" si="37"/>
        <v>0</v>
      </c>
      <c r="AF57" s="1763">
        <f>+'[4]Table 5C1C-Intl_VIBE'!T56*8</f>
        <v>0</v>
      </c>
      <c r="AG57" s="1763">
        <f t="shared" si="38"/>
        <v>0</v>
      </c>
      <c r="AH57" s="999">
        <f t="shared" si="39"/>
        <v>0</v>
      </c>
      <c r="AI57" s="904">
        <f t="shared" si="45"/>
        <v>0</v>
      </c>
      <c r="AJ57" s="904">
        <f t="shared" si="41"/>
        <v>0</v>
      </c>
      <c r="AL57" s="49">
        <f>-'[4]Table 5C1C-Intl_VIBE'!P56</f>
        <v>0</v>
      </c>
      <c r="AM57" s="49">
        <f t="shared" si="42"/>
        <v>0</v>
      </c>
      <c r="AN57" s="49">
        <f t="shared" ref="AN57:AN76" si="46">SUM(AL57:AM57)</f>
        <v>0</v>
      </c>
    </row>
    <row r="58" spans="1:40">
      <c r="A58" s="870">
        <v>51</v>
      </c>
      <c r="B58" s="871" t="s">
        <v>141</v>
      </c>
      <c r="C58" s="974">
        <f>'2-1-13 SIS'!K57</f>
        <v>0</v>
      </c>
      <c r="D58" s="884">
        <f>'Table 3 Levels 1&amp;2'!AL58</f>
        <v>4246.0339872793602</v>
      </c>
      <c r="E58" s="923">
        <f t="shared" si="21"/>
        <v>0</v>
      </c>
      <c r="F58" s="923">
        <f>'Table 4 Level 3'!P56</f>
        <v>706.66</v>
      </c>
      <c r="G58" s="923">
        <f t="shared" si="22"/>
        <v>0</v>
      </c>
      <c r="H58" s="907">
        <f t="shared" si="23"/>
        <v>0</v>
      </c>
      <c r="I58" s="1723">
        <f>+'[3]Oct midyear Intl_VIBE '!K57</f>
        <v>0</v>
      </c>
      <c r="J58" s="1723">
        <f>'[3]Feb midyear Intl_VIBE '!K57</f>
        <v>0</v>
      </c>
      <c r="K58" s="1547">
        <f t="shared" si="24"/>
        <v>0</v>
      </c>
      <c r="L58" s="1491">
        <f t="shared" si="25"/>
        <v>0</v>
      </c>
      <c r="M58" s="933">
        <f t="shared" si="26"/>
        <v>0</v>
      </c>
      <c r="N58" s="907">
        <f t="shared" si="27"/>
        <v>0</v>
      </c>
      <c r="O58" s="884">
        <v>0</v>
      </c>
      <c r="P58" s="907">
        <f t="shared" si="28"/>
        <v>0</v>
      </c>
      <c r="Q58" s="884">
        <f>+'[4]Table 5C1C-Intl_VIBE'!M57*8</f>
        <v>0</v>
      </c>
      <c r="R58" s="884">
        <f t="shared" si="29"/>
        <v>0</v>
      </c>
      <c r="S58" s="907">
        <f t="shared" si="30"/>
        <v>0</v>
      </c>
      <c r="T58" s="897">
        <f>'Table 5C1A-Madison Prep'!T58</f>
        <v>4370</v>
      </c>
      <c r="U58" s="874">
        <f t="shared" si="44"/>
        <v>0</v>
      </c>
      <c r="V58" s="1754">
        <f>+'[3]Oct midyear Intl_VIBE '!E57</f>
        <v>0</v>
      </c>
      <c r="W58" s="1755">
        <f t="shared" si="31"/>
        <v>0</v>
      </c>
      <c r="X58" s="1754">
        <f>'[3]Feb midyear Intl_VIBE '!E57</f>
        <v>0</v>
      </c>
      <c r="Y58" s="1755">
        <f t="shared" si="32"/>
        <v>0</v>
      </c>
      <c r="Z58" s="1652">
        <f t="shared" si="33"/>
        <v>0</v>
      </c>
      <c r="AA58" s="1521">
        <f t="shared" si="34"/>
        <v>0</v>
      </c>
      <c r="AB58" s="936">
        <f t="shared" si="35"/>
        <v>0</v>
      </c>
      <c r="AC58" s="874">
        <f t="shared" si="36"/>
        <v>0</v>
      </c>
      <c r="AD58" s="1829">
        <v>0</v>
      </c>
      <c r="AE58" s="874">
        <f t="shared" si="37"/>
        <v>0</v>
      </c>
      <c r="AF58" s="1755">
        <f>+'[4]Table 5C1C-Intl_VIBE'!T57*8</f>
        <v>0</v>
      </c>
      <c r="AG58" s="1755">
        <f t="shared" si="38"/>
        <v>0</v>
      </c>
      <c r="AH58" s="999">
        <f t="shared" si="39"/>
        <v>0</v>
      </c>
      <c r="AI58" s="875">
        <f t="shared" si="45"/>
        <v>0</v>
      </c>
      <c r="AJ58" s="875">
        <f t="shared" si="41"/>
        <v>0</v>
      </c>
      <c r="AL58" s="49">
        <f>-'[4]Table 5C1C-Intl_VIBE'!P57</f>
        <v>0</v>
      </c>
      <c r="AM58" s="49">
        <f t="shared" si="42"/>
        <v>0</v>
      </c>
      <c r="AN58" s="49">
        <f t="shared" si="46"/>
        <v>0</v>
      </c>
    </row>
    <row r="59" spans="1:40">
      <c r="A59" s="876">
        <v>52</v>
      </c>
      <c r="B59" s="877" t="s">
        <v>142</v>
      </c>
      <c r="C59" s="972">
        <f>'2-1-13 SIS'!K58</f>
        <v>3</v>
      </c>
      <c r="D59" s="882">
        <f>'Table 3 Levels 1&amp;2'!AL59</f>
        <v>5013.4438050113249</v>
      </c>
      <c r="E59" s="921">
        <f t="shared" si="21"/>
        <v>15040.331415033976</v>
      </c>
      <c r="F59" s="921">
        <f>'Table 4 Level 3'!P57</f>
        <v>658.37</v>
      </c>
      <c r="G59" s="921">
        <f t="shared" si="22"/>
        <v>1975.1100000000001</v>
      </c>
      <c r="H59" s="905">
        <f t="shared" si="23"/>
        <v>17015.441415033976</v>
      </c>
      <c r="I59" s="1734">
        <f>+'[3]Oct midyear Intl_VIBE '!K58</f>
        <v>-17015.441415033973</v>
      </c>
      <c r="J59" s="1734">
        <f>'[3]Feb midyear Intl_VIBE '!K58</f>
        <v>0</v>
      </c>
      <c r="K59" s="1545">
        <f t="shared" si="24"/>
        <v>-17015.441415033973</v>
      </c>
      <c r="L59" s="1489">
        <f t="shared" si="25"/>
        <v>0</v>
      </c>
      <c r="M59" s="931">
        <f t="shared" si="26"/>
        <v>0</v>
      </c>
      <c r="N59" s="905">
        <f t="shared" si="27"/>
        <v>0</v>
      </c>
      <c r="O59" s="882">
        <v>0</v>
      </c>
      <c r="P59" s="905">
        <f t="shared" si="28"/>
        <v>0</v>
      </c>
      <c r="Q59" s="1846">
        <f>+'[4]Table 5C1C-Intl_VIBE'!M58*8</f>
        <v>11315.268540997595</v>
      </c>
      <c r="R59" s="1846">
        <f t="shared" si="29"/>
        <v>-11315.268540997595</v>
      </c>
      <c r="S59" s="905">
        <f t="shared" si="30"/>
        <v>-2829</v>
      </c>
      <c r="T59" s="897">
        <f>'Table 5C1A-Madison Prep'!T59</f>
        <v>5143</v>
      </c>
      <c r="U59" s="899">
        <f t="shared" si="44"/>
        <v>15429</v>
      </c>
      <c r="V59" s="1758">
        <f>+'[3]Oct midyear Intl_VIBE '!E58</f>
        <v>-3</v>
      </c>
      <c r="W59" s="1759">
        <f t="shared" si="31"/>
        <v>-15429</v>
      </c>
      <c r="X59" s="1758">
        <f>'[3]Feb midyear Intl_VIBE '!E58</f>
        <v>0</v>
      </c>
      <c r="Y59" s="1759">
        <f t="shared" si="32"/>
        <v>0</v>
      </c>
      <c r="Z59" s="1653">
        <f t="shared" si="33"/>
        <v>-15429</v>
      </c>
      <c r="AA59" s="1486">
        <f t="shared" si="34"/>
        <v>0</v>
      </c>
      <c r="AB59" s="937">
        <f t="shared" si="35"/>
        <v>0</v>
      </c>
      <c r="AC59" s="899">
        <f t="shared" si="36"/>
        <v>0</v>
      </c>
      <c r="AD59" s="1830">
        <v>0</v>
      </c>
      <c r="AE59" s="899">
        <f t="shared" si="37"/>
        <v>0</v>
      </c>
      <c r="AF59" s="1759">
        <f>+'[4]Table 5C1C-Intl_VIBE'!T58*8</f>
        <v>9753.5550000000003</v>
      </c>
      <c r="AG59" s="1759">
        <f t="shared" si="38"/>
        <v>-9753.5550000000003</v>
      </c>
      <c r="AH59" s="999">
        <f t="shared" si="39"/>
        <v>-2438</v>
      </c>
      <c r="AI59" s="900">
        <f t="shared" si="45"/>
        <v>0</v>
      </c>
      <c r="AJ59" s="900">
        <f t="shared" si="41"/>
        <v>-5267</v>
      </c>
      <c r="AL59" s="49">
        <f>-'[4]Table 5C1C-Intl_VIBE'!P58</f>
        <v>36.667500000000004</v>
      </c>
      <c r="AM59" s="49">
        <f t="shared" si="42"/>
        <v>0</v>
      </c>
      <c r="AN59" s="49">
        <f t="shared" si="46"/>
        <v>36.667500000000004</v>
      </c>
    </row>
    <row r="60" spans="1:40">
      <c r="A60" s="876">
        <v>53</v>
      </c>
      <c r="B60" s="877" t="s">
        <v>143</v>
      </c>
      <c r="C60" s="972">
        <f>'2-1-13 SIS'!K59</f>
        <v>0</v>
      </c>
      <c r="D60" s="882">
        <f>'Table 3 Levels 1&amp;2'!AL60</f>
        <v>4775.5877635581091</v>
      </c>
      <c r="E60" s="921">
        <f t="shared" si="21"/>
        <v>0</v>
      </c>
      <c r="F60" s="921">
        <f>'Table 4 Level 3'!P58</f>
        <v>689.74</v>
      </c>
      <c r="G60" s="921">
        <f t="shared" si="22"/>
        <v>0</v>
      </c>
      <c r="H60" s="905">
        <f t="shared" si="23"/>
        <v>0</v>
      </c>
      <c r="I60" s="1734">
        <f>+'[3]Oct midyear Intl_VIBE '!K59</f>
        <v>0</v>
      </c>
      <c r="J60" s="1734">
        <f>'[3]Feb midyear Intl_VIBE '!K59</f>
        <v>0</v>
      </c>
      <c r="K60" s="1545">
        <f t="shared" si="24"/>
        <v>0</v>
      </c>
      <c r="L60" s="1489">
        <f t="shared" si="25"/>
        <v>0</v>
      </c>
      <c r="M60" s="931">
        <f t="shared" si="26"/>
        <v>0</v>
      </c>
      <c r="N60" s="905">
        <f t="shared" si="27"/>
        <v>0</v>
      </c>
      <c r="O60" s="882">
        <v>0</v>
      </c>
      <c r="P60" s="905">
        <f t="shared" si="28"/>
        <v>0</v>
      </c>
      <c r="Q60" s="1846">
        <f>+'[4]Table 5C1C-Intl_VIBE'!M59*8</f>
        <v>0</v>
      </c>
      <c r="R60" s="1846">
        <f t="shared" si="29"/>
        <v>0</v>
      </c>
      <c r="S60" s="905">
        <f t="shared" si="30"/>
        <v>0</v>
      </c>
      <c r="T60" s="897">
        <f>'Table 5C1A-Madison Prep'!T60</f>
        <v>2109</v>
      </c>
      <c r="U60" s="899">
        <f t="shared" si="44"/>
        <v>0</v>
      </c>
      <c r="V60" s="1758">
        <f>+'[3]Oct midyear Intl_VIBE '!E59</f>
        <v>0</v>
      </c>
      <c r="W60" s="1759">
        <f t="shared" si="31"/>
        <v>0</v>
      </c>
      <c r="X60" s="1758">
        <f>'[3]Feb midyear Intl_VIBE '!E59</f>
        <v>0</v>
      </c>
      <c r="Y60" s="1759">
        <f t="shared" si="32"/>
        <v>0</v>
      </c>
      <c r="Z60" s="1653">
        <f t="shared" si="33"/>
        <v>0</v>
      </c>
      <c r="AA60" s="1486">
        <f t="shared" si="34"/>
        <v>0</v>
      </c>
      <c r="AB60" s="937">
        <f t="shared" si="35"/>
        <v>0</v>
      </c>
      <c r="AC60" s="899">
        <f t="shared" si="36"/>
        <v>0</v>
      </c>
      <c r="AD60" s="1830">
        <v>0</v>
      </c>
      <c r="AE60" s="899">
        <f t="shared" si="37"/>
        <v>0</v>
      </c>
      <c r="AF60" s="1759">
        <f>+'[4]Table 5C1C-Intl_VIBE'!T59*8</f>
        <v>0</v>
      </c>
      <c r="AG60" s="1759">
        <f t="shared" si="38"/>
        <v>0</v>
      </c>
      <c r="AH60" s="999">
        <f t="shared" si="39"/>
        <v>0</v>
      </c>
      <c r="AI60" s="900">
        <f t="shared" si="45"/>
        <v>0</v>
      </c>
      <c r="AJ60" s="900">
        <f t="shared" si="41"/>
        <v>0</v>
      </c>
      <c r="AL60" s="49">
        <f>-'[4]Table 5C1C-Intl_VIBE'!P59</f>
        <v>0</v>
      </c>
      <c r="AM60" s="49">
        <f t="shared" si="42"/>
        <v>0</v>
      </c>
      <c r="AN60" s="49">
        <f t="shared" si="46"/>
        <v>0</v>
      </c>
    </row>
    <row r="61" spans="1:40">
      <c r="A61" s="876">
        <v>54</v>
      </c>
      <c r="B61" s="877" t="s">
        <v>144</v>
      </c>
      <c r="C61" s="972">
        <f>'2-1-13 SIS'!K60</f>
        <v>0</v>
      </c>
      <c r="D61" s="882">
        <f>'Table 3 Levels 1&amp;2'!AL61</f>
        <v>5951.8009386275662</v>
      </c>
      <c r="E61" s="921">
        <f t="shared" si="21"/>
        <v>0</v>
      </c>
      <c r="F61" s="921">
        <f>'Table 4 Level 3'!P59</f>
        <v>951.45</v>
      </c>
      <c r="G61" s="921">
        <f t="shared" si="22"/>
        <v>0</v>
      </c>
      <c r="H61" s="905">
        <f t="shared" si="23"/>
        <v>0</v>
      </c>
      <c r="I61" s="1734">
        <f>+'[3]Oct midyear Intl_VIBE '!K60</f>
        <v>0</v>
      </c>
      <c r="J61" s="1734">
        <f>'[3]Feb midyear Intl_VIBE '!K60</f>
        <v>0</v>
      </c>
      <c r="K61" s="1545">
        <f t="shared" si="24"/>
        <v>0</v>
      </c>
      <c r="L61" s="1489">
        <f t="shared" si="25"/>
        <v>0</v>
      </c>
      <c r="M61" s="931">
        <f t="shared" si="26"/>
        <v>0</v>
      </c>
      <c r="N61" s="905">
        <f t="shared" si="27"/>
        <v>0</v>
      </c>
      <c r="O61" s="882">
        <v>0</v>
      </c>
      <c r="P61" s="905">
        <f t="shared" si="28"/>
        <v>0</v>
      </c>
      <c r="Q61" s="1846">
        <f>+'[4]Table 5C1C-Intl_VIBE'!M60*8</f>
        <v>0</v>
      </c>
      <c r="R61" s="1846">
        <f t="shared" si="29"/>
        <v>0</v>
      </c>
      <c r="S61" s="905">
        <f t="shared" si="30"/>
        <v>0</v>
      </c>
      <c r="T61" s="897">
        <f>'Table 5C1A-Madison Prep'!T61</f>
        <v>3760</v>
      </c>
      <c r="U61" s="899">
        <f t="shared" si="44"/>
        <v>0</v>
      </c>
      <c r="V61" s="1758">
        <f>+'[3]Oct midyear Intl_VIBE '!E60</f>
        <v>0</v>
      </c>
      <c r="W61" s="1759">
        <f t="shared" si="31"/>
        <v>0</v>
      </c>
      <c r="X61" s="1758">
        <f>'[3]Feb midyear Intl_VIBE '!E60</f>
        <v>0</v>
      </c>
      <c r="Y61" s="1759">
        <f t="shared" si="32"/>
        <v>0</v>
      </c>
      <c r="Z61" s="1653">
        <f t="shared" si="33"/>
        <v>0</v>
      </c>
      <c r="AA61" s="1486">
        <f t="shared" si="34"/>
        <v>0</v>
      </c>
      <c r="AB61" s="937">
        <f t="shared" si="35"/>
        <v>0</v>
      </c>
      <c r="AC61" s="899">
        <f t="shared" si="36"/>
        <v>0</v>
      </c>
      <c r="AD61" s="1830">
        <v>0</v>
      </c>
      <c r="AE61" s="899">
        <f t="shared" si="37"/>
        <v>0</v>
      </c>
      <c r="AF61" s="1759">
        <f>+'[4]Table 5C1C-Intl_VIBE'!T60*8</f>
        <v>0</v>
      </c>
      <c r="AG61" s="1759">
        <f t="shared" si="38"/>
        <v>0</v>
      </c>
      <c r="AH61" s="999">
        <f t="shared" si="39"/>
        <v>0</v>
      </c>
      <c r="AI61" s="900">
        <f t="shared" si="45"/>
        <v>0</v>
      </c>
      <c r="AJ61" s="900">
        <f t="shared" si="41"/>
        <v>0</v>
      </c>
      <c r="AL61" s="49">
        <f>-'[4]Table 5C1C-Intl_VIBE'!P60</f>
        <v>0</v>
      </c>
      <c r="AM61" s="49">
        <f t="shared" si="42"/>
        <v>0</v>
      </c>
      <c r="AN61" s="49">
        <f t="shared" si="46"/>
        <v>0</v>
      </c>
    </row>
    <row r="62" spans="1:40">
      <c r="A62" s="879">
        <v>55</v>
      </c>
      <c r="B62" s="880" t="s">
        <v>145</v>
      </c>
      <c r="C62" s="973">
        <f>'2-1-13 SIS'!K61</f>
        <v>0</v>
      </c>
      <c r="D62" s="883">
        <f>'Table 3 Levels 1&amp;2'!AL62</f>
        <v>4171.0434735233157</v>
      </c>
      <c r="E62" s="922">
        <f t="shared" si="21"/>
        <v>0</v>
      </c>
      <c r="F62" s="922">
        <f>'Table 4 Level 3'!P60</f>
        <v>795.14</v>
      </c>
      <c r="G62" s="922">
        <f t="shared" si="22"/>
        <v>0</v>
      </c>
      <c r="H62" s="906">
        <f t="shared" si="23"/>
        <v>0</v>
      </c>
      <c r="I62" s="1735">
        <f>+'[3]Oct midyear Intl_VIBE '!K61</f>
        <v>0</v>
      </c>
      <c r="J62" s="1735">
        <f>'[3]Feb midyear Intl_VIBE '!K61</f>
        <v>0</v>
      </c>
      <c r="K62" s="1546">
        <f t="shared" si="24"/>
        <v>0</v>
      </c>
      <c r="L62" s="1490">
        <f t="shared" si="25"/>
        <v>0</v>
      </c>
      <c r="M62" s="932">
        <f t="shared" si="26"/>
        <v>0</v>
      </c>
      <c r="N62" s="906">
        <f t="shared" si="27"/>
        <v>0</v>
      </c>
      <c r="O62" s="883">
        <v>0</v>
      </c>
      <c r="P62" s="906">
        <f t="shared" si="28"/>
        <v>0</v>
      </c>
      <c r="Q62" s="1847">
        <f>+'[4]Table 5C1C-Intl_VIBE'!M61*8</f>
        <v>0</v>
      </c>
      <c r="R62" s="1847">
        <f t="shared" si="29"/>
        <v>0</v>
      </c>
      <c r="S62" s="906">
        <f t="shared" si="30"/>
        <v>0</v>
      </c>
      <c r="T62" s="902">
        <f>'Table 5C1A-Madison Prep'!T62</f>
        <v>3359</v>
      </c>
      <c r="U62" s="903">
        <f t="shared" si="44"/>
        <v>0</v>
      </c>
      <c r="V62" s="1762">
        <f>+'[3]Oct midyear Intl_VIBE '!E61</f>
        <v>0</v>
      </c>
      <c r="W62" s="1763">
        <f t="shared" si="31"/>
        <v>0</v>
      </c>
      <c r="X62" s="1762">
        <f>'[3]Feb midyear Intl_VIBE '!E61</f>
        <v>0</v>
      </c>
      <c r="Y62" s="1763">
        <f t="shared" si="32"/>
        <v>0</v>
      </c>
      <c r="Z62" s="1654">
        <f t="shared" si="33"/>
        <v>0</v>
      </c>
      <c r="AA62" s="1488">
        <f t="shared" si="34"/>
        <v>0</v>
      </c>
      <c r="AB62" s="938">
        <f t="shared" si="35"/>
        <v>0</v>
      </c>
      <c r="AC62" s="903">
        <f t="shared" si="36"/>
        <v>0</v>
      </c>
      <c r="AD62" s="1831">
        <v>0</v>
      </c>
      <c r="AE62" s="903">
        <f t="shared" si="37"/>
        <v>0</v>
      </c>
      <c r="AF62" s="1763">
        <f>+'[4]Table 5C1C-Intl_VIBE'!T61*8</f>
        <v>0</v>
      </c>
      <c r="AG62" s="1763">
        <f t="shared" si="38"/>
        <v>0</v>
      </c>
      <c r="AH62" s="1659">
        <f t="shared" si="39"/>
        <v>0</v>
      </c>
      <c r="AI62" s="904">
        <f t="shared" si="45"/>
        <v>0</v>
      </c>
      <c r="AJ62" s="904">
        <f t="shared" si="41"/>
        <v>0</v>
      </c>
      <c r="AL62" s="49">
        <f>-'[4]Table 5C1C-Intl_VIBE'!P61</f>
        <v>0</v>
      </c>
      <c r="AM62" s="49">
        <f t="shared" si="42"/>
        <v>0</v>
      </c>
      <c r="AN62" s="49">
        <f t="shared" si="46"/>
        <v>0</v>
      </c>
    </row>
    <row r="63" spans="1:40">
      <c r="A63" s="870">
        <v>56</v>
      </c>
      <c r="B63" s="871" t="s">
        <v>146</v>
      </c>
      <c r="C63" s="974">
        <f>'2-1-13 SIS'!K62</f>
        <v>0</v>
      </c>
      <c r="D63" s="884">
        <f>'Table 3 Levels 1&amp;2'!AL63</f>
        <v>4968.593189672727</v>
      </c>
      <c r="E63" s="923">
        <f t="shared" si="21"/>
        <v>0</v>
      </c>
      <c r="F63" s="923">
        <f>'Table 4 Level 3'!P61</f>
        <v>614.66000000000008</v>
      </c>
      <c r="G63" s="923">
        <f t="shared" si="22"/>
        <v>0</v>
      </c>
      <c r="H63" s="907">
        <f t="shared" si="23"/>
        <v>0</v>
      </c>
      <c r="I63" s="1723">
        <f>+'[3]Oct midyear Intl_VIBE '!K62</f>
        <v>0</v>
      </c>
      <c r="J63" s="1723">
        <f>'[3]Feb midyear Intl_VIBE '!K62</f>
        <v>0</v>
      </c>
      <c r="K63" s="1547">
        <f t="shared" si="24"/>
        <v>0</v>
      </c>
      <c r="L63" s="1491">
        <f t="shared" si="25"/>
        <v>0</v>
      </c>
      <c r="M63" s="933">
        <f t="shared" si="26"/>
        <v>0</v>
      </c>
      <c r="N63" s="907">
        <f t="shared" si="27"/>
        <v>0</v>
      </c>
      <c r="O63" s="884">
        <v>0</v>
      </c>
      <c r="P63" s="907">
        <f t="shared" si="28"/>
        <v>0</v>
      </c>
      <c r="Q63" s="884">
        <f>+'[4]Table 5C1C-Intl_VIBE'!M62*8</f>
        <v>0</v>
      </c>
      <c r="R63" s="884">
        <f t="shared" si="29"/>
        <v>0</v>
      </c>
      <c r="S63" s="907">
        <f t="shared" si="30"/>
        <v>0</v>
      </c>
      <c r="T63" s="897">
        <f>'Table 5C1A-Madison Prep'!T63</f>
        <v>2853</v>
      </c>
      <c r="U63" s="874">
        <f t="shared" si="44"/>
        <v>0</v>
      </c>
      <c r="V63" s="1754">
        <f>+'[3]Oct midyear Intl_VIBE '!E62</f>
        <v>0</v>
      </c>
      <c r="W63" s="1755">
        <f t="shared" si="31"/>
        <v>0</v>
      </c>
      <c r="X63" s="1754">
        <f>'[3]Feb midyear Intl_VIBE '!E62</f>
        <v>0</v>
      </c>
      <c r="Y63" s="1755">
        <f t="shared" si="32"/>
        <v>0</v>
      </c>
      <c r="Z63" s="1652">
        <f t="shared" si="33"/>
        <v>0</v>
      </c>
      <c r="AA63" s="1521">
        <f t="shared" si="34"/>
        <v>0</v>
      </c>
      <c r="AB63" s="936">
        <f t="shared" si="35"/>
        <v>0</v>
      </c>
      <c r="AC63" s="874">
        <f t="shared" si="36"/>
        <v>0</v>
      </c>
      <c r="AD63" s="1829">
        <v>0</v>
      </c>
      <c r="AE63" s="874">
        <f t="shared" si="37"/>
        <v>0</v>
      </c>
      <c r="AF63" s="1755">
        <f>+'[4]Table 5C1C-Intl_VIBE'!T62*8</f>
        <v>0</v>
      </c>
      <c r="AG63" s="1755">
        <f t="shared" si="38"/>
        <v>0</v>
      </c>
      <c r="AH63" s="999">
        <f t="shared" si="39"/>
        <v>0</v>
      </c>
      <c r="AI63" s="875">
        <f t="shared" si="45"/>
        <v>0</v>
      </c>
      <c r="AJ63" s="875">
        <f t="shared" si="41"/>
        <v>0</v>
      </c>
      <c r="AL63" s="49">
        <f>-'[4]Table 5C1C-Intl_VIBE'!P62</f>
        <v>0</v>
      </c>
      <c r="AM63" s="49">
        <f t="shared" si="42"/>
        <v>0</v>
      </c>
      <c r="AN63" s="49">
        <f t="shared" si="46"/>
        <v>0</v>
      </c>
    </row>
    <row r="64" spans="1:40">
      <c r="A64" s="876">
        <v>57</v>
      </c>
      <c r="B64" s="877" t="s">
        <v>147</v>
      </c>
      <c r="C64" s="972">
        <f>'2-1-13 SIS'!K63</f>
        <v>0</v>
      </c>
      <c r="D64" s="882">
        <f>'Table 3 Levels 1&amp;2'!AL64</f>
        <v>4485.7073020218859</v>
      </c>
      <c r="E64" s="921">
        <f t="shared" si="21"/>
        <v>0</v>
      </c>
      <c r="F64" s="921">
        <f>'Table 4 Level 3'!P62</f>
        <v>764.51</v>
      </c>
      <c r="G64" s="921">
        <f t="shared" si="22"/>
        <v>0</v>
      </c>
      <c r="H64" s="905">
        <f t="shared" si="23"/>
        <v>0</v>
      </c>
      <c r="I64" s="1734">
        <f>+'[3]Oct midyear Intl_VIBE '!K63</f>
        <v>0</v>
      </c>
      <c r="J64" s="1734">
        <f>'[3]Feb midyear Intl_VIBE '!K63</f>
        <v>0</v>
      </c>
      <c r="K64" s="1545">
        <f t="shared" si="24"/>
        <v>0</v>
      </c>
      <c r="L64" s="1489">
        <f t="shared" si="25"/>
        <v>0</v>
      </c>
      <c r="M64" s="931">
        <f t="shared" si="26"/>
        <v>0</v>
      </c>
      <c r="N64" s="905">
        <f t="shared" si="27"/>
        <v>0</v>
      </c>
      <c r="O64" s="882">
        <v>0</v>
      </c>
      <c r="P64" s="905">
        <f t="shared" si="28"/>
        <v>0</v>
      </c>
      <c r="Q64" s="1846">
        <f>+'[4]Table 5C1C-Intl_VIBE'!M63*8</f>
        <v>0</v>
      </c>
      <c r="R64" s="1846">
        <f t="shared" si="29"/>
        <v>0</v>
      </c>
      <c r="S64" s="905">
        <f t="shared" si="30"/>
        <v>0</v>
      </c>
      <c r="T64" s="897">
        <f>'Table 5C1A-Madison Prep'!T64</f>
        <v>3178</v>
      </c>
      <c r="U64" s="899">
        <f t="shared" si="44"/>
        <v>0</v>
      </c>
      <c r="V64" s="1758">
        <f>+'[3]Oct midyear Intl_VIBE '!E63</f>
        <v>0</v>
      </c>
      <c r="W64" s="1759">
        <f t="shared" si="31"/>
        <v>0</v>
      </c>
      <c r="X64" s="1758">
        <f>'[3]Feb midyear Intl_VIBE '!E63</f>
        <v>0</v>
      </c>
      <c r="Y64" s="1759">
        <f t="shared" si="32"/>
        <v>0</v>
      </c>
      <c r="Z64" s="1653">
        <f t="shared" si="33"/>
        <v>0</v>
      </c>
      <c r="AA64" s="1486">
        <f t="shared" si="34"/>
        <v>0</v>
      </c>
      <c r="AB64" s="937">
        <f t="shared" si="35"/>
        <v>0</v>
      </c>
      <c r="AC64" s="899">
        <f t="shared" si="36"/>
        <v>0</v>
      </c>
      <c r="AD64" s="1830">
        <v>0</v>
      </c>
      <c r="AE64" s="899">
        <f t="shared" si="37"/>
        <v>0</v>
      </c>
      <c r="AF64" s="1759">
        <f>+'[4]Table 5C1C-Intl_VIBE'!T63*8</f>
        <v>0</v>
      </c>
      <c r="AG64" s="1759">
        <f t="shared" si="38"/>
        <v>0</v>
      </c>
      <c r="AH64" s="999">
        <f t="shared" si="39"/>
        <v>0</v>
      </c>
      <c r="AI64" s="900">
        <f t="shared" si="45"/>
        <v>0</v>
      </c>
      <c r="AJ64" s="900">
        <f t="shared" si="41"/>
        <v>0</v>
      </c>
      <c r="AL64" s="49">
        <f>-'[4]Table 5C1C-Intl_VIBE'!P63</f>
        <v>0</v>
      </c>
      <c r="AM64" s="49">
        <f t="shared" si="42"/>
        <v>0</v>
      </c>
      <c r="AN64" s="49">
        <f t="shared" si="46"/>
        <v>0</v>
      </c>
    </row>
    <row r="65" spans="1:40">
      <c r="A65" s="876">
        <v>58</v>
      </c>
      <c r="B65" s="877" t="s">
        <v>148</v>
      </c>
      <c r="C65" s="972">
        <f>'2-1-13 SIS'!K64</f>
        <v>0</v>
      </c>
      <c r="D65" s="882">
        <f>'Table 3 Levels 1&amp;2'!AL65</f>
        <v>5457.8662803476354</v>
      </c>
      <c r="E65" s="921">
        <f t="shared" si="21"/>
        <v>0</v>
      </c>
      <c r="F65" s="921">
        <f>'Table 4 Level 3'!P63</f>
        <v>697.04</v>
      </c>
      <c r="G65" s="921">
        <f t="shared" si="22"/>
        <v>0</v>
      </c>
      <c r="H65" s="905">
        <f t="shared" si="23"/>
        <v>0</v>
      </c>
      <c r="I65" s="1734">
        <f>+'[3]Oct midyear Intl_VIBE '!K64</f>
        <v>0</v>
      </c>
      <c r="J65" s="1734">
        <f>'[3]Feb midyear Intl_VIBE '!K64</f>
        <v>0</v>
      </c>
      <c r="K65" s="1545">
        <f t="shared" si="24"/>
        <v>0</v>
      </c>
      <c r="L65" s="1489">
        <f t="shared" si="25"/>
        <v>0</v>
      </c>
      <c r="M65" s="931">
        <f t="shared" si="26"/>
        <v>0</v>
      </c>
      <c r="N65" s="905">
        <f t="shared" si="27"/>
        <v>0</v>
      </c>
      <c r="O65" s="882">
        <v>0</v>
      </c>
      <c r="P65" s="905">
        <f t="shared" si="28"/>
        <v>0</v>
      </c>
      <c r="Q65" s="1846">
        <f>+'[4]Table 5C1C-Intl_VIBE'!M64*8</f>
        <v>0</v>
      </c>
      <c r="R65" s="1846">
        <f t="shared" si="29"/>
        <v>0</v>
      </c>
      <c r="S65" s="905">
        <f t="shared" si="30"/>
        <v>0</v>
      </c>
      <c r="T65" s="897">
        <f>'Table 5C1A-Madison Prep'!T65</f>
        <v>2127</v>
      </c>
      <c r="U65" s="899">
        <f t="shared" si="44"/>
        <v>0</v>
      </c>
      <c r="V65" s="1758">
        <f>+'[3]Oct midyear Intl_VIBE '!E64</f>
        <v>0</v>
      </c>
      <c r="W65" s="1759">
        <f t="shared" si="31"/>
        <v>0</v>
      </c>
      <c r="X65" s="1758">
        <f>'[3]Feb midyear Intl_VIBE '!E64</f>
        <v>0</v>
      </c>
      <c r="Y65" s="1759">
        <f t="shared" si="32"/>
        <v>0</v>
      </c>
      <c r="Z65" s="1653">
        <f t="shared" si="33"/>
        <v>0</v>
      </c>
      <c r="AA65" s="1486">
        <f t="shared" si="34"/>
        <v>0</v>
      </c>
      <c r="AB65" s="937">
        <f t="shared" si="35"/>
        <v>0</v>
      </c>
      <c r="AC65" s="899">
        <f t="shared" si="36"/>
        <v>0</v>
      </c>
      <c r="AD65" s="1830">
        <v>0</v>
      </c>
      <c r="AE65" s="899">
        <f t="shared" si="37"/>
        <v>0</v>
      </c>
      <c r="AF65" s="1759">
        <f>+'[4]Table 5C1C-Intl_VIBE'!T64*8</f>
        <v>0</v>
      </c>
      <c r="AG65" s="1759">
        <f t="shared" si="38"/>
        <v>0</v>
      </c>
      <c r="AH65" s="999">
        <f t="shared" si="39"/>
        <v>0</v>
      </c>
      <c r="AI65" s="900">
        <f t="shared" si="45"/>
        <v>0</v>
      </c>
      <c r="AJ65" s="900">
        <f t="shared" si="41"/>
        <v>0</v>
      </c>
      <c r="AL65" s="49">
        <f>-'[4]Table 5C1C-Intl_VIBE'!P64</f>
        <v>0</v>
      </c>
      <c r="AM65" s="49">
        <f t="shared" si="42"/>
        <v>0</v>
      </c>
      <c r="AN65" s="49">
        <f t="shared" si="46"/>
        <v>0</v>
      </c>
    </row>
    <row r="66" spans="1:40">
      <c r="A66" s="876">
        <v>59</v>
      </c>
      <c r="B66" s="877" t="s">
        <v>149</v>
      </c>
      <c r="C66" s="972">
        <f>'2-1-13 SIS'!K65</f>
        <v>0</v>
      </c>
      <c r="D66" s="882">
        <f>'Table 3 Levels 1&amp;2'!AL66</f>
        <v>6274.2786338006481</v>
      </c>
      <c r="E66" s="921">
        <f t="shared" si="21"/>
        <v>0</v>
      </c>
      <c r="F66" s="921">
        <f>'Table 4 Level 3'!P64</f>
        <v>689.52</v>
      </c>
      <c r="G66" s="921">
        <f t="shared" si="22"/>
        <v>0</v>
      </c>
      <c r="H66" s="905">
        <f t="shared" si="23"/>
        <v>0</v>
      </c>
      <c r="I66" s="1734">
        <f>+'[3]Oct midyear Intl_VIBE '!K65</f>
        <v>0</v>
      </c>
      <c r="J66" s="1734">
        <f>'[3]Feb midyear Intl_VIBE '!K65</f>
        <v>0</v>
      </c>
      <c r="K66" s="1545">
        <f t="shared" si="24"/>
        <v>0</v>
      </c>
      <c r="L66" s="1489">
        <f t="shared" si="25"/>
        <v>0</v>
      </c>
      <c r="M66" s="931">
        <f t="shared" si="26"/>
        <v>0</v>
      </c>
      <c r="N66" s="905">
        <f t="shared" si="27"/>
        <v>0</v>
      </c>
      <c r="O66" s="882">
        <v>0</v>
      </c>
      <c r="P66" s="905">
        <f t="shared" si="28"/>
        <v>0</v>
      </c>
      <c r="Q66" s="1846">
        <f>+'[4]Table 5C1C-Intl_VIBE'!M65*8</f>
        <v>0</v>
      </c>
      <c r="R66" s="1846">
        <f t="shared" si="29"/>
        <v>0</v>
      </c>
      <c r="S66" s="905">
        <f t="shared" si="30"/>
        <v>0</v>
      </c>
      <c r="T66" s="897">
        <f>'Table 5C1A-Madison Prep'!T66</f>
        <v>1729</v>
      </c>
      <c r="U66" s="899">
        <f t="shared" si="44"/>
        <v>0</v>
      </c>
      <c r="V66" s="1758">
        <f>+'[3]Oct midyear Intl_VIBE '!E65</f>
        <v>0</v>
      </c>
      <c r="W66" s="1759">
        <f t="shared" si="31"/>
        <v>0</v>
      </c>
      <c r="X66" s="1758">
        <f>'[3]Feb midyear Intl_VIBE '!E65</f>
        <v>0</v>
      </c>
      <c r="Y66" s="1759">
        <f t="shared" si="32"/>
        <v>0</v>
      </c>
      <c r="Z66" s="1653">
        <f t="shared" si="33"/>
        <v>0</v>
      </c>
      <c r="AA66" s="1486">
        <f t="shared" si="34"/>
        <v>0</v>
      </c>
      <c r="AB66" s="937">
        <f t="shared" si="35"/>
        <v>0</v>
      </c>
      <c r="AC66" s="899">
        <f t="shared" si="36"/>
        <v>0</v>
      </c>
      <c r="AD66" s="1830">
        <v>0</v>
      </c>
      <c r="AE66" s="899">
        <f t="shared" si="37"/>
        <v>0</v>
      </c>
      <c r="AF66" s="1759">
        <f>+'[4]Table 5C1C-Intl_VIBE'!T65*8</f>
        <v>0</v>
      </c>
      <c r="AG66" s="1759">
        <f t="shared" si="38"/>
        <v>0</v>
      </c>
      <c r="AH66" s="999">
        <f t="shared" si="39"/>
        <v>0</v>
      </c>
      <c r="AI66" s="900">
        <f t="shared" si="45"/>
        <v>0</v>
      </c>
      <c r="AJ66" s="900">
        <f t="shared" si="41"/>
        <v>0</v>
      </c>
      <c r="AL66" s="49">
        <f>-'[4]Table 5C1C-Intl_VIBE'!P65</f>
        <v>0</v>
      </c>
      <c r="AM66" s="49">
        <f t="shared" si="42"/>
        <v>0</v>
      </c>
      <c r="AN66" s="49">
        <f t="shared" si="46"/>
        <v>0</v>
      </c>
    </row>
    <row r="67" spans="1:40">
      <c r="A67" s="879">
        <v>60</v>
      </c>
      <c r="B67" s="880" t="s">
        <v>150</v>
      </c>
      <c r="C67" s="973">
        <f>'2-1-13 SIS'!K66</f>
        <v>0</v>
      </c>
      <c r="D67" s="883">
        <f>'Table 3 Levels 1&amp;2'!AL67</f>
        <v>4940.9166775610411</v>
      </c>
      <c r="E67" s="922">
        <f t="shared" si="21"/>
        <v>0</v>
      </c>
      <c r="F67" s="922">
        <f>'Table 4 Level 3'!P65</f>
        <v>594.04</v>
      </c>
      <c r="G67" s="922">
        <f t="shared" si="22"/>
        <v>0</v>
      </c>
      <c r="H67" s="906">
        <f t="shared" si="23"/>
        <v>0</v>
      </c>
      <c r="I67" s="1735">
        <f>+'[3]Oct midyear Intl_VIBE '!K66</f>
        <v>0</v>
      </c>
      <c r="J67" s="1735">
        <f>'[3]Feb midyear Intl_VIBE '!K66</f>
        <v>0</v>
      </c>
      <c r="K67" s="1546">
        <f t="shared" si="24"/>
        <v>0</v>
      </c>
      <c r="L67" s="1490">
        <f t="shared" si="25"/>
        <v>0</v>
      </c>
      <c r="M67" s="932">
        <f t="shared" si="26"/>
        <v>0</v>
      </c>
      <c r="N67" s="906">
        <f t="shared" si="27"/>
        <v>0</v>
      </c>
      <c r="O67" s="883">
        <v>0</v>
      </c>
      <c r="P67" s="906">
        <f t="shared" si="28"/>
        <v>0</v>
      </c>
      <c r="Q67" s="1847">
        <f>+'[4]Table 5C1C-Intl_VIBE'!M66*8</f>
        <v>0</v>
      </c>
      <c r="R67" s="1847">
        <f t="shared" si="29"/>
        <v>0</v>
      </c>
      <c r="S67" s="906">
        <f t="shared" si="30"/>
        <v>0</v>
      </c>
      <c r="T67" s="902">
        <f>'Table 5C1A-Madison Prep'!T67</f>
        <v>3801</v>
      </c>
      <c r="U67" s="903">
        <f t="shared" si="44"/>
        <v>0</v>
      </c>
      <c r="V67" s="1762">
        <f>+'[3]Oct midyear Intl_VIBE '!E66</f>
        <v>0</v>
      </c>
      <c r="W67" s="1763">
        <f t="shared" si="31"/>
        <v>0</v>
      </c>
      <c r="X67" s="1762">
        <f>'[3]Feb midyear Intl_VIBE '!E66</f>
        <v>0</v>
      </c>
      <c r="Y67" s="1763">
        <f t="shared" si="32"/>
        <v>0</v>
      </c>
      <c r="Z67" s="1654">
        <f t="shared" si="33"/>
        <v>0</v>
      </c>
      <c r="AA67" s="1488">
        <f t="shared" si="34"/>
        <v>0</v>
      </c>
      <c r="AB67" s="938">
        <f t="shared" si="35"/>
        <v>0</v>
      </c>
      <c r="AC67" s="903">
        <f t="shared" si="36"/>
        <v>0</v>
      </c>
      <c r="AD67" s="1831">
        <v>0</v>
      </c>
      <c r="AE67" s="903">
        <f t="shared" si="37"/>
        <v>0</v>
      </c>
      <c r="AF67" s="1763">
        <f>+'[4]Table 5C1C-Intl_VIBE'!T66*8</f>
        <v>0</v>
      </c>
      <c r="AG67" s="1763">
        <f t="shared" si="38"/>
        <v>0</v>
      </c>
      <c r="AH67" s="1659">
        <f t="shared" si="39"/>
        <v>0</v>
      </c>
      <c r="AI67" s="904">
        <f t="shared" si="45"/>
        <v>0</v>
      </c>
      <c r="AJ67" s="904">
        <f t="shared" si="41"/>
        <v>0</v>
      </c>
      <c r="AL67" s="49">
        <f>-'[4]Table 5C1C-Intl_VIBE'!P66</f>
        <v>0</v>
      </c>
      <c r="AM67" s="49">
        <f t="shared" si="42"/>
        <v>0</v>
      </c>
      <c r="AN67" s="49">
        <f t="shared" si="46"/>
        <v>0</v>
      </c>
    </row>
    <row r="68" spans="1:40">
      <c r="A68" s="870">
        <v>61</v>
      </c>
      <c r="B68" s="871" t="s">
        <v>151</v>
      </c>
      <c r="C68" s="974">
        <f>'2-1-13 SIS'!K67</f>
        <v>0</v>
      </c>
      <c r="D68" s="884">
        <f>'Table 3 Levels 1&amp;2'!AL68</f>
        <v>2908.0344869339228</v>
      </c>
      <c r="E68" s="923">
        <f t="shared" si="21"/>
        <v>0</v>
      </c>
      <c r="F68" s="923">
        <f>'Table 4 Level 3'!P66</f>
        <v>833.70999999999992</v>
      </c>
      <c r="G68" s="923">
        <f t="shared" si="22"/>
        <v>0</v>
      </c>
      <c r="H68" s="907">
        <f t="shared" si="23"/>
        <v>0</v>
      </c>
      <c r="I68" s="1723">
        <f>+'[3]Oct midyear Intl_VIBE '!K67</f>
        <v>0</v>
      </c>
      <c r="J68" s="1723">
        <f>'[3]Feb midyear Intl_VIBE '!K67</f>
        <v>0</v>
      </c>
      <c r="K68" s="1547">
        <f t="shared" si="24"/>
        <v>0</v>
      </c>
      <c r="L68" s="1491">
        <f t="shared" si="25"/>
        <v>0</v>
      </c>
      <c r="M68" s="933">
        <f t="shared" si="26"/>
        <v>0</v>
      </c>
      <c r="N68" s="907">
        <f t="shared" si="27"/>
        <v>0</v>
      </c>
      <c r="O68" s="884">
        <v>0</v>
      </c>
      <c r="P68" s="907">
        <f t="shared" si="28"/>
        <v>0</v>
      </c>
      <c r="Q68" s="884">
        <f>+'[4]Table 5C1C-Intl_VIBE'!M67*8</f>
        <v>0</v>
      </c>
      <c r="R68" s="884">
        <f t="shared" si="29"/>
        <v>0</v>
      </c>
      <c r="S68" s="907">
        <f t="shared" si="30"/>
        <v>0</v>
      </c>
      <c r="T68" s="897">
        <f>'Table 5C1A-Madison Prep'!T68</f>
        <v>6597</v>
      </c>
      <c r="U68" s="874">
        <f t="shared" si="44"/>
        <v>0</v>
      </c>
      <c r="V68" s="1754">
        <f>+'[3]Oct midyear Intl_VIBE '!E67</f>
        <v>0</v>
      </c>
      <c r="W68" s="1755">
        <f t="shared" si="31"/>
        <v>0</v>
      </c>
      <c r="X68" s="1754">
        <f>'[3]Feb midyear Intl_VIBE '!E67</f>
        <v>0</v>
      </c>
      <c r="Y68" s="1755">
        <f t="shared" si="32"/>
        <v>0</v>
      </c>
      <c r="Z68" s="1652">
        <f t="shared" si="33"/>
        <v>0</v>
      </c>
      <c r="AA68" s="1521">
        <f t="shared" si="34"/>
        <v>0</v>
      </c>
      <c r="AB68" s="936">
        <f t="shared" si="35"/>
        <v>0</v>
      </c>
      <c r="AC68" s="874">
        <f t="shared" si="36"/>
        <v>0</v>
      </c>
      <c r="AD68" s="1829">
        <v>0</v>
      </c>
      <c r="AE68" s="874">
        <f t="shared" si="37"/>
        <v>0</v>
      </c>
      <c r="AF68" s="1755">
        <f>+'[4]Table 5C1C-Intl_VIBE'!T67*8</f>
        <v>0</v>
      </c>
      <c r="AG68" s="1755">
        <f t="shared" si="38"/>
        <v>0</v>
      </c>
      <c r="AH68" s="999">
        <f t="shared" si="39"/>
        <v>0</v>
      </c>
      <c r="AI68" s="875">
        <f t="shared" si="45"/>
        <v>0</v>
      </c>
      <c r="AJ68" s="875">
        <f t="shared" si="41"/>
        <v>0</v>
      </c>
      <c r="AL68" s="49">
        <f>-'[4]Table 5C1C-Intl_VIBE'!P67</f>
        <v>0</v>
      </c>
      <c r="AM68" s="49">
        <f t="shared" si="42"/>
        <v>0</v>
      </c>
      <c r="AN68" s="49">
        <f t="shared" si="46"/>
        <v>0</v>
      </c>
    </row>
    <row r="69" spans="1:40">
      <c r="A69" s="876">
        <v>62</v>
      </c>
      <c r="B69" s="877" t="s">
        <v>152</v>
      </c>
      <c r="C69" s="972">
        <f>'2-1-13 SIS'!K68</f>
        <v>0</v>
      </c>
      <c r="D69" s="882">
        <f>'Table 3 Levels 1&amp;2'!AL69</f>
        <v>5652.1730736722093</v>
      </c>
      <c r="E69" s="921">
        <f t="shared" si="21"/>
        <v>0</v>
      </c>
      <c r="F69" s="921">
        <f>'Table 4 Level 3'!P67</f>
        <v>516.08000000000004</v>
      </c>
      <c r="G69" s="921">
        <f t="shared" si="22"/>
        <v>0</v>
      </c>
      <c r="H69" s="905">
        <f t="shared" si="23"/>
        <v>0</v>
      </c>
      <c r="I69" s="1734">
        <f>+'[3]Oct midyear Intl_VIBE '!K68</f>
        <v>0</v>
      </c>
      <c r="J69" s="1734">
        <f>'[3]Feb midyear Intl_VIBE '!K68</f>
        <v>0</v>
      </c>
      <c r="K69" s="1545">
        <f t="shared" si="24"/>
        <v>0</v>
      </c>
      <c r="L69" s="1489">
        <f t="shared" si="25"/>
        <v>0</v>
      </c>
      <c r="M69" s="931">
        <f t="shared" si="26"/>
        <v>0</v>
      </c>
      <c r="N69" s="905">
        <f t="shared" si="27"/>
        <v>0</v>
      </c>
      <c r="O69" s="882">
        <v>0</v>
      </c>
      <c r="P69" s="905">
        <f t="shared" si="28"/>
        <v>0</v>
      </c>
      <c r="Q69" s="1846">
        <f>+'[4]Table 5C1C-Intl_VIBE'!M68*8</f>
        <v>0</v>
      </c>
      <c r="R69" s="1846">
        <f t="shared" si="29"/>
        <v>0</v>
      </c>
      <c r="S69" s="905">
        <f t="shared" si="30"/>
        <v>0</v>
      </c>
      <c r="T69" s="897">
        <f>'Table 5C1A-Madison Prep'!T69</f>
        <v>1998</v>
      </c>
      <c r="U69" s="899">
        <f t="shared" si="44"/>
        <v>0</v>
      </c>
      <c r="V69" s="1758">
        <f>+'[3]Oct midyear Intl_VIBE '!E68</f>
        <v>0</v>
      </c>
      <c r="W69" s="1759">
        <f t="shared" si="31"/>
        <v>0</v>
      </c>
      <c r="X69" s="1758">
        <f>'[3]Feb midyear Intl_VIBE '!E68</f>
        <v>0</v>
      </c>
      <c r="Y69" s="1759">
        <f t="shared" si="32"/>
        <v>0</v>
      </c>
      <c r="Z69" s="1653">
        <f t="shared" si="33"/>
        <v>0</v>
      </c>
      <c r="AA69" s="1486">
        <f t="shared" si="34"/>
        <v>0</v>
      </c>
      <c r="AB69" s="937">
        <f t="shared" si="35"/>
        <v>0</v>
      </c>
      <c r="AC69" s="899">
        <f t="shared" si="36"/>
        <v>0</v>
      </c>
      <c r="AD69" s="1830">
        <v>0</v>
      </c>
      <c r="AE69" s="899">
        <f t="shared" si="37"/>
        <v>0</v>
      </c>
      <c r="AF69" s="1759">
        <f>+'[4]Table 5C1C-Intl_VIBE'!T68*8</f>
        <v>0</v>
      </c>
      <c r="AG69" s="1759">
        <f t="shared" si="38"/>
        <v>0</v>
      </c>
      <c r="AH69" s="999">
        <f t="shared" si="39"/>
        <v>0</v>
      </c>
      <c r="AI69" s="900">
        <f t="shared" si="45"/>
        <v>0</v>
      </c>
      <c r="AJ69" s="900">
        <f t="shared" si="41"/>
        <v>0</v>
      </c>
      <c r="AL69" s="49">
        <f>-'[4]Table 5C1C-Intl_VIBE'!P68</f>
        <v>0</v>
      </c>
      <c r="AM69" s="49">
        <f t="shared" si="42"/>
        <v>0</v>
      </c>
      <c r="AN69" s="49">
        <f t="shared" si="46"/>
        <v>0</v>
      </c>
    </row>
    <row r="70" spans="1:40">
      <c r="A70" s="876">
        <v>63</v>
      </c>
      <c r="B70" s="877" t="s">
        <v>153</v>
      </c>
      <c r="C70" s="972">
        <f>'2-1-13 SIS'!K69</f>
        <v>0</v>
      </c>
      <c r="D70" s="882">
        <f>'Table 3 Levels 1&amp;2'!AL70</f>
        <v>4362.300753810403</v>
      </c>
      <c r="E70" s="921">
        <f t="shared" si="21"/>
        <v>0</v>
      </c>
      <c r="F70" s="921">
        <f>'Table 4 Level 3'!P68</f>
        <v>756.79</v>
      </c>
      <c r="G70" s="921">
        <f t="shared" si="22"/>
        <v>0</v>
      </c>
      <c r="H70" s="905">
        <f t="shared" si="23"/>
        <v>0</v>
      </c>
      <c r="I70" s="1734">
        <f>+'[3]Oct midyear Intl_VIBE '!K69</f>
        <v>0</v>
      </c>
      <c r="J70" s="1734">
        <f>'[3]Feb midyear Intl_VIBE '!K69</f>
        <v>0</v>
      </c>
      <c r="K70" s="1545">
        <f t="shared" si="24"/>
        <v>0</v>
      </c>
      <c r="L70" s="1489">
        <f t="shared" si="25"/>
        <v>0</v>
      </c>
      <c r="M70" s="931">
        <f t="shared" si="26"/>
        <v>0</v>
      </c>
      <c r="N70" s="905">
        <f t="shared" si="27"/>
        <v>0</v>
      </c>
      <c r="O70" s="882">
        <v>0</v>
      </c>
      <c r="P70" s="905">
        <f t="shared" si="28"/>
        <v>0</v>
      </c>
      <c r="Q70" s="1846">
        <f>+'[4]Table 5C1C-Intl_VIBE'!M69*8</f>
        <v>0</v>
      </c>
      <c r="R70" s="1846">
        <f t="shared" si="29"/>
        <v>0</v>
      </c>
      <c r="S70" s="905">
        <f t="shared" si="30"/>
        <v>0</v>
      </c>
      <c r="T70" s="897">
        <f>'Table 5C1A-Madison Prep'!T70</f>
        <v>7391</v>
      </c>
      <c r="U70" s="899">
        <f t="shared" si="44"/>
        <v>0</v>
      </c>
      <c r="V70" s="1758">
        <f>+'[3]Oct midyear Intl_VIBE '!E69</f>
        <v>0</v>
      </c>
      <c r="W70" s="1759">
        <f t="shared" si="31"/>
        <v>0</v>
      </c>
      <c r="X70" s="1758">
        <f>'[3]Feb midyear Intl_VIBE '!E69</f>
        <v>0</v>
      </c>
      <c r="Y70" s="1759">
        <f t="shared" si="32"/>
        <v>0</v>
      </c>
      <c r="Z70" s="1653">
        <f t="shared" si="33"/>
        <v>0</v>
      </c>
      <c r="AA70" s="1486">
        <f t="shared" si="34"/>
        <v>0</v>
      </c>
      <c r="AB70" s="937">
        <f t="shared" si="35"/>
        <v>0</v>
      </c>
      <c r="AC70" s="899">
        <f t="shared" si="36"/>
        <v>0</v>
      </c>
      <c r="AD70" s="1830">
        <v>0</v>
      </c>
      <c r="AE70" s="899">
        <f t="shared" si="37"/>
        <v>0</v>
      </c>
      <c r="AF70" s="1759">
        <f>+'[4]Table 5C1C-Intl_VIBE'!T69*8</f>
        <v>0</v>
      </c>
      <c r="AG70" s="1759">
        <f t="shared" si="38"/>
        <v>0</v>
      </c>
      <c r="AH70" s="999">
        <f t="shared" si="39"/>
        <v>0</v>
      </c>
      <c r="AI70" s="900">
        <f t="shared" si="45"/>
        <v>0</v>
      </c>
      <c r="AJ70" s="900">
        <f t="shared" si="41"/>
        <v>0</v>
      </c>
      <c r="AL70" s="49">
        <f>-'[4]Table 5C1C-Intl_VIBE'!P69</f>
        <v>0</v>
      </c>
      <c r="AM70" s="49">
        <f t="shared" si="42"/>
        <v>0</v>
      </c>
      <c r="AN70" s="49">
        <f t="shared" si="46"/>
        <v>0</v>
      </c>
    </row>
    <row r="71" spans="1:40">
      <c r="A71" s="876">
        <v>64</v>
      </c>
      <c r="B71" s="877" t="s">
        <v>154</v>
      </c>
      <c r="C71" s="972">
        <f>'2-1-13 SIS'!K70</f>
        <v>0</v>
      </c>
      <c r="D71" s="882">
        <f>'Table 3 Levels 1&amp;2'!AL71</f>
        <v>5960.2049072003338</v>
      </c>
      <c r="E71" s="921">
        <f t="shared" si="21"/>
        <v>0</v>
      </c>
      <c r="F71" s="921">
        <f>'Table 4 Level 3'!P69</f>
        <v>592.66</v>
      </c>
      <c r="G71" s="921">
        <f t="shared" si="22"/>
        <v>0</v>
      </c>
      <c r="H71" s="905">
        <f t="shared" si="23"/>
        <v>0</v>
      </c>
      <c r="I71" s="1734">
        <f>+'[3]Oct midyear Intl_VIBE '!K70</f>
        <v>0</v>
      </c>
      <c r="J71" s="1734">
        <f>'[3]Feb midyear Intl_VIBE '!K70</f>
        <v>0</v>
      </c>
      <c r="K71" s="1545">
        <f t="shared" si="24"/>
        <v>0</v>
      </c>
      <c r="L71" s="1489">
        <f t="shared" si="25"/>
        <v>0</v>
      </c>
      <c r="M71" s="931">
        <f t="shared" si="26"/>
        <v>0</v>
      </c>
      <c r="N71" s="905">
        <f t="shared" si="27"/>
        <v>0</v>
      </c>
      <c r="O71" s="882">
        <v>0</v>
      </c>
      <c r="P71" s="905">
        <f t="shared" si="28"/>
        <v>0</v>
      </c>
      <c r="Q71" s="1846">
        <f>+'[4]Table 5C1C-Intl_VIBE'!M70*8</f>
        <v>0</v>
      </c>
      <c r="R71" s="1846">
        <f t="shared" si="29"/>
        <v>0</v>
      </c>
      <c r="S71" s="905">
        <f t="shared" si="30"/>
        <v>0</v>
      </c>
      <c r="T71" s="897">
        <f>'Table 5C1A-Madison Prep'!T71</f>
        <v>2902</v>
      </c>
      <c r="U71" s="899">
        <f t="shared" si="44"/>
        <v>0</v>
      </c>
      <c r="V71" s="1758">
        <f>+'[3]Oct midyear Intl_VIBE '!E70</f>
        <v>0</v>
      </c>
      <c r="W71" s="1759">
        <f t="shared" si="31"/>
        <v>0</v>
      </c>
      <c r="X71" s="1758">
        <f>'[3]Feb midyear Intl_VIBE '!E70</f>
        <v>0</v>
      </c>
      <c r="Y71" s="1759">
        <f t="shared" si="32"/>
        <v>0</v>
      </c>
      <c r="Z71" s="1653">
        <f t="shared" si="33"/>
        <v>0</v>
      </c>
      <c r="AA71" s="1486">
        <f t="shared" si="34"/>
        <v>0</v>
      </c>
      <c r="AB71" s="937">
        <f t="shared" si="35"/>
        <v>0</v>
      </c>
      <c r="AC71" s="899">
        <f t="shared" si="36"/>
        <v>0</v>
      </c>
      <c r="AD71" s="1830">
        <v>0</v>
      </c>
      <c r="AE71" s="899">
        <f t="shared" si="37"/>
        <v>0</v>
      </c>
      <c r="AF71" s="1759">
        <f>+'[4]Table 5C1C-Intl_VIBE'!T70*8</f>
        <v>0</v>
      </c>
      <c r="AG71" s="1759">
        <f t="shared" si="38"/>
        <v>0</v>
      </c>
      <c r="AH71" s="999">
        <f t="shared" si="39"/>
        <v>0</v>
      </c>
      <c r="AI71" s="900">
        <f t="shared" si="45"/>
        <v>0</v>
      </c>
      <c r="AJ71" s="900">
        <f t="shared" si="41"/>
        <v>0</v>
      </c>
      <c r="AL71" s="49">
        <f>-'[4]Table 5C1C-Intl_VIBE'!P70</f>
        <v>0</v>
      </c>
      <c r="AM71" s="49">
        <f t="shared" si="42"/>
        <v>0</v>
      </c>
      <c r="AN71" s="49">
        <f t="shared" si="46"/>
        <v>0</v>
      </c>
    </row>
    <row r="72" spans="1:40">
      <c r="A72" s="879">
        <v>65</v>
      </c>
      <c r="B72" s="880" t="s">
        <v>155</v>
      </c>
      <c r="C72" s="973">
        <f>'2-1-13 SIS'!K71</f>
        <v>0</v>
      </c>
      <c r="D72" s="883">
        <f>'Table 3 Levels 1&amp;2'!AL72</f>
        <v>4579.2772303106676</v>
      </c>
      <c r="E72" s="922">
        <f t="shared" si="21"/>
        <v>0</v>
      </c>
      <c r="F72" s="922">
        <f>'Table 4 Level 3'!P70</f>
        <v>829.12</v>
      </c>
      <c r="G72" s="922">
        <f t="shared" si="22"/>
        <v>0</v>
      </c>
      <c r="H72" s="906">
        <f t="shared" si="23"/>
        <v>0</v>
      </c>
      <c r="I72" s="1735">
        <f>+'[3]Oct midyear Intl_VIBE '!K71</f>
        <v>0</v>
      </c>
      <c r="J72" s="1735">
        <f>'[3]Feb midyear Intl_VIBE '!K71</f>
        <v>0</v>
      </c>
      <c r="K72" s="1546">
        <f t="shared" si="24"/>
        <v>0</v>
      </c>
      <c r="L72" s="1490">
        <f t="shared" si="25"/>
        <v>0</v>
      </c>
      <c r="M72" s="932">
        <f t="shared" si="26"/>
        <v>0</v>
      </c>
      <c r="N72" s="906">
        <f t="shared" si="27"/>
        <v>0</v>
      </c>
      <c r="O72" s="883">
        <v>0</v>
      </c>
      <c r="P72" s="906">
        <f t="shared" si="28"/>
        <v>0</v>
      </c>
      <c r="Q72" s="1847">
        <f>+'[4]Table 5C1C-Intl_VIBE'!M71*8</f>
        <v>0</v>
      </c>
      <c r="R72" s="1847">
        <f t="shared" si="29"/>
        <v>0</v>
      </c>
      <c r="S72" s="906">
        <f t="shared" si="30"/>
        <v>0</v>
      </c>
      <c r="T72" s="902">
        <f>'Table 5C1A-Madison Prep'!T72</f>
        <v>4823</v>
      </c>
      <c r="U72" s="903">
        <f t="shared" ref="U72:U76" si="47">C72*T72</f>
        <v>0</v>
      </c>
      <c r="V72" s="1762">
        <f>+'[3]Oct midyear Intl_VIBE '!E71</f>
        <v>0</v>
      </c>
      <c r="W72" s="1763">
        <f t="shared" si="31"/>
        <v>0</v>
      </c>
      <c r="X72" s="1762">
        <f>'[3]Feb midyear Intl_VIBE '!E71</f>
        <v>0</v>
      </c>
      <c r="Y72" s="1763">
        <f t="shared" si="32"/>
        <v>0</v>
      </c>
      <c r="Z72" s="1654">
        <f t="shared" si="33"/>
        <v>0</v>
      </c>
      <c r="AA72" s="1488">
        <f t="shared" si="34"/>
        <v>0</v>
      </c>
      <c r="AB72" s="938">
        <f t="shared" si="35"/>
        <v>0</v>
      </c>
      <c r="AC72" s="903">
        <f t="shared" si="36"/>
        <v>0</v>
      </c>
      <c r="AD72" s="1831">
        <v>0</v>
      </c>
      <c r="AE72" s="903">
        <f t="shared" si="37"/>
        <v>0</v>
      </c>
      <c r="AF72" s="1763">
        <f>+'[4]Table 5C1C-Intl_VIBE'!T71*8</f>
        <v>0</v>
      </c>
      <c r="AG72" s="1763">
        <f t="shared" si="38"/>
        <v>0</v>
      </c>
      <c r="AH72" s="1659">
        <f t="shared" si="39"/>
        <v>0</v>
      </c>
      <c r="AI72" s="904">
        <f t="shared" si="45"/>
        <v>0</v>
      </c>
      <c r="AJ72" s="904">
        <f t="shared" si="41"/>
        <v>0</v>
      </c>
      <c r="AL72" s="49">
        <f>-'[4]Table 5C1C-Intl_VIBE'!P71</f>
        <v>0</v>
      </c>
      <c r="AM72" s="49">
        <f t="shared" si="42"/>
        <v>0</v>
      </c>
      <c r="AN72" s="49">
        <f t="shared" si="46"/>
        <v>0</v>
      </c>
    </row>
    <row r="73" spans="1:40">
      <c r="A73" s="870">
        <v>66</v>
      </c>
      <c r="B73" s="871" t="s">
        <v>156</v>
      </c>
      <c r="C73" s="974">
        <f>'2-1-13 SIS'!K72</f>
        <v>0</v>
      </c>
      <c r="D73" s="884">
        <f>'Table 3 Levels 1&amp;2'!AL73</f>
        <v>6370.8108195713585</v>
      </c>
      <c r="E73" s="923">
        <f t="shared" ref="E73:E76" si="48">C73*D73</f>
        <v>0</v>
      </c>
      <c r="F73" s="923">
        <f>'Table 4 Level 3'!P71</f>
        <v>730.06</v>
      </c>
      <c r="G73" s="923">
        <f t="shared" ref="G73:G76" si="49">C73*F73</f>
        <v>0</v>
      </c>
      <c r="H73" s="907">
        <f t="shared" ref="H73:H76" si="50">E73+G73</f>
        <v>0</v>
      </c>
      <c r="I73" s="1723">
        <f>+'[3]Oct midyear Intl_VIBE '!K72</f>
        <v>0</v>
      </c>
      <c r="J73" s="1723">
        <f>'[3]Feb midyear Intl_VIBE '!K72</f>
        <v>0</v>
      </c>
      <c r="K73" s="1547">
        <f t="shared" ref="K73:K76" si="51">SUM(I73:J73)</f>
        <v>0</v>
      </c>
      <c r="L73" s="1491">
        <f t="shared" ref="L73:L76" si="52">+H73+K73</f>
        <v>0</v>
      </c>
      <c r="M73" s="933">
        <f t="shared" ref="M73:M76" si="53">-(0.25%*L73)</f>
        <v>0</v>
      </c>
      <c r="N73" s="907">
        <f t="shared" ref="N73:N76" si="54">SUM(L73:M73)</f>
        <v>0</v>
      </c>
      <c r="O73" s="884">
        <v>0</v>
      </c>
      <c r="P73" s="907">
        <f t="shared" ref="P73:P76" si="55">SUM(N73:O73)</f>
        <v>0</v>
      </c>
      <c r="Q73" s="884">
        <f>+'[4]Table 5C1C-Intl_VIBE'!M72*8</f>
        <v>0</v>
      </c>
      <c r="R73" s="884">
        <f t="shared" ref="R73:R76" si="56">+P73-Q73</f>
        <v>0</v>
      </c>
      <c r="S73" s="907">
        <f t="shared" ref="S73:S76" si="57">ROUND(R73/4,0)</f>
        <v>0</v>
      </c>
      <c r="T73" s="897">
        <f>'Table 5C1A-Madison Prep'!T73</f>
        <v>3524</v>
      </c>
      <c r="U73" s="874">
        <f t="shared" si="47"/>
        <v>0</v>
      </c>
      <c r="V73" s="1754">
        <f>+'[3]Oct midyear Intl_VIBE '!E72</f>
        <v>0</v>
      </c>
      <c r="W73" s="1755">
        <f t="shared" ref="W73:W76" si="58">+T73*V73</f>
        <v>0</v>
      </c>
      <c r="X73" s="1754">
        <f>'[3]Feb midyear Intl_VIBE '!E72</f>
        <v>0</v>
      </c>
      <c r="Y73" s="1755">
        <f t="shared" ref="Y73:Y76" si="59">(T73*X73)*0.5</f>
        <v>0</v>
      </c>
      <c r="Z73" s="1652">
        <f t="shared" ref="Z73:Z76" si="60">+W73+Y73</f>
        <v>0</v>
      </c>
      <c r="AA73" s="1521">
        <f t="shared" ref="AA73:AA76" si="61">+U73+Z73</f>
        <v>0</v>
      </c>
      <c r="AB73" s="936">
        <f t="shared" ref="AB73:AB76" si="62">-(0.25%*AA73)</f>
        <v>0</v>
      </c>
      <c r="AC73" s="874">
        <f t="shared" ref="AC73:AC76" si="63">SUM(AA73:AB73)</f>
        <v>0</v>
      </c>
      <c r="AD73" s="1829">
        <v>0</v>
      </c>
      <c r="AE73" s="874">
        <f t="shared" ref="AE73:AE76" si="64">SUM(AC73:AD73)</f>
        <v>0</v>
      </c>
      <c r="AF73" s="1755">
        <f>+'[4]Table 5C1C-Intl_VIBE'!T72*8</f>
        <v>0</v>
      </c>
      <c r="AG73" s="1755">
        <f t="shared" ref="AG73:AG76" si="65">+AE73-AF73</f>
        <v>0</v>
      </c>
      <c r="AH73" s="999">
        <f t="shared" ref="AH73:AH76" si="66">ROUND(AG73/4,0)</f>
        <v>0</v>
      </c>
      <c r="AI73" s="875">
        <f t="shared" si="45"/>
        <v>0</v>
      </c>
      <c r="AJ73" s="875">
        <f t="shared" ref="AJ73:AJ76" si="67">S73+AH73</f>
        <v>0</v>
      </c>
      <c r="AL73" s="49">
        <f>-'[4]Table 5C1C-Intl_VIBE'!P72</f>
        <v>0</v>
      </c>
      <c r="AM73" s="49">
        <f t="shared" ref="AM73:AM76" si="68">AB73</f>
        <v>0</v>
      </c>
      <c r="AN73" s="49">
        <f t="shared" si="46"/>
        <v>0</v>
      </c>
    </row>
    <row r="74" spans="1:40">
      <c r="A74" s="876">
        <v>67</v>
      </c>
      <c r="B74" s="877" t="s">
        <v>32</v>
      </c>
      <c r="C74" s="972">
        <f>'2-1-13 SIS'!K73</f>
        <v>0</v>
      </c>
      <c r="D74" s="882">
        <f>'Table 3 Levels 1&amp;2'!AL74</f>
        <v>4951.6009932106244</v>
      </c>
      <c r="E74" s="921">
        <f t="shared" si="48"/>
        <v>0</v>
      </c>
      <c r="F74" s="921">
        <f>'Table 4 Level 3'!P72</f>
        <v>715.61</v>
      </c>
      <c r="G74" s="921">
        <f t="shared" si="49"/>
        <v>0</v>
      </c>
      <c r="H74" s="905">
        <f t="shared" si="50"/>
        <v>0</v>
      </c>
      <c r="I74" s="1734">
        <f>+'[3]Oct midyear Intl_VIBE '!K73</f>
        <v>0</v>
      </c>
      <c r="J74" s="1734">
        <f>'[3]Feb midyear Intl_VIBE '!K73</f>
        <v>0</v>
      </c>
      <c r="K74" s="1545">
        <f t="shared" si="51"/>
        <v>0</v>
      </c>
      <c r="L74" s="1489">
        <f t="shared" si="52"/>
        <v>0</v>
      </c>
      <c r="M74" s="931">
        <f t="shared" si="53"/>
        <v>0</v>
      </c>
      <c r="N74" s="905">
        <f t="shared" si="54"/>
        <v>0</v>
      </c>
      <c r="O74" s="882">
        <v>0</v>
      </c>
      <c r="P74" s="905">
        <f t="shared" si="55"/>
        <v>0</v>
      </c>
      <c r="Q74" s="1846">
        <f>+'[4]Table 5C1C-Intl_VIBE'!M73*8</f>
        <v>0</v>
      </c>
      <c r="R74" s="1846">
        <f t="shared" si="56"/>
        <v>0</v>
      </c>
      <c r="S74" s="905">
        <f t="shared" si="57"/>
        <v>0</v>
      </c>
      <c r="T74" s="897">
        <f>'Table 5C1A-Madison Prep'!T74</f>
        <v>5007</v>
      </c>
      <c r="U74" s="899">
        <f t="shared" si="47"/>
        <v>0</v>
      </c>
      <c r="V74" s="1758">
        <f>+'[3]Oct midyear Intl_VIBE '!E73</f>
        <v>0</v>
      </c>
      <c r="W74" s="1759">
        <f t="shared" si="58"/>
        <v>0</v>
      </c>
      <c r="X74" s="1758">
        <f>'[3]Feb midyear Intl_VIBE '!E73</f>
        <v>0</v>
      </c>
      <c r="Y74" s="1759">
        <f t="shared" si="59"/>
        <v>0</v>
      </c>
      <c r="Z74" s="1653">
        <f t="shared" si="60"/>
        <v>0</v>
      </c>
      <c r="AA74" s="1486">
        <f t="shared" si="61"/>
        <v>0</v>
      </c>
      <c r="AB74" s="937">
        <f t="shared" si="62"/>
        <v>0</v>
      </c>
      <c r="AC74" s="899">
        <f t="shared" si="63"/>
        <v>0</v>
      </c>
      <c r="AD74" s="1830">
        <v>0</v>
      </c>
      <c r="AE74" s="899">
        <f t="shared" si="64"/>
        <v>0</v>
      </c>
      <c r="AF74" s="1759">
        <f>+'[4]Table 5C1C-Intl_VIBE'!T73*8</f>
        <v>0</v>
      </c>
      <c r="AG74" s="1759">
        <f t="shared" si="65"/>
        <v>0</v>
      </c>
      <c r="AH74" s="999">
        <f t="shared" si="66"/>
        <v>0</v>
      </c>
      <c r="AI74" s="900">
        <f t="shared" si="45"/>
        <v>0</v>
      </c>
      <c r="AJ74" s="900">
        <f t="shared" si="67"/>
        <v>0</v>
      </c>
      <c r="AL74" s="49">
        <f>-'[4]Table 5C1C-Intl_VIBE'!P73</f>
        <v>0</v>
      </c>
      <c r="AM74" s="49">
        <f t="shared" si="68"/>
        <v>0</v>
      </c>
      <c r="AN74" s="49">
        <f t="shared" si="46"/>
        <v>0</v>
      </c>
    </row>
    <row r="75" spans="1:40">
      <c r="A75" s="876">
        <v>68</v>
      </c>
      <c r="B75" s="877" t="s">
        <v>30</v>
      </c>
      <c r="C75" s="972">
        <f>'2-1-13 SIS'!K74</f>
        <v>0</v>
      </c>
      <c r="D75" s="882">
        <f>'Table 3 Levels 1&amp;2'!AL75</f>
        <v>6077.2398733698947</v>
      </c>
      <c r="E75" s="921">
        <f t="shared" si="48"/>
        <v>0</v>
      </c>
      <c r="F75" s="921">
        <f>'Table 4 Level 3'!P73</f>
        <v>798.7</v>
      </c>
      <c r="G75" s="921">
        <f t="shared" si="49"/>
        <v>0</v>
      </c>
      <c r="H75" s="905">
        <f t="shared" si="50"/>
        <v>0</v>
      </c>
      <c r="I75" s="1734">
        <f>+'[3]Oct midyear Intl_VIBE '!K74</f>
        <v>0</v>
      </c>
      <c r="J75" s="1734">
        <f>'[3]Feb midyear Intl_VIBE '!K74</f>
        <v>0</v>
      </c>
      <c r="K75" s="1545">
        <f t="shared" si="51"/>
        <v>0</v>
      </c>
      <c r="L75" s="1489">
        <f t="shared" si="52"/>
        <v>0</v>
      </c>
      <c r="M75" s="931">
        <f t="shared" si="53"/>
        <v>0</v>
      </c>
      <c r="N75" s="905">
        <f t="shared" si="54"/>
        <v>0</v>
      </c>
      <c r="O75" s="882">
        <v>0</v>
      </c>
      <c r="P75" s="905">
        <f t="shared" si="55"/>
        <v>0</v>
      </c>
      <c r="Q75" s="1846">
        <f>+'[4]Table 5C1C-Intl_VIBE'!M74*8</f>
        <v>0</v>
      </c>
      <c r="R75" s="1846">
        <f t="shared" si="56"/>
        <v>0</v>
      </c>
      <c r="S75" s="905">
        <f t="shared" si="57"/>
        <v>0</v>
      </c>
      <c r="T75" s="897">
        <f>'Table 5C1A-Madison Prep'!T75</f>
        <v>2927</v>
      </c>
      <c r="U75" s="899">
        <f t="shared" si="47"/>
        <v>0</v>
      </c>
      <c r="V75" s="1758">
        <f>+'[3]Oct midyear Intl_VIBE '!E74</f>
        <v>0</v>
      </c>
      <c r="W75" s="1759">
        <f t="shared" si="58"/>
        <v>0</v>
      </c>
      <c r="X75" s="1758">
        <f>'[3]Feb midyear Intl_VIBE '!E74</f>
        <v>0</v>
      </c>
      <c r="Y75" s="1759">
        <f t="shared" si="59"/>
        <v>0</v>
      </c>
      <c r="Z75" s="1653">
        <f t="shared" si="60"/>
        <v>0</v>
      </c>
      <c r="AA75" s="1486">
        <f t="shared" si="61"/>
        <v>0</v>
      </c>
      <c r="AB75" s="937">
        <f t="shared" si="62"/>
        <v>0</v>
      </c>
      <c r="AC75" s="899">
        <f t="shared" si="63"/>
        <v>0</v>
      </c>
      <c r="AD75" s="1830">
        <v>0</v>
      </c>
      <c r="AE75" s="899">
        <f t="shared" si="64"/>
        <v>0</v>
      </c>
      <c r="AF75" s="1759">
        <f>+'[4]Table 5C1C-Intl_VIBE'!T74*8</f>
        <v>0</v>
      </c>
      <c r="AG75" s="1759">
        <f t="shared" si="65"/>
        <v>0</v>
      </c>
      <c r="AH75" s="999">
        <f t="shared" si="66"/>
        <v>0</v>
      </c>
      <c r="AI75" s="900">
        <f t="shared" si="45"/>
        <v>0</v>
      </c>
      <c r="AJ75" s="900">
        <f t="shared" si="67"/>
        <v>0</v>
      </c>
      <c r="AL75" s="49">
        <f>-'[4]Table 5C1C-Intl_VIBE'!P74</f>
        <v>0</v>
      </c>
      <c r="AM75" s="49">
        <f t="shared" si="68"/>
        <v>0</v>
      </c>
      <c r="AN75" s="49">
        <f t="shared" si="46"/>
        <v>0</v>
      </c>
    </row>
    <row r="76" spans="1:40">
      <c r="A76" s="885">
        <v>69</v>
      </c>
      <c r="B76" s="886" t="s">
        <v>205</v>
      </c>
      <c r="C76" s="975">
        <f>'2-1-13 SIS'!K75</f>
        <v>0</v>
      </c>
      <c r="D76" s="887">
        <f>'Table 3 Levels 1&amp;2'!AL76</f>
        <v>5585.8253106686579</v>
      </c>
      <c r="E76" s="924">
        <f t="shared" si="48"/>
        <v>0</v>
      </c>
      <c r="F76" s="924">
        <f>'Table 4 Level 3'!P74</f>
        <v>705.67</v>
      </c>
      <c r="G76" s="924">
        <f t="shared" si="49"/>
        <v>0</v>
      </c>
      <c r="H76" s="908">
        <f t="shared" si="50"/>
        <v>0</v>
      </c>
      <c r="I76" s="1736">
        <f>+'[3]Oct midyear Intl_VIBE '!K75</f>
        <v>0</v>
      </c>
      <c r="J76" s="1736">
        <f>'[3]Feb midyear Intl_VIBE '!K75</f>
        <v>0</v>
      </c>
      <c r="K76" s="1548">
        <f t="shared" si="51"/>
        <v>0</v>
      </c>
      <c r="L76" s="1492">
        <f t="shared" si="52"/>
        <v>0</v>
      </c>
      <c r="M76" s="934">
        <f t="shared" si="53"/>
        <v>0</v>
      </c>
      <c r="N76" s="908">
        <f t="shared" si="54"/>
        <v>0</v>
      </c>
      <c r="O76" s="887">
        <v>0</v>
      </c>
      <c r="P76" s="908">
        <f t="shared" si="55"/>
        <v>0</v>
      </c>
      <c r="Q76" s="1848">
        <f>+'[4]Table 5C1C-Intl_VIBE'!M75*8</f>
        <v>0</v>
      </c>
      <c r="R76" s="1848">
        <f t="shared" si="56"/>
        <v>0</v>
      </c>
      <c r="S76" s="908">
        <f t="shared" si="57"/>
        <v>0</v>
      </c>
      <c r="T76" s="897">
        <f>'Table 5C1A-Madison Prep'!T76</f>
        <v>3404</v>
      </c>
      <c r="U76" s="909">
        <f t="shared" si="47"/>
        <v>0</v>
      </c>
      <c r="V76" s="1766">
        <f>+'[3]Oct midyear Intl_VIBE '!E75</f>
        <v>0</v>
      </c>
      <c r="W76" s="1767">
        <f t="shared" si="58"/>
        <v>0</v>
      </c>
      <c r="X76" s="1766">
        <f>'[3]Feb midyear Intl_VIBE '!E75</f>
        <v>0</v>
      </c>
      <c r="Y76" s="1767">
        <f t="shared" si="59"/>
        <v>0</v>
      </c>
      <c r="Z76" s="1655">
        <f t="shared" si="60"/>
        <v>0</v>
      </c>
      <c r="AA76" s="1493">
        <f t="shared" si="61"/>
        <v>0</v>
      </c>
      <c r="AB76" s="939">
        <f t="shared" si="62"/>
        <v>0</v>
      </c>
      <c r="AC76" s="909">
        <f t="shared" si="63"/>
        <v>0</v>
      </c>
      <c r="AD76" s="1832">
        <v>0</v>
      </c>
      <c r="AE76" s="909">
        <f t="shared" si="64"/>
        <v>0</v>
      </c>
      <c r="AF76" s="1767">
        <f>+'[4]Table 5C1C-Intl_VIBE'!T75*8</f>
        <v>0</v>
      </c>
      <c r="AG76" s="1767">
        <f t="shared" si="65"/>
        <v>0</v>
      </c>
      <c r="AH76" s="999">
        <f t="shared" si="66"/>
        <v>0</v>
      </c>
      <c r="AI76" s="910">
        <f t="shared" si="45"/>
        <v>0</v>
      </c>
      <c r="AJ76" s="910">
        <f t="shared" si="67"/>
        <v>0</v>
      </c>
      <c r="AL76" s="49">
        <f>-'[4]Table 5C1C-Intl_VIBE'!P75</f>
        <v>0</v>
      </c>
      <c r="AM76" s="49">
        <f t="shared" si="68"/>
        <v>0</v>
      </c>
      <c r="AN76" s="49">
        <f t="shared" si="46"/>
        <v>0</v>
      </c>
    </row>
    <row r="77" spans="1:40" ht="13.5" thickBot="1">
      <c r="A77" s="888"/>
      <c r="B77" s="889" t="s">
        <v>157</v>
      </c>
      <c r="C77" s="890">
        <f>SUM(C8:C76)</f>
        <v>443</v>
      </c>
      <c r="D77" s="891"/>
      <c r="E77" s="925">
        <f>SUM(E8:E76)</f>
        <v>1557166.3211283216</v>
      </c>
      <c r="F77" s="925">
        <f>'Table 4 Level 3'!P75</f>
        <v>704.49059912051428</v>
      </c>
      <c r="G77" s="925">
        <f t="shared" ref="G77:R77" si="69">SUM(G8:G76)</f>
        <v>334340.94479452056</v>
      </c>
      <c r="H77" s="892">
        <f t="shared" si="69"/>
        <v>1891507.2659228423</v>
      </c>
      <c r="I77" s="1737">
        <f t="shared" si="69"/>
        <v>134853.62775013369</v>
      </c>
      <c r="J77" s="1737">
        <f t="shared" si="69"/>
        <v>-31726.499528363267</v>
      </c>
      <c r="K77" s="1549">
        <f t="shared" si="69"/>
        <v>103127.12822177041</v>
      </c>
      <c r="L77" s="1482">
        <f t="shared" si="69"/>
        <v>1994634.3941446124</v>
      </c>
      <c r="M77" s="935">
        <f t="shared" si="69"/>
        <v>-4986.585985361532</v>
      </c>
      <c r="N77" s="892">
        <f t="shared" si="69"/>
        <v>1989647.808159251</v>
      </c>
      <c r="O77" s="1725">
        <f t="shared" si="69"/>
        <v>0</v>
      </c>
      <c r="P77" s="892">
        <f t="shared" si="69"/>
        <v>1989647.808159251</v>
      </c>
      <c r="Q77" s="1849">
        <f t="shared" si="69"/>
        <v>1257852.3318386897</v>
      </c>
      <c r="R77" s="1849">
        <f t="shared" si="69"/>
        <v>731795.47632056114</v>
      </c>
      <c r="S77" s="892">
        <f>SUM(S8:S76)</f>
        <v>182948</v>
      </c>
      <c r="T77" s="911">
        <f>'Table 5C1A-Madison Prep'!T77</f>
        <v>4626</v>
      </c>
      <c r="U77" s="893">
        <f t="shared" ref="U77:AJ77" si="70">SUM(U8:U76)</f>
        <v>2119147</v>
      </c>
      <c r="V77" s="1770">
        <f t="shared" si="70"/>
        <v>33</v>
      </c>
      <c r="W77" s="1771">
        <f t="shared" si="70"/>
        <v>147877</v>
      </c>
      <c r="X77" s="1770">
        <f t="shared" si="70"/>
        <v>-15</v>
      </c>
      <c r="Y77" s="1771">
        <f t="shared" si="70"/>
        <v>-36362</v>
      </c>
      <c r="Z77" s="1665">
        <f t="shared" si="70"/>
        <v>111515</v>
      </c>
      <c r="AA77" s="1483">
        <f t="shared" si="70"/>
        <v>2230662</v>
      </c>
      <c r="AB77" s="940">
        <f t="shared" si="70"/>
        <v>-5576.6550000000007</v>
      </c>
      <c r="AC77" s="893">
        <f t="shared" si="70"/>
        <v>2225085.3450000002</v>
      </c>
      <c r="AD77" s="1850">
        <f t="shared" si="70"/>
        <v>0</v>
      </c>
      <c r="AE77" s="893">
        <f t="shared" si="70"/>
        <v>2225085.3450000002</v>
      </c>
      <c r="AF77" s="1771">
        <f t="shared" si="70"/>
        <v>1406858.7049999998</v>
      </c>
      <c r="AG77" s="1771">
        <f t="shared" si="70"/>
        <v>818226.64000000013</v>
      </c>
      <c r="AH77" s="1000">
        <f t="shared" si="70"/>
        <v>204557</v>
      </c>
      <c r="AI77" s="894">
        <f t="shared" si="70"/>
        <v>4214733.1531592514</v>
      </c>
      <c r="AJ77" s="894">
        <f t="shared" si="70"/>
        <v>387505</v>
      </c>
      <c r="AL77" s="49">
        <f>SUM(AL8:AL76)</f>
        <v>5288.942500000001</v>
      </c>
      <c r="AM77" s="49">
        <f>SUM(AM8:AM76)</f>
        <v>-5576.6550000000007</v>
      </c>
      <c r="AN77" s="49">
        <f t="shared" ref="AN77" si="71">SUM(AN8:AN76)</f>
        <v>-287.71249999999986</v>
      </c>
    </row>
    <row r="78" spans="1:40" ht="12.75" customHeight="1" thickTop="1"/>
    <row r="79" spans="1:40" hidden="1"/>
    <row r="80" spans="1:40" hidden="1">
      <c r="M80" s="1464" t="s">
        <v>951</v>
      </c>
      <c r="N80" s="49">
        <f>-'[4]Table 5C1C-Intl_VIBE'!$I$76</f>
        <v>4728.7681648071057</v>
      </c>
    </row>
    <row r="81" spans="13:14" hidden="1">
      <c r="M81" s="1464" t="s">
        <v>952</v>
      </c>
      <c r="N81" s="49">
        <f>M77</f>
        <v>-4986.585985361532</v>
      </c>
    </row>
    <row r="82" spans="13:14" hidden="1">
      <c r="M82" s="1464" t="s">
        <v>953</v>
      </c>
      <c r="N82" s="49">
        <f>SUM(N80:N81)</f>
        <v>-257.81782055442636</v>
      </c>
    </row>
  </sheetData>
  <mergeCells count="30">
    <mergeCell ref="P4:P5"/>
    <mergeCell ref="S4:S5"/>
    <mergeCell ref="T4:T5"/>
    <mergeCell ref="A2:B5"/>
    <mergeCell ref="C2:S2"/>
    <mergeCell ref="T2:AH2"/>
    <mergeCell ref="K4:K5"/>
    <mergeCell ref="L4:L5"/>
    <mergeCell ref="V3:Z3"/>
    <mergeCell ref="V4:V5"/>
    <mergeCell ref="W4:W5"/>
    <mergeCell ref="X4:X5"/>
    <mergeCell ref="Y4:Y5"/>
    <mergeCell ref="AA4:AA5"/>
    <mergeCell ref="AI2:AI5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I3:K3"/>
    <mergeCell ref="I4:I5"/>
    <mergeCell ref="J4:J5"/>
  </mergeCells>
  <pageMargins left="0.33" right="0.35" top="0.75" bottom="0.75" header="0.3" footer="0.3"/>
  <pageSetup paperSize="5" scale="60" firstPageNumber="54" orientation="portrait" useFirstPageNumber="1" r:id="rId1"/>
  <headerFooter>
    <oddHeader>&amp;L&amp;"Arial,Bold"&amp;20Table 5C1-C: FY2013-14 MFP Budget Letter (March 2014) 
International High School of New Orleans</oddHeader>
    <oddFooter>&amp;R&amp;P</oddFooter>
  </headerFooter>
  <colBreaks count="3" manualBreakCount="3">
    <brk id="12" max="1048575" man="1"/>
    <brk id="19" max="1048575" man="1"/>
    <brk id="32" min="1" max="7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view="pageBreakPreview" zoomScale="80" zoomScaleNormal="100" zoomScaleSheetLayoutView="80" workbookViewId="0">
      <pane xSplit="2" ySplit="7" topLeftCell="C8" activePane="bottomRight" state="frozen"/>
      <selection activeCell="AL6" sqref="AL6"/>
      <selection pane="topRight" activeCell="AL6" sqref="AL6"/>
      <selection pane="bottomLeft" activeCell="AL6" sqref="AL6"/>
      <selection pane="bottomRight"/>
    </sheetView>
  </sheetViews>
  <sheetFormatPr defaultRowHeight="12.75"/>
  <cols>
    <col min="1" max="1" width="4.28515625" customWidth="1"/>
    <col min="2" max="2" width="17.85546875" customWidth="1"/>
    <col min="3" max="3" width="13.7109375" customWidth="1"/>
    <col min="4" max="4" width="14" customWidth="1"/>
    <col min="5" max="5" width="10.7109375" customWidth="1"/>
    <col min="6" max="6" width="13" customWidth="1"/>
    <col min="7" max="7" width="13.42578125" customWidth="1"/>
    <col min="8" max="8" width="12.85546875" customWidth="1"/>
    <col min="9" max="9" width="12.5703125" style="1429" customWidth="1"/>
    <col min="10" max="10" width="13.42578125" style="1429" bestFit="1" customWidth="1"/>
    <col min="11" max="11" width="12.5703125" style="1429" customWidth="1"/>
    <col min="12" max="12" width="15.140625" style="1429" customWidth="1"/>
    <col min="13" max="13" width="10.85546875" bestFit="1" customWidth="1"/>
    <col min="14" max="14" width="13.140625" customWidth="1"/>
    <col min="15" max="15" width="13.42578125" bestFit="1" customWidth="1"/>
    <col min="16" max="16" width="14.7109375" customWidth="1"/>
    <col min="17" max="18" width="14" style="1444" customWidth="1"/>
    <col min="19" max="19" width="10.7109375" customWidth="1"/>
    <col min="20" max="20" width="11.5703125" customWidth="1"/>
    <col min="21" max="21" width="10.7109375" customWidth="1"/>
    <col min="22" max="23" width="12" style="1444" customWidth="1"/>
    <col min="24" max="26" width="12" style="1464" customWidth="1"/>
    <col min="27" max="27" width="13" style="1444" customWidth="1"/>
    <col min="28" max="28" width="12.5703125" customWidth="1"/>
    <col min="29" max="29" width="13" customWidth="1"/>
    <col min="30" max="30" width="13.28515625" customWidth="1"/>
    <col min="31" max="31" width="13" customWidth="1"/>
    <col min="32" max="33" width="13.140625" style="1447" customWidth="1"/>
    <col min="34" max="34" width="12" customWidth="1"/>
    <col min="35" max="35" width="11" customWidth="1"/>
    <col min="36" max="36" width="12.140625" customWidth="1"/>
    <col min="37" max="37" width="2.140625" customWidth="1"/>
    <col min="38" max="38" width="9.140625" hidden="1" customWidth="1"/>
    <col min="39" max="39" width="11" hidden="1" customWidth="1"/>
    <col min="40" max="40" width="9.140625" hidden="1" customWidth="1"/>
  </cols>
  <sheetData>
    <row r="1" spans="1:40">
      <c r="C1" s="271"/>
      <c r="D1" s="271"/>
      <c r="E1" s="271"/>
      <c r="F1" s="271"/>
      <c r="G1" s="271"/>
      <c r="H1" s="271"/>
      <c r="I1" s="1430"/>
      <c r="J1" s="1430"/>
      <c r="K1" s="1430"/>
      <c r="L1" s="1430"/>
      <c r="M1" s="271"/>
      <c r="N1" s="271"/>
      <c r="O1" s="271"/>
      <c r="P1" s="271"/>
      <c r="Q1" s="1445"/>
      <c r="R1" s="1445"/>
      <c r="S1" s="271"/>
    </row>
    <row r="2" spans="1:40" ht="45" customHeight="1">
      <c r="A2" s="2361" t="s">
        <v>445</v>
      </c>
      <c r="B2" s="2362"/>
      <c r="C2" s="2343" t="s">
        <v>440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68"/>
      <c r="W2" s="2368"/>
      <c r="X2" s="2320"/>
      <c r="Y2" s="2320"/>
      <c r="Z2" s="2320"/>
      <c r="AA2" s="2368"/>
      <c r="AB2" s="2318"/>
      <c r="AC2" s="2318"/>
      <c r="AD2" s="2318"/>
      <c r="AE2" s="2318"/>
      <c r="AF2" s="2368"/>
      <c r="AG2" s="2368"/>
      <c r="AH2" s="2321"/>
      <c r="AI2" s="2307" t="s">
        <v>542</v>
      </c>
      <c r="AJ2" s="2307" t="s">
        <v>527</v>
      </c>
    </row>
    <row r="3" spans="1:40" s="1464" customFormat="1" ht="22.9" customHeight="1">
      <c r="A3" s="2363"/>
      <c r="B3" s="2364"/>
      <c r="C3" s="1585"/>
      <c r="D3" s="1579"/>
      <c r="E3" s="1579"/>
      <c r="F3" s="1579"/>
      <c r="G3" s="1579"/>
      <c r="H3" s="1579"/>
      <c r="I3" s="2347" t="s">
        <v>772</v>
      </c>
      <c r="J3" s="2348"/>
      <c r="K3" s="2349"/>
      <c r="L3" s="1579"/>
      <c r="M3" s="1579"/>
      <c r="N3" s="1579"/>
      <c r="O3" s="1579"/>
      <c r="P3" s="1579"/>
      <c r="Q3" s="1579"/>
      <c r="R3" s="1579"/>
      <c r="S3" s="1580"/>
      <c r="T3" s="1584"/>
      <c r="U3" s="1582"/>
      <c r="V3" s="2357" t="s">
        <v>772</v>
      </c>
      <c r="W3" s="2358"/>
      <c r="X3" s="2358"/>
      <c r="Y3" s="2358"/>
      <c r="Z3" s="2359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</row>
    <row r="4" spans="1:40" ht="135" customHeight="1">
      <c r="A4" s="2365"/>
      <c r="B4" s="2364"/>
      <c r="C4" s="2311" t="s">
        <v>825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60" t="s">
        <v>784</v>
      </c>
      <c r="J4" s="2360" t="s">
        <v>785</v>
      </c>
      <c r="K4" s="2360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75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75" t="s">
        <v>808</v>
      </c>
      <c r="AC4" s="2314" t="s">
        <v>805</v>
      </c>
      <c r="AD4" s="2314" t="s">
        <v>794</v>
      </c>
      <c r="AE4" s="2314" t="s">
        <v>806</v>
      </c>
      <c r="AF4" s="1578" t="s">
        <v>807</v>
      </c>
      <c r="AG4" s="1578" t="s">
        <v>795</v>
      </c>
      <c r="AH4" s="1575" t="s">
        <v>540</v>
      </c>
      <c r="AI4" s="2309"/>
      <c r="AJ4" s="2309"/>
    </row>
    <row r="5" spans="1:40" ht="22.15" customHeight="1">
      <c r="A5" s="2366"/>
      <c r="B5" s="2367"/>
      <c r="C5" s="231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76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576"/>
      <c r="AG5" s="1576"/>
      <c r="AH5" s="1576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H6" si="1">E6+1</f>
        <v>4</v>
      </c>
      <c r="G6" s="869">
        <f t="shared" si="1"/>
        <v>5</v>
      </c>
      <c r="H6" s="869">
        <f t="shared" si="1"/>
        <v>6</v>
      </c>
      <c r="I6" s="869">
        <f t="shared" ref="I6" si="2">H6+1</f>
        <v>7</v>
      </c>
      <c r="J6" s="869">
        <f t="shared" ref="J6" si="3">I6+1</f>
        <v>8</v>
      </c>
      <c r="K6" s="869">
        <f t="shared" ref="K6" si="4">J6+1</f>
        <v>9</v>
      </c>
      <c r="L6" s="869">
        <f t="shared" ref="L6" si="5">K6+1</f>
        <v>10</v>
      </c>
      <c r="M6" s="869">
        <f t="shared" ref="M6" si="6">L6+1</f>
        <v>11</v>
      </c>
      <c r="N6" s="869">
        <f t="shared" ref="N6" si="7">M6+1</f>
        <v>12</v>
      </c>
      <c r="O6" s="869">
        <f t="shared" ref="O6" si="8">N6+1</f>
        <v>13</v>
      </c>
      <c r="P6" s="869">
        <f t="shared" ref="P6" si="9">O6+1</f>
        <v>14</v>
      </c>
      <c r="Q6" s="869">
        <f t="shared" ref="Q6" si="10">P6+1</f>
        <v>15</v>
      </c>
      <c r="R6" s="869">
        <f t="shared" ref="R6" si="11">Q6+1</f>
        <v>16</v>
      </c>
      <c r="S6" s="869">
        <f t="shared" ref="S6" si="12">R6+1</f>
        <v>17</v>
      </c>
      <c r="T6" s="869">
        <f t="shared" ref="T6" si="13">S6+1</f>
        <v>18</v>
      </c>
      <c r="U6" s="869">
        <f t="shared" ref="U6" si="14">T6+1</f>
        <v>19</v>
      </c>
      <c r="V6" s="869">
        <f t="shared" ref="V6" si="15">U6+1</f>
        <v>20</v>
      </c>
      <c r="W6" s="869">
        <f t="shared" ref="W6" si="16">V6+1</f>
        <v>21</v>
      </c>
      <c r="X6" s="869">
        <f t="shared" ref="X6" si="17">W6+1</f>
        <v>22</v>
      </c>
      <c r="Y6" s="869">
        <f t="shared" ref="Y6" si="18">X6+1</f>
        <v>23</v>
      </c>
      <c r="Z6" s="869">
        <f t="shared" ref="Z6" si="19">Y6+1</f>
        <v>24</v>
      </c>
      <c r="AA6" s="869">
        <f t="shared" ref="AA6" si="20">Z6+1</f>
        <v>25</v>
      </c>
      <c r="AB6" s="869">
        <f t="shared" ref="AB6" si="21">AA6+1</f>
        <v>26</v>
      </c>
      <c r="AC6" s="869">
        <f t="shared" ref="AC6" si="22">AB6+1</f>
        <v>27</v>
      </c>
      <c r="AD6" s="869">
        <f t="shared" ref="AD6" si="23">AC6+1</f>
        <v>28</v>
      </c>
      <c r="AE6" s="869">
        <f t="shared" ref="AE6" si="24">AD6+1</f>
        <v>29</v>
      </c>
      <c r="AF6" s="869">
        <f t="shared" ref="AF6" si="25">AE6+1</f>
        <v>30</v>
      </c>
      <c r="AG6" s="869">
        <f t="shared" ref="AG6" si="26">AF6+1</f>
        <v>31</v>
      </c>
      <c r="AH6" s="869">
        <f t="shared" ref="AH6" si="27">AG6+1</f>
        <v>32</v>
      </c>
      <c r="AI6" s="869">
        <f t="shared" ref="AI6" si="28">AH6+1</f>
        <v>33</v>
      </c>
      <c r="AJ6" s="869">
        <f t="shared" ref="AJ6" si="29">AI6+1</f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391"/>
      <c r="J7" s="1391"/>
      <c r="K7" s="1391"/>
      <c r="L7" s="1391"/>
      <c r="M7" s="896"/>
      <c r="N7" s="896"/>
      <c r="O7" s="896"/>
      <c r="P7" s="896"/>
      <c r="Q7" s="1440"/>
      <c r="R7" s="1440"/>
      <c r="S7" s="896"/>
      <c r="T7" s="896"/>
      <c r="U7" s="896"/>
      <c r="V7" s="1440"/>
      <c r="W7" s="1440"/>
      <c r="X7" s="1535"/>
      <c r="Y7" s="1535"/>
      <c r="Z7" s="1535"/>
      <c r="AA7" s="1440"/>
      <c r="AB7" s="896"/>
      <c r="AC7" s="896"/>
      <c r="AD7" s="896"/>
      <c r="AE7" s="896"/>
      <c r="AF7" s="1450"/>
      <c r="AG7" s="1450"/>
      <c r="AH7" s="896"/>
      <c r="AI7" s="896"/>
      <c r="AJ7" s="896"/>
      <c r="AL7" s="2036" t="s">
        <v>945</v>
      </c>
      <c r="AM7" s="2035" t="s">
        <v>946</v>
      </c>
      <c r="AN7" s="2035" t="s">
        <v>947</v>
      </c>
    </row>
    <row r="8" spans="1:40">
      <c r="A8" s="870">
        <v>1</v>
      </c>
      <c r="B8" s="871" t="s">
        <v>92</v>
      </c>
      <c r="C8" s="971">
        <f>'2-1-13 SIS'!O7</f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NOMMA'!K7</f>
        <v>0</v>
      </c>
      <c r="J8" s="1718">
        <f>'[3]Feb midyear NOMMA'!K7</f>
        <v>0</v>
      </c>
      <c r="K8" s="1542">
        <f>SUM(I8:J8)</f>
        <v>0</v>
      </c>
      <c r="L8" s="1431">
        <f t="shared" ref="L8:L39" si="30">H8+K8</f>
        <v>0</v>
      </c>
      <c r="M8" s="928">
        <f>-(0.25%*L8)</f>
        <v>0</v>
      </c>
      <c r="N8" s="873">
        <f>SUM(L8:M8)</f>
        <v>0</v>
      </c>
      <c r="O8" s="872">
        <v>0</v>
      </c>
      <c r="P8" s="998">
        <f>SUM(N8:O8)</f>
        <v>0</v>
      </c>
      <c r="Q8" s="1718">
        <f>'[4]Table 5C1D-NOMMA'!M7+'[27]Table 5C1D-NOMMA'!T7+('[26]Table 5C1D-NOMMA'!T7*6)</f>
        <v>0</v>
      </c>
      <c r="R8" s="1718">
        <f>P8-Q8</f>
        <v>0</v>
      </c>
      <c r="S8" s="998">
        <f>ROUND(R8/4,0)</f>
        <v>0</v>
      </c>
      <c r="T8" s="1802">
        <f>'Table 5C1A-Madison Prep'!T8</f>
        <v>2180</v>
      </c>
      <c r="U8" s="999">
        <f t="shared" ref="U8:U39" si="31">C8*T8</f>
        <v>0</v>
      </c>
      <c r="V8" s="1754">
        <f>+'[3]Oct midyear NOMMA'!E7</f>
        <v>0</v>
      </c>
      <c r="W8" s="1755">
        <f>V8*T8</f>
        <v>0</v>
      </c>
      <c r="X8" s="1754">
        <f>'[3]Feb midyear NOMMA'!E7</f>
        <v>0</v>
      </c>
      <c r="Y8" s="1755">
        <f>(T8*X8)*0.5</f>
        <v>0</v>
      </c>
      <c r="Z8" s="1652">
        <f t="shared" ref="Z8:Z50" si="32">+W8+Y8</f>
        <v>0</v>
      </c>
      <c r="AA8" s="1446">
        <f>Z8+U8</f>
        <v>0</v>
      </c>
      <c r="AB8" s="936">
        <f>-(0.25%*AA8)</f>
        <v>0</v>
      </c>
      <c r="AC8" s="874">
        <f>SUM(AA8:AB8)</f>
        <v>0</v>
      </c>
      <c r="AD8" s="1829">
        <v>0</v>
      </c>
      <c r="AE8" s="874">
        <f>SUM(AC8:AD8)</f>
        <v>0</v>
      </c>
      <c r="AF8" s="1755">
        <f>'[4]Table 5C1D-NOMMA'!T7+'[27]Table 5C1D-NOMMA'!AF7+('[26]Table 5C1D-NOMMA'!AF7*6)</f>
        <v>0</v>
      </c>
      <c r="AG8" s="1755">
        <f>AE8-AF8</f>
        <v>0</v>
      </c>
      <c r="AH8" s="999">
        <f>ROUND(AG8/4,0)</f>
        <v>0</v>
      </c>
      <c r="AI8" s="875">
        <f t="shared" ref="AI8:AI39" si="33">P8+AE8</f>
        <v>0</v>
      </c>
      <c r="AJ8" s="875">
        <f>S8+AH8</f>
        <v>0</v>
      </c>
      <c r="AL8" s="49">
        <f>-'[4]Table 5C1D-NOMMA'!P7</f>
        <v>0</v>
      </c>
      <c r="AM8" s="49">
        <f>AB8</f>
        <v>0</v>
      </c>
      <c r="AN8" s="49">
        <f>SUM(AL8:AM8)</f>
        <v>0</v>
      </c>
    </row>
    <row r="9" spans="1:40">
      <c r="A9" s="876">
        <v>2</v>
      </c>
      <c r="B9" s="877" t="s">
        <v>93</v>
      </c>
      <c r="C9" s="969">
        <f>'2-1-13 SIS'!O8</f>
        <v>0</v>
      </c>
      <c r="D9" s="878">
        <f>'Table 3 Levels 1&amp;2'!AL9</f>
        <v>6182.4313545138375</v>
      </c>
      <c r="E9" s="919">
        <f t="shared" ref="E9:E72" si="34">C9*D9</f>
        <v>0</v>
      </c>
      <c r="F9" s="919">
        <f>'Table 4 Level 3'!P7</f>
        <v>842.32</v>
      </c>
      <c r="G9" s="919">
        <f t="shared" ref="G9:G72" si="35">C9*F9</f>
        <v>0</v>
      </c>
      <c r="H9" s="898">
        <f t="shared" ref="H9:H72" si="36">E9+G9</f>
        <v>0</v>
      </c>
      <c r="I9" s="1744">
        <f>+'[3]Oct midyear NOMMA'!K8</f>
        <v>0</v>
      </c>
      <c r="J9" s="1744">
        <f>'[3]Feb midyear NOMMA'!K8</f>
        <v>0</v>
      </c>
      <c r="K9" s="1690">
        <f t="shared" ref="K9:K72" si="37">SUM(I9:J9)</f>
        <v>0</v>
      </c>
      <c r="L9" s="1433">
        <f t="shared" si="30"/>
        <v>0</v>
      </c>
      <c r="M9" s="929">
        <f t="shared" ref="M9:M72" si="38">-(0.25%*L9)</f>
        <v>0</v>
      </c>
      <c r="N9" s="898">
        <f>SUM(L9:M9)</f>
        <v>0</v>
      </c>
      <c r="O9" s="878">
        <v>0</v>
      </c>
      <c r="P9" s="1550">
        <f t="shared" ref="P9:P72" si="39">SUM(N9:O9)</f>
        <v>0</v>
      </c>
      <c r="Q9" s="1718">
        <f>'[4]Table 5C1D-NOMMA'!M8+'[27]Table 5C1D-NOMMA'!T8+('[26]Table 5C1D-NOMMA'!T8*6)</f>
        <v>0</v>
      </c>
      <c r="R9" s="1813">
        <f t="shared" ref="R9:R72" si="40">P9-Q9</f>
        <v>0</v>
      </c>
      <c r="S9" s="1550">
        <f t="shared" ref="S9:S72" si="41">ROUND(R9/4,0)</f>
        <v>0</v>
      </c>
      <c r="T9" s="1802">
        <f>'Table 5C1A-Madison Prep'!T9</f>
        <v>2759</v>
      </c>
      <c r="U9" s="1555">
        <f t="shared" si="31"/>
        <v>0</v>
      </c>
      <c r="V9" s="1785">
        <f>+'[3]Oct midyear NOMMA'!E8</f>
        <v>0</v>
      </c>
      <c r="W9" s="1786">
        <f t="shared" ref="W9:W72" si="42">V9*T9</f>
        <v>0</v>
      </c>
      <c r="X9" s="1758">
        <f>'[3]Feb midyear NOMMA'!E8</f>
        <v>0</v>
      </c>
      <c r="Y9" s="1759">
        <f t="shared" ref="Y9:Y72" si="43">(T9*X9)*0.5</f>
        <v>0</v>
      </c>
      <c r="Z9" s="1653">
        <f t="shared" si="32"/>
        <v>0</v>
      </c>
      <c r="AA9" s="1441">
        <f t="shared" ref="AA9:AA72" si="44">Z9+U9</f>
        <v>0</v>
      </c>
      <c r="AB9" s="937">
        <f t="shared" ref="AB9:AB72" si="45">-(0.25%*AA9)</f>
        <v>0</v>
      </c>
      <c r="AC9" s="899">
        <f t="shared" ref="AC9:AC72" si="46">SUM(AA9:AB9)</f>
        <v>0</v>
      </c>
      <c r="AD9" s="1830">
        <v>0</v>
      </c>
      <c r="AE9" s="899">
        <f t="shared" ref="AE9:AE72" si="47">SUM(AC9:AD9)</f>
        <v>0</v>
      </c>
      <c r="AF9" s="1755">
        <f>'[4]Table 5C1D-NOMMA'!T8+'[27]Table 5C1D-NOMMA'!AF8+('[26]Table 5C1D-NOMMA'!AF8*6)</f>
        <v>0</v>
      </c>
      <c r="AG9" s="1841">
        <f t="shared" ref="AG9:AG72" si="48">AE9-AF9</f>
        <v>0</v>
      </c>
      <c r="AH9" s="999">
        <f t="shared" ref="AH9:AH72" si="49">ROUND(AG9/4,0)</f>
        <v>0</v>
      </c>
      <c r="AI9" s="900">
        <f t="shared" si="33"/>
        <v>0</v>
      </c>
      <c r="AJ9" s="900">
        <f t="shared" ref="AJ9:AJ72" si="50">S9+AH9</f>
        <v>0</v>
      </c>
      <c r="AL9" s="49">
        <f>-'[4]Table 5C1D-NOMMA'!P8</f>
        <v>0</v>
      </c>
      <c r="AM9" s="49">
        <f t="shared" ref="AM9:AM72" si="51">AB9</f>
        <v>0</v>
      </c>
      <c r="AN9" s="49">
        <f t="shared" ref="AN9:AN72" si="52">SUM(AL9:AM9)</f>
        <v>0</v>
      </c>
    </row>
    <row r="10" spans="1:40">
      <c r="A10" s="876">
        <v>3</v>
      </c>
      <c r="B10" s="877" t="s">
        <v>94</v>
      </c>
      <c r="C10" s="969">
        <f>'2-1-13 SIS'!O9</f>
        <v>0</v>
      </c>
      <c r="D10" s="878">
        <f>'Table 3 Levels 1&amp;2'!AL10</f>
        <v>4206.710737685361</v>
      </c>
      <c r="E10" s="919">
        <f t="shared" si="34"/>
        <v>0</v>
      </c>
      <c r="F10" s="919">
        <f>'Table 4 Level 3'!P8</f>
        <v>596.84</v>
      </c>
      <c r="G10" s="919">
        <f t="shared" si="35"/>
        <v>0</v>
      </c>
      <c r="H10" s="898">
        <f t="shared" si="36"/>
        <v>0</v>
      </c>
      <c r="I10" s="1744">
        <f>+'[3]Oct midyear NOMMA'!K9</f>
        <v>0</v>
      </c>
      <c r="J10" s="1744">
        <f>'[3]Feb midyear NOMMA'!K9</f>
        <v>0</v>
      </c>
      <c r="K10" s="1690">
        <f t="shared" si="37"/>
        <v>0</v>
      </c>
      <c r="L10" s="1433">
        <f t="shared" si="30"/>
        <v>0</v>
      </c>
      <c r="M10" s="929">
        <f t="shared" si="38"/>
        <v>0</v>
      </c>
      <c r="N10" s="898">
        <f t="shared" ref="N10:N72" si="53">SUM(L10:M10)</f>
        <v>0</v>
      </c>
      <c r="O10" s="878">
        <v>0</v>
      </c>
      <c r="P10" s="1550">
        <f t="shared" si="39"/>
        <v>0</v>
      </c>
      <c r="Q10" s="1718">
        <f>'[4]Table 5C1D-NOMMA'!M9+'[27]Table 5C1D-NOMMA'!T9+('[26]Table 5C1D-NOMMA'!T9*6)</f>
        <v>0</v>
      </c>
      <c r="R10" s="1813">
        <f t="shared" si="40"/>
        <v>0</v>
      </c>
      <c r="S10" s="1550">
        <f t="shared" si="41"/>
        <v>0</v>
      </c>
      <c r="T10" s="1802">
        <f>'Table 5C1A-Madison Prep'!T10</f>
        <v>5538</v>
      </c>
      <c r="U10" s="1555">
        <f t="shared" si="31"/>
        <v>0</v>
      </c>
      <c r="V10" s="1785">
        <f>+'[3]Oct midyear NOMMA'!E9</f>
        <v>0</v>
      </c>
      <c r="W10" s="1786">
        <f t="shared" si="42"/>
        <v>0</v>
      </c>
      <c r="X10" s="1758">
        <f>'[3]Feb midyear NOMMA'!E9</f>
        <v>0</v>
      </c>
      <c r="Y10" s="1759">
        <f t="shared" si="43"/>
        <v>0</v>
      </c>
      <c r="Z10" s="1653">
        <f t="shared" si="32"/>
        <v>0</v>
      </c>
      <c r="AA10" s="1441">
        <f t="shared" si="44"/>
        <v>0</v>
      </c>
      <c r="AB10" s="937">
        <f t="shared" si="45"/>
        <v>0</v>
      </c>
      <c r="AC10" s="899">
        <f t="shared" si="46"/>
        <v>0</v>
      </c>
      <c r="AD10" s="1830">
        <v>0</v>
      </c>
      <c r="AE10" s="899">
        <f t="shared" si="47"/>
        <v>0</v>
      </c>
      <c r="AF10" s="1755">
        <f>'[4]Table 5C1D-NOMMA'!T9+'[27]Table 5C1D-NOMMA'!AF9+('[26]Table 5C1D-NOMMA'!AF9*6)</f>
        <v>0</v>
      </c>
      <c r="AG10" s="1841">
        <f t="shared" si="48"/>
        <v>0</v>
      </c>
      <c r="AH10" s="999">
        <f t="shared" si="49"/>
        <v>0</v>
      </c>
      <c r="AI10" s="900">
        <f t="shared" si="33"/>
        <v>0</v>
      </c>
      <c r="AJ10" s="900">
        <f t="shared" si="50"/>
        <v>0</v>
      </c>
      <c r="AL10" s="49">
        <f>-'[4]Table 5C1D-NOMMA'!P9</f>
        <v>0</v>
      </c>
      <c r="AM10" s="49">
        <f t="shared" si="51"/>
        <v>0</v>
      </c>
      <c r="AN10" s="49">
        <f t="shared" si="52"/>
        <v>0</v>
      </c>
    </row>
    <row r="11" spans="1:40">
      <c r="A11" s="876">
        <v>4</v>
      </c>
      <c r="B11" s="877" t="s">
        <v>95</v>
      </c>
      <c r="C11" s="969">
        <f>'2-1-13 SIS'!O10</f>
        <v>0</v>
      </c>
      <c r="D11" s="878">
        <f>'Table 3 Levels 1&amp;2'!AL11</f>
        <v>5987.4993535453223</v>
      </c>
      <c r="E11" s="919">
        <f t="shared" si="34"/>
        <v>0</v>
      </c>
      <c r="F11" s="919">
        <f>'Table 4 Level 3'!P9</f>
        <v>585.76</v>
      </c>
      <c r="G11" s="919">
        <f t="shared" si="35"/>
        <v>0</v>
      </c>
      <c r="H11" s="898">
        <f t="shared" si="36"/>
        <v>0</v>
      </c>
      <c r="I11" s="1744">
        <f>+'[3]Oct midyear NOMMA'!K10</f>
        <v>0</v>
      </c>
      <c r="J11" s="1744">
        <f>'[3]Feb midyear NOMMA'!K10</f>
        <v>0</v>
      </c>
      <c r="K11" s="1690">
        <f t="shared" si="37"/>
        <v>0</v>
      </c>
      <c r="L11" s="1433">
        <f t="shared" si="30"/>
        <v>0</v>
      </c>
      <c r="M11" s="929">
        <f t="shared" si="38"/>
        <v>0</v>
      </c>
      <c r="N11" s="898">
        <f t="shared" si="53"/>
        <v>0</v>
      </c>
      <c r="O11" s="878">
        <v>0</v>
      </c>
      <c r="P11" s="1550">
        <f t="shared" si="39"/>
        <v>0</v>
      </c>
      <c r="Q11" s="1718">
        <f>'[4]Table 5C1D-NOMMA'!M10+'[27]Table 5C1D-NOMMA'!T10+('[26]Table 5C1D-NOMMA'!T10*6)</f>
        <v>0</v>
      </c>
      <c r="R11" s="1813">
        <f t="shared" si="40"/>
        <v>0</v>
      </c>
      <c r="S11" s="1550">
        <f t="shared" si="41"/>
        <v>0</v>
      </c>
      <c r="T11" s="1802">
        <f>'Table 5C1A-Madison Prep'!T11</f>
        <v>3507</v>
      </c>
      <c r="U11" s="1555">
        <f t="shared" si="31"/>
        <v>0</v>
      </c>
      <c r="V11" s="1785">
        <f>+'[3]Oct midyear NOMMA'!E10</f>
        <v>0</v>
      </c>
      <c r="W11" s="1786">
        <f t="shared" si="42"/>
        <v>0</v>
      </c>
      <c r="X11" s="1758">
        <f>'[3]Feb midyear NOMMA'!E10</f>
        <v>0</v>
      </c>
      <c r="Y11" s="1759">
        <f t="shared" si="43"/>
        <v>0</v>
      </c>
      <c r="Z11" s="1653">
        <f t="shared" si="32"/>
        <v>0</v>
      </c>
      <c r="AA11" s="1441">
        <f t="shared" si="44"/>
        <v>0</v>
      </c>
      <c r="AB11" s="937">
        <f t="shared" si="45"/>
        <v>0</v>
      </c>
      <c r="AC11" s="899">
        <f t="shared" si="46"/>
        <v>0</v>
      </c>
      <c r="AD11" s="1830">
        <v>0</v>
      </c>
      <c r="AE11" s="899">
        <f t="shared" si="47"/>
        <v>0</v>
      </c>
      <c r="AF11" s="1755">
        <f>'[4]Table 5C1D-NOMMA'!T10+'[27]Table 5C1D-NOMMA'!AF10+('[26]Table 5C1D-NOMMA'!AF10*6)</f>
        <v>0</v>
      </c>
      <c r="AG11" s="1841">
        <f t="shared" si="48"/>
        <v>0</v>
      </c>
      <c r="AH11" s="999">
        <f t="shared" si="49"/>
        <v>0</v>
      </c>
      <c r="AI11" s="900">
        <f t="shared" si="33"/>
        <v>0</v>
      </c>
      <c r="AJ11" s="900">
        <f t="shared" si="50"/>
        <v>0</v>
      </c>
      <c r="AL11" s="49">
        <f>-'[4]Table 5C1D-NOMMA'!P10</f>
        <v>0</v>
      </c>
      <c r="AM11" s="49">
        <f t="shared" si="51"/>
        <v>0</v>
      </c>
      <c r="AN11" s="49">
        <f t="shared" si="52"/>
        <v>0</v>
      </c>
    </row>
    <row r="12" spans="1:40">
      <c r="A12" s="879">
        <v>5</v>
      </c>
      <c r="B12" s="880" t="s">
        <v>96</v>
      </c>
      <c r="C12" s="970">
        <f>'2-1-13 SIS'!O11</f>
        <v>0</v>
      </c>
      <c r="D12" s="881">
        <f>'Table 3 Levels 1&amp;2'!AL12</f>
        <v>4986.8166927080074</v>
      </c>
      <c r="E12" s="920">
        <f t="shared" si="34"/>
        <v>0</v>
      </c>
      <c r="F12" s="920">
        <f>'Table 4 Level 3'!P10</f>
        <v>555.91</v>
      </c>
      <c r="G12" s="920">
        <f t="shared" si="35"/>
        <v>0</v>
      </c>
      <c r="H12" s="901">
        <f t="shared" si="36"/>
        <v>0</v>
      </c>
      <c r="I12" s="1745">
        <f>+'[3]Oct midyear NOMMA'!K11</f>
        <v>0</v>
      </c>
      <c r="J12" s="1745">
        <f>'[3]Feb midyear NOMMA'!K11</f>
        <v>0</v>
      </c>
      <c r="K12" s="1691">
        <f t="shared" si="37"/>
        <v>0</v>
      </c>
      <c r="L12" s="1434">
        <f t="shared" si="30"/>
        <v>0</v>
      </c>
      <c r="M12" s="930">
        <f t="shared" si="38"/>
        <v>0</v>
      </c>
      <c r="N12" s="901">
        <f t="shared" si="53"/>
        <v>0</v>
      </c>
      <c r="O12" s="881">
        <v>0</v>
      </c>
      <c r="P12" s="1551">
        <f t="shared" si="39"/>
        <v>0</v>
      </c>
      <c r="Q12" s="1804">
        <f>'[4]Table 5C1D-NOMMA'!M11+'[27]Table 5C1D-NOMMA'!T11+('[26]Table 5C1D-NOMMA'!T11*6)</f>
        <v>0</v>
      </c>
      <c r="R12" s="1814">
        <f t="shared" si="40"/>
        <v>0</v>
      </c>
      <c r="S12" s="1806">
        <f t="shared" si="41"/>
        <v>0</v>
      </c>
      <c r="T12" s="1807">
        <f>'Table 5C1A-Madison Prep'!T12</f>
        <v>2086</v>
      </c>
      <c r="U12" s="1556">
        <f t="shared" si="31"/>
        <v>0</v>
      </c>
      <c r="V12" s="1787">
        <f>+'[3]Oct midyear NOMMA'!E11</f>
        <v>0</v>
      </c>
      <c r="W12" s="1788">
        <f t="shared" si="42"/>
        <v>0</v>
      </c>
      <c r="X12" s="1762">
        <f>'[3]Feb midyear NOMMA'!E11</f>
        <v>0</v>
      </c>
      <c r="Y12" s="1763">
        <f t="shared" si="43"/>
        <v>0</v>
      </c>
      <c r="Z12" s="1654">
        <f t="shared" si="32"/>
        <v>0</v>
      </c>
      <c r="AA12" s="1443">
        <f t="shared" si="44"/>
        <v>0</v>
      </c>
      <c r="AB12" s="938">
        <f t="shared" si="45"/>
        <v>0</v>
      </c>
      <c r="AC12" s="903">
        <f t="shared" si="46"/>
        <v>0</v>
      </c>
      <c r="AD12" s="1831">
        <v>0</v>
      </c>
      <c r="AE12" s="903">
        <f t="shared" si="47"/>
        <v>0</v>
      </c>
      <c r="AF12" s="1833">
        <f>'[4]Table 5C1D-NOMMA'!T11+'[27]Table 5C1D-NOMMA'!AF11+('[26]Table 5C1D-NOMMA'!AF11*6)</f>
        <v>0</v>
      </c>
      <c r="AG12" s="1842">
        <f t="shared" si="48"/>
        <v>0</v>
      </c>
      <c r="AH12" s="1659">
        <f t="shared" si="49"/>
        <v>0</v>
      </c>
      <c r="AI12" s="904">
        <f t="shared" si="33"/>
        <v>0</v>
      </c>
      <c r="AJ12" s="904">
        <f t="shared" si="50"/>
        <v>0</v>
      </c>
      <c r="AL12" s="49">
        <f>-'[4]Table 5C1D-NOMMA'!P11</f>
        <v>0</v>
      </c>
      <c r="AM12" s="49">
        <f t="shared" si="51"/>
        <v>0</v>
      </c>
      <c r="AN12" s="49">
        <f t="shared" si="52"/>
        <v>0</v>
      </c>
    </row>
    <row r="13" spans="1:40">
      <c r="A13" s="870">
        <v>6</v>
      </c>
      <c r="B13" s="871" t="s">
        <v>97</v>
      </c>
      <c r="C13" s="971">
        <f>'2-1-13 SIS'!O12</f>
        <v>0</v>
      </c>
      <c r="D13" s="872">
        <f>'Table 3 Levels 1&amp;2'!AL13</f>
        <v>5412.7883404260592</v>
      </c>
      <c r="E13" s="918">
        <f t="shared" si="34"/>
        <v>0</v>
      </c>
      <c r="F13" s="918">
        <f>'Table 4 Level 3'!P11</f>
        <v>545.4799999999999</v>
      </c>
      <c r="G13" s="918">
        <f t="shared" si="35"/>
        <v>0</v>
      </c>
      <c r="H13" s="873">
        <f t="shared" si="36"/>
        <v>0</v>
      </c>
      <c r="I13" s="1718">
        <f>+'[3]Oct midyear NOMMA'!K12</f>
        <v>0</v>
      </c>
      <c r="J13" s="1718">
        <f>'[3]Feb midyear NOMMA'!K12</f>
        <v>0</v>
      </c>
      <c r="K13" s="1542">
        <f t="shared" si="37"/>
        <v>0</v>
      </c>
      <c r="L13" s="1431">
        <f t="shared" si="30"/>
        <v>0</v>
      </c>
      <c r="M13" s="928">
        <f t="shared" si="38"/>
        <v>0</v>
      </c>
      <c r="N13" s="873">
        <f t="shared" si="53"/>
        <v>0</v>
      </c>
      <c r="O13" s="872">
        <v>0</v>
      </c>
      <c r="P13" s="998">
        <f t="shared" si="39"/>
        <v>0</v>
      </c>
      <c r="Q13" s="1718">
        <f>'[4]Table 5C1D-NOMMA'!M12+'[27]Table 5C1D-NOMMA'!T12+('[26]Table 5C1D-NOMMA'!T12*6)</f>
        <v>0</v>
      </c>
      <c r="R13" s="1718">
        <f t="shared" si="40"/>
        <v>0</v>
      </c>
      <c r="S13" s="998">
        <f t="shared" si="41"/>
        <v>0</v>
      </c>
      <c r="T13" s="1802">
        <f>'Table 5C1A-Madison Prep'!T13</f>
        <v>3683</v>
      </c>
      <c r="U13" s="999">
        <f t="shared" si="31"/>
        <v>0</v>
      </c>
      <c r="V13" s="1754">
        <f>+'[3]Oct midyear NOMMA'!E12</f>
        <v>0</v>
      </c>
      <c r="W13" s="1755">
        <f t="shared" si="42"/>
        <v>0</v>
      </c>
      <c r="X13" s="1754">
        <f>'[3]Feb midyear NOMMA'!E12</f>
        <v>0</v>
      </c>
      <c r="Y13" s="1755">
        <f t="shared" si="43"/>
        <v>0</v>
      </c>
      <c r="Z13" s="1652">
        <f t="shared" si="32"/>
        <v>0</v>
      </c>
      <c r="AA13" s="1446">
        <f t="shared" si="44"/>
        <v>0</v>
      </c>
      <c r="AB13" s="936">
        <f t="shared" si="45"/>
        <v>0</v>
      </c>
      <c r="AC13" s="874">
        <f t="shared" si="46"/>
        <v>0</v>
      </c>
      <c r="AD13" s="1829">
        <v>0</v>
      </c>
      <c r="AE13" s="874">
        <f t="shared" si="47"/>
        <v>0</v>
      </c>
      <c r="AF13" s="1755">
        <f>'[4]Table 5C1D-NOMMA'!T12+'[27]Table 5C1D-NOMMA'!AF12+('[26]Table 5C1D-NOMMA'!AF12*6)</f>
        <v>0</v>
      </c>
      <c r="AG13" s="1755">
        <f t="shared" si="48"/>
        <v>0</v>
      </c>
      <c r="AH13" s="999">
        <f t="shared" si="49"/>
        <v>0</v>
      </c>
      <c r="AI13" s="875">
        <f t="shared" si="33"/>
        <v>0</v>
      </c>
      <c r="AJ13" s="875">
        <f t="shared" si="50"/>
        <v>0</v>
      </c>
      <c r="AL13" s="49">
        <f>-'[4]Table 5C1D-NOMMA'!P12</f>
        <v>0</v>
      </c>
      <c r="AM13" s="49">
        <f t="shared" si="51"/>
        <v>0</v>
      </c>
      <c r="AN13" s="49">
        <f t="shared" si="52"/>
        <v>0</v>
      </c>
    </row>
    <row r="14" spans="1:40">
      <c r="A14" s="876">
        <v>7</v>
      </c>
      <c r="B14" s="877" t="s">
        <v>98</v>
      </c>
      <c r="C14" s="969">
        <f>'2-1-13 SIS'!O13</f>
        <v>0</v>
      </c>
      <c r="D14" s="878">
        <f>'Table 3 Levels 1&amp;2'!AL14</f>
        <v>1766.1023604176123</v>
      </c>
      <c r="E14" s="919">
        <f t="shared" si="34"/>
        <v>0</v>
      </c>
      <c r="F14" s="919">
        <f>'Table 4 Level 3'!P12</f>
        <v>756.91999999999985</v>
      </c>
      <c r="G14" s="919">
        <f t="shared" si="35"/>
        <v>0</v>
      </c>
      <c r="H14" s="898">
        <f t="shared" si="36"/>
        <v>0</v>
      </c>
      <c r="I14" s="1744">
        <f>+'[3]Oct midyear NOMMA'!K13</f>
        <v>0</v>
      </c>
      <c r="J14" s="1744">
        <f>'[3]Feb midyear NOMMA'!K13</f>
        <v>0</v>
      </c>
      <c r="K14" s="1690">
        <f t="shared" si="37"/>
        <v>0</v>
      </c>
      <c r="L14" s="1433">
        <f t="shared" si="30"/>
        <v>0</v>
      </c>
      <c r="M14" s="929">
        <f t="shared" si="38"/>
        <v>0</v>
      </c>
      <c r="N14" s="898">
        <f t="shared" si="53"/>
        <v>0</v>
      </c>
      <c r="O14" s="878">
        <v>0</v>
      </c>
      <c r="P14" s="1550">
        <f t="shared" si="39"/>
        <v>0</v>
      </c>
      <c r="Q14" s="1718">
        <f>'[4]Table 5C1D-NOMMA'!M13+'[27]Table 5C1D-NOMMA'!T13+('[26]Table 5C1D-NOMMA'!T13*6)</f>
        <v>0</v>
      </c>
      <c r="R14" s="1813">
        <f t="shared" si="40"/>
        <v>0</v>
      </c>
      <c r="S14" s="1550">
        <f t="shared" si="41"/>
        <v>0</v>
      </c>
      <c r="T14" s="1802">
        <f>'Table 5C1A-Madison Prep'!T14</f>
        <v>11801</v>
      </c>
      <c r="U14" s="1555">
        <f t="shared" si="31"/>
        <v>0</v>
      </c>
      <c r="V14" s="1785">
        <f>+'[3]Oct midyear NOMMA'!E13</f>
        <v>0</v>
      </c>
      <c r="W14" s="1786">
        <f t="shared" si="42"/>
        <v>0</v>
      </c>
      <c r="X14" s="1758">
        <f>'[3]Feb midyear NOMMA'!E13</f>
        <v>0</v>
      </c>
      <c r="Y14" s="1759">
        <f t="shared" si="43"/>
        <v>0</v>
      </c>
      <c r="Z14" s="1653">
        <f t="shared" si="32"/>
        <v>0</v>
      </c>
      <c r="AA14" s="1441">
        <f t="shared" si="44"/>
        <v>0</v>
      </c>
      <c r="AB14" s="937">
        <f t="shared" si="45"/>
        <v>0</v>
      </c>
      <c r="AC14" s="899">
        <f t="shared" si="46"/>
        <v>0</v>
      </c>
      <c r="AD14" s="1830">
        <v>0</v>
      </c>
      <c r="AE14" s="899">
        <f t="shared" si="47"/>
        <v>0</v>
      </c>
      <c r="AF14" s="1755">
        <f>'[4]Table 5C1D-NOMMA'!T13+'[27]Table 5C1D-NOMMA'!AF13+('[26]Table 5C1D-NOMMA'!AF13*6)</f>
        <v>0</v>
      </c>
      <c r="AG14" s="1841">
        <f t="shared" si="48"/>
        <v>0</v>
      </c>
      <c r="AH14" s="999">
        <f t="shared" si="49"/>
        <v>0</v>
      </c>
      <c r="AI14" s="900">
        <f t="shared" si="33"/>
        <v>0</v>
      </c>
      <c r="AJ14" s="900">
        <f t="shared" si="50"/>
        <v>0</v>
      </c>
      <c r="AL14" s="49">
        <f>-'[4]Table 5C1D-NOMMA'!P13</f>
        <v>0</v>
      </c>
      <c r="AM14" s="49">
        <f t="shared" si="51"/>
        <v>0</v>
      </c>
      <c r="AN14" s="49">
        <f t="shared" si="52"/>
        <v>0</v>
      </c>
    </row>
    <row r="15" spans="1:40">
      <c r="A15" s="876">
        <v>8</v>
      </c>
      <c r="B15" s="877" t="s">
        <v>99</v>
      </c>
      <c r="C15" s="969">
        <f>'2-1-13 SIS'!O14</f>
        <v>0</v>
      </c>
      <c r="D15" s="878">
        <f>'Table 3 Levels 1&amp;2'!AL15</f>
        <v>4289.5073606712331</v>
      </c>
      <c r="E15" s="919">
        <f t="shared" si="34"/>
        <v>0</v>
      </c>
      <c r="F15" s="919">
        <f>'Table 4 Level 3'!P13</f>
        <v>725.76</v>
      </c>
      <c r="G15" s="919">
        <f t="shared" si="35"/>
        <v>0</v>
      </c>
      <c r="H15" s="898">
        <f t="shared" si="36"/>
        <v>0</v>
      </c>
      <c r="I15" s="1744">
        <f>+'[3]Oct midyear NOMMA'!K14</f>
        <v>0</v>
      </c>
      <c r="J15" s="1744">
        <f>'[3]Feb midyear NOMMA'!K14</f>
        <v>0</v>
      </c>
      <c r="K15" s="1690">
        <f t="shared" si="37"/>
        <v>0</v>
      </c>
      <c r="L15" s="1433">
        <f t="shared" si="30"/>
        <v>0</v>
      </c>
      <c r="M15" s="929">
        <f t="shared" si="38"/>
        <v>0</v>
      </c>
      <c r="N15" s="898">
        <f t="shared" si="53"/>
        <v>0</v>
      </c>
      <c r="O15" s="878">
        <v>0</v>
      </c>
      <c r="P15" s="1550">
        <f t="shared" si="39"/>
        <v>0</v>
      </c>
      <c r="Q15" s="1718">
        <f>'[4]Table 5C1D-NOMMA'!M14+'[27]Table 5C1D-NOMMA'!T14+('[26]Table 5C1D-NOMMA'!T14*6)</f>
        <v>0</v>
      </c>
      <c r="R15" s="1813">
        <f t="shared" si="40"/>
        <v>0</v>
      </c>
      <c r="S15" s="1550">
        <f t="shared" si="41"/>
        <v>0</v>
      </c>
      <c r="T15" s="1802">
        <f>'Table 5C1A-Madison Prep'!T15</f>
        <v>3988</v>
      </c>
      <c r="U15" s="1555">
        <f t="shared" si="31"/>
        <v>0</v>
      </c>
      <c r="V15" s="1785">
        <f>+'[3]Oct midyear NOMMA'!E14</f>
        <v>0</v>
      </c>
      <c r="W15" s="1786">
        <f t="shared" si="42"/>
        <v>0</v>
      </c>
      <c r="X15" s="1758">
        <f>'[3]Feb midyear NOMMA'!E14</f>
        <v>0</v>
      </c>
      <c r="Y15" s="1759">
        <f t="shared" si="43"/>
        <v>0</v>
      </c>
      <c r="Z15" s="1653">
        <f t="shared" si="32"/>
        <v>0</v>
      </c>
      <c r="AA15" s="1441">
        <f t="shared" si="44"/>
        <v>0</v>
      </c>
      <c r="AB15" s="937">
        <f t="shared" si="45"/>
        <v>0</v>
      </c>
      <c r="AC15" s="899">
        <f t="shared" si="46"/>
        <v>0</v>
      </c>
      <c r="AD15" s="1830">
        <v>0</v>
      </c>
      <c r="AE15" s="899">
        <f t="shared" si="47"/>
        <v>0</v>
      </c>
      <c r="AF15" s="1755">
        <f>'[4]Table 5C1D-NOMMA'!T14+'[27]Table 5C1D-NOMMA'!AF14+('[26]Table 5C1D-NOMMA'!AF14*6)</f>
        <v>0</v>
      </c>
      <c r="AG15" s="1841">
        <f t="shared" si="48"/>
        <v>0</v>
      </c>
      <c r="AH15" s="999">
        <f t="shared" si="49"/>
        <v>0</v>
      </c>
      <c r="AI15" s="900">
        <f t="shared" si="33"/>
        <v>0</v>
      </c>
      <c r="AJ15" s="900">
        <f t="shared" si="50"/>
        <v>0</v>
      </c>
      <c r="AL15" s="49">
        <f>-'[4]Table 5C1D-NOMMA'!P14</f>
        <v>0</v>
      </c>
      <c r="AM15" s="49">
        <f t="shared" si="51"/>
        <v>0</v>
      </c>
      <c r="AN15" s="49">
        <f t="shared" si="52"/>
        <v>0</v>
      </c>
    </row>
    <row r="16" spans="1:40">
      <c r="A16" s="876">
        <v>9</v>
      </c>
      <c r="B16" s="877" t="s">
        <v>100</v>
      </c>
      <c r="C16" s="969">
        <f>'2-1-13 SIS'!O15</f>
        <v>0</v>
      </c>
      <c r="D16" s="878">
        <f>'Table 3 Levels 1&amp;2'!AL16</f>
        <v>4395.6154516889328</v>
      </c>
      <c r="E16" s="919">
        <f t="shared" si="34"/>
        <v>0</v>
      </c>
      <c r="F16" s="919">
        <f>'Table 4 Level 3'!P14</f>
        <v>744.76</v>
      </c>
      <c r="G16" s="919">
        <f t="shared" si="35"/>
        <v>0</v>
      </c>
      <c r="H16" s="898">
        <f t="shared" si="36"/>
        <v>0</v>
      </c>
      <c r="I16" s="1744">
        <f>+'[3]Oct midyear NOMMA'!K15</f>
        <v>0</v>
      </c>
      <c r="J16" s="1744">
        <f>'[3]Feb midyear NOMMA'!K15</f>
        <v>0</v>
      </c>
      <c r="K16" s="1690">
        <f t="shared" si="37"/>
        <v>0</v>
      </c>
      <c r="L16" s="1433">
        <f t="shared" si="30"/>
        <v>0</v>
      </c>
      <c r="M16" s="929">
        <f t="shared" si="38"/>
        <v>0</v>
      </c>
      <c r="N16" s="898">
        <f t="shared" si="53"/>
        <v>0</v>
      </c>
      <c r="O16" s="878">
        <v>0</v>
      </c>
      <c r="P16" s="1550">
        <f t="shared" si="39"/>
        <v>0</v>
      </c>
      <c r="Q16" s="1718">
        <f>'[4]Table 5C1D-NOMMA'!M15+'[27]Table 5C1D-NOMMA'!T15+('[26]Table 5C1D-NOMMA'!T15*6)</f>
        <v>0</v>
      </c>
      <c r="R16" s="1813">
        <f t="shared" si="40"/>
        <v>0</v>
      </c>
      <c r="S16" s="1550">
        <f t="shared" si="41"/>
        <v>0</v>
      </c>
      <c r="T16" s="1802">
        <f>'Table 5C1A-Madison Prep'!T16</f>
        <v>4677</v>
      </c>
      <c r="U16" s="1555">
        <f t="shared" si="31"/>
        <v>0</v>
      </c>
      <c r="V16" s="1785">
        <f>+'[3]Oct midyear NOMMA'!E15</f>
        <v>0</v>
      </c>
      <c r="W16" s="1786">
        <f t="shared" si="42"/>
        <v>0</v>
      </c>
      <c r="X16" s="1758">
        <f>'[3]Feb midyear NOMMA'!E15</f>
        <v>0</v>
      </c>
      <c r="Y16" s="1759">
        <f t="shared" si="43"/>
        <v>0</v>
      </c>
      <c r="Z16" s="1653">
        <f t="shared" si="32"/>
        <v>0</v>
      </c>
      <c r="AA16" s="1441">
        <f t="shared" si="44"/>
        <v>0</v>
      </c>
      <c r="AB16" s="937">
        <f t="shared" si="45"/>
        <v>0</v>
      </c>
      <c r="AC16" s="899">
        <f t="shared" si="46"/>
        <v>0</v>
      </c>
      <c r="AD16" s="1830">
        <v>0</v>
      </c>
      <c r="AE16" s="899">
        <f t="shared" si="47"/>
        <v>0</v>
      </c>
      <c r="AF16" s="1755">
        <f>'[4]Table 5C1D-NOMMA'!T15+'[27]Table 5C1D-NOMMA'!AF15+('[26]Table 5C1D-NOMMA'!AF15*6)</f>
        <v>0</v>
      </c>
      <c r="AG16" s="1841">
        <f t="shared" si="48"/>
        <v>0</v>
      </c>
      <c r="AH16" s="999">
        <f t="shared" si="49"/>
        <v>0</v>
      </c>
      <c r="AI16" s="900">
        <f t="shared" si="33"/>
        <v>0</v>
      </c>
      <c r="AJ16" s="900">
        <f t="shared" si="50"/>
        <v>0</v>
      </c>
      <c r="AL16" s="49">
        <f>-'[4]Table 5C1D-NOMMA'!P15</f>
        <v>0</v>
      </c>
      <c r="AM16" s="49">
        <f t="shared" si="51"/>
        <v>0</v>
      </c>
      <c r="AN16" s="49">
        <f t="shared" si="52"/>
        <v>0</v>
      </c>
    </row>
    <row r="17" spans="1:40">
      <c r="A17" s="879">
        <v>10</v>
      </c>
      <c r="B17" s="880" t="s">
        <v>101</v>
      </c>
      <c r="C17" s="970">
        <f>'2-1-13 SIS'!O16</f>
        <v>0</v>
      </c>
      <c r="D17" s="881">
        <f>'Table 3 Levels 1&amp;2'!AL17</f>
        <v>4253.5980618992444</v>
      </c>
      <c r="E17" s="920">
        <f t="shared" si="34"/>
        <v>0</v>
      </c>
      <c r="F17" s="920">
        <f>'Table 4 Level 3'!P15</f>
        <v>608.04000000000008</v>
      </c>
      <c r="G17" s="920">
        <f t="shared" si="35"/>
        <v>0</v>
      </c>
      <c r="H17" s="901">
        <f t="shared" si="36"/>
        <v>0</v>
      </c>
      <c r="I17" s="1745">
        <f>+'[3]Oct midyear NOMMA'!K16</f>
        <v>0</v>
      </c>
      <c r="J17" s="1745">
        <f>'[3]Feb midyear NOMMA'!K16</f>
        <v>0</v>
      </c>
      <c r="K17" s="1691">
        <f t="shared" si="37"/>
        <v>0</v>
      </c>
      <c r="L17" s="1434">
        <f t="shared" si="30"/>
        <v>0</v>
      </c>
      <c r="M17" s="930">
        <f t="shared" si="38"/>
        <v>0</v>
      </c>
      <c r="N17" s="901">
        <f t="shared" si="53"/>
        <v>0</v>
      </c>
      <c r="O17" s="881">
        <v>0</v>
      </c>
      <c r="P17" s="1551">
        <f t="shared" si="39"/>
        <v>0</v>
      </c>
      <c r="Q17" s="1804">
        <f>'[4]Table 5C1D-NOMMA'!M16+'[27]Table 5C1D-NOMMA'!T16+('[26]Table 5C1D-NOMMA'!T16*6)</f>
        <v>0</v>
      </c>
      <c r="R17" s="1814">
        <f t="shared" si="40"/>
        <v>0</v>
      </c>
      <c r="S17" s="1806">
        <f t="shared" si="41"/>
        <v>0</v>
      </c>
      <c r="T17" s="1807">
        <f>'Table 5C1A-Madison Prep'!T17</f>
        <v>4502</v>
      </c>
      <c r="U17" s="1556">
        <f t="shared" si="31"/>
        <v>0</v>
      </c>
      <c r="V17" s="1787">
        <f>+'[3]Oct midyear NOMMA'!E16</f>
        <v>0</v>
      </c>
      <c r="W17" s="1788">
        <f t="shared" si="42"/>
        <v>0</v>
      </c>
      <c r="X17" s="1762">
        <f>'[3]Feb midyear NOMMA'!E16</f>
        <v>0</v>
      </c>
      <c r="Y17" s="1763">
        <f t="shared" si="43"/>
        <v>0</v>
      </c>
      <c r="Z17" s="1654">
        <f t="shared" si="32"/>
        <v>0</v>
      </c>
      <c r="AA17" s="1443">
        <f t="shared" si="44"/>
        <v>0</v>
      </c>
      <c r="AB17" s="938">
        <f t="shared" si="45"/>
        <v>0</v>
      </c>
      <c r="AC17" s="903">
        <f t="shared" si="46"/>
        <v>0</v>
      </c>
      <c r="AD17" s="1831">
        <v>0</v>
      </c>
      <c r="AE17" s="903">
        <f t="shared" si="47"/>
        <v>0</v>
      </c>
      <c r="AF17" s="1833">
        <f>'[4]Table 5C1D-NOMMA'!T16+'[27]Table 5C1D-NOMMA'!AF16+('[26]Table 5C1D-NOMMA'!AF16*6)</f>
        <v>0</v>
      </c>
      <c r="AG17" s="1842">
        <f t="shared" si="48"/>
        <v>0</v>
      </c>
      <c r="AH17" s="1659">
        <f t="shared" si="49"/>
        <v>0</v>
      </c>
      <c r="AI17" s="904">
        <f t="shared" si="33"/>
        <v>0</v>
      </c>
      <c r="AJ17" s="904">
        <f t="shared" si="50"/>
        <v>0</v>
      </c>
      <c r="AL17" s="49">
        <f>-'[4]Table 5C1D-NOMMA'!P16</f>
        <v>0</v>
      </c>
      <c r="AM17" s="49">
        <f t="shared" si="51"/>
        <v>0</v>
      </c>
      <c r="AN17" s="49">
        <f t="shared" si="52"/>
        <v>0</v>
      </c>
    </row>
    <row r="18" spans="1:40">
      <c r="A18" s="870">
        <v>11</v>
      </c>
      <c r="B18" s="871" t="s">
        <v>102</v>
      </c>
      <c r="C18" s="971">
        <f>'2-1-13 SIS'!O17</f>
        <v>0</v>
      </c>
      <c r="D18" s="872">
        <f>'Table 3 Levels 1&amp;2'!AL18</f>
        <v>6852.9138435383502</v>
      </c>
      <c r="E18" s="918">
        <f t="shared" si="34"/>
        <v>0</v>
      </c>
      <c r="F18" s="918">
        <f>'Table 4 Level 3'!P16</f>
        <v>706.55</v>
      </c>
      <c r="G18" s="918">
        <f t="shared" si="35"/>
        <v>0</v>
      </c>
      <c r="H18" s="873">
        <f t="shared" si="36"/>
        <v>0</v>
      </c>
      <c r="I18" s="1718">
        <f>+'[3]Oct midyear NOMMA'!K17</f>
        <v>0</v>
      </c>
      <c r="J18" s="1718">
        <f>'[3]Feb midyear NOMMA'!K17</f>
        <v>0</v>
      </c>
      <c r="K18" s="1542">
        <f t="shared" si="37"/>
        <v>0</v>
      </c>
      <c r="L18" s="1431">
        <f t="shared" si="30"/>
        <v>0</v>
      </c>
      <c r="M18" s="928">
        <f t="shared" si="38"/>
        <v>0</v>
      </c>
      <c r="N18" s="873">
        <f t="shared" si="53"/>
        <v>0</v>
      </c>
      <c r="O18" s="872">
        <v>0</v>
      </c>
      <c r="P18" s="998">
        <f t="shared" si="39"/>
        <v>0</v>
      </c>
      <c r="Q18" s="1718">
        <f>'[4]Table 5C1D-NOMMA'!M17+'[27]Table 5C1D-NOMMA'!T17+('[26]Table 5C1D-NOMMA'!T17*6)</f>
        <v>0</v>
      </c>
      <c r="R18" s="1718">
        <f t="shared" si="40"/>
        <v>0</v>
      </c>
      <c r="S18" s="998">
        <f t="shared" si="41"/>
        <v>0</v>
      </c>
      <c r="T18" s="1802">
        <f>'Table 5C1A-Madison Prep'!T18</f>
        <v>3776</v>
      </c>
      <c r="U18" s="999">
        <f t="shared" si="31"/>
        <v>0</v>
      </c>
      <c r="V18" s="1754">
        <f>+'[3]Oct midyear NOMMA'!E17</f>
        <v>0</v>
      </c>
      <c r="W18" s="1755">
        <f t="shared" si="42"/>
        <v>0</v>
      </c>
      <c r="X18" s="1754">
        <f>'[3]Feb midyear NOMMA'!E17</f>
        <v>0</v>
      </c>
      <c r="Y18" s="1755">
        <f t="shared" si="43"/>
        <v>0</v>
      </c>
      <c r="Z18" s="1652">
        <f t="shared" si="32"/>
        <v>0</v>
      </c>
      <c r="AA18" s="1446">
        <f t="shared" si="44"/>
        <v>0</v>
      </c>
      <c r="AB18" s="936">
        <f t="shared" si="45"/>
        <v>0</v>
      </c>
      <c r="AC18" s="874">
        <f t="shared" si="46"/>
        <v>0</v>
      </c>
      <c r="AD18" s="1829">
        <v>0</v>
      </c>
      <c r="AE18" s="874">
        <f t="shared" si="47"/>
        <v>0</v>
      </c>
      <c r="AF18" s="1755">
        <f>'[4]Table 5C1D-NOMMA'!T17+'[27]Table 5C1D-NOMMA'!AF17+('[26]Table 5C1D-NOMMA'!AF17*6)</f>
        <v>0</v>
      </c>
      <c r="AG18" s="1755">
        <f t="shared" si="48"/>
        <v>0</v>
      </c>
      <c r="AH18" s="999">
        <f t="shared" si="49"/>
        <v>0</v>
      </c>
      <c r="AI18" s="875">
        <f t="shared" si="33"/>
        <v>0</v>
      </c>
      <c r="AJ18" s="875">
        <f t="shared" si="50"/>
        <v>0</v>
      </c>
      <c r="AL18" s="49">
        <f>-'[4]Table 5C1D-NOMMA'!P17</f>
        <v>0</v>
      </c>
      <c r="AM18" s="49">
        <f t="shared" si="51"/>
        <v>0</v>
      </c>
      <c r="AN18" s="49">
        <f t="shared" si="52"/>
        <v>0</v>
      </c>
    </row>
    <row r="19" spans="1:40">
      <c r="A19" s="876">
        <v>12</v>
      </c>
      <c r="B19" s="877" t="s">
        <v>103</v>
      </c>
      <c r="C19" s="969">
        <f>'2-1-13 SIS'!O18</f>
        <v>0</v>
      </c>
      <c r="D19" s="878">
        <f>'Table 3 Levels 1&amp;2'!AL19</f>
        <v>1733.9056059356967</v>
      </c>
      <c r="E19" s="919">
        <f t="shared" si="34"/>
        <v>0</v>
      </c>
      <c r="F19" s="919">
        <f>'Table 4 Level 3'!P17</f>
        <v>1063.31</v>
      </c>
      <c r="G19" s="919">
        <f t="shared" si="35"/>
        <v>0</v>
      </c>
      <c r="H19" s="898">
        <f t="shared" si="36"/>
        <v>0</v>
      </c>
      <c r="I19" s="1744">
        <f>+'[3]Oct midyear NOMMA'!K18</f>
        <v>0</v>
      </c>
      <c r="J19" s="1744">
        <f>'[3]Feb midyear NOMMA'!K18</f>
        <v>0</v>
      </c>
      <c r="K19" s="1690">
        <f t="shared" si="37"/>
        <v>0</v>
      </c>
      <c r="L19" s="1433">
        <f t="shared" si="30"/>
        <v>0</v>
      </c>
      <c r="M19" s="929">
        <f t="shared" si="38"/>
        <v>0</v>
      </c>
      <c r="N19" s="898">
        <f t="shared" si="53"/>
        <v>0</v>
      </c>
      <c r="O19" s="878">
        <v>0</v>
      </c>
      <c r="P19" s="1550">
        <f t="shared" si="39"/>
        <v>0</v>
      </c>
      <c r="Q19" s="1718">
        <f>'[4]Table 5C1D-NOMMA'!M18+'[27]Table 5C1D-NOMMA'!T18+('[26]Table 5C1D-NOMMA'!T18*6)</f>
        <v>0</v>
      </c>
      <c r="R19" s="1813">
        <f t="shared" si="40"/>
        <v>0</v>
      </c>
      <c r="S19" s="1550">
        <f t="shared" si="41"/>
        <v>0</v>
      </c>
      <c r="T19" s="1802">
        <f>'Table 5C1A-Madison Prep'!T19</f>
        <v>13312</v>
      </c>
      <c r="U19" s="1555">
        <f t="shared" si="31"/>
        <v>0</v>
      </c>
      <c r="V19" s="1785">
        <f>+'[3]Oct midyear NOMMA'!E18</f>
        <v>0</v>
      </c>
      <c r="W19" s="1786">
        <f t="shared" si="42"/>
        <v>0</v>
      </c>
      <c r="X19" s="1758">
        <f>'[3]Feb midyear NOMMA'!E18</f>
        <v>0</v>
      </c>
      <c r="Y19" s="1759">
        <f t="shared" si="43"/>
        <v>0</v>
      </c>
      <c r="Z19" s="1653">
        <f t="shared" si="32"/>
        <v>0</v>
      </c>
      <c r="AA19" s="1441">
        <f t="shared" si="44"/>
        <v>0</v>
      </c>
      <c r="AB19" s="937">
        <f t="shared" si="45"/>
        <v>0</v>
      </c>
      <c r="AC19" s="899">
        <f t="shared" si="46"/>
        <v>0</v>
      </c>
      <c r="AD19" s="1830">
        <v>0</v>
      </c>
      <c r="AE19" s="899">
        <f t="shared" si="47"/>
        <v>0</v>
      </c>
      <c r="AF19" s="1755">
        <f>'[4]Table 5C1D-NOMMA'!T18+'[27]Table 5C1D-NOMMA'!AF18+('[26]Table 5C1D-NOMMA'!AF18*6)</f>
        <v>0</v>
      </c>
      <c r="AG19" s="1841">
        <f t="shared" si="48"/>
        <v>0</v>
      </c>
      <c r="AH19" s="999">
        <f t="shared" si="49"/>
        <v>0</v>
      </c>
      <c r="AI19" s="900">
        <f t="shared" si="33"/>
        <v>0</v>
      </c>
      <c r="AJ19" s="900">
        <f t="shared" si="50"/>
        <v>0</v>
      </c>
      <c r="AL19" s="49">
        <f>-'[4]Table 5C1D-NOMMA'!P18</f>
        <v>0</v>
      </c>
      <c r="AM19" s="49">
        <f t="shared" si="51"/>
        <v>0</v>
      </c>
      <c r="AN19" s="49">
        <f t="shared" si="52"/>
        <v>0</v>
      </c>
    </row>
    <row r="20" spans="1:40">
      <c r="A20" s="876">
        <v>13</v>
      </c>
      <c r="B20" s="877" t="s">
        <v>104</v>
      </c>
      <c r="C20" s="969">
        <f>'2-1-13 SIS'!O19</f>
        <v>0</v>
      </c>
      <c r="D20" s="878">
        <f>'Table 3 Levels 1&amp;2'!AL20</f>
        <v>6254.1238637730876</v>
      </c>
      <c r="E20" s="919">
        <f t="shared" si="34"/>
        <v>0</v>
      </c>
      <c r="F20" s="919">
        <f>'Table 4 Level 3'!P18</f>
        <v>749.43000000000006</v>
      </c>
      <c r="G20" s="919">
        <f t="shared" si="35"/>
        <v>0</v>
      </c>
      <c r="H20" s="898">
        <f t="shared" si="36"/>
        <v>0</v>
      </c>
      <c r="I20" s="1744">
        <f>+'[3]Oct midyear NOMMA'!K19</f>
        <v>0</v>
      </c>
      <c r="J20" s="1744">
        <f>'[3]Feb midyear NOMMA'!K19</f>
        <v>0</v>
      </c>
      <c r="K20" s="1690">
        <f t="shared" si="37"/>
        <v>0</v>
      </c>
      <c r="L20" s="1433">
        <f t="shared" si="30"/>
        <v>0</v>
      </c>
      <c r="M20" s="929">
        <f t="shared" si="38"/>
        <v>0</v>
      </c>
      <c r="N20" s="898">
        <f t="shared" si="53"/>
        <v>0</v>
      </c>
      <c r="O20" s="878">
        <v>0</v>
      </c>
      <c r="P20" s="1550">
        <f t="shared" si="39"/>
        <v>0</v>
      </c>
      <c r="Q20" s="1718">
        <f>'[4]Table 5C1D-NOMMA'!M19+'[27]Table 5C1D-NOMMA'!T19+('[26]Table 5C1D-NOMMA'!T19*6)</f>
        <v>0</v>
      </c>
      <c r="R20" s="1813">
        <f t="shared" si="40"/>
        <v>0</v>
      </c>
      <c r="S20" s="1550">
        <f t="shared" si="41"/>
        <v>0</v>
      </c>
      <c r="T20" s="1802">
        <f>'Table 5C1A-Madison Prep'!T20</f>
        <v>2671</v>
      </c>
      <c r="U20" s="1555">
        <f t="shared" si="31"/>
        <v>0</v>
      </c>
      <c r="V20" s="1785">
        <f>+'[3]Oct midyear NOMMA'!E19</f>
        <v>0</v>
      </c>
      <c r="W20" s="1786">
        <f t="shared" si="42"/>
        <v>0</v>
      </c>
      <c r="X20" s="1758">
        <f>'[3]Feb midyear NOMMA'!E19</f>
        <v>0</v>
      </c>
      <c r="Y20" s="1759">
        <f t="shared" si="43"/>
        <v>0</v>
      </c>
      <c r="Z20" s="1653">
        <f t="shared" si="32"/>
        <v>0</v>
      </c>
      <c r="AA20" s="1441">
        <f t="shared" si="44"/>
        <v>0</v>
      </c>
      <c r="AB20" s="937">
        <f t="shared" si="45"/>
        <v>0</v>
      </c>
      <c r="AC20" s="899">
        <f t="shared" si="46"/>
        <v>0</v>
      </c>
      <c r="AD20" s="1830">
        <v>0</v>
      </c>
      <c r="AE20" s="899">
        <f t="shared" si="47"/>
        <v>0</v>
      </c>
      <c r="AF20" s="1755">
        <f>'[4]Table 5C1D-NOMMA'!T19+'[27]Table 5C1D-NOMMA'!AF19+('[26]Table 5C1D-NOMMA'!AF19*6)</f>
        <v>0</v>
      </c>
      <c r="AG20" s="1841">
        <f t="shared" si="48"/>
        <v>0</v>
      </c>
      <c r="AH20" s="999">
        <f t="shared" si="49"/>
        <v>0</v>
      </c>
      <c r="AI20" s="900">
        <f t="shared" si="33"/>
        <v>0</v>
      </c>
      <c r="AJ20" s="900">
        <f t="shared" si="50"/>
        <v>0</v>
      </c>
      <c r="AL20" s="49">
        <f>-'[4]Table 5C1D-NOMMA'!P19</f>
        <v>0</v>
      </c>
      <c r="AM20" s="49">
        <f t="shared" si="51"/>
        <v>0</v>
      </c>
      <c r="AN20" s="49">
        <f t="shared" si="52"/>
        <v>0</v>
      </c>
    </row>
    <row r="21" spans="1:40">
      <c r="A21" s="876">
        <v>14</v>
      </c>
      <c r="B21" s="877" t="s">
        <v>105</v>
      </c>
      <c r="C21" s="969">
        <f>'2-1-13 SIS'!O20</f>
        <v>0</v>
      </c>
      <c r="D21" s="878">
        <f>'Table 3 Levels 1&amp;2'!AL21</f>
        <v>5377.9187438545459</v>
      </c>
      <c r="E21" s="919">
        <f t="shared" si="34"/>
        <v>0</v>
      </c>
      <c r="F21" s="919">
        <f>'Table 4 Level 3'!P19</f>
        <v>809.9799999999999</v>
      </c>
      <c r="G21" s="919">
        <f t="shared" si="35"/>
        <v>0</v>
      </c>
      <c r="H21" s="898">
        <f t="shared" si="36"/>
        <v>0</v>
      </c>
      <c r="I21" s="1744">
        <f>+'[3]Oct midyear NOMMA'!K20</f>
        <v>0</v>
      </c>
      <c r="J21" s="1744">
        <f>'[3]Feb midyear NOMMA'!K20</f>
        <v>0</v>
      </c>
      <c r="K21" s="1690">
        <f t="shared" si="37"/>
        <v>0</v>
      </c>
      <c r="L21" s="1433">
        <f t="shared" si="30"/>
        <v>0</v>
      </c>
      <c r="M21" s="929">
        <f t="shared" si="38"/>
        <v>0</v>
      </c>
      <c r="N21" s="898">
        <f t="shared" si="53"/>
        <v>0</v>
      </c>
      <c r="O21" s="878">
        <v>0</v>
      </c>
      <c r="P21" s="1550">
        <f t="shared" si="39"/>
        <v>0</v>
      </c>
      <c r="Q21" s="1718">
        <f>'[4]Table 5C1D-NOMMA'!M20+'[27]Table 5C1D-NOMMA'!T20+('[26]Table 5C1D-NOMMA'!T20*6)</f>
        <v>0</v>
      </c>
      <c r="R21" s="1813">
        <f t="shared" si="40"/>
        <v>0</v>
      </c>
      <c r="S21" s="1550">
        <f t="shared" si="41"/>
        <v>0</v>
      </c>
      <c r="T21" s="1802">
        <f>'Table 5C1A-Madison Prep'!T21</f>
        <v>4439</v>
      </c>
      <c r="U21" s="1555">
        <f t="shared" si="31"/>
        <v>0</v>
      </c>
      <c r="V21" s="1785">
        <f>+'[3]Oct midyear NOMMA'!E20</f>
        <v>0</v>
      </c>
      <c r="W21" s="1786">
        <f t="shared" si="42"/>
        <v>0</v>
      </c>
      <c r="X21" s="1758">
        <f>'[3]Feb midyear NOMMA'!E20</f>
        <v>0</v>
      </c>
      <c r="Y21" s="1759">
        <f t="shared" si="43"/>
        <v>0</v>
      </c>
      <c r="Z21" s="1653">
        <f t="shared" si="32"/>
        <v>0</v>
      </c>
      <c r="AA21" s="1441">
        <f t="shared" si="44"/>
        <v>0</v>
      </c>
      <c r="AB21" s="937">
        <f t="shared" si="45"/>
        <v>0</v>
      </c>
      <c r="AC21" s="899">
        <f t="shared" si="46"/>
        <v>0</v>
      </c>
      <c r="AD21" s="1830">
        <v>0</v>
      </c>
      <c r="AE21" s="899">
        <f t="shared" si="47"/>
        <v>0</v>
      </c>
      <c r="AF21" s="1755">
        <f>'[4]Table 5C1D-NOMMA'!T20+'[27]Table 5C1D-NOMMA'!AF20+('[26]Table 5C1D-NOMMA'!AF20*6)</f>
        <v>0</v>
      </c>
      <c r="AG21" s="1841">
        <f t="shared" si="48"/>
        <v>0</v>
      </c>
      <c r="AH21" s="999">
        <f t="shared" si="49"/>
        <v>0</v>
      </c>
      <c r="AI21" s="900">
        <f t="shared" si="33"/>
        <v>0</v>
      </c>
      <c r="AJ21" s="900">
        <f t="shared" si="50"/>
        <v>0</v>
      </c>
      <c r="AL21" s="49">
        <f>-'[4]Table 5C1D-NOMMA'!P20</f>
        <v>0</v>
      </c>
      <c r="AM21" s="49">
        <f t="shared" si="51"/>
        <v>0</v>
      </c>
      <c r="AN21" s="49">
        <f t="shared" si="52"/>
        <v>0</v>
      </c>
    </row>
    <row r="22" spans="1:40">
      <c r="A22" s="879">
        <v>15</v>
      </c>
      <c r="B22" s="880" t="s">
        <v>106</v>
      </c>
      <c r="C22" s="970">
        <f>'2-1-13 SIS'!O21</f>
        <v>0</v>
      </c>
      <c r="D22" s="881">
        <f>'Table 3 Levels 1&amp;2'!AL22</f>
        <v>5527.7651197617861</v>
      </c>
      <c r="E22" s="920">
        <f t="shared" si="34"/>
        <v>0</v>
      </c>
      <c r="F22" s="920">
        <f>'Table 4 Level 3'!P20</f>
        <v>553.79999999999995</v>
      </c>
      <c r="G22" s="920">
        <f t="shared" si="35"/>
        <v>0</v>
      </c>
      <c r="H22" s="901">
        <f t="shared" si="36"/>
        <v>0</v>
      </c>
      <c r="I22" s="1745">
        <f>+'[3]Oct midyear NOMMA'!K21</f>
        <v>0</v>
      </c>
      <c r="J22" s="1745">
        <f>'[3]Feb midyear NOMMA'!K21</f>
        <v>0</v>
      </c>
      <c r="K22" s="1691">
        <f t="shared" si="37"/>
        <v>0</v>
      </c>
      <c r="L22" s="1434">
        <f t="shared" si="30"/>
        <v>0</v>
      </c>
      <c r="M22" s="930">
        <f t="shared" si="38"/>
        <v>0</v>
      </c>
      <c r="N22" s="901">
        <f t="shared" si="53"/>
        <v>0</v>
      </c>
      <c r="O22" s="881">
        <v>0</v>
      </c>
      <c r="P22" s="1551">
        <f t="shared" si="39"/>
        <v>0</v>
      </c>
      <c r="Q22" s="1804">
        <f>'[4]Table 5C1D-NOMMA'!M21+'[27]Table 5C1D-NOMMA'!T21+('[26]Table 5C1D-NOMMA'!T21*6)</f>
        <v>0</v>
      </c>
      <c r="R22" s="1814">
        <f t="shared" si="40"/>
        <v>0</v>
      </c>
      <c r="S22" s="1806">
        <f t="shared" si="41"/>
        <v>0</v>
      </c>
      <c r="T22" s="1807">
        <f>'Table 5C1A-Madison Prep'!T22</f>
        <v>2800</v>
      </c>
      <c r="U22" s="1556">
        <f t="shared" si="31"/>
        <v>0</v>
      </c>
      <c r="V22" s="1787">
        <f>+'[3]Oct midyear NOMMA'!E21</f>
        <v>0</v>
      </c>
      <c r="W22" s="1788">
        <f t="shared" si="42"/>
        <v>0</v>
      </c>
      <c r="X22" s="1762">
        <f>'[3]Feb midyear NOMMA'!E21</f>
        <v>0</v>
      </c>
      <c r="Y22" s="1763">
        <f t="shared" si="43"/>
        <v>0</v>
      </c>
      <c r="Z22" s="1654">
        <f t="shared" si="32"/>
        <v>0</v>
      </c>
      <c r="AA22" s="1443">
        <f t="shared" si="44"/>
        <v>0</v>
      </c>
      <c r="AB22" s="938">
        <f t="shared" si="45"/>
        <v>0</v>
      </c>
      <c r="AC22" s="903">
        <f t="shared" si="46"/>
        <v>0</v>
      </c>
      <c r="AD22" s="1831">
        <v>0</v>
      </c>
      <c r="AE22" s="903">
        <f t="shared" si="47"/>
        <v>0</v>
      </c>
      <c r="AF22" s="1833">
        <f>'[4]Table 5C1D-NOMMA'!T21+'[27]Table 5C1D-NOMMA'!AF21+('[26]Table 5C1D-NOMMA'!AF21*6)</f>
        <v>0</v>
      </c>
      <c r="AG22" s="1842">
        <f t="shared" si="48"/>
        <v>0</v>
      </c>
      <c r="AH22" s="1659">
        <f t="shared" si="49"/>
        <v>0</v>
      </c>
      <c r="AI22" s="904">
        <f t="shared" si="33"/>
        <v>0</v>
      </c>
      <c r="AJ22" s="904">
        <f t="shared" si="50"/>
        <v>0</v>
      </c>
      <c r="AL22" s="49">
        <f>-'[4]Table 5C1D-NOMMA'!P21</f>
        <v>0</v>
      </c>
      <c r="AM22" s="49">
        <f t="shared" si="51"/>
        <v>0</v>
      </c>
      <c r="AN22" s="49">
        <f t="shared" si="52"/>
        <v>0</v>
      </c>
    </row>
    <row r="23" spans="1:40">
      <c r="A23" s="870">
        <v>16</v>
      </c>
      <c r="B23" s="871" t="s">
        <v>107</v>
      </c>
      <c r="C23" s="971">
        <f>'2-1-13 SIS'!O22</f>
        <v>0</v>
      </c>
      <c r="D23" s="872">
        <f>'Table 3 Levels 1&amp;2'!AL23</f>
        <v>1530.3678845377474</v>
      </c>
      <c r="E23" s="918">
        <f t="shared" si="34"/>
        <v>0</v>
      </c>
      <c r="F23" s="918">
        <f>'Table 4 Level 3'!P21</f>
        <v>686.73</v>
      </c>
      <c r="G23" s="918">
        <f t="shared" si="35"/>
        <v>0</v>
      </c>
      <c r="H23" s="873">
        <f t="shared" si="36"/>
        <v>0</v>
      </c>
      <c r="I23" s="1718">
        <f>+'[3]Oct midyear NOMMA'!K22</f>
        <v>0</v>
      </c>
      <c r="J23" s="1718">
        <f>'[3]Feb midyear NOMMA'!K22</f>
        <v>0</v>
      </c>
      <c r="K23" s="1542">
        <f t="shared" si="37"/>
        <v>0</v>
      </c>
      <c r="L23" s="1431">
        <f t="shared" si="30"/>
        <v>0</v>
      </c>
      <c r="M23" s="928">
        <f t="shared" si="38"/>
        <v>0</v>
      </c>
      <c r="N23" s="873">
        <f t="shared" si="53"/>
        <v>0</v>
      </c>
      <c r="O23" s="872">
        <v>0</v>
      </c>
      <c r="P23" s="998">
        <f t="shared" si="39"/>
        <v>0</v>
      </c>
      <c r="Q23" s="1718">
        <f>'[4]Table 5C1D-NOMMA'!M22+'[27]Table 5C1D-NOMMA'!T22+('[26]Table 5C1D-NOMMA'!T22*6)</f>
        <v>0</v>
      </c>
      <c r="R23" s="1718">
        <f t="shared" si="40"/>
        <v>0</v>
      </c>
      <c r="S23" s="998">
        <f t="shared" si="41"/>
        <v>0</v>
      </c>
      <c r="T23" s="1802">
        <f>'Table 5C1A-Madison Prep'!T23</f>
        <v>12312</v>
      </c>
      <c r="U23" s="999">
        <f t="shared" si="31"/>
        <v>0</v>
      </c>
      <c r="V23" s="1754">
        <f>+'[3]Oct midyear NOMMA'!E22</f>
        <v>0</v>
      </c>
      <c r="W23" s="1755">
        <f t="shared" si="42"/>
        <v>0</v>
      </c>
      <c r="X23" s="1754">
        <f>'[3]Feb midyear NOMMA'!E22</f>
        <v>0</v>
      </c>
      <c r="Y23" s="1755">
        <f t="shared" si="43"/>
        <v>0</v>
      </c>
      <c r="Z23" s="1652">
        <f t="shared" si="32"/>
        <v>0</v>
      </c>
      <c r="AA23" s="1446">
        <f t="shared" si="44"/>
        <v>0</v>
      </c>
      <c r="AB23" s="936">
        <f t="shared" si="45"/>
        <v>0</v>
      </c>
      <c r="AC23" s="874">
        <f t="shared" si="46"/>
        <v>0</v>
      </c>
      <c r="AD23" s="1829">
        <v>0</v>
      </c>
      <c r="AE23" s="874">
        <f t="shared" si="47"/>
        <v>0</v>
      </c>
      <c r="AF23" s="1755">
        <f>'[4]Table 5C1D-NOMMA'!T22+'[27]Table 5C1D-NOMMA'!AF22+('[26]Table 5C1D-NOMMA'!AF22*6)</f>
        <v>0</v>
      </c>
      <c r="AG23" s="1755">
        <f t="shared" si="48"/>
        <v>0</v>
      </c>
      <c r="AH23" s="999">
        <f t="shared" si="49"/>
        <v>0</v>
      </c>
      <c r="AI23" s="875">
        <f t="shared" si="33"/>
        <v>0</v>
      </c>
      <c r="AJ23" s="875">
        <f t="shared" si="50"/>
        <v>0</v>
      </c>
      <c r="AL23" s="49">
        <f>-'[4]Table 5C1D-NOMMA'!P22</f>
        <v>0</v>
      </c>
      <c r="AM23" s="49">
        <f t="shared" si="51"/>
        <v>0</v>
      </c>
      <c r="AN23" s="49">
        <f t="shared" si="52"/>
        <v>0</v>
      </c>
    </row>
    <row r="24" spans="1:40">
      <c r="A24" s="876">
        <v>17</v>
      </c>
      <c r="B24" s="877" t="s">
        <v>108</v>
      </c>
      <c r="C24" s="969">
        <f>'2-1-13 SIS'!O23</f>
        <v>0</v>
      </c>
      <c r="D24" s="878">
        <f>'Table 3 Levels 1&amp;2'!AL24</f>
        <v>3313.0666313017805</v>
      </c>
      <c r="E24" s="919">
        <f t="shared" si="34"/>
        <v>0</v>
      </c>
      <c r="F24" s="919">
        <f>'Table 5B2_RSD_LA'!F7</f>
        <v>801.47762416806802</v>
      </c>
      <c r="G24" s="919">
        <f t="shared" si="35"/>
        <v>0</v>
      </c>
      <c r="H24" s="898">
        <f t="shared" si="36"/>
        <v>0</v>
      </c>
      <c r="I24" s="1744">
        <f>+'[3]Oct midyear NOMMA'!K23</f>
        <v>0</v>
      </c>
      <c r="J24" s="1744">
        <f>'[3]Feb midyear NOMMA'!K23</f>
        <v>0</v>
      </c>
      <c r="K24" s="1690">
        <f t="shared" si="37"/>
        <v>0</v>
      </c>
      <c r="L24" s="1433">
        <f t="shared" si="30"/>
        <v>0</v>
      </c>
      <c r="M24" s="929">
        <f t="shared" si="38"/>
        <v>0</v>
      </c>
      <c r="N24" s="898">
        <f t="shared" si="53"/>
        <v>0</v>
      </c>
      <c r="O24" s="878">
        <v>0</v>
      </c>
      <c r="P24" s="1550">
        <f t="shared" si="39"/>
        <v>0</v>
      </c>
      <c r="Q24" s="1718">
        <f>'[4]Table 5C1D-NOMMA'!M23+'[27]Table 5C1D-NOMMA'!T23+('[26]Table 5C1D-NOMMA'!T23*6)</f>
        <v>0</v>
      </c>
      <c r="R24" s="1813">
        <f t="shared" si="40"/>
        <v>0</v>
      </c>
      <c r="S24" s="1550">
        <f t="shared" si="41"/>
        <v>0</v>
      </c>
      <c r="T24" s="1802">
        <f>'Table 5C1A-Madison Prep'!T24</f>
        <v>6866</v>
      </c>
      <c r="U24" s="1555">
        <f t="shared" si="31"/>
        <v>0</v>
      </c>
      <c r="V24" s="1785">
        <f>+'[3]Oct midyear NOMMA'!E23</f>
        <v>0</v>
      </c>
      <c r="W24" s="1786">
        <f t="shared" si="42"/>
        <v>0</v>
      </c>
      <c r="X24" s="1758">
        <f>'[3]Feb midyear NOMMA'!E23</f>
        <v>0</v>
      </c>
      <c r="Y24" s="1759">
        <f t="shared" si="43"/>
        <v>0</v>
      </c>
      <c r="Z24" s="1653">
        <f t="shared" si="32"/>
        <v>0</v>
      </c>
      <c r="AA24" s="1441">
        <f t="shared" si="44"/>
        <v>0</v>
      </c>
      <c r="AB24" s="937">
        <f t="shared" si="45"/>
        <v>0</v>
      </c>
      <c r="AC24" s="899">
        <f t="shared" si="46"/>
        <v>0</v>
      </c>
      <c r="AD24" s="1830">
        <v>0</v>
      </c>
      <c r="AE24" s="899">
        <f t="shared" si="47"/>
        <v>0</v>
      </c>
      <c r="AF24" s="1755">
        <f>'[4]Table 5C1D-NOMMA'!T23+'[27]Table 5C1D-NOMMA'!AF23+('[26]Table 5C1D-NOMMA'!AF23*6)</f>
        <v>0</v>
      </c>
      <c r="AG24" s="1841">
        <f t="shared" si="48"/>
        <v>0</v>
      </c>
      <c r="AH24" s="999">
        <f t="shared" si="49"/>
        <v>0</v>
      </c>
      <c r="AI24" s="900">
        <f t="shared" si="33"/>
        <v>0</v>
      </c>
      <c r="AJ24" s="900">
        <f t="shared" si="50"/>
        <v>0</v>
      </c>
      <c r="AL24" s="49">
        <f>-'[4]Table 5C1D-NOMMA'!P23</f>
        <v>0</v>
      </c>
      <c r="AM24" s="49">
        <f t="shared" si="51"/>
        <v>0</v>
      </c>
      <c r="AN24" s="49">
        <f t="shared" si="52"/>
        <v>0</v>
      </c>
    </row>
    <row r="25" spans="1:40">
      <c r="A25" s="876">
        <v>18</v>
      </c>
      <c r="B25" s="877" t="s">
        <v>109</v>
      </c>
      <c r="C25" s="969">
        <f>'2-1-13 SIS'!O24</f>
        <v>0</v>
      </c>
      <c r="D25" s="878">
        <f>'Table 3 Levels 1&amp;2'!AL25</f>
        <v>5989.1351892854573</v>
      </c>
      <c r="E25" s="919">
        <f t="shared" si="34"/>
        <v>0</v>
      </c>
      <c r="F25" s="919">
        <f>'Table 4 Level 3'!P23</f>
        <v>845.94999999999993</v>
      </c>
      <c r="G25" s="919">
        <f t="shared" si="35"/>
        <v>0</v>
      </c>
      <c r="H25" s="898">
        <f t="shared" si="36"/>
        <v>0</v>
      </c>
      <c r="I25" s="1744">
        <f>+'[3]Oct midyear NOMMA'!K24</f>
        <v>0</v>
      </c>
      <c r="J25" s="1744">
        <f>'[3]Feb midyear NOMMA'!K24</f>
        <v>0</v>
      </c>
      <c r="K25" s="1690">
        <f t="shared" si="37"/>
        <v>0</v>
      </c>
      <c r="L25" s="1433">
        <f t="shared" si="30"/>
        <v>0</v>
      </c>
      <c r="M25" s="929">
        <f t="shared" si="38"/>
        <v>0</v>
      </c>
      <c r="N25" s="898">
        <f t="shared" si="53"/>
        <v>0</v>
      </c>
      <c r="O25" s="878">
        <v>0</v>
      </c>
      <c r="P25" s="1550">
        <f t="shared" si="39"/>
        <v>0</v>
      </c>
      <c r="Q25" s="1718">
        <f>'[4]Table 5C1D-NOMMA'!M24+'[27]Table 5C1D-NOMMA'!T24+('[26]Table 5C1D-NOMMA'!T24*6)</f>
        <v>0</v>
      </c>
      <c r="R25" s="1813">
        <f t="shared" si="40"/>
        <v>0</v>
      </c>
      <c r="S25" s="1550">
        <f t="shared" si="41"/>
        <v>0</v>
      </c>
      <c r="T25" s="1802">
        <f>'Table 5C1A-Madison Prep'!T25</f>
        <v>3071</v>
      </c>
      <c r="U25" s="1555">
        <f t="shared" si="31"/>
        <v>0</v>
      </c>
      <c r="V25" s="1785">
        <f>+'[3]Oct midyear NOMMA'!E24</f>
        <v>0</v>
      </c>
      <c r="W25" s="1786">
        <f t="shared" si="42"/>
        <v>0</v>
      </c>
      <c r="X25" s="1758">
        <f>'[3]Feb midyear NOMMA'!E24</f>
        <v>0</v>
      </c>
      <c r="Y25" s="1759">
        <f t="shared" si="43"/>
        <v>0</v>
      </c>
      <c r="Z25" s="1653">
        <f t="shared" si="32"/>
        <v>0</v>
      </c>
      <c r="AA25" s="1441">
        <f t="shared" si="44"/>
        <v>0</v>
      </c>
      <c r="AB25" s="937">
        <f t="shared" si="45"/>
        <v>0</v>
      </c>
      <c r="AC25" s="899">
        <f t="shared" si="46"/>
        <v>0</v>
      </c>
      <c r="AD25" s="1830">
        <v>0</v>
      </c>
      <c r="AE25" s="899">
        <f t="shared" si="47"/>
        <v>0</v>
      </c>
      <c r="AF25" s="1755">
        <f>'[4]Table 5C1D-NOMMA'!T24+'[27]Table 5C1D-NOMMA'!AF24+('[26]Table 5C1D-NOMMA'!AF24*6)</f>
        <v>0</v>
      </c>
      <c r="AG25" s="1841">
        <f t="shared" si="48"/>
        <v>0</v>
      </c>
      <c r="AH25" s="999">
        <f t="shared" si="49"/>
        <v>0</v>
      </c>
      <c r="AI25" s="900">
        <f t="shared" si="33"/>
        <v>0</v>
      </c>
      <c r="AJ25" s="900">
        <f t="shared" si="50"/>
        <v>0</v>
      </c>
      <c r="AL25" s="49">
        <f>-'[4]Table 5C1D-NOMMA'!P24</f>
        <v>0</v>
      </c>
      <c r="AM25" s="49">
        <f t="shared" si="51"/>
        <v>0</v>
      </c>
      <c r="AN25" s="49">
        <f t="shared" si="52"/>
        <v>0</v>
      </c>
    </row>
    <row r="26" spans="1:40">
      <c r="A26" s="876">
        <v>19</v>
      </c>
      <c r="B26" s="877" t="s">
        <v>110</v>
      </c>
      <c r="C26" s="969">
        <f>'2-1-13 SIS'!O25</f>
        <v>0</v>
      </c>
      <c r="D26" s="878">
        <f>'Table 3 Levels 1&amp;2'!AL26</f>
        <v>5315.8913399708035</v>
      </c>
      <c r="E26" s="919">
        <f t="shared" si="34"/>
        <v>0</v>
      </c>
      <c r="F26" s="919">
        <f>'Table 4 Level 3'!P24</f>
        <v>905.43</v>
      </c>
      <c r="G26" s="919">
        <f t="shared" si="35"/>
        <v>0</v>
      </c>
      <c r="H26" s="898">
        <f t="shared" si="36"/>
        <v>0</v>
      </c>
      <c r="I26" s="1744">
        <f>+'[3]Oct midyear NOMMA'!K25</f>
        <v>0</v>
      </c>
      <c r="J26" s="1744">
        <f>'[3]Feb midyear NOMMA'!K25</f>
        <v>0</v>
      </c>
      <c r="K26" s="1690">
        <f t="shared" si="37"/>
        <v>0</v>
      </c>
      <c r="L26" s="1433">
        <f t="shared" si="30"/>
        <v>0</v>
      </c>
      <c r="M26" s="929">
        <f t="shared" si="38"/>
        <v>0</v>
      </c>
      <c r="N26" s="898">
        <f t="shared" si="53"/>
        <v>0</v>
      </c>
      <c r="O26" s="878">
        <v>0</v>
      </c>
      <c r="P26" s="1550">
        <f t="shared" si="39"/>
        <v>0</v>
      </c>
      <c r="Q26" s="1718">
        <f>'[4]Table 5C1D-NOMMA'!M25+'[27]Table 5C1D-NOMMA'!T25+('[26]Table 5C1D-NOMMA'!T25*6)</f>
        <v>0</v>
      </c>
      <c r="R26" s="1813">
        <f t="shared" si="40"/>
        <v>0</v>
      </c>
      <c r="S26" s="1550">
        <f t="shared" si="41"/>
        <v>0</v>
      </c>
      <c r="T26" s="1802">
        <f>'Table 5C1A-Madison Prep'!T26</f>
        <v>2566</v>
      </c>
      <c r="U26" s="1555">
        <f t="shared" si="31"/>
        <v>0</v>
      </c>
      <c r="V26" s="1785">
        <f>+'[3]Oct midyear NOMMA'!E25</f>
        <v>0</v>
      </c>
      <c r="W26" s="1786">
        <f t="shared" si="42"/>
        <v>0</v>
      </c>
      <c r="X26" s="1758">
        <f>'[3]Feb midyear NOMMA'!E25</f>
        <v>0</v>
      </c>
      <c r="Y26" s="1759">
        <f t="shared" si="43"/>
        <v>0</v>
      </c>
      <c r="Z26" s="1653">
        <f t="shared" si="32"/>
        <v>0</v>
      </c>
      <c r="AA26" s="1441">
        <f t="shared" si="44"/>
        <v>0</v>
      </c>
      <c r="AB26" s="937">
        <f t="shared" si="45"/>
        <v>0</v>
      </c>
      <c r="AC26" s="899">
        <f t="shared" si="46"/>
        <v>0</v>
      </c>
      <c r="AD26" s="1830">
        <v>0</v>
      </c>
      <c r="AE26" s="899">
        <f t="shared" si="47"/>
        <v>0</v>
      </c>
      <c r="AF26" s="1755">
        <f>'[4]Table 5C1D-NOMMA'!T25+'[27]Table 5C1D-NOMMA'!AF25+('[26]Table 5C1D-NOMMA'!AF25*6)</f>
        <v>0</v>
      </c>
      <c r="AG26" s="1841">
        <f t="shared" si="48"/>
        <v>0</v>
      </c>
      <c r="AH26" s="999">
        <f t="shared" si="49"/>
        <v>0</v>
      </c>
      <c r="AI26" s="900">
        <f t="shared" si="33"/>
        <v>0</v>
      </c>
      <c r="AJ26" s="900">
        <f t="shared" si="50"/>
        <v>0</v>
      </c>
      <c r="AL26" s="49">
        <f>-'[4]Table 5C1D-NOMMA'!P25</f>
        <v>0</v>
      </c>
      <c r="AM26" s="49">
        <f t="shared" si="51"/>
        <v>0</v>
      </c>
      <c r="AN26" s="49">
        <f t="shared" si="52"/>
        <v>0</v>
      </c>
    </row>
    <row r="27" spans="1:40">
      <c r="A27" s="879">
        <v>20</v>
      </c>
      <c r="B27" s="880" t="s">
        <v>111</v>
      </c>
      <c r="C27" s="970">
        <f>'2-1-13 SIS'!O26</f>
        <v>0</v>
      </c>
      <c r="D27" s="881">
        <f>'Table 3 Levels 1&amp;2'!AL27</f>
        <v>5420.2042919205833</v>
      </c>
      <c r="E27" s="920">
        <f t="shared" si="34"/>
        <v>0</v>
      </c>
      <c r="F27" s="920">
        <f>'Table 4 Level 3'!P25</f>
        <v>586.16999999999996</v>
      </c>
      <c r="G27" s="920">
        <f t="shared" si="35"/>
        <v>0</v>
      </c>
      <c r="H27" s="901">
        <f t="shared" si="36"/>
        <v>0</v>
      </c>
      <c r="I27" s="1745">
        <f>+'[3]Oct midyear NOMMA'!K26</f>
        <v>0</v>
      </c>
      <c r="J27" s="1745">
        <f>'[3]Feb midyear NOMMA'!K26</f>
        <v>0</v>
      </c>
      <c r="K27" s="1691">
        <f t="shared" si="37"/>
        <v>0</v>
      </c>
      <c r="L27" s="1434">
        <f t="shared" si="30"/>
        <v>0</v>
      </c>
      <c r="M27" s="930">
        <f t="shared" si="38"/>
        <v>0</v>
      </c>
      <c r="N27" s="901">
        <f t="shared" si="53"/>
        <v>0</v>
      </c>
      <c r="O27" s="881">
        <v>0</v>
      </c>
      <c r="P27" s="1551">
        <f t="shared" si="39"/>
        <v>0</v>
      </c>
      <c r="Q27" s="1804">
        <f>'[4]Table 5C1D-NOMMA'!M26+'[27]Table 5C1D-NOMMA'!T26+('[26]Table 5C1D-NOMMA'!T26*6)</f>
        <v>0</v>
      </c>
      <c r="R27" s="1814">
        <f t="shared" si="40"/>
        <v>0</v>
      </c>
      <c r="S27" s="1806">
        <f t="shared" si="41"/>
        <v>0</v>
      </c>
      <c r="T27" s="1807">
        <f>'Table 5C1A-Madison Prep'!T27</f>
        <v>2621</v>
      </c>
      <c r="U27" s="1556">
        <f t="shared" si="31"/>
        <v>0</v>
      </c>
      <c r="V27" s="1787">
        <f>+'[3]Oct midyear NOMMA'!E26</f>
        <v>0</v>
      </c>
      <c r="W27" s="1788">
        <f t="shared" si="42"/>
        <v>0</v>
      </c>
      <c r="X27" s="1762">
        <f>'[3]Feb midyear NOMMA'!E26</f>
        <v>0</v>
      </c>
      <c r="Y27" s="1763">
        <f t="shared" si="43"/>
        <v>0</v>
      </c>
      <c r="Z27" s="1654">
        <f t="shared" si="32"/>
        <v>0</v>
      </c>
      <c r="AA27" s="1443">
        <f t="shared" si="44"/>
        <v>0</v>
      </c>
      <c r="AB27" s="938">
        <f t="shared" si="45"/>
        <v>0</v>
      </c>
      <c r="AC27" s="903">
        <f t="shared" si="46"/>
        <v>0</v>
      </c>
      <c r="AD27" s="1831">
        <v>0</v>
      </c>
      <c r="AE27" s="903">
        <f t="shared" si="47"/>
        <v>0</v>
      </c>
      <c r="AF27" s="1833">
        <f>'[4]Table 5C1D-NOMMA'!T26+'[27]Table 5C1D-NOMMA'!AF26+('[26]Table 5C1D-NOMMA'!AF26*6)</f>
        <v>0</v>
      </c>
      <c r="AG27" s="1842">
        <f t="shared" si="48"/>
        <v>0</v>
      </c>
      <c r="AH27" s="1659">
        <f t="shared" si="49"/>
        <v>0</v>
      </c>
      <c r="AI27" s="904">
        <f t="shared" si="33"/>
        <v>0</v>
      </c>
      <c r="AJ27" s="904">
        <f t="shared" si="50"/>
        <v>0</v>
      </c>
      <c r="AL27" s="49">
        <f>-'[4]Table 5C1D-NOMMA'!P26</f>
        <v>0</v>
      </c>
      <c r="AM27" s="49">
        <f t="shared" si="51"/>
        <v>0</v>
      </c>
      <c r="AN27" s="49">
        <f t="shared" si="52"/>
        <v>0</v>
      </c>
    </row>
    <row r="28" spans="1:40">
      <c r="A28" s="870">
        <v>21</v>
      </c>
      <c r="B28" s="871" t="s">
        <v>112</v>
      </c>
      <c r="C28" s="971">
        <f>'2-1-13 SIS'!O27</f>
        <v>0</v>
      </c>
      <c r="D28" s="872">
        <f>'Table 3 Levels 1&amp;2'!AL28</f>
        <v>5724.5404916279067</v>
      </c>
      <c r="E28" s="918">
        <f t="shared" si="34"/>
        <v>0</v>
      </c>
      <c r="F28" s="918">
        <f>'Table 4 Level 3'!P26</f>
        <v>610.35</v>
      </c>
      <c r="G28" s="918">
        <f t="shared" si="35"/>
        <v>0</v>
      </c>
      <c r="H28" s="873">
        <f t="shared" si="36"/>
        <v>0</v>
      </c>
      <c r="I28" s="1718">
        <f>+'[3]Oct midyear NOMMA'!K27</f>
        <v>0</v>
      </c>
      <c r="J28" s="1718">
        <f>'[3]Feb midyear NOMMA'!K27</f>
        <v>0</v>
      </c>
      <c r="K28" s="1542">
        <f t="shared" si="37"/>
        <v>0</v>
      </c>
      <c r="L28" s="1431">
        <f t="shared" si="30"/>
        <v>0</v>
      </c>
      <c r="M28" s="928">
        <f t="shared" si="38"/>
        <v>0</v>
      </c>
      <c r="N28" s="873">
        <f t="shared" si="53"/>
        <v>0</v>
      </c>
      <c r="O28" s="872">
        <v>0</v>
      </c>
      <c r="P28" s="998">
        <f t="shared" si="39"/>
        <v>0</v>
      </c>
      <c r="Q28" s="1718">
        <f>'[4]Table 5C1D-NOMMA'!M27+'[27]Table 5C1D-NOMMA'!T27+('[26]Table 5C1D-NOMMA'!T27*6)</f>
        <v>0</v>
      </c>
      <c r="R28" s="1718">
        <f t="shared" si="40"/>
        <v>0</v>
      </c>
      <c r="S28" s="998">
        <f t="shared" si="41"/>
        <v>0</v>
      </c>
      <c r="T28" s="1802">
        <f>'Table 5C1A-Madison Prep'!T28</f>
        <v>2445</v>
      </c>
      <c r="U28" s="999">
        <f t="shared" si="31"/>
        <v>0</v>
      </c>
      <c r="V28" s="1754">
        <f>+'[3]Oct midyear NOMMA'!E27</f>
        <v>0</v>
      </c>
      <c r="W28" s="1755">
        <f t="shared" si="42"/>
        <v>0</v>
      </c>
      <c r="X28" s="1754">
        <f>'[3]Feb midyear NOMMA'!E27</f>
        <v>0</v>
      </c>
      <c r="Y28" s="1755">
        <f t="shared" si="43"/>
        <v>0</v>
      </c>
      <c r="Z28" s="1652">
        <f t="shared" si="32"/>
        <v>0</v>
      </c>
      <c r="AA28" s="1446">
        <f t="shared" si="44"/>
        <v>0</v>
      </c>
      <c r="AB28" s="936">
        <f t="shared" si="45"/>
        <v>0</v>
      </c>
      <c r="AC28" s="874">
        <f t="shared" si="46"/>
        <v>0</v>
      </c>
      <c r="AD28" s="1829">
        <v>0</v>
      </c>
      <c r="AE28" s="874">
        <f t="shared" si="47"/>
        <v>0</v>
      </c>
      <c r="AF28" s="1755">
        <f>'[4]Table 5C1D-NOMMA'!T27+'[27]Table 5C1D-NOMMA'!AF27+('[26]Table 5C1D-NOMMA'!AF27*6)</f>
        <v>0</v>
      </c>
      <c r="AG28" s="1755">
        <f t="shared" si="48"/>
        <v>0</v>
      </c>
      <c r="AH28" s="999">
        <f t="shared" si="49"/>
        <v>0</v>
      </c>
      <c r="AI28" s="875">
        <f t="shared" si="33"/>
        <v>0</v>
      </c>
      <c r="AJ28" s="875">
        <f t="shared" si="50"/>
        <v>0</v>
      </c>
      <c r="AL28" s="49">
        <f>-'[4]Table 5C1D-NOMMA'!P27</f>
        <v>0</v>
      </c>
      <c r="AM28" s="49">
        <f t="shared" si="51"/>
        <v>0</v>
      </c>
      <c r="AN28" s="49">
        <f t="shared" si="52"/>
        <v>0</v>
      </c>
    </row>
    <row r="29" spans="1:40">
      <c r="A29" s="876">
        <v>22</v>
      </c>
      <c r="B29" s="877" t="s">
        <v>113</v>
      </c>
      <c r="C29" s="969">
        <f>'2-1-13 SIS'!O28</f>
        <v>0</v>
      </c>
      <c r="D29" s="878">
        <f>'Table 3 Levels 1&amp;2'!AL29</f>
        <v>6203.2933768722742</v>
      </c>
      <c r="E29" s="919">
        <f t="shared" si="34"/>
        <v>0</v>
      </c>
      <c r="F29" s="919">
        <f>'Table 4 Level 3'!P27</f>
        <v>496.36</v>
      </c>
      <c r="G29" s="919">
        <f t="shared" si="35"/>
        <v>0</v>
      </c>
      <c r="H29" s="898">
        <f t="shared" si="36"/>
        <v>0</v>
      </c>
      <c r="I29" s="1744">
        <f>+'[3]Oct midyear NOMMA'!K28</f>
        <v>0</v>
      </c>
      <c r="J29" s="1744">
        <f>'[3]Feb midyear NOMMA'!K28</f>
        <v>0</v>
      </c>
      <c r="K29" s="1690">
        <f t="shared" si="37"/>
        <v>0</v>
      </c>
      <c r="L29" s="1433">
        <f t="shared" si="30"/>
        <v>0</v>
      </c>
      <c r="M29" s="929">
        <f t="shared" si="38"/>
        <v>0</v>
      </c>
      <c r="N29" s="898">
        <f t="shared" si="53"/>
        <v>0</v>
      </c>
      <c r="O29" s="878">
        <v>0</v>
      </c>
      <c r="P29" s="1550">
        <f t="shared" si="39"/>
        <v>0</v>
      </c>
      <c r="Q29" s="1718">
        <f>'[4]Table 5C1D-NOMMA'!M28+'[27]Table 5C1D-NOMMA'!T28+('[26]Table 5C1D-NOMMA'!T28*6)</f>
        <v>0</v>
      </c>
      <c r="R29" s="1813">
        <f t="shared" si="40"/>
        <v>0</v>
      </c>
      <c r="S29" s="1550">
        <f t="shared" si="41"/>
        <v>0</v>
      </c>
      <c r="T29" s="1802">
        <f>'Table 5C1A-Madison Prep'!T29</f>
        <v>1519</v>
      </c>
      <c r="U29" s="1555">
        <f t="shared" si="31"/>
        <v>0</v>
      </c>
      <c r="V29" s="1785">
        <f>+'[3]Oct midyear NOMMA'!E28</f>
        <v>0</v>
      </c>
      <c r="W29" s="1786">
        <f t="shared" si="42"/>
        <v>0</v>
      </c>
      <c r="X29" s="1758">
        <f>'[3]Feb midyear NOMMA'!E28</f>
        <v>0</v>
      </c>
      <c r="Y29" s="1759">
        <f t="shared" si="43"/>
        <v>0</v>
      </c>
      <c r="Z29" s="1653">
        <f t="shared" si="32"/>
        <v>0</v>
      </c>
      <c r="AA29" s="1441">
        <f t="shared" si="44"/>
        <v>0</v>
      </c>
      <c r="AB29" s="937">
        <f t="shared" si="45"/>
        <v>0</v>
      </c>
      <c r="AC29" s="899">
        <f t="shared" si="46"/>
        <v>0</v>
      </c>
      <c r="AD29" s="1830">
        <v>0</v>
      </c>
      <c r="AE29" s="899">
        <f t="shared" si="47"/>
        <v>0</v>
      </c>
      <c r="AF29" s="1755">
        <f>'[4]Table 5C1D-NOMMA'!T28+'[27]Table 5C1D-NOMMA'!AF28+('[26]Table 5C1D-NOMMA'!AF28*6)</f>
        <v>0</v>
      </c>
      <c r="AG29" s="1841">
        <f t="shared" si="48"/>
        <v>0</v>
      </c>
      <c r="AH29" s="999">
        <f t="shared" si="49"/>
        <v>0</v>
      </c>
      <c r="AI29" s="900">
        <f t="shared" si="33"/>
        <v>0</v>
      </c>
      <c r="AJ29" s="900">
        <f t="shared" si="50"/>
        <v>0</v>
      </c>
      <c r="AL29" s="49">
        <f>-'[4]Table 5C1D-NOMMA'!P28</f>
        <v>0</v>
      </c>
      <c r="AM29" s="49">
        <f t="shared" si="51"/>
        <v>0</v>
      </c>
      <c r="AN29" s="49">
        <f t="shared" si="52"/>
        <v>0</v>
      </c>
    </row>
    <row r="30" spans="1:40">
      <c r="A30" s="876">
        <v>23</v>
      </c>
      <c r="B30" s="877" t="s">
        <v>114</v>
      </c>
      <c r="C30" s="969">
        <f>'2-1-13 SIS'!O29</f>
        <v>0</v>
      </c>
      <c r="D30" s="878">
        <f>'Table 3 Levels 1&amp;2'!AL30</f>
        <v>4846.0802490067681</v>
      </c>
      <c r="E30" s="919">
        <f t="shared" si="34"/>
        <v>0</v>
      </c>
      <c r="F30" s="919">
        <f>'Table 4 Level 3'!P28</f>
        <v>688.58</v>
      </c>
      <c r="G30" s="919">
        <f t="shared" si="35"/>
        <v>0</v>
      </c>
      <c r="H30" s="898">
        <f t="shared" si="36"/>
        <v>0</v>
      </c>
      <c r="I30" s="1744">
        <f>+'[3]Oct midyear NOMMA'!K29</f>
        <v>0</v>
      </c>
      <c r="J30" s="1744">
        <f>'[3]Feb midyear NOMMA'!K29</f>
        <v>0</v>
      </c>
      <c r="K30" s="1690">
        <f t="shared" si="37"/>
        <v>0</v>
      </c>
      <c r="L30" s="1433">
        <f t="shared" si="30"/>
        <v>0</v>
      </c>
      <c r="M30" s="929">
        <f t="shared" si="38"/>
        <v>0</v>
      </c>
      <c r="N30" s="898">
        <f t="shared" si="53"/>
        <v>0</v>
      </c>
      <c r="O30" s="878">
        <v>0</v>
      </c>
      <c r="P30" s="1550">
        <f t="shared" si="39"/>
        <v>0</v>
      </c>
      <c r="Q30" s="1718">
        <f>'[4]Table 5C1D-NOMMA'!M29+'[27]Table 5C1D-NOMMA'!T29+('[26]Table 5C1D-NOMMA'!T29*6)</f>
        <v>0</v>
      </c>
      <c r="R30" s="1813">
        <f t="shared" si="40"/>
        <v>0</v>
      </c>
      <c r="S30" s="1550">
        <f t="shared" si="41"/>
        <v>0</v>
      </c>
      <c r="T30" s="1802">
        <f>'Table 5C1A-Madison Prep'!T30</f>
        <v>3365</v>
      </c>
      <c r="U30" s="1555">
        <f t="shared" si="31"/>
        <v>0</v>
      </c>
      <c r="V30" s="1785">
        <f>+'[3]Oct midyear NOMMA'!E29</f>
        <v>0</v>
      </c>
      <c r="W30" s="1786">
        <f t="shared" si="42"/>
        <v>0</v>
      </c>
      <c r="X30" s="1758">
        <f>'[3]Feb midyear NOMMA'!E29</f>
        <v>0</v>
      </c>
      <c r="Y30" s="1759">
        <f t="shared" si="43"/>
        <v>0</v>
      </c>
      <c r="Z30" s="1653">
        <f t="shared" si="32"/>
        <v>0</v>
      </c>
      <c r="AA30" s="1441">
        <f t="shared" si="44"/>
        <v>0</v>
      </c>
      <c r="AB30" s="937">
        <f t="shared" si="45"/>
        <v>0</v>
      </c>
      <c r="AC30" s="899">
        <f t="shared" si="46"/>
        <v>0</v>
      </c>
      <c r="AD30" s="1830">
        <v>0</v>
      </c>
      <c r="AE30" s="899">
        <f t="shared" si="47"/>
        <v>0</v>
      </c>
      <c r="AF30" s="1755">
        <f>'[4]Table 5C1D-NOMMA'!T29+'[27]Table 5C1D-NOMMA'!AF29+('[26]Table 5C1D-NOMMA'!AF29*6)</f>
        <v>0</v>
      </c>
      <c r="AG30" s="1841">
        <f t="shared" si="48"/>
        <v>0</v>
      </c>
      <c r="AH30" s="999">
        <f t="shared" si="49"/>
        <v>0</v>
      </c>
      <c r="AI30" s="900">
        <f t="shared" si="33"/>
        <v>0</v>
      </c>
      <c r="AJ30" s="900">
        <f t="shared" si="50"/>
        <v>0</v>
      </c>
      <c r="AL30" s="49">
        <f>-'[4]Table 5C1D-NOMMA'!P29</f>
        <v>0</v>
      </c>
      <c r="AM30" s="49">
        <f t="shared" si="51"/>
        <v>0</v>
      </c>
      <c r="AN30" s="49">
        <f t="shared" si="52"/>
        <v>0</v>
      </c>
    </row>
    <row r="31" spans="1:40">
      <c r="A31" s="876">
        <v>24</v>
      </c>
      <c r="B31" s="877" t="s">
        <v>115</v>
      </c>
      <c r="C31" s="969">
        <f>'2-1-13 SIS'!O30</f>
        <v>0</v>
      </c>
      <c r="D31" s="878">
        <f>'Table 3 Levels 1&amp;2'!AL31</f>
        <v>2764.1216755319151</v>
      </c>
      <c r="E31" s="919">
        <f t="shared" si="34"/>
        <v>0</v>
      </c>
      <c r="F31" s="919">
        <f>'Table 4 Level 3'!P29</f>
        <v>854.24999999999989</v>
      </c>
      <c r="G31" s="919">
        <f t="shared" si="35"/>
        <v>0</v>
      </c>
      <c r="H31" s="898">
        <f t="shared" si="36"/>
        <v>0</v>
      </c>
      <c r="I31" s="1744">
        <f>+'[3]Oct midyear NOMMA'!K30</f>
        <v>0</v>
      </c>
      <c r="J31" s="1744">
        <f>'[3]Feb midyear NOMMA'!K30</f>
        <v>0</v>
      </c>
      <c r="K31" s="1690">
        <f t="shared" si="37"/>
        <v>0</v>
      </c>
      <c r="L31" s="1433">
        <f t="shared" si="30"/>
        <v>0</v>
      </c>
      <c r="M31" s="929">
        <f t="shared" si="38"/>
        <v>0</v>
      </c>
      <c r="N31" s="898">
        <f t="shared" si="53"/>
        <v>0</v>
      </c>
      <c r="O31" s="878">
        <v>0</v>
      </c>
      <c r="P31" s="1550">
        <f t="shared" si="39"/>
        <v>0</v>
      </c>
      <c r="Q31" s="1718">
        <f>'[4]Table 5C1D-NOMMA'!M30+'[27]Table 5C1D-NOMMA'!T30+('[26]Table 5C1D-NOMMA'!T30*6)</f>
        <v>0</v>
      </c>
      <c r="R31" s="1813">
        <f t="shared" si="40"/>
        <v>0</v>
      </c>
      <c r="S31" s="1550">
        <f t="shared" si="41"/>
        <v>0</v>
      </c>
      <c r="T31" s="1802">
        <f>'Table 5C1A-Madison Prep'!T31</f>
        <v>10907</v>
      </c>
      <c r="U31" s="1555">
        <f t="shared" si="31"/>
        <v>0</v>
      </c>
      <c r="V31" s="1785">
        <f>+'[3]Oct midyear NOMMA'!E30</f>
        <v>0</v>
      </c>
      <c r="W31" s="1786">
        <f t="shared" si="42"/>
        <v>0</v>
      </c>
      <c r="X31" s="1758">
        <f>'[3]Feb midyear NOMMA'!E30</f>
        <v>0</v>
      </c>
      <c r="Y31" s="1759">
        <f t="shared" si="43"/>
        <v>0</v>
      </c>
      <c r="Z31" s="1653">
        <f t="shared" si="32"/>
        <v>0</v>
      </c>
      <c r="AA31" s="1441">
        <f t="shared" si="44"/>
        <v>0</v>
      </c>
      <c r="AB31" s="937">
        <f t="shared" si="45"/>
        <v>0</v>
      </c>
      <c r="AC31" s="899">
        <f t="shared" si="46"/>
        <v>0</v>
      </c>
      <c r="AD31" s="1830">
        <v>0</v>
      </c>
      <c r="AE31" s="899">
        <f t="shared" si="47"/>
        <v>0</v>
      </c>
      <c r="AF31" s="1755">
        <f>'[4]Table 5C1D-NOMMA'!T30+'[27]Table 5C1D-NOMMA'!AF30+('[26]Table 5C1D-NOMMA'!AF30*6)</f>
        <v>0</v>
      </c>
      <c r="AG31" s="1841">
        <f t="shared" si="48"/>
        <v>0</v>
      </c>
      <c r="AH31" s="999">
        <f t="shared" si="49"/>
        <v>0</v>
      </c>
      <c r="AI31" s="900">
        <f t="shared" si="33"/>
        <v>0</v>
      </c>
      <c r="AJ31" s="900">
        <f t="shared" si="50"/>
        <v>0</v>
      </c>
      <c r="AL31" s="49">
        <f>-'[4]Table 5C1D-NOMMA'!P30</f>
        <v>0</v>
      </c>
      <c r="AM31" s="49">
        <f t="shared" si="51"/>
        <v>0</v>
      </c>
      <c r="AN31" s="49">
        <f t="shared" si="52"/>
        <v>0</v>
      </c>
    </row>
    <row r="32" spans="1:40">
      <c r="A32" s="879">
        <v>25</v>
      </c>
      <c r="B32" s="880" t="s">
        <v>116</v>
      </c>
      <c r="C32" s="970">
        <f>'2-1-13 SIS'!O31</f>
        <v>0</v>
      </c>
      <c r="D32" s="881">
        <f>'Table 3 Levels 1&amp;2'!AL32</f>
        <v>3867.4480692053257</v>
      </c>
      <c r="E32" s="920">
        <f t="shared" si="34"/>
        <v>0</v>
      </c>
      <c r="F32" s="920">
        <f>'Table 4 Level 3'!P30</f>
        <v>653.73</v>
      </c>
      <c r="G32" s="920">
        <f t="shared" si="35"/>
        <v>0</v>
      </c>
      <c r="H32" s="901">
        <f t="shared" si="36"/>
        <v>0</v>
      </c>
      <c r="I32" s="1745">
        <f>+'[3]Oct midyear NOMMA'!K31</f>
        <v>0</v>
      </c>
      <c r="J32" s="1745">
        <f>'[3]Feb midyear NOMMA'!K31</f>
        <v>0</v>
      </c>
      <c r="K32" s="1691">
        <f t="shared" si="37"/>
        <v>0</v>
      </c>
      <c r="L32" s="1434">
        <f t="shared" si="30"/>
        <v>0</v>
      </c>
      <c r="M32" s="930">
        <f t="shared" si="38"/>
        <v>0</v>
      </c>
      <c r="N32" s="901">
        <f t="shared" si="53"/>
        <v>0</v>
      </c>
      <c r="O32" s="881">
        <v>0</v>
      </c>
      <c r="P32" s="1551">
        <f t="shared" si="39"/>
        <v>0</v>
      </c>
      <c r="Q32" s="1804">
        <f>'[4]Table 5C1D-NOMMA'!M31+'[27]Table 5C1D-NOMMA'!T31+('[26]Table 5C1D-NOMMA'!T31*6)</f>
        <v>0</v>
      </c>
      <c r="R32" s="1814">
        <f t="shared" si="40"/>
        <v>0</v>
      </c>
      <c r="S32" s="1806">
        <f t="shared" si="41"/>
        <v>0</v>
      </c>
      <c r="T32" s="1807">
        <f>'Table 5C1A-Madison Prep'!T32</f>
        <v>5156</v>
      </c>
      <c r="U32" s="1556">
        <f t="shared" si="31"/>
        <v>0</v>
      </c>
      <c r="V32" s="1787">
        <f>+'[3]Oct midyear NOMMA'!E31</f>
        <v>0</v>
      </c>
      <c r="W32" s="1788">
        <f t="shared" si="42"/>
        <v>0</v>
      </c>
      <c r="X32" s="1762">
        <f>'[3]Feb midyear NOMMA'!E31</f>
        <v>0</v>
      </c>
      <c r="Y32" s="1763">
        <f t="shared" si="43"/>
        <v>0</v>
      </c>
      <c r="Z32" s="1654">
        <f t="shared" si="32"/>
        <v>0</v>
      </c>
      <c r="AA32" s="1443">
        <f t="shared" si="44"/>
        <v>0</v>
      </c>
      <c r="AB32" s="938">
        <f t="shared" si="45"/>
        <v>0</v>
      </c>
      <c r="AC32" s="903">
        <f t="shared" si="46"/>
        <v>0</v>
      </c>
      <c r="AD32" s="1831">
        <v>0</v>
      </c>
      <c r="AE32" s="903">
        <f t="shared" si="47"/>
        <v>0</v>
      </c>
      <c r="AF32" s="1833">
        <f>'[4]Table 5C1D-NOMMA'!T31+'[27]Table 5C1D-NOMMA'!AF31+('[26]Table 5C1D-NOMMA'!AF31*6)</f>
        <v>0</v>
      </c>
      <c r="AG32" s="1842">
        <f t="shared" si="48"/>
        <v>0</v>
      </c>
      <c r="AH32" s="1659">
        <f t="shared" si="49"/>
        <v>0</v>
      </c>
      <c r="AI32" s="904">
        <f t="shared" si="33"/>
        <v>0</v>
      </c>
      <c r="AJ32" s="904">
        <f t="shared" si="50"/>
        <v>0</v>
      </c>
      <c r="AL32" s="49">
        <f>-'[4]Table 5C1D-NOMMA'!P31</f>
        <v>0</v>
      </c>
      <c r="AM32" s="49">
        <f t="shared" si="51"/>
        <v>0</v>
      </c>
      <c r="AN32" s="49">
        <f t="shared" si="52"/>
        <v>0</v>
      </c>
    </row>
    <row r="33" spans="1:40">
      <c r="A33" s="870">
        <v>26</v>
      </c>
      <c r="B33" s="871" t="s">
        <v>117</v>
      </c>
      <c r="C33" s="971">
        <f>'2-1-13 SIS'!O32</f>
        <v>110</v>
      </c>
      <c r="D33" s="872">
        <f>'Table 3 Levels 1&amp;2'!AL33</f>
        <v>3293.481526790355</v>
      </c>
      <c r="E33" s="918">
        <f t="shared" si="34"/>
        <v>362282.96794693905</v>
      </c>
      <c r="F33" s="918">
        <f>'Table 4 Level 3'!P31</f>
        <v>836.83</v>
      </c>
      <c r="G33" s="918">
        <f t="shared" si="35"/>
        <v>92051.3</v>
      </c>
      <c r="H33" s="873">
        <f t="shared" si="36"/>
        <v>454334.26794693904</v>
      </c>
      <c r="I33" s="1718">
        <f>+'[3]Oct midyear NOMMA'!K32</f>
        <v>338685.54519680911</v>
      </c>
      <c r="J33" s="1718">
        <f>'[3]Feb midyear NOMMA'!K32</f>
        <v>-2065.1557633951775</v>
      </c>
      <c r="K33" s="1542">
        <f t="shared" si="37"/>
        <v>336620.38943341392</v>
      </c>
      <c r="L33" s="1431">
        <f t="shared" si="30"/>
        <v>790954.65738035296</v>
      </c>
      <c r="M33" s="928">
        <f t="shared" si="38"/>
        <v>-1977.3866434508825</v>
      </c>
      <c r="N33" s="873">
        <f t="shared" si="53"/>
        <v>788977.27073690202</v>
      </c>
      <c r="O33" s="1718">
        <f>'[1]Adjusted Amounts'!$C$126+'[1]Adjusted Amounts'!$H$126</f>
        <v>3987.1779009796828</v>
      </c>
      <c r="P33" s="998">
        <f t="shared" si="39"/>
        <v>792964.44863788167</v>
      </c>
      <c r="Q33" s="1718">
        <f>'[4]Table 5C1D-NOMMA'!M32+'[27]Table 5C1D-NOMMA'!T32+('[26]Table 5C1D-NOMMA'!T32*6)</f>
        <v>529516.90212937002</v>
      </c>
      <c r="R33" s="1718">
        <f t="shared" si="40"/>
        <v>263447.54650851164</v>
      </c>
      <c r="S33" s="998">
        <f t="shared" si="41"/>
        <v>65862</v>
      </c>
      <c r="T33" s="1802">
        <f>'Table 5C1A-Madison Prep'!T33</f>
        <v>5344</v>
      </c>
      <c r="U33" s="999">
        <f t="shared" si="31"/>
        <v>587840</v>
      </c>
      <c r="V33" s="1754">
        <f>+'[3]Oct midyear NOMMA'!E32</f>
        <v>82</v>
      </c>
      <c r="W33" s="1755">
        <f t="shared" si="42"/>
        <v>438208</v>
      </c>
      <c r="X33" s="1754">
        <f>'[3]Feb midyear NOMMA'!E32</f>
        <v>-1</v>
      </c>
      <c r="Y33" s="1755">
        <f t="shared" si="43"/>
        <v>-2672</v>
      </c>
      <c r="Z33" s="1652">
        <f t="shared" si="32"/>
        <v>435536</v>
      </c>
      <c r="AA33" s="1446">
        <f t="shared" si="44"/>
        <v>1023376</v>
      </c>
      <c r="AB33" s="936">
        <f t="shared" si="45"/>
        <v>-2558.44</v>
      </c>
      <c r="AC33" s="874">
        <f t="shared" si="46"/>
        <v>1020817.56</v>
      </c>
      <c r="AD33" s="1755">
        <f>'[1]Adjusted Amounts'!$K$126+'[1]Adjusted Amounts'!$P$126</f>
        <v>4648</v>
      </c>
      <c r="AE33" s="874">
        <f t="shared" si="47"/>
        <v>1025465.56</v>
      </c>
      <c r="AF33" s="1755">
        <f>'[4]Table 5C1D-NOMMA'!T32+'[27]Table 5C1D-NOMMA'!AF32+('[26]Table 5C1D-NOMMA'!AF32*6)</f>
        <v>679161.84848484851</v>
      </c>
      <c r="AG33" s="1755">
        <f t="shared" si="48"/>
        <v>346303.71151515155</v>
      </c>
      <c r="AH33" s="999">
        <f t="shared" si="49"/>
        <v>86576</v>
      </c>
      <c r="AI33" s="875">
        <f t="shared" si="33"/>
        <v>1818430.0086378818</v>
      </c>
      <c r="AJ33" s="875">
        <f t="shared" si="50"/>
        <v>152438</v>
      </c>
      <c r="AL33" s="49">
        <f>-'[4]Table 5C1D-NOMMA'!P32</f>
        <v>1457.5</v>
      </c>
      <c r="AM33" s="49">
        <f t="shared" si="51"/>
        <v>-2558.44</v>
      </c>
      <c r="AN33" s="49">
        <f t="shared" si="52"/>
        <v>-1100.94</v>
      </c>
    </row>
    <row r="34" spans="1:40">
      <c r="A34" s="876">
        <v>27</v>
      </c>
      <c r="B34" s="877" t="s">
        <v>118</v>
      </c>
      <c r="C34" s="972">
        <f>'2-1-13 SIS'!O33</f>
        <v>0</v>
      </c>
      <c r="D34" s="882">
        <f>'Table 3 Levels 1&amp;2'!AL34</f>
        <v>5680.7727517381973</v>
      </c>
      <c r="E34" s="921">
        <f t="shared" si="34"/>
        <v>0</v>
      </c>
      <c r="F34" s="921">
        <f>'Table 4 Level 3'!P32</f>
        <v>693.06</v>
      </c>
      <c r="G34" s="921">
        <f t="shared" si="35"/>
        <v>0</v>
      </c>
      <c r="H34" s="905">
        <f t="shared" si="36"/>
        <v>0</v>
      </c>
      <c r="I34" s="1746">
        <f>+'[3]Oct midyear NOMMA'!K33</f>
        <v>0</v>
      </c>
      <c r="J34" s="1746">
        <f>'[3]Feb midyear NOMMA'!K33</f>
        <v>0</v>
      </c>
      <c r="K34" s="1692">
        <f t="shared" si="37"/>
        <v>0</v>
      </c>
      <c r="L34" s="1435">
        <f t="shared" si="30"/>
        <v>0</v>
      </c>
      <c r="M34" s="931">
        <f t="shared" si="38"/>
        <v>0</v>
      </c>
      <c r="N34" s="905">
        <f t="shared" si="53"/>
        <v>0</v>
      </c>
      <c r="O34" s="882">
        <v>0</v>
      </c>
      <c r="P34" s="1552">
        <f t="shared" si="39"/>
        <v>0</v>
      </c>
      <c r="Q34" s="1718">
        <f>'[4]Table 5C1D-NOMMA'!M33+'[27]Table 5C1D-NOMMA'!T33+('[26]Table 5C1D-NOMMA'!T33*6)</f>
        <v>0</v>
      </c>
      <c r="R34" s="1815">
        <f t="shared" si="40"/>
        <v>0</v>
      </c>
      <c r="S34" s="1550">
        <f t="shared" si="41"/>
        <v>0</v>
      </c>
      <c r="T34" s="1802">
        <f>'Table 5C1A-Madison Prep'!T34</f>
        <v>3271</v>
      </c>
      <c r="U34" s="1555">
        <f t="shared" si="31"/>
        <v>0</v>
      </c>
      <c r="V34" s="1785">
        <f>+'[3]Oct midyear NOMMA'!E33</f>
        <v>0</v>
      </c>
      <c r="W34" s="1786">
        <f t="shared" si="42"/>
        <v>0</v>
      </c>
      <c r="X34" s="1758">
        <f>'[3]Feb midyear NOMMA'!E33</f>
        <v>0</v>
      </c>
      <c r="Y34" s="1759">
        <f t="shared" si="43"/>
        <v>0</v>
      </c>
      <c r="Z34" s="1653">
        <f t="shared" si="32"/>
        <v>0</v>
      </c>
      <c r="AA34" s="1441">
        <f t="shared" si="44"/>
        <v>0</v>
      </c>
      <c r="AB34" s="937">
        <f t="shared" si="45"/>
        <v>0</v>
      </c>
      <c r="AC34" s="899">
        <f t="shared" si="46"/>
        <v>0</v>
      </c>
      <c r="AD34" s="1830">
        <v>0</v>
      </c>
      <c r="AE34" s="899">
        <f t="shared" si="47"/>
        <v>0</v>
      </c>
      <c r="AF34" s="1755">
        <f>'[4]Table 5C1D-NOMMA'!T33+'[27]Table 5C1D-NOMMA'!AF33+('[26]Table 5C1D-NOMMA'!AF33*6)</f>
        <v>0</v>
      </c>
      <c r="AG34" s="1841">
        <f t="shared" si="48"/>
        <v>0</v>
      </c>
      <c r="AH34" s="999">
        <f t="shared" si="49"/>
        <v>0</v>
      </c>
      <c r="AI34" s="900">
        <f t="shared" si="33"/>
        <v>0</v>
      </c>
      <c r="AJ34" s="900">
        <f t="shared" si="50"/>
        <v>0</v>
      </c>
      <c r="AL34" s="49">
        <f>-'[4]Table 5C1D-NOMMA'!P33</f>
        <v>0</v>
      </c>
      <c r="AM34" s="49">
        <f t="shared" si="51"/>
        <v>0</v>
      </c>
      <c r="AN34" s="49">
        <f t="shared" si="52"/>
        <v>0</v>
      </c>
    </row>
    <row r="35" spans="1:40">
      <c r="A35" s="876">
        <v>28</v>
      </c>
      <c r="B35" s="877" t="s">
        <v>119</v>
      </c>
      <c r="C35" s="972">
        <f>'2-1-13 SIS'!O34</f>
        <v>0</v>
      </c>
      <c r="D35" s="882">
        <f>'Table 3 Levels 1&amp;2'!AL35</f>
        <v>3163.1694438483169</v>
      </c>
      <c r="E35" s="921">
        <f t="shared" si="34"/>
        <v>0</v>
      </c>
      <c r="F35" s="921">
        <f>'Table 4 Level 3'!P33</f>
        <v>694.4</v>
      </c>
      <c r="G35" s="921">
        <f t="shared" si="35"/>
        <v>0</v>
      </c>
      <c r="H35" s="905">
        <f t="shared" si="36"/>
        <v>0</v>
      </c>
      <c r="I35" s="1746">
        <f>+'[3]Oct midyear NOMMA'!K34</f>
        <v>0</v>
      </c>
      <c r="J35" s="1746">
        <f>'[3]Feb midyear NOMMA'!K34</f>
        <v>0</v>
      </c>
      <c r="K35" s="1692">
        <f t="shared" si="37"/>
        <v>0</v>
      </c>
      <c r="L35" s="1435">
        <f t="shared" si="30"/>
        <v>0</v>
      </c>
      <c r="M35" s="931">
        <f t="shared" si="38"/>
        <v>0</v>
      </c>
      <c r="N35" s="905">
        <f t="shared" si="53"/>
        <v>0</v>
      </c>
      <c r="O35" s="882">
        <v>0</v>
      </c>
      <c r="P35" s="1552">
        <f t="shared" si="39"/>
        <v>0</v>
      </c>
      <c r="Q35" s="1718">
        <f>'[4]Table 5C1D-NOMMA'!M34+'[27]Table 5C1D-NOMMA'!T34+('[26]Table 5C1D-NOMMA'!T34*6)</f>
        <v>0</v>
      </c>
      <c r="R35" s="1815">
        <f t="shared" si="40"/>
        <v>0</v>
      </c>
      <c r="S35" s="1550">
        <f t="shared" si="41"/>
        <v>0</v>
      </c>
      <c r="T35" s="1802">
        <f>'Table 5C1A-Madison Prep'!T35</f>
        <v>5647</v>
      </c>
      <c r="U35" s="1555">
        <f t="shared" si="31"/>
        <v>0</v>
      </c>
      <c r="V35" s="1785">
        <f>+'[3]Oct midyear NOMMA'!E34</f>
        <v>0</v>
      </c>
      <c r="W35" s="1786">
        <f t="shared" si="42"/>
        <v>0</v>
      </c>
      <c r="X35" s="1758">
        <f>'[3]Feb midyear NOMMA'!E34</f>
        <v>0</v>
      </c>
      <c r="Y35" s="1759">
        <f t="shared" si="43"/>
        <v>0</v>
      </c>
      <c r="Z35" s="1653">
        <f t="shared" si="32"/>
        <v>0</v>
      </c>
      <c r="AA35" s="1441">
        <f t="shared" si="44"/>
        <v>0</v>
      </c>
      <c r="AB35" s="937">
        <f t="shared" si="45"/>
        <v>0</v>
      </c>
      <c r="AC35" s="899">
        <f t="shared" si="46"/>
        <v>0</v>
      </c>
      <c r="AD35" s="1830">
        <v>0</v>
      </c>
      <c r="AE35" s="899">
        <f t="shared" si="47"/>
        <v>0</v>
      </c>
      <c r="AF35" s="1755">
        <f>'[4]Table 5C1D-NOMMA'!T34+'[27]Table 5C1D-NOMMA'!AF34+('[26]Table 5C1D-NOMMA'!AF34*6)</f>
        <v>0</v>
      </c>
      <c r="AG35" s="1841">
        <f t="shared" si="48"/>
        <v>0</v>
      </c>
      <c r="AH35" s="999">
        <f t="shared" si="49"/>
        <v>0</v>
      </c>
      <c r="AI35" s="900">
        <f t="shared" si="33"/>
        <v>0</v>
      </c>
      <c r="AJ35" s="900">
        <f t="shared" si="50"/>
        <v>0</v>
      </c>
      <c r="AL35" s="49">
        <f>-'[4]Table 5C1D-NOMMA'!P34</f>
        <v>0</v>
      </c>
      <c r="AM35" s="49">
        <f t="shared" si="51"/>
        <v>0</v>
      </c>
      <c r="AN35" s="49">
        <f t="shared" si="52"/>
        <v>0</v>
      </c>
    </row>
    <row r="36" spans="1:40">
      <c r="A36" s="876">
        <v>29</v>
      </c>
      <c r="B36" s="877" t="s">
        <v>120</v>
      </c>
      <c r="C36" s="972">
        <f>'2-1-13 SIS'!O35</f>
        <v>0</v>
      </c>
      <c r="D36" s="882">
        <f>'Table 3 Levels 1&amp;2'!AL36</f>
        <v>3952.5586133052648</v>
      </c>
      <c r="E36" s="921">
        <f t="shared" si="34"/>
        <v>0</v>
      </c>
      <c r="F36" s="921">
        <f>'Table 4 Level 3'!P34</f>
        <v>754.94999999999993</v>
      </c>
      <c r="G36" s="921">
        <f t="shared" si="35"/>
        <v>0</v>
      </c>
      <c r="H36" s="905">
        <f t="shared" si="36"/>
        <v>0</v>
      </c>
      <c r="I36" s="1746">
        <f>+'[3]Oct midyear NOMMA'!K35</f>
        <v>0</v>
      </c>
      <c r="J36" s="1746">
        <f>'[3]Feb midyear NOMMA'!K35</f>
        <v>0</v>
      </c>
      <c r="K36" s="1692">
        <f t="shared" si="37"/>
        <v>0</v>
      </c>
      <c r="L36" s="1435">
        <f t="shared" si="30"/>
        <v>0</v>
      </c>
      <c r="M36" s="931">
        <f t="shared" si="38"/>
        <v>0</v>
      </c>
      <c r="N36" s="905">
        <f t="shared" si="53"/>
        <v>0</v>
      </c>
      <c r="O36" s="882">
        <v>0</v>
      </c>
      <c r="P36" s="1552">
        <f t="shared" si="39"/>
        <v>0</v>
      </c>
      <c r="Q36" s="1718">
        <f>'[4]Table 5C1D-NOMMA'!M35+'[27]Table 5C1D-NOMMA'!T35+('[26]Table 5C1D-NOMMA'!T35*6)</f>
        <v>0</v>
      </c>
      <c r="R36" s="1815">
        <f t="shared" si="40"/>
        <v>0</v>
      </c>
      <c r="S36" s="1550">
        <f t="shared" si="41"/>
        <v>0</v>
      </c>
      <c r="T36" s="1802">
        <f>'Table 5C1A-Madison Prep'!T36</f>
        <v>4826</v>
      </c>
      <c r="U36" s="1555">
        <f t="shared" si="31"/>
        <v>0</v>
      </c>
      <c r="V36" s="1785">
        <f>+'[3]Oct midyear NOMMA'!E35</f>
        <v>0</v>
      </c>
      <c r="W36" s="1786">
        <f t="shared" si="42"/>
        <v>0</v>
      </c>
      <c r="X36" s="1758">
        <f>'[3]Feb midyear NOMMA'!E35</f>
        <v>0</v>
      </c>
      <c r="Y36" s="1759">
        <f t="shared" si="43"/>
        <v>0</v>
      </c>
      <c r="Z36" s="1653">
        <f t="shared" si="32"/>
        <v>0</v>
      </c>
      <c r="AA36" s="1441">
        <f t="shared" si="44"/>
        <v>0</v>
      </c>
      <c r="AB36" s="937">
        <f t="shared" si="45"/>
        <v>0</v>
      </c>
      <c r="AC36" s="899">
        <f t="shared" si="46"/>
        <v>0</v>
      </c>
      <c r="AD36" s="1830">
        <v>0</v>
      </c>
      <c r="AE36" s="899">
        <f t="shared" si="47"/>
        <v>0</v>
      </c>
      <c r="AF36" s="1755">
        <f>'[4]Table 5C1D-NOMMA'!T35+'[27]Table 5C1D-NOMMA'!AF35+('[26]Table 5C1D-NOMMA'!AF35*6)</f>
        <v>0</v>
      </c>
      <c r="AG36" s="1841">
        <f t="shared" si="48"/>
        <v>0</v>
      </c>
      <c r="AH36" s="999">
        <f t="shared" si="49"/>
        <v>0</v>
      </c>
      <c r="AI36" s="900">
        <f t="shared" si="33"/>
        <v>0</v>
      </c>
      <c r="AJ36" s="900">
        <f t="shared" si="50"/>
        <v>0</v>
      </c>
      <c r="AL36" s="49">
        <f>-'[4]Table 5C1D-NOMMA'!P35</f>
        <v>0</v>
      </c>
      <c r="AM36" s="49">
        <f t="shared" si="51"/>
        <v>0</v>
      </c>
      <c r="AN36" s="49">
        <f t="shared" si="52"/>
        <v>0</v>
      </c>
    </row>
    <row r="37" spans="1:40">
      <c r="A37" s="879">
        <v>30</v>
      </c>
      <c r="B37" s="880" t="s">
        <v>121</v>
      </c>
      <c r="C37" s="973">
        <f>'2-1-13 SIS'!O36</f>
        <v>0</v>
      </c>
      <c r="D37" s="883">
        <f>'Table 3 Levels 1&amp;2'!AL37</f>
        <v>5648.6510465852989</v>
      </c>
      <c r="E37" s="922">
        <f t="shared" si="34"/>
        <v>0</v>
      </c>
      <c r="F37" s="922">
        <f>'Table 4 Level 3'!P35</f>
        <v>727.17</v>
      </c>
      <c r="G37" s="922">
        <f t="shared" si="35"/>
        <v>0</v>
      </c>
      <c r="H37" s="906">
        <f t="shared" si="36"/>
        <v>0</v>
      </c>
      <c r="I37" s="1747">
        <f>+'[3]Oct midyear NOMMA'!K36</f>
        <v>0</v>
      </c>
      <c r="J37" s="1747">
        <f>'[3]Feb midyear NOMMA'!K36</f>
        <v>0</v>
      </c>
      <c r="K37" s="1693">
        <f t="shared" si="37"/>
        <v>0</v>
      </c>
      <c r="L37" s="1436">
        <f t="shared" si="30"/>
        <v>0</v>
      </c>
      <c r="M37" s="932">
        <f t="shared" si="38"/>
        <v>0</v>
      </c>
      <c r="N37" s="906">
        <f t="shared" si="53"/>
        <v>0</v>
      </c>
      <c r="O37" s="883">
        <v>0</v>
      </c>
      <c r="P37" s="1553">
        <f t="shared" si="39"/>
        <v>0</v>
      </c>
      <c r="Q37" s="1804">
        <f>'[4]Table 5C1D-NOMMA'!M36+'[27]Table 5C1D-NOMMA'!T36+('[26]Table 5C1D-NOMMA'!T36*6)</f>
        <v>0</v>
      </c>
      <c r="R37" s="1816">
        <f t="shared" si="40"/>
        <v>0</v>
      </c>
      <c r="S37" s="1806">
        <f t="shared" si="41"/>
        <v>0</v>
      </c>
      <c r="T37" s="1807">
        <f>'Table 5C1A-Madison Prep'!T37</f>
        <v>4193</v>
      </c>
      <c r="U37" s="1556">
        <f t="shared" si="31"/>
        <v>0</v>
      </c>
      <c r="V37" s="1787">
        <f>+'[3]Oct midyear NOMMA'!E36</f>
        <v>0</v>
      </c>
      <c r="W37" s="1788">
        <f t="shared" si="42"/>
        <v>0</v>
      </c>
      <c r="X37" s="1762">
        <f>'[3]Feb midyear NOMMA'!E36</f>
        <v>0</v>
      </c>
      <c r="Y37" s="1763">
        <f t="shared" si="43"/>
        <v>0</v>
      </c>
      <c r="Z37" s="1654">
        <f t="shared" si="32"/>
        <v>0</v>
      </c>
      <c r="AA37" s="1443">
        <f t="shared" si="44"/>
        <v>0</v>
      </c>
      <c r="AB37" s="938">
        <f t="shared" si="45"/>
        <v>0</v>
      </c>
      <c r="AC37" s="903">
        <f t="shared" si="46"/>
        <v>0</v>
      </c>
      <c r="AD37" s="1831">
        <v>0</v>
      </c>
      <c r="AE37" s="903">
        <f t="shared" si="47"/>
        <v>0</v>
      </c>
      <c r="AF37" s="1833">
        <f>'[4]Table 5C1D-NOMMA'!T36+'[27]Table 5C1D-NOMMA'!AF36+('[26]Table 5C1D-NOMMA'!AF36*6)</f>
        <v>0</v>
      </c>
      <c r="AG37" s="1842">
        <f t="shared" si="48"/>
        <v>0</v>
      </c>
      <c r="AH37" s="1659">
        <f t="shared" si="49"/>
        <v>0</v>
      </c>
      <c r="AI37" s="904">
        <f t="shared" si="33"/>
        <v>0</v>
      </c>
      <c r="AJ37" s="904">
        <f t="shared" si="50"/>
        <v>0</v>
      </c>
      <c r="AL37" s="49">
        <f>-'[4]Table 5C1D-NOMMA'!P36</f>
        <v>0</v>
      </c>
      <c r="AM37" s="49">
        <f t="shared" si="51"/>
        <v>0</v>
      </c>
      <c r="AN37" s="49">
        <f t="shared" si="52"/>
        <v>0</v>
      </c>
    </row>
    <row r="38" spans="1:40">
      <c r="A38" s="870">
        <v>31</v>
      </c>
      <c r="B38" s="871" t="s">
        <v>122</v>
      </c>
      <c r="C38" s="974">
        <f>'2-1-13 SIS'!O37</f>
        <v>0</v>
      </c>
      <c r="D38" s="884">
        <f>'Table 3 Levels 1&amp;2'!AL38</f>
        <v>4348.9307899232972</v>
      </c>
      <c r="E38" s="923">
        <f t="shared" si="34"/>
        <v>0</v>
      </c>
      <c r="F38" s="923">
        <f>'Table 4 Level 3'!P36</f>
        <v>620.83000000000004</v>
      </c>
      <c r="G38" s="923">
        <f t="shared" si="35"/>
        <v>0</v>
      </c>
      <c r="H38" s="907">
        <f t="shared" si="36"/>
        <v>0</v>
      </c>
      <c r="I38" s="1723">
        <f>+'[3]Oct midyear NOMMA'!K37</f>
        <v>0</v>
      </c>
      <c r="J38" s="1723">
        <f>'[3]Feb midyear NOMMA'!K37</f>
        <v>0</v>
      </c>
      <c r="K38" s="1547">
        <f t="shared" si="37"/>
        <v>0</v>
      </c>
      <c r="L38" s="1437">
        <f t="shared" si="30"/>
        <v>0</v>
      </c>
      <c r="M38" s="933">
        <f t="shared" si="38"/>
        <v>0</v>
      </c>
      <c r="N38" s="907">
        <f t="shared" si="53"/>
        <v>0</v>
      </c>
      <c r="O38" s="884">
        <v>0</v>
      </c>
      <c r="P38" s="996">
        <f t="shared" si="39"/>
        <v>0</v>
      </c>
      <c r="Q38" s="1718">
        <f>'[4]Table 5C1D-NOMMA'!M37+'[27]Table 5C1D-NOMMA'!T37+('[26]Table 5C1D-NOMMA'!T37*6)</f>
        <v>0</v>
      </c>
      <c r="R38" s="1723">
        <f t="shared" si="40"/>
        <v>0</v>
      </c>
      <c r="S38" s="998">
        <f t="shared" si="41"/>
        <v>0</v>
      </c>
      <c r="T38" s="1802">
        <f>'Table 5C1A-Madison Prep'!T38</f>
        <v>4901</v>
      </c>
      <c r="U38" s="999">
        <f t="shared" si="31"/>
        <v>0</v>
      </c>
      <c r="V38" s="1754">
        <f>+'[3]Oct midyear NOMMA'!E37</f>
        <v>0</v>
      </c>
      <c r="W38" s="1755">
        <f t="shared" si="42"/>
        <v>0</v>
      </c>
      <c r="X38" s="1754">
        <f>'[3]Feb midyear NOMMA'!E37</f>
        <v>0</v>
      </c>
      <c r="Y38" s="1755">
        <f t="shared" si="43"/>
        <v>0</v>
      </c>
      <c r="Z38" s="1652">
        <f t="shared" si="32"/>
        <v>0</v>
      </c>
      <c r="AA38" s="1446">
        <f t="shared" si="44"/>
        <v>0</v>
      </c>
      <c r="AB38" s="936">
        <f t="shared" si="45"/>
        <v>0</v>
      </c>
      <c r="AC38" s="874">
        <f t="shared" si="46"/>
        <v>0</v>
      </c>
      <c r="AD38" s="1829">
        <v>0</v>
      </c>
      <c r="AE38" s="874">
        <f t="shared" si="47"/>
        <v>0</v>
      </c>
      <c r="AF38" s="1755">
        <f>'[4]Table 5C1D-NOMMA'!T37+'[27]Table 5C1D-NOMMA'!AF37+('[26]Table 5C1D-NOMMA'!AF37*6)</f>
        <v>0</v>
      </c>
      <c r="AG38" s="1755">
        <f t="shared" si="48"/>
        <v>0</v>
      </c>
      <c r="AH38" s="999">
        <f t="shared" si="49"/>
        <v>0</v>
      </c>
      <c r="AI38" s="875">
        <f t="shared" si="33"/>
        <v>0</v>
      </c>
      <c r="AJ38" s="875">
        <f t="shared" si="50"/>
        <v>0</v>
      </c>
      <c r="AL38" s="49">
        <f>-'[4]Table 5C1D-NOMMA'!P37</f>
        <v>0</v>
      </c>
      <c r="AM38" s="49">
        <f t="shared" si="51"/>
        <v>0</v>
      </c>
      <c r="AN38" s="49">
        <f t="shared" si="52"/>
        <v>0</v>
      </c>
    </row>
    <row r="39" spans="1:40">
      <c r="A39" s="876">
        <v>32</v>
      </c>
      <c r="B39" s="877" t="s">
        <v>123</v>
      </c>
      <c r="C39" s="972">
        <f>'2-1-13 SIS'!O38</f>
        <v>0</v>
      </c>
      <c r="D39" s="882">
        <f>'Table 3 Levels 1&amp;2'!AL39</f>
        <v>5531.5157655456787</v>
      </c>
      <c r="E39" s="921">
        <f t="shared" si="34"/>
        <v>0</v>
      </c>
      <c r="F39" s="921">
        <f>'Table 4 Level 3'!P37</f>
        <v>559.77</v>
      </c>
      <c r="G39" s="921">
        <f t="shared" si="35"/>
        <v>0</v>
      </c>
      <c r="H39" s="905">
        <f t="shared" si="36"/>
        <v>0</v>
      </c>
      <c r="I39" s="1746">
        <f>+'[3]Oct midyear NOMMA'!K38</f>
        <v>0</v>
      </c>
      <c r="J39" s="1746">
        <f>'[3]Feb midyear NOMMA'!K38</f>
        <v>0</v>
      </c>
      <c r="K39" s="1692">
        <f t="shared" si="37"/>
        <v>0</v>
      </c>
      <c r="L39" s="1435">
        <f t="shared" si="30"/>
        <v>0</v>
      </c>
      <c r="M39" s="931">
        <f t="shared" si="38"/>
        <v>0</v>
      </c>
      <c r="N39" s="905">
        <f t="shared" si="53"/>
        <v>0</v>
      </c>
      <c r="O39" s="882">
        <v>0</v>
      </c>
      <c r="P39" s="1552">
        <f t="shared" si="39"/>
        <v>0</v>
      </c>
      <c r="Q39" s="1718">
        <f>'[4]Table 5C1D-NOMMA'!M38+'[27]Table 5C1D-NOMMA'!T38+('[26]Table 5C1D-NOMMA'!T38*6)</f>
        <v>0</v>
      </c>
      <c r="R39" s="1815">
        <f t="shared" si="40"/>
        <v>0</v>
      </c>
      <c r="S39" s="1550">
        <f t="shared" si="41"/>
        <v>0</v>
      </c>
      <c r="T39" s="1802">
        <f>'Table 5C1A-Madison Prep'!T39</f>
        <v>2074</v>
      </c>
      <c r="U39" s="1555">
        <f t="shared" si="31"/>
        <v>0</v>
      </c>
      <c r="V39" s="1785">
        <f>+'[3]Oct midyear NOMMA'!E38</f>
        <v>0</v>
      </c>
      <c r="W39" s="1786">
        <f t="shared" si="42"/>
        <v>0</v>
      </c>
      <c r="X39" s="1758">
        <f>'[3]Feb midyear NOMMA'!E38</f>
        <v>0</v>
      </c>
      <c r="Y39" s="1759">
        <f t="shared" si="43"/>
        <v>0</v>
      </c>
      <c r="Z39" s="1653">
        <f t="shared" si="32"/>
        <v>0</v>
      </c>
      <c r="AA39" s="1441">
        <f t="shared" si="44"/>
        <v>0</v>
      </c>
      <c r="AB39" s="937">
        <f t="shared" si="45"/>
        <v>0</v>
      </c>
      <c r="AC39" s="899">
        <f t="shared" si="46"/>
        <v>0</v>
      </c>
      <c r="AD39" s="1830">
        <v>0</v>
      </c>
      <c r="AE39" s="899">
        <f t="shared" si="47"/>
        <v>0</v>
      </c>
      <c r="AF39" s="1755">
        <f>'[4]Table 5C1D-NOMMA'!T38+'[27]Table 5C1D-NOMMA'!AF38+('[26]Table 5C1D-NOMMA'!AF38*6)</f>
        <v>0</v>
      </c>
      <c r="AG39" s="1841">
        <f t="shared" si="48"/>
        <v>0</v>
      </c>
      <c r="AH39" s="999">
        <f t="shared" si="49"/>
        <v>0</v>
      </c>
      <c r="AI39" s="900">
        <f t="shared" si="33"/>
        <v>0</v>
      </c>
      <c r="AJ39" s="900">
        <f t="shared" si="50"/>
        <v>0</v>
      </c>
      <c r="AL39" s="49">
        <f>-'[4]Table 5C1D-NOMMA'!P38</f>
        <v>0</v>
      </c>
      <c r="AM39" s="49">
        <f t="shared" si="51"/>
        <v>0</v>
      </c>
      <c r="AN39" s="49">
        <f t="shared" si="52"/>
        <v>0</v>
      </c>
    </row>
    <row r="40" spans="1:40">
      <c r="A40" s="876">
        <v>33</v>
      </c>
      <c r="B40" s="877" t="s">
        <v>124</v>
      </c>
      <c r="C40" s="972">
        <f>'2-1-13 SIS'!O39</f>
        <v>0</v>
      </c>
      <c r="D40" s="882">
        <f>'Table 3 Levels 1&amp;2'!AL40</f>
        <v>5329.5444226517857</v>
      </c>
      <c r="E40" s="921">
        <f t="shared" si="34"/>
        <v>0</v>
      </c>
      <c r="F40" s="921">
        <f>'Table 4 Level 3'!P38</f>
        <v>655.31000000000006</v>
      </c>
      <c r="G40" s="921">
        <f t="shared" si="35"/>
        <v>0</v>
      </c>
      <c r="H40" s="905">
        <f t="shared" si="36"/>
        <v>0</v>
      </c>
      <c r="I40" s="1746">
        <f>+'[3]Oct midyear NOMMA'!K39</f>
        <v>0</v>
      </c>
      <c r="J40" s="1746">
        <f>'[3]Feb midyear NOMMA'!K39</f>
        <v>0</v>
      </c>
      <c r="K40" s="1692">
        <f t="shared" si="37"/>
        <v>0</v>
      </c>
      <c r="L40" s="1435">
        <f t="shared" ref="L40:L71" si="54">H40+K40</f>
        <v>0</v>
      </c>
      <c r="M40" s="931">
        <f t="shared" si="38"/>
        <v>0</v>
      </c>
      <c r="N40" s="905">
        <f t="shared" si="53"/>
        <v>0</v>
      </c>
      <c r="O40" s="882">
        <v>0</v>
      </c>
      <c r="P40" s="1552">
        <f t="shared" si="39"/>
        <v>0</v>
      </c>
      <c r="Q40" s="1718">
        <f>'[4]Table 5C1D-NOMMA'!M39+'[27]Table 5C1D-NOMMA'!T39+('[26]Table 5C1D-NOMMA'!T39*6)</f>
        <v>0</v>
      </c>
      <c r="R40" s="1815">
        <f t="shared" si="40"/>
        <v>0</v>
      </c>
      <c r="S40" s="1550">
        <f t="shared" si="41"/>
        <v>0</v>
      </c>
      <c r="T40" s="1802">
        <f>'Table 5C1A-Madison Prep'!T40</f>
        <v>3501</v>
      </c>
      <c r="U40" s="1555">
        <f t="shared" ref="U40:U71" si="55">C40*T40</f>
        <v>0</v>
      </c>
      <c r="V40" s="1785">
        <f>+'[3]Oct midyear NOMMA'!E39</f>
        <v>0</v>
      </c>
      <c r="W40" s="1786">
        <f t="shared" si="42"/>
        <v>0</v>
      </c>
      <c r="X40" s="1758">
        <f>'[3]Feb midyear NOMMA'!E39</f>
        <v>0</v>
      </c>
      <c r="Y40" s="1759">
        <f t="shared" si="43"/>
        <v>0</v>
      </c>
      <c r="Z40" s="1653">
        <f t="shared" si="32"/>
        <v>0</v>
      </c>
      <c r="AA40" s="1441">
        <f t="shared" si="44"/>
        <v>0</v>
      </c>
      <c r="AB40" s="937">
        <f t="shared" si="45"/>
        <v>0</v>
      </c>
      <c r="AC40" s="899">
        <f t="shared" si="46"/>
        <v>0</v>
      </c>
      <c r="AD40" s="1830">
        <v>0</v>
      </c>
      <c r="AE40" s="899">
        <f t="shared" si="47"/>
        <v>0</v>
      </c>
      <c r="AF40" s="1755">
        <f>'[4]Table 5C1D-NOMMA'!T39+'[27]Table 5C1D-NOMMA'!AF39+('[26]Table 5C1D-NOMMA'!AF39*6)</f>
        <v>0</v>
      </c>
      <c r="AG40" s="1841">
        <f t="shared" si="48"/>
        <v>0</v>
      </c>
      <c r="AH40" s="999">
        <f t="shared" si="49"/>
        <v>0</v>
      </c>
      <c r="AI40" s="900">
        <f t="shared" ref="AI40:AI76" si="56">P40+AE40</f>
        <v>0</v>
      </c>
      <c r="AJ40" s="900">
        <f t="shared" si="50"/>
        <v>0</v>
      </c>
      <c r="AL40" s="49">
        <f>-'[4]Table 5C1D-NOMMA'!P39</f>
        <v>0</v>
      </c>
      <c r="AM40" s="49">
        <f t="shared" si="51"/>
        <v>0</v>
      </c>
      <c r="AN40" s="49">
        <f t="shared" si="52"/>
        <v>0</v>
      </c>
    </row>
    <row r="41" spans="1:40">
      <c r="A41" s="876">
        <v>34</v>
      </c>
      <c r="B41" s="877" t="s">
        <v>125</v>
      </c>
      <c r="C41" s="972">
        <f>'2-1-13 SIS'!O40</f>
        <v>0</v>
      </c>
      <c r="D41" s="882">
        <f>'Table 3 Levels 1&amp;2'!AL41</f>
        <v>6003.632932007491</v>
      </c>
      <c r="E41" s="921">
        <f t="shared" si="34"/>
        <v>0</v>
      </c>
      <c r="F41" s="921">
        <f>'Table 4 Level 3'!P39</f>
        <v>644.11000000000013</v>
      </c>
      <c r="G41" s="921">
        <f t="shared" si="35"/>
        <v>0</v>
      </c>
      <c r="H41" s="905">
        <f t="shared" si="36"/>
        <v>0</v>
      </c>
      <c r="I41" s="1746">
        <f>+'[3]Oct midyear NOMMA'!K40</f>
        <v>0</v>
      </c>
      <c r="J41" s="1746">
        <f>'[3]Feb midyear NOMMA'!K40</f>
        <v>0</v>
      </c>
      <c r="K41" s="1692">
        <f t="shared" si="37"/>
        <v>0</v>
      </c>
      <c r="L41" s="1435">
        <f t="shared" si="54"/>
        <v>0</v>
      </c>
      <c r="M41" s="931">
        <f t="shared" si="38"/>
        <v>0</v>
      </c>
      <c r="N41" s="905">
        <f t="shared" si="53"/>
        <v>0</v>
      </c>
      <c r="O41" s="882">
        <v>0</v>
      </c>
      <c r="P41" s="1552">
        <f t="shared" si="39"/>
        <v>0</v>
      </c>
      <c r="Q41" s="1718">
        <f>'[4]Table 5C1D-NOMMA'!M40+'[27]Table 5C1D-NOMMA'!T40+('[26]Table 5C1D-NOMMA'!T40*6)</f>
        <v>0</v>
      </c>
      <c r="R41" s="1815">
        <f t="shared" si="40"/>
        <v>0</v>
      </c>
      <c r="S41" s="1550">
        <f t="shared" si="41"/>
        <v>0</v>
      </c>
      <c r="T41" s="1802">
        <f>'Table 5C1A-Madison Prep'!T41</f>
        <v>2772</v>
      </c>
      <c r="U41" s="1555">
        <f t="shared" si="55"/>
        <v>0</v>
      </c>
      <c r="V41" s="1785">
        <f>+'[3]Oct midyear NOMMA'!E40</f>
        <v>0</v>
      </c>
      <c r="W41" s="1786">
        <f t="shared" si="42"/>
        <v>0</v>
      </c>
      <c r="X41" s="1758">
        <f>'[3]Feb midyear NOMMA'!E40</f>
        <v>0</v>
      </c>
      <c r="Y41" s="1759">
        <f t="shared" si="43"/>
        <v>0</v>
      </c>
      <c r="Z41" s="1653">
        <f t="shared" si="32"/>
        <v>0</v>
      </c>
      <c r="AA41" s="1441">
        <f t="shared" si="44"/>
        <v>0</v>
      </c>
      <c r="AB41" s="937">
        <f t="shared" si="45"/>
        <v>0</v>
      </c>
      <c r="AC41" s="899">
        <f t="shared" si="46"/>
        <v>0</v>
      </c>
      <c r="AD41" s="1830">
        <v>0</v>
      </c>
      <c r="AE41" s="899">
        <f t="shared" si="47"/>
        <v>0</v>
      </c>
      <c r="AF41" s="1755">
        <f>'[4]Table 5C1D-NOMMA'!T40+'[27]Table 5C1D-NOMMA'!AF40+('[26]Table 5C1D-NOMMA'!AF40*6)</f>
        <v>0</v>
      </c>
      <c r="AG41" s="1841">
        <f t="shared" si="48"/>
        <v>0</v>
      </c>
      <c r="AH41" s="999">
        <f t="shared" si="49"/>
        <v>0</v>
      </c>
      <c r="AI41" s="900">
        <f t="shared" si="56"/>
        <v>0</v>
      </c>
      <c r="AJ41" s="900">
        <f t="shared" si="50"/>
        <v>0</v>
      </c>
      <c r="AL41" s="49">
        <f>-'[4]Table 5C1D-NOMMA'!P40</f>
        <v>0</v>
      </c>
      <c r="AM41" s="49">
        <f t="shared" si="51"/>
        <v>0</v>
      </c>
      <c r="AN41" s="49">
        <f t="shared" si="52"/>
        <v>0</v>
      </c>
    </row>
    <row r="42" spans="1:40">
      <c r="A42" s="879">
        <v>35</v>
      </c>
      <c r="B42" s="880" t="s">
        <v>126</v>
      </c>
      <c r="C42" s="973">
        <f>'2-1-13 SIS'!O41</f>
        <v>0</v>
      </c>
      <c r="D42" s="883">
        <f>'Table 3 Levels 1&amp;2'!AL42</f>
        <v>4607.1606416222867</v>
      </c>
      <c r="E42" s="922">
        <f t="shared" si="34"/>
        <v>0</v>
      </c>
      <c r="F42" s="922">
        <f>'Table 4 Level 3'!P40</f>
        <v>537.96</v>
      </c>
      <c r="G42" s="922">
        <f t="shared" si="35"/>
        <v>0</v>
      </c>
      <c r="H42" s="906">
        <f t="shared" si="36"/>
        <v>0</v>
      </c>
      <c r="I42" s="1747">
        <f>+'[3]Oct midyear NOMMA'!K41</f>
        <v>0</v>
      </c>
      <c r="J42" s="1747">
        <f>'[3]Feb midyear NOMMA'!K41</f>
        <v>0</v>
      </c>
      <c r="K42" s="1693">
        <f t="shared" si="37"/>
        <v>0</v>
      </c>
      <c r="L42" s="1436">
        <f t="shared" si="54"/>
        <v>0</v>
      </c>
      <c r="M42" s="932">
        <f t="shared" si="38"/>
        <v>0</v>
      </c>
      <c r="N42" s="906">
        <f t="shared" si="53"/>
        <v>0</v>
      </c>
      <c r="O42" s="883">
        <v>0</v>
      </c>
      <c r="P42" s="1553">
        <f t="shared" si="39"/>
        <v>0</v>
      </c>
      <c r="Q42" s="1804">
        <f>'[4]Table 5C1D-NOMMA'!M41+'[27]Table 5C1D-NOMMA'!T41+('[26]Table 5C1D-NOMMA'!T41*6)</f>
        <v>0</v>
      </c>
      <c r="R42" s="1816">
        <f t="shared" si="40"/>
        <v>0</v>
      </c>
      <c r="S42" s="1806">
        <f t="shared" si="41"/>
        <v>0</v>
      </c>
      <c r="T42" s="1807">
        <f>'Table 5C1A-Madison Prep'!T42</f>
        <v>3140</v>
      </c>
      <c r="U42" s="1556">
        <f t="shared" si="55"/>
        <v>0</v>
      </c>
      <c r="V42" s="1787">
        <f>+'[3]Oct midyear NOMMA'!E41</f>
        <v>0</v>
      </c>
      <c r="W42" s="1788">
        <f t="shared" si="42"/>
        <v>0</v>
      </c>
      <c r="X42" s="1762">
        <f>'[3]Feb midyear NOMMA'!E41</f>
        <v>0</v>
      </c>
      <c r="Y42" s="1763">
        <f t="shared" si="43"/>
        <v>0</v>
      </c>
      <c r="Z42" s="1654">
        <f t="shared" si="32"/>
        <v>0</v>
      </c>
      <c r="AA42" s="1443">
        <f t="shared" si="44"/>
        <v>0</v>
      </c>
      <c r="AB42" s="938">
        <f t="shared" si="45"/>
        <v>0</v>
      </c>
      <c r="AC42" s="903">
        <f t="shared" si="46"/>
        <v>0</v>
      </c>
      <c r="AD42" s="1831">
        <v>0</v>
      </c>
      <c r="AE42" s="903">
        <f t="shared" si="47"/>
        <v>0</v>
      </c>
      <c r="AF42" s="1833">
        <f>'[4]Table 5C1D-NOMMA'!T41+'[27]Table 5C1D-NOMMA'!AF41+('[26]Table 5C1D-NOMMA'!AF41*6)</f>
        <v>0</v>
      </c>
      <c r="AG42" s="1842">
        <f t="shared" si="48"/>
        <v>0</v>
      </c>
      <c r="AH42" s="1659">
        <f t="shared" si="49"/>
        <v>0</v>
      </c>
      <c r="AI42" s="904">
        <f t="shared" si="56"/>
        <v>0</v>
      </c>
      <c r="AJ42" s="904">
        <f t="shared" si="50"/>
        <v>0</v>
      </c>
      <c r="AL42" s="49">
        <f>-'[4]Table 5C1D-NOMMA'!P41</f>
        <v>0</v>
      </c>
      <c r="AM42" s="49">
        <f t="shared" si="51"/>
        <v>0</v>
      </c>
      <c r="AN42" s="49">
        <f t="shared" si="52"/>
        <v>0</v>
      </c>
    </row>
    <row r="43" spans="1:40">
      <c r="A43" s="870">
        <v>36</v>
      </c>
      <c r="B43" s="871" t="s">
        <v>127</v>
      </c>
      <c r="C43" s="974">
        <f>'2-1-13 SIS'!O42</f>
        <v>104</v>
      </c>
      <c r="D43" s="884">
        <f>'Table 3 Levels 1&amp;2'!AL43</f>
        <v>3520.4894337711748</v>
      </c>
      <c r="E43" s="923">
        <f t="shared" si="34"/>
        <v>366130.90111220221</v>
      </c>
      <c r="F43" s="923">
        <f>'Table 5B1_RSD_Orleans'!F78</f>
        <v>746.0335616438357</v>
      </c>
      <c r="G43" s="923">
        <f t="shared" si="35"/>
        <v>77587.490410958912</v>
      </c>
      <c r="H43" s="907">
        <f t="shared" si="36"/>
        <v>443718.39152316109</v>
      </c>
      <c r="I43" s="1723">
        <f>+'[3]Oct midyear NOMMA'!K42</f>
        <v>217592.67276616555</v>
      </c>
      <c r="J43" s="1723">
        <f>'[3]Feb midyear NOMMA'!K42</f>
        <v>6399.7844931225163</v>
      </c>
      <c r="K43" s="1547">
        <f t="shared" si="37"/>
        <v>223992.45725928806</v>
      </c>
      <c r="L43" s="1437">
        <f t="shared" si="54"/>
        <v>667710.84878244915</v>
      </c>
      <c r="M43" s="933">
        <f t="shared" si="38"/>
        <v>-1669.277121956123</v>
      </c>
      <c r="N43" s="907">
        <f t="shared" si="53"/>
        <v>666041.57166049303</v>
      </c>
      <c r="O43" s="884">
        <v>0</v>
      </c>
      <c r="P43" s="996">
        <f t="shared" si="39"/>
        <v>666041.57166049303</v>
      </c>
      <c r="Q43" s="1718">
        <f>'[4]Table 5C1D-NOMMA'!M42+'[27]Table 5C1D-NOMMA'!T42+('[26]Table 5C1D-NOMMA'!T42*6)</f>
        <v>423444.84391326609</v>
      </c>
      <c r="R43" s="1723">
        <f t="shared" si="40"/>
        <v>242596.72774722695</v>
      </c>
      <c r="S43" s="998">
        <f t="shared" si="41"/>
        <v>60649</v>
      </c>
      <c r="T43" s="1802">
        <f>'Table 5C1A-Madison Prep'!T43</f>
        <v>5433</v>
      </c>
      <c r="U43" s="999">
        <f t="shared" si="55"/>
        <v>565032</v>
      </c>
      <c r="V43" s="1754">
        <f>+'[3]Oct midyear NOMMA'!E42</f>
        <v>51</v>
      </c>
      <c r="W43" s="1755">
        <f t="shared" si="42"/>
        <v>277083</v>
      </c>
      <c r="X43" s="1754">
        <f>'[3]Feb midyear NOMMA'!E42</f>
        <v>3</v>
      </c>
      <c r="Y43" s="1755">
        <f t="shared" si="43"/>
        <v>8149.5</v>
      </c>
      <c r="Z43" s="1652">
        <f t="shared" si="32"/>
        <v>285232.5</v>
      </c>
      <c r="AA43" s="1446">
        <f t="shared" si="44"/>
        <v>850264.5</v>
      </c>
      <c r="AB43" s="936">
        <f t="shared" si="45"/>
        <v>-2125.6612500000001</v>
      </c>
      <c r="AC43" s="874">
        <f t="shared" si="46"/>
        <v>848138.83875</v>
      </c>
      <c r="AD43" s="1829">
        <v>0</v>
      </c>
      <c r="AE43" s="874">
        <f t="shared" si="47"/>
        <v>848138.83875</v>
      </c>
      <c r="AF43" s="1755">
        <f>'[4]Table 5C1D-NOMMA'!T42+'[27]Table 5C1D-NOMMA'!AF42+('[26]Table 5C1D-NOMMA'!AF42*6)</f>
        <v>540009.60459090909</v>
      </c>
      <c r="AG43" s="1755">
        <f t="shared" si="48"/>
        <v>308129.23415909091</v>
      </c>
      <c r="AH43" s="999">
        <f t="shared" si="49"/>
        <v>77032</v>
      </c>
      <c r="AI43" s="875">
        <f t="shared" si="56"/>
        <v>1514180.4104104931</v>
      </c>
      <c r="AJ43" s="875">
        <f t="shared" si="50"/>
        <v>137681</v>
      </c>
      <c r="AL43" s="49">
        <f>-'[4]Table 5C1D-NOMMA'!P42</f>
        <v>1414.66</v>
      </c>
      <c r="AM43" s="49">
        <f t="shared" si="51"/>
        <v>-2125.6612500000001</v>
      </c>
      <c r="AN43" s="49">
        <f t="shared" si="52"/>
        <v>-711.00125000000003</v>
      </c>
    </row>
    <row r="44" spans="1:40">
      <c r="A44" s="876">
        <v>37</v>
      </c>
      <c r="B44" s="877" t="s">
        <v>128</v>
      </c>
      <c r="C44" s="972">
        <f>'2-1-13 SIS'!O43</f>
        <v>0</v>
      </c>
      <c r="D44" s="882">
        <f>'Table 3 Levels 1&amp;2'!AL44</f>
        <v>5503.7595641818853</v>
      </c>
      <c r="E44" s="921">
        <f t="shared" si="34"/>
        <v>0</v>
      </c>
      <c r="F44" s="921">
        <f>'Table 4 Level 3'!P42</f>
        <v>653.61</v>
      </c>
      <c r="G44" s="921">
        <f t="shared" si="35"/>
        <v>0</v>
      </c>
      <c r="H44" s="905">
        <f t="shared" si="36"/>
        <v>0</v>
      </c>
      <c r="I44" s="1746">
        <f>+'[3]Oct midyear NOMMA'!K43</f>
        <v>0</v>
      </c>
      <c r="J44" s="1746">
        <f>'[3]Feb midyear NOMMA'!K43</f>
        <v>0</v>
      </c>
      <c r="K44" s="1692">
        <f t="shared" si="37"/>
        <v>0</v>
      </c>
      <c r="L44" s="1435">
        <f t="shared" si="54"/>
        <v>0</v>
      </c>
      <c r="M44" s="931">
        <f t="shared" si="38"/>
        <v>0</v>
      </c>
      <c r="N44" s="905">
        <f t="shared" si="53"/>
        <v>0</v>
      </c>
      <c r="O44" s="882">
        <v>0</v>
      </c>
      <c r="P44" s="1552">
        <f t="shared" si="39"/>
        <v>0</v>
      </c>
      <c r="Q44" s="1718">
        <f>'[4]Table 5C1D-NOMMA'!M43+'[27]Table 5C1D-NOMMA'!T43+('[26]Table 5C1D-NOMMA'!T43*6)</f>
        <v>0</v>
      </c>
      <c r="R44" s="1815">
        <f t="shared" si="40"/>
        <v>0</v>
      </c>
      <c r="S44" s="1550">
        <f t="shared" si="41"/>
        <v>0</v>
      </c>
      <c r="T44" s="1802">
        <f>'Table 5C1A-Madison Prep'!T44</f>
        <v>3310</v>
      </c>
      <c r="U44" s="1555">
        <f t="shared" si="55"/>
        <v>0</v>
      </c>
      <c r="V44" s="1785">
        <f>+'[3]Oct midyear NOMMA'!E43</f>
        <v>0</v>
      </c>
      <c r="W44" s="1786">
        <f t="shared" si="42"/>
        <v>0</v>
      </c>
      <c r="X44" s="1758">
        <f>'[3]Feb midyear NOMMA'!E43</f>
        <v>0</v>
      </c>
      <c r="Y44" s="1759">
        <f t="shared" si="43"/>
        <v>0</v>
      </c>
      <c r="Z44" s="1653">
        <f t="shared" si="32"/>
        <v>0</v>
      </c>
      <c r="AA44" s="1441">
        <f t="shared" si="44"/>
        <v>0</v>
      </c>
      <c r="AB44" s="937">
        <f t="shared" si="45"/>
        <v>0</v>
      </c>
      <c r="AC44" s="899">
        <f t="shared" si="46"/>
        <v>0</v>
      </c>
      <c r="AD44" s="1830">
        <v>0</v>
      </c>
      <c r="AE44" s="899">
        <f t="shared" si="47"/>
        <v>0</v>
      </c>
      <c r="AF44" s="1755">
        <f>'[4]Table 5C1D-NOMMA'!T43+'[27]Table 5C1D-NOMMA'!AF43+('[26]Table 5C1D-NOMMA'!AF43*6)</f>
        <v>0</v>
      </c>
      <c r="AG44" s="1841">
        <f t="shared" si="48"/>
        <v>0</v>
      </c>
      <c r="AH44" s="999">
        <f t="shared" si="49"/>
        <v>0</v>
      </c>
      <c r="AI44" s="900">
        <f t="shared" si="56"/>
        <v>0</v>
      </c>
      <c r="AJ44" s="900">
        <f t="shared" si="50"/>
        <v>0</v>
      </c>
      <c r="AL44" s="49">
        <f>-'[4]Table 5C1D-NOMMA'!P43</f>
        <v>0</v>
      </c>
      <c r="AM44" s="49">
        <f t="shared" si="51"/>
        <v>0</v>
      </c>
      <c r="AN44" s="49">
        <f t="shared" si="52"/>
        <v>0</v>
      </c>
    </row>
    <row r="45" spans="1:40">
      <c r="A45" s="876">
        <v>38</v>
      </c>
      <c r="B45" s="877" t="s">
        <v>129</v>
      </c>
      <c r="C45" s="972">
        <f>'2-1-13 SIS'!O44</f>
        <v>8</v>
      </c>
      <c r="D45" s="882">
        <f>'Table 3 Levels 1&amp;2'!AL45</f>
        <v>2192.7545275590551</v>
      </c>
      <c r="E45" s="921">
        <f t="shared" si="34"/>
        <v>17542.036220472441</v>
      </c>
      <c r="F45" s="921">
        <f>'Table 4 Level 3'!P43</f>
        <v>829.92000000000007</v>
      </c>
      <c r="G45" s="921">
        <f t="shared" si="35"/>
        <v>6639.3600000000006</v>
      </c>
      <c r="H45" s="905">
        <f t="shared" si="36"/>
        <v>24181.396220472441</v>
      </c>
      <c r="I45" s="1746">
        <f>+'[3]Oct midyear NOMMA'!K44</f>
        <v>12090.698110236221</v>
      </c>
      <c r="J45" s="1746">
        <f>'[3]Feb midyear NOMMA'!K44</f>
        <v>-7556.6863188976376</v>
      </c>
      <c r="K45" s="1692">
        <f t="shared" si="37"/>
        <v>4534.011791338583</v>
      </c>
      <c r="L45" s="1435">
        <f t="shared" si="54"/>
        <v>28715.408011811025</v>
      </c>
      <c r="M45" s="931">
        <f t="shared" si="38"/>
        <v>-71.788520029527561</v>
      </c>
      <c r="N45" s="905">
        <f t="shared" si="53"/>
        <v>28643.619491781497</v>
      </c>
      <c r="O45" s="882">
        <v>0</v>
      </c>
      <c r="P45" s="1552">
        <f t="shared" si="39"/>
        <v>28643.619491781497</v>
      </c>
      <c r="Q45" s="1718">
        <f>'[4]Table 5C1D-NOMMA'!M44+'[27]Table 5C1D-NOMMA'!T44+('[26]Table 5C1D-NOMMA'!T44*6)</f>
        <v>22165.684493480672</v>
      </c>
      <c r="R45" s="1815">
        <f t="shared" si="40"/>
        <v>6477.9349983008251</v>
      </c>
      <c r="S45" s="1550">
        <f t="shared" si="41"/>
        <v>1619</v>
      </c>
      <c r="T45" s="1802">
        <f>'Table 5C1A-Madison Prep'!T45</f>
        <v>12521</v>
      </c>
      <c r="U45" s="1555">
        <f t="shared" si="55"/>
        <v>100168</v>
      </c>
      <c r="V45" s="1785">
        <f>+'[3]Oct midyear NOMMA'!E44</f>
        <v>4</v>
      </c>
      <c r="W45" s="1786">
        <f t="shared" si="42"/>
        <v>50084</v>
      </c>
      <c r="X45" s="1758">
        <f>'[3]Feb midyear NOMMA'!E44</f>
        <v>-5</v>
      </c>
      <c r="Y45" s="1759">
        <f t="shared" si="43"/>
        <v>-31302.5</v>
      </c>
      <c r="Z45" s="1653">
        <f t="shared" si="32"/>
        <v>18781.5</v>
      </c>
      <c r="AA45" s="1441">
        <f t="shared" si="44"/>
        <v>118949.5</v>
      </c>
      <c r="AB45" s="937">
        <f t="shared" si="45"/>
        <v>-297.37375000000003</v>
      </c>
      <c r="AC45" s="899">
        <f t="shared" si="46"/>
        <v>118652.12625</v>
      </c>
      <c r="AD45" s="1830">
        <v>0</v>
      </c>
      <c r="AE45" s="899">
        <f t="shared" si="47"/>
        <v>118652.12625</v>
      </c>
      <c r="AF45" s="1755">
        <f>'[4]Table 5C1D-NOMMA'!T44+'[27]Table 5C1D-NOMMA'!AF44+('[26]Table 5C1D-NOMMA'!AF44*6)</f>
        <v>79689.192863636359</v>
      </c>
      <c r="AG45" s="1841">
        <f t="shared" si="48"/>
        <v>38962.933386363642</v>
      </c>
      <c r="AH45" s="999">
        <f t="shared" si="49"/>
        <v>9741</v>
      </c>
      <c r="AI45" s="900">
        <f t="shared" si="56"/>
        <v>147295.74574178149</v>
      </c>
      <c r="AJ45" s="900">
        <f t="shared" si="50"/>
        <v>11360</v>
      </c>
      <c r="AL45" s="49">
        <f>-'[4]Table 5C1D-NOMMA'!P44</f>
        <v>217.34</v>
      </c>
      <c r="AM45" s="49">
        <f t="shared" si="51"/>
        <v>-297.37375000000003</v>
      </c>
      <c r="AN45" s="49">
        <f t="shared" si="52"/>
        <v>-80.033750000000026</v>
      </c>
    </row>
    <row r="46" spans="1:40">
      <c r="A46" s="876">
        <v>39</v>
      </c>
      <c r="B46" s="877" t="s">
        <v>130</v>
      </c>
      <c r="C46" s="972">
        <f>'2-1-13 SIS'!O45</f>
        <v>0</v>
      </c>
      <c r="D46" s="882">
        <f>'Table 3 Levels 1&amp;2'!AL46</f>
        <v>3639.9942778062696</v>
      </c>
      <c r="E46" s="921">
        <f t="shared" si="34"/>
        <v>0</v>
      </c>
      <c r="F46" s="921">
        <f>'Table 5B2_RSD_LA'!F21</f>
        <v>779.65573042776441</v>
      </c>
      <c r="G46" s="921">
        <f t="shared" si="35"/>
        <v>0</v>
      </c>
      <c r="H46" s="905">
        <f t="shared" si="36"/>
        <v>0</v>
      </c>
      <c r="I46" s="1746">
        <f>+'[3]Oct midyear NOMMA'!K45</f>
        <v>0</v>
      </c>
      <c r="J46" s="1746">
        <f>'[3]Feb midyear NOMMA'!K45</f>
        <v>0</v>
      </c>
      <c r="K46" s="1692">
        <f t="shared" si="37"/>
        <v>0</v>
      </c>
      <c r="L46" s="1435">
        <f t="shared" si="54"/>
        <v>0</v>
      </c>
      <c r="M46" s="931">
        <f t="shared" si="38"/>
        <v>0</v>
      </c>
      <c r="N46" s="905">
        <f t="shared" si="53"/>
        <v>0</v>
      </c>
      <c r="O46" s="882">
        <v>0</v>
      </c>
      <c r="P46" s="1552">
        <f t="shared" si="39"/>
        <v>0</v>
      </c>
      <c r="Q46" s="1718">
        <f>'[4]Table 5C1D-NOMMA'!M45+'[27]Table 5C1D-NOMMA'!T45+('[26]Table 5C1D-NOMMA'!T45*6)</f>
        <v>0</v>
      </c>
      <c r="R46" s="1815">
        <f t="shared" si="40"/>
        <v>0</v>
      </c>
      <c r="S46" s="1550">
        <f t="shared" si="41"/>
        <v>0</v>
      </c>
      <c r="T46" s="1802">
        <f>'Table 5C1A-Madison Prep'!T46</f>
        <v>4436</v>
      </c>
      <c r="U46" s="1555">
        <f t="shared" si="55"/>
        <v>0</v>
      </c>
      <c r="V46" s="1785">
        <f>+'[3]Oct midyear NOMMA'!E45</f>
        <v>0</v>
      </c>
      <c r="W46" s="1786">
        <f t="shared" si="42"/>
        <v>0</v>
      </c>
      <c r="X46" s="1758">
        <f>'[3]Feb midyear NOMMA'!E45</f>
        <v>0</v>
      </c>
      <c r="Y46" s="1759">
        <f t="shared" si="43"/>
        <v>0</v>
      </c>
      <c r="Z46" s="1653">
        <f t="shared" si="32"/>
        <v>0</v>
      </c>
      <c r="AA46" s="1441">
        <f t="shared" si="44"/>
        <v>0</v>
      </c>
      <c r="AB46" s="937">
        <f t="shared" si="45"/>
        <v>0</v>
      </c>
      <c r="AC46" s="899">
        <f t="shared" si="46"/>
        <v>0</v>
      </c>
      <c r="AD46" s="1830">
        <v>0</v>
      </c>
      <c r="AE46" s="899">
        <f t="shared" si="47"/>
        <v>0</v>
      </c>
      <c r="AF46" s="1755">
        <f>'[4]Table 5C1D-NOMMA'!T45+'[27]Table 5C1D-NOMMA'!AF45+('[26]Table 5C1D-NOMMA'!AF45*6)</f>
        <v>0</v>
      </c>
      <c r="AG46" s="1841">
        <f t="shared" si="48"/>
        <v>0</v>
      </c>
      <c r="AH46" s="999">
        <f t="shared" si="49"/>
        <v>0</v>
      </c>
      <c r="AI46" s="900">
        <f t="shared" si="56"/>
        <v>0</v>
      </c>
      <c r="AJ46" s="900">
        <f t="shared" si="50"/>
        <v>0</v>
      </c>
      <c r="AL46" s="49">
        <f>-'[4]Table 5C1D-NOMMA'!P45</f>
        <v>0</v>
      </c>
      <c r="AM46" s="49">
        <f t="shared" si="51"/>
        <v>0</v>
      </c>
      <c r="AN46" s="49">
        <f t="shared" si="52"/>
        <v>0</v>
      </c>
    </row>
    <row r="47" spans="1:40">
      <c r="A47" s="879">
        <v>40</v>
      </c>
      <c r="B47" s="880" t="s">
        <v>131</v>
      </c>
      <c r="C47" s="973">
        <f>'2-1-13 SIS'!O46</f>
        <v>0</v>
      </c>
      <c r="D47" s="883">
        <f>'Table 3 Levels 1&amp;2'!AL47</f>
        <v>4928.4974462701202</v>
      </c>
      <c r="E47" s="922">
        <f t="shared" si="34"/>
        <v>0</v>
      </c>
      <c r="F47" s="922">
        <f>'Table 4 Level 3'!P45</f>
        <v>700.2700000000001</v>
      </c>
      <c r="G47" s="922">
        <f t="shared" si="35"/>
        <v>0</v>
      </c>
      <c r="H47" s="906">
        <f t="shared" si="36"/>
        <v>0</v>
      </c>
      <c r="I47" s="1747">
        <f>+'[3]Oct midyear NOMMA'!K46</f>
        <v>0</v>
      </c>
      <c r="J47" s="1747">
        <f>'[3]Feb midyear NOMMA'!K46</f>
        <v>0</v>
      </c>
      <c r="K47" s="1693">
        <f t="shared" si="37"/>
        <v>0</v>
      </c>
      <c r="L47" s="1436">
        <f t="shared" si="54"/>
        <v>0</v>
      </c>
      <c r="M47" s="932">
        <f t="shared" si="38"/>
        <v>0</v>
      </c>
      <c r="N47" s="906">
        <f t="shared" si="53"/>
        <v>0</v>
      </c>
      <c r="O47" s="883">
        <v>0</v>
      </c>
      <c r="P47" s="1553">
        <f t="shared" si="39"/>
        <v>0</v>
      </c>
      <c r="Q47" s="1804">
        <f>'[4]Table 5C1D-NOMMA'!M46+'[27]Table 5C1D-NOMMA'!T46+('[26]Table 5C1D-NOMMA'!T46*6)</f>
        <v>0</v>
      </c>
      <c r="R47" s="1816">
        <f t="shared" si="40"/>
        <v>0</v>
      </c>
      <c r="S47" s="1806">
        <f t="shared" si="41"/>
        <v>0</v>
      </c>
      <c r="T47" s="1807">
        <f>'Table 5C1A-Madison Prep'!T47</f>
        <v>3019</v>
      </c>
      <c r="U47" s="1556">
        <f t="shared" si="55"/>
        <v>0</v>
      </c>
      <c r="V47" s="1787">
        <f>+'[3]Oct midyear NOMMA'!E46</f>
        <v>0</v>
      </c>
      <c r="W47" s="1788">
        <f t="shared" si="42"/>
        <v>0</v>
      </c>
      <c r="X47" s="1762">
        <f>'[3]Feb midyear NOMMA'!E46</f>
        <v>0</v>
      </c>
      <c r="Y47" s="1763">
        <f t="shared" si="43"/>
        <v>0</v>
      </c>
      <c r="Z47" s="1654">
        <f t="shared" si="32"/>
        <v>0</v>
      </c>
      <c r="AA47" s="1443">
        <f t="shared" si="44"/>
        <v>0</v>
      </c>
      <c r="AB47" s="938">
        <f t="shared" si="45"/>
        <v>0</v>
      </c>
      <c r="AC47" s="903">
        <f t="shared" si="46"/>
        <v>0</v>
      </c>
      <c r="AD47" s="1831">
        <v>0</v>
      </c>
      <c r="AE47" s="903">
        <f t="shared" si="47"/>
        <v>0</v>
      </c>
      <c r="AF47" s="1833">
        <f>'[4]Table 5C1D-NOMMA'!T46+'[27]Table 5C1D-NOMMA'!AF46+('[26]Table 5C1D-NOMMA'!AF46*6)</f>
        <v>0</v>
      </c>
      <c r="AG47" s="1842">
        <f t="shared" si="48"/>
        <v>0</v>
      </c>
      <c r="AH47" s="1659">
        <f t="shared" si="49"/>
        <v>0</v>
      </c>
      <c r="AI47" s="904">
        <f t="shared" si="56"/>
        <v>0</v>
      </c>
      <c r="AJ47" s="904">
        <f t="shared" si="50"/>
        <v>0</v>
      </c>
      <c r="AL47" s="49">
        <f>-'[4]Table 5C1D-NOMMA'!P46</f>
        <v>0</v>
      </c>
      <c r="AM47" s="49">
        <f t="shared" si="51"/>
        <v>0</v>
      </c>
      <c r="AN47" s="49">
        <f t="shared" si="52"/>
        <v>0</v>
      </c>
    </row>
    <row r="48" spans="1:40">
      <c r="A48" s="870">
        <v>41</v>
      </c>
      <c r="B48" s="871" t="s">
        <v>132</v>
      </c>
      <c r="C48" s="974">
        <f>'2-1-13 SIS'!O47</f>
        <v>0</v>
      </c>
      <c r="D48" s="884">
        <f>'Table 3 Levels 1&amp;2'!AL48</f>
        <v>1615.6013465627216</v>
      </c>
      <c r="E48" s="923">
        <f t="shared" si="34"/>
        <v>0</v>
      </c>
      <c r="F48" s="923">
        <f>'Table 4 Level 3'!P46</f>
        <v>886.22</v>
      </c>
      <c r="G48" s="923">
        <f t="shared" si="35"/>
        <v>0</v>
      </c>
      <c r="H48" s="907">
        <f t="shared" si="36"/>
        <v>0</v>
      </c>
      <c r="I48" s="1723">
        <f>+'[3]Oct midyear NOMMA'!K47</f>
        <v>0</v>
      </c>
      <c r="J48" s="1723">
        <f>'[3]Feb midyear NOMMA'!K47</f>
        <v>0</v>
      </c>
      <c r="K48" s="1547">
        <f t="shared" si="37"/>
        <v>0</v>
      </c>
      <c r="L48" s="1437">
        <f t="shared" si="54"/>
        <v>0</v>
      </c>
      <c r="M48" s="933">
        <f t="shared" si="38"/>
        <v>0</v>
      </c>
      <c r="N48" s="907">
        <f t="shared" si="53"/>
        <v>0</v>
      </c>
      <c r="O48" s="884">
        <v>0</v>
      </c>
      <c r="P48" s="996">
        <f t="shared" si="39"/>
        <v>0</v>
      </c>
      <c r="Q48" s="1718">
        <f>'[4]Table 5C1D-NOMMA'!M47+'[27]Table 5C1D-NOMMA'!T47+('[26]Table 5C1D-NOMMA'!T47*6)</f>
        <v>0</v>
      </c>
      <c r="R48" s="1723">
        <f t="shared" si="40"/>
        <v>0</v>
      </c>
      <c r="S48" s="998">
        <f t="shared" si="41"/>
        <v>0</v>
      </c>
      <c r="T48" s="1802">
        <f>'Table 5C1A-Madison Prep'!T48</f>
        <v>8964</v>
      </c>
      <c r="U48" s="999">
        <f t="shared" si="55"/>
        <v>0</v>
      </c>
      <c r="V48" s="1754">
        <f>+'[3]Oct midyear NOMMA'!E47</f>
        <v>0</v>
      </c>
      <c r="W48" s="1755">
        <f t="shared" si="42"/>
        <v>0</v>
      </c>
      <c r="X48" s="1754">
        <f>'[3]Feb midyear NOMMA'!E47</f>
        <v>0</v>
      </c>
      <c r="Y48" s="1755">
        <f t="shared" si="43"/>
        <v>0</v>
      </c>
      <c r="Z48" s="1652">
        <f t="shared" si="32"/>
        <v>0</v>
      </c>
      <c r="AA48" s="1446">
        <f t="shared" si="44"/>
        <v>0</v>
      </c>
      <c r="AB48" s="936">
        <f t="shared" si="45"/>
        <v>0</v>
      </c>
      <c r="AC48" s="874">
        <f t="shared" si="46"/>
        <v>0</v>
      </c>
      <c r="AD48" s="1829">
        <v>0</v>
      </c>
      <c r="AE48" s="874">
        <f t="shared" si="47"/>
        <v>0</v>
      </c>
      <c r="AF48" s="1755">
        <f>'[4]Table 5C1D-NOMMA'!T47+'[27]Table 5C1D-NOMMA'!AF47+('[26]Table 5C1D-NOMMA'!AF47*6)</f>
        <v>0</v>
      </c>
      <c r="AG48" s="1755">
        <f t="shared" si="48"/>
        <v>0</v>
      </c>
      <c r="AH48" s="999">
        <f t="shared" si="49"/>
        <v>0</v>
      </c>
      <c r="AI48" s="875">
        <f t="shared" si="56"/>
        <v>0</v>
      </c>
      <c r="AJ48" s="875">
        <f t="shared" si="50"/>
        <v>0</v>
      </c>
      <c r="AL48" s="49">
        <f>-'[4]Table 5C1D-NOMMA'!P47</f>
        <v>0</v>
      </c>
      <c r="AM48" s="49">
        <f t="shared" si="51"/>
        <v>0</v>
      </c>
      <c r="AN48" s="49">
        <f t="shared" si="52"/>
        <v>0</v>
      </c>
    </row>
    <row r="49" spans="1:40">
      <c r="A49" s="876">
        <v>42</v>
      </c>
      <c r="B49" s="877" t="s">
        <v>133</v>
      </c>
      <c r="C49" s="972">
        <f>'2-1-13 SIS'!O48</f>
        <v>0</v>
      </c>
      <c r="D49" s="882">
        <f>'Table 3 Levels 1&amp;2'!AL49</f>
        <v>5087.4730460987803</v>
      </c>
      <c r="E49" s="921">
        <f t="shared" si="34"/>
        <v>0</v>
      </c>
      <c r="F49" s="921">
        <f>'Table 4 Level 3'!P47</f>
        <v>534.28</v>
      </c>
      <c r="G49" s="921">
        <f t="shared" si="35"/>
        <v>0</v>
      </c>
      <c r="H49" s="905">
        <f t="shared" si="36"/>
        <v>0</v>
      </c>
      <c r="I49" s="1746">
        <f>+'[3]Oct midyear NOMMA'!K48</f>
        <v>0</v>
      </c>
      <c r="J49" s="1746">
        <f>'[3]Feb midyear NOMMA'!K48</f>
        <v>0</v>
      </c>
      <c r="K49" s="1692">
        <f t="shared" si="37"/>
        <v>0</v>
      </c>
      <c r="L49" s="1435">
        <f t="shared" si="54"/>
        <v>0</v>
      </c>
      <c r="M49" s="931">
        <f t="shared" si="38"/>
        <v>0</v>
      </c>
      <c r="N49" s="905">
        <f t="shared" si="53"/>
        <v>0</v>
      </c>
      <c r="O49" s="882">
        <v>0</v>
      </c>
      <c r="P49" s="1552">
        <f t="shared" si="39"/>
        <v>0</v>
      </c>
      <c r="Q49" s="1718">
        <f>'[4]Table 5C1D-NOMMA'!M48+'[27]Table 5C1D-NOMMA'!T48+('[26]Table 5C1D-NOMMA'!T48*6)</f>
        <v>0</v>
      </c>
      <c r="R49" s="1815">
        <f t="shared" si="40"/>
        <v>0</v>
      </c>
      <c r="S49" s="1550">
        <f t="shared" si="41"/>
        <v>0</v>
      </c>
      <c r="T49" s="1802">
        <f>'Table 5C1A-Madison Prep'!T49</f>
        <v>3535</v>
      </c>
      <c r="U49" s="1555">
        <f t="shared" si="55"/>
        <v>0</v>
      </c>
      <c r="V49" s="1785">
        <f>+'[3]Oct midyear NOMMA'!E48</f>
        <v>0</v>
      </c>
      <c r="W49" s="1786">
        <f t="shared" si="42"/>
        <v>0</v>
      </c>
      <c r="X49" s="1758">
        <f>'[3]Feb midyear NOMMA'!E48</f>
        <v>0</v>
      </c>
      <c r="Y49" s="1759">
        <f t="shared" si="43"/>
        <v>0</v>
      </c>
      <c r="Z49" s="1653">
        <f t="shared" si="32"/>
        <v>0</v>
      </c>
      <c r="AA49" s="1441">
        <f t="shared" si="44"/>
        <v>0</v>
      </c>
      <c r="AB49" s="937">
        <f t="shared" si="45"/>
        <v>0</v>
      </c>
      <c r="AC49" s="899">
        <f t="shared" si="46"/>
        <v>0</v>
      </c>
      <c r="AD49" s="1830">
        <v>0</v>
      </c>
      <c r="AE49" s="899">
        <f t="shared" si="47"/>
        <v>0</v>
      </c>
      <c r="AF49" s="1755">
        <f>'[4]Table 5C1D-NOMMA'!T48+'[27]Table 5C1D-NOMMA'!AF48+('[26]Table 5C1D-NOMMA'!AF48*6)</f>
        <v>0</v>
      </c>
      <c r="AG49" s="1841">
        <f t="shared" si="48"/>
        <v>0</v>
      </c>
      <c r="AH49" s="999">
        <f t="shared" si="49"/>
        <v>0</v>
      </c>
      <c r="AI49" s="900">
        <f t="shared" si="56"/>
        <v>0</v>
      </c>
      <c r="AJ49" s="900">
        <f t="shared" si="50"/>
        <v>0</v>
      </c>
      <c r="AL49" s="49">
        <f>-'[4]Table 5C1D-NOMMA'!P48</f>
        <v>0</v>
      </c>
      <c r="AM49" s="49">
        <f t="shared" si="51"/>
        <v>0</v>
      </c>
      <c r="AN49" s="49">
        <f t="shared" si="52"/>
        <v>0</v>
      </c>
    </row>
    <row r="50" spans="1:40">
      <c r="A50" s="876">
        <v>43</v>
      </c>
      <c r="B50" s="877" t="s">
        <v>134</v>
      </c>
      <c r="C50" s="972">
        <f>'2-1-13 SIS'!O49</f>
        <v>0</v>
      </c>
      <c r="D50" s="882">
        <f>'Table 3 Levels 1&amp;2'!AL50</f>
        <v>4717.8414352725031</v>
      </c>
      <c r="E50" s="921">
        <f t="shared" si="34"/>
        <v>0</v>
      </c>
      <c r="F50" s="921">
        <f>'Table 4 Level 3'!P48</f>
        <v>574.6099999999999</v>
      </c>
      <c r="G50" s="921">
        <f t="shared" si="35"/>
        <v>0</v>
      </c>
      <c r="H50" s="905">
        <f t="shared" si="36"/>
        <v>0</v>
      </c>
      <c r="I50" s="1746">
        <f>+'[3]Oct midyear NOMMA'!K49</f>
        <v>0</v>
      </c>
      <c r="J50" s="1746">
        <f>'[3]Feb midyear NOMMA'!K49</f>
        <v>0</v>
      </c>
      <c r="K50" s="1692">
        <f t="shared" si="37"/>
        <v>0</v>
      </c>
      <c r="L50" s="1435">
        <f t="shared" si="54"/>
        <v>0</v>
      </c>
      <c r="M50" s="931">
        <f t="shared" si="38"/>
        <v>0</v>
      </c>
      <c r="N50" s="905">
        <f t="shared" si="53"/>
        <v>0</v>
      </c>
      <c r="O50" s="882">
        <v>0</v>
      </c>
      <c r="P50" s="1552">
        <f t="shared" si="39"/>
        <v>0</v>
      </c>
      <c r="Q50" s="1718">
        <f>'[4]Table 5C1D-NOMMA'!M49+'[27]Table 5C1D-NOMMA'!T49+('[26]Table 5C1D-NOMMA'!T49*6)</f>
        <v>0</v>
      </c>
      <c r="R50" s="1815">
        <f t="shared" si="40"/>
        <v>0</v>
      </c>
      <c r="S50" s="1550">
        <f t="shared" si="41"/>
        <v>0</v>
      </c>
      <c r="T50" s="1802">
        <f>'Table 5C1A-Madison Prep'!T50</f>
        <v>3593</v>
      </c>
      <c r="U50" s="1555">
        <f t="shared" si="55"/>
        <v>0</v>
      </c>
      <c r="V50" s="1785">
        <f>+'[3]Oct midyear NOMMA'!E49</f>
        <v>0</v>
      </c>
      <c r="W50" s="1786">
        <f t="shared" si="42"/>
        <v>0</v>
      </c>
      <c r="X50" s="1758">
        <f>'[3]Feb midyear NOMMA'!E49</f>
        <v>0</v>
      </c>
      <c r="Y50" s="1759">
        <f t="shared" si="43"/>
        <v>0</v>
      </c>
      <c r="Z50" s="1653">
        <f t="shared" si="32"/>
        <v>0</v>
      </c>
      <c r="AA50" s="1441">
        <f t="shared" si="44"/>
        <v>0</v>
      </c>
      <c r="AB50" s="937">
        <f t="shared" si="45"/>
        <v>0</v>
      </c>
      <c r="AC50" s="899">
        <f t="shared" si="46"/>
        <v>0</v>
      </c>
      <c r="AD50" s="1830">
        <v>0</v>
      </c>
      <c r="AE50" s="899">
        <f t="shared" si="47"/>
        <v>0</v>
      </c>
      <c r="AF50" s="1755">
        <f>'[4]Table 5C1D-NOMMA'!T49+'[27]Table 5C1D-NOMMA'!AF49+('[26]Table 5C1D-NOMMA'!AF49*6)</f>
        <v>0</v>
      </c>
      <c r="AG50" s="1841">
        <f t="shared" si="48"/>
        <v>0</v>
      </c>
      <c r="AH50" s="999">
        <f t="shared" si="49"/>
        <v>0</v>
      </c>
      <c r="AI50" s="900">
        <f t="shared" si="56"/>
        <v>0</v>
      </c>
      <c r="AJ50" s="900">
        <f t="shared" si="50"/>
        <v>0</v>
      </c>
      <c r="AL50" s="49">
        <f>-'[4]Table 5C1D-NOMMA'!P49</f>
        <v>0</v>
      </c>
      <c r="AM50" s="49">
        <f t="shared" si="51"/>
        <v>0</v>
      </c>
      <c r="AN50" s="49">
        <f t="shared" si="52"/>
        <v>0</v>
      </c>
    </row>
    <row r="51" spans="1:40">
      <c r="A51" s="876">
        <v>44</v>
      </c>
      <c r="B51" s="877" t="s">
        <v>135</v>
      </c>
      <c r="C51" s="972">
        <f>'2-1-13 SIS'!O50</f>
        <v>2</v>
      </c>
      <c r="D51" s="882">
        <f>'Table 3 Levels 1&amp;2'!AL51</f>
        <v>4696.6221228259064</v>
      </c>
      <c r="E51" s="921">
        <f t="shared" si="34"/>
        <v>9393.2442456518129</v>
      </c>
      <c r="F51" s="921">
        <f>'Table 4 Level 3'!P49</f>
        <v>663.16000000000008</v>
      </c>
      <c r="G51" s="921">
        <f t="shared" si="35"/>
        <v>1326.3200000000002</v>
      </c>
      <c r="H51" s="905">
        <f t="shared" si="36"/>
        <v>10719.564245651813</v>
      </c>
      <c r="I51" s="1746">
        <f>+'[3]Oct midyear NOMMA'!K50</f>
        <v>-5359.7821228259063</v>
      </c>
      <c r="J51" s="1746">
        <f>'[3]Feb midyear NOMMA'!K50</f>
        <v>0</v>
      </c>
      <c r="K51" s="1692">
        <f t="shared" si="37"/>
        <v>-5359.7821228259063</v>
      </c>
      <c r="L51" s="1435">
        <f t="shared" si="54"/>
        <v>5359.7821228259063</v>
      </c>
      <c r="M51" s="931">
        <f t="shared" si="38"/>
        <v>-13.399455307064766</v>
      </c>
      <c r="N51" s="905">
        <f t="shared" si="53"/>
        <v>5346.3826675188411</v>
      </c>
      <c r="O51" s="882">
        <v>0</v>
      </c>
      <c r="P51" s="1552">
        <f t="shared" si="39"/>
        <v>5346.3826675188411</v>
      </c>
      <c r="Q51" s="1718">
        <f>'[4]Table 5C1D-NOMMA'!M50+'[27]Table 5C1D-NOMMA'!T50+('[26]Table 5C1D-NOMMA'!T50*6)</f>
        <v>3920.6806228471505</v>
      </c>
      <c r="R51" s="1815">
        <f t="shared" si="40"/>
        <v>1425.7020446716906</v>
      </c>
      <c r="S51" s="1550">
        <f t="shared" si="41"/>
        <v>356</v>
      </c>
      <c r="T51" s="1802">
        <f>'Table 5C1A-Madison Prep'!T51</f>
        <v>4323</v>
      </c>
      <c r="U51" s="1555">
        <f t="shared" si="55"/>
        <v>8646</v>
      </c>
      <c r="V51" s="1785">
        <f>+'[3]Oct midyear NOMMA'!E50</f>
        <v>-1</v>
      </c>
      <c r="W51" s="1786">
        <f t="shared" si="42"/>
        <v>-4323</v>
      </c>
      <c r="X51" s="1758">
        <f>'[3]Feb midyear NOMMA'!E50</f>
        <v>0</v>
      </c>
      <c r="Y51" s="1759">
        <f t="shared" si="43"/>
        <v>0</v>
      </c>
      <c r="Z51" s="1653">
        <f>+W51+Y51</f>
        <v>-4323</v>
      </c>
      <c r="AA51" s="1441">
        <f t="shared" si="44"/>
        <v>4323</v>
      </c>
      <c r="AB51" s="937">
        <f t="shared" si="45"/>
        <v>-10.807500000000001</v>
      </c>
      <c r="AC51" s="899">
        <f t="shared" si="46"/>
        <v>4312.1925000000001</v>
      </c>
      <c r="AD51" s="1830">
        <v>0</v>
      </c>
      <c r="AE51" s="899">
        <f t="shared" si="47"/>
        <v>4312.1925000000001</v>
      </c>
      <c r="AF51" s="1755">
        <f>'[4]Table 5C1D-NOMMA'!T50+'[27]Table 5C1D-NOMMA'!AF50+('[26]Table 5C1D-NOMMA'!AF50*6)</f>
        <v>3335.6400000000003</v>
      </c>
      <c r="AG51" s="1841">
        <f t="shared" si="48"/>
        <v>976.55249999999978</v>
      </c>
      <c r="AH51" s="999">
        <f t="shared" si="49"/>
        <v>244</v>
      </c>
      <c r="AI51" s="900">
        <f t="shared" si="56"/>
        <v>9658.5751675188403</v>
      </c>
      <c r="AJ51" s="900">
        <f t="shared" si="50"/>
        <v>600</v>
      </c>
      <c r="AL51" s="49">
        <f>-'[4]Table 5C1D-NOMMA'!P50</f>
        <v>22.8</v>
      </c>
      <c r="AM51" s="49">
        <f t="shared" si="51"/>
        <v>-10.807500000000001</v>
      </c>
      <c r="AN51" s="49">
        <f t="shared" si="52"/>
        <v>11.9925</v>
      </c>
    </row>
    <row r="52" spans="1:40">
      <c r="A52" s="879">
        <v>45</v>
      </c>
      <c r="B52" s="880" t="s">
        <v>136</v>
      </c>
      <c r="C52" s="973">
        <f>'2-1-13 SIS'!O51</f>
        <v>0</v>
      </c>
      <c r="D52" s="883">
        <f>'Table 3 Levels 1&amp;2'!AL52</f>
        <v>2192.4914538932262</v>
      </c>
      <c r="E52" s="922">
        <f t="shared" si="34"/>
        <v>0</v>
      </c>
      <c r="F52" s="922">
        <f>'Table 4 Level 3'!P50</f>
        <v>753.96000000000015</v>
      </c>
      <c r="G52" s="922">
        <f t="shared" si="35"/>
        <v>0</v>
      </c>
      <c r="H52" s="906">
        <f t="shared" si="36"/>
        <v>0</v>
      </c>
      <c r="I52" s="1747">
        <f>+'[3]Oct midyear NOMMA'!K51</f>
        <v>0</v>
      </c>
      <c r="J52" s="1747">
        <f>'[3]Feb midyear NOMMA'!K51</f>
        <v>0</v>
      </c>
      <c r="K52" s="1693">
        <f t="shared" si="37"/>
        <v>0</v>
      </c>
      <c r="L52" s="1436">
        <f t="shared" si="54"/>
        <v>0</v>
      </c>
      <c r="M52" s="932">
        <f t="shared" si="38"/>
        <v>0</v>
      </c>
      <c r="N52" s="906">
        <f t="shared" si="53"/>
        <v>0</v>
      </c>
      <c r="O52" s="883">
        <v>0</v>
      </c>
      <c r="P52" s="1553">
        <f t="shared" si="39"/>
        <v>0</v>
      </c>
      <c r="Q52" s="1804">
        <f>'[4]Table 5C1D-NOMMA'!M51+'[27]Table 5C1D-NOMMA'!T51+('[26]Table 5C1D-NOMMA'!T51*6)</f>
        <v>0</v>
      </c>
      <c r="R52" s="1816">
        <f t="shared" si="40"/>
        <v>0</v>
      </c>
      <c r="S52" s="1806">
        <f t="shared" si="41"/>
        <v>0</v>
      </c>
      <c r="T52" s="1807">
        <f>'Table 5C1A-Madison Prep'!T52</f>
        <v>12792</v>
      </c>
      <c r="U52" s="1556">
        <f t="shared" si="55"/>
        <v>0</v>
      </c>
      <c r="V52" s="1787">
        <f>+'[3]Oct midyear NOMMA'!E51</f>
        <v>0</v>
      </c>
      <c r="W52" s="1788">
        <f t="shared" si="42"/>
        <v>0</v>
      </c>
      <c r="X52" s="1762">
        <f>'[3]Feb midyear NOMMA'!E51</f>
        <v>0</v>
      </c>
      <c r="Y52" s="1763">
        <f t="shared" si="43"/>
        <v>0</v>
      </c>
      <c r="Z52" s="1654">
        <f t="shared" ref="Z52:Z76" si="57">+W52+Y52</f>
        <v>0</v>
      </c>
      <c r="AA52" s="1443">
        <f t="shared" si="44"/>
        <v>0</v>
      </c>
      <c r="AB52" s="938">
        <f t="shared" si="45"/>
        <v>0</v>
      </c>
      <c r="AC52" s="903">
        <f t="shared" si="46"/>
        <v>0</v>
      </c>
      <c r="AD52" s="1831">
        <v>0</v>
      </c>
      <c r="AE52" s="903">
        <f t="shared" si="47"/>
        <v>0</v>
      </c>
      <c r="AF52" s="1833">
        <f>'[4]Table 5C1D-NOMMA'!T51+'[27]Table 5C1D-NOMMA'!AF51+('[26]Table 5C1D-NOMMA'!AF51*6)</f>
        <v>0</v>
      </c>
      <c r="AG52" s="1842">
        <f t="shared" si="48"/>
        <v>0</v>
      </c>
      <c r="AH52" s="1659">
        <f t="shared" si="49"/>
        <v>0</v>
      </c>
      <c r="AI52" s="904">
        <f t="shared" si="56"/>
        <v>0</v>
      </c>
      <c r="AJ52" s="904">
        <f t="shared" si="50"/>
        <v>0</v>
      </c>
      <c r="AL52" s="49">
        <f>-'[4]Table 5C1D-NOMMA'!P51</f>
        <v>0</v>
      </c>
      <c r="AM52" s="49">
        <f t="shared" si="51"/>
        <v>0</v>
      </c>
      <c r="AN52" s="49">
        <f t="shared" si="52"/>
        <v>0</v>
      </c>
    </row>
    <row r="53" spans="1:40">
      <c r="A53" s="870">
        <v>46</v>
      </c>
      <c r="B53" s="871" t="s">
        <v>137</v>
      </c>
      <c r="C53" s="974">
        <f>'2-1-13 SIS'!O52</f>
        <v>0</v>
      </c>
      <c r="D53" s="884">
        <f>'Table 3 Levels 1&amp;2'!AL53</f>
        <v>5644.6599115241634</v>
      </c>
      <c r="E53" s="923">
        <f t="shared" si="34"/>
        <v>0</v>
      </c>
      <c r="F53" s="923">
        <f>'Table 4 Level 3'!P51</f>
        <v>728.06</v>
      </c>
      <c r="G53" s="923">
        <f t="shared" si="35"/>
        <v>0</v>
      </c>
      <c r="H53" s="907">
        <f t="shared" si="36"/>
        <v>0</v>
      </c>
      <c r="I53" s="1723">
        <f>+'[3]Oct midyear NOMMA'!K52</f>
        <v>0</v>
      </c>
      <c r="J53" s="1723">
        <f>'[3]Feb midyear NOMMA'!K52</f>
        <v>0</v>
      </c>
      <c r="K53" s="1547">
        <f t="shared" si="37"/>
        <v>0</v>
      </c>
      <c r="L53" s="1437">
        <f t="shared" si="54"/>
        <v>0</v>
      </c>
      <c r="M53" s="933">
        <f t="shared" si="38"/>
        <v>0</v>
      </c>
      <c r="N53" s="907">
        <f t="shared" si="53"/>
        <v>0</v>
      </c>
      <c r="O53" s="884">
        <v>0</v>
      </c>
      <c r="P53" s="996">
        <f t="shared" si="39"/>
        <v>0</v>
      </c>
      <c r="Q53" s="1718">
        <f>'[4]Table 5C1D-NOMMA'!M52+'[27]Table 5C1D-NOMMA'!T52+('[26]Table 5C1D-NOMMA'!T52*6)</f>
        <v>0</v>
      </c>
      <c r="R53" s="1723">
        <f t="shared" si="40"/>
        <v>0</v>
      </c>
      <c r="S53" s="998">
        <f t="shared" si="41"/>
        <v>0</v>
      </c>
      <c r="T53" s="1802">
        <f>'Table 5C1A-Madison Prep'!T53</f>
        <v>2423</v>
      </c>
      <c r="U53" s="999">
        <f t="shared" si="55"/>
        <v>0</v>
      </c>
      <c r="V53" s="1754">
        <f>+'[3]Oct midyear NOMMA'!E52</f>
        <v>0</v>
      </c>
      <c r="W53" s="1755">
        <f t="shared" si="42"/>
        <v>0</v>
      </c>
      <c r="X53" s="1754">
        <f>'[3]Feb midyear NOMMA'!E52</f>
        <v>0</v>
      </c>
      <c r="Y53" s="1755">
        <f t="shared" si="43"/>
        <v>0</v>
      </c>
      <c r="Z53" s="1652">
        <f t="shared" si="57"/>
        <v>0</v>
      </c>
      <c r="AA53" s="1446">
        <f t="shared" si="44"/>
        <v>0</v>
      </c>
      <c r="AB53" s="936">
        <f t="shared" si="45"/>
        <v>0</v>
      </c>
      <c r="AC53" s="874">
        <f t="shared" si="46"/>
        <v>0</v>
      </c>
      <c r="AD53" s="1829">
        <v>0</v>
      </c>
      <c r="AE53" s="874">
        <f t="shared" si="47"/>
        <v>0</v>
      </c>
      <c r="AF53" s="1755">
        <f>'[4]Table 5C1D-NOMMA'!T52+'[27]Table 5C1D-NOMMA'!AF52+('[26]Table 5C1D-NOMMA'!AF52*6)</f>
        <v>0</v>
      </c>
      <c r="AG53" s="1755">
        <f t="shared" si="48"/>
        <v>0</v>
      </c>
      <c r="AH53" s="999">
        <f t="shared" si="49"/>
        <v>0</v>
      </c>
      <c r="AI53" s="875">
        <f t="shared" si="56"/>
        <v>0</v>
      </c>
      <c r="AJ53" s="875">
        <f t="shared" si="50"/>
        <v>0</v>
      </c>
      <c r="AL53" s="49">
        <f>-'[4]Table 5C1D-NOMMA'!P52</f>
        <v>0</v>
      </c>
      <c r="AM53" s="49">
        <f t="shared" si="51"/>
        <v>0</v>
      </c>
      <c r="AN53" s="49">
        <f t="shared" si="52"/>
        <v>0</v>
      </c>
    </row>
    <row r="54" spans="1:40">
      <c r="A54" s="876">
        <v>47</v>
      </c>
      <c r="B54" s="877" t="s">
        <v>138</v>
      </c>
      <c r="C54" s="972">
        <f>'2-1-13 SIS'!O53</f>
        <v>0</v>
      </c>
      <c r="D54" s="882">
        <f>'Table 3 Levels 1&amp;2'!AL54</f>
        <v>2731.2444076222037</v>
      </c>
      <c r="E54" s="921">
        <f t="shared" si="34"/>
        <v>0</v>
      </c>
      <c r="F54" s="921">
        <f>'Table 4 Level 3'!P52</f>
        <v>910.76</v>
      </c>
      <c r="G54" s="921">
        <f t="shared" si="35"/>
        <v>0</v>
      </c>
      <c r="H54" s="905">
        <f t="shared" si="36"/>
        <v>0</v>
      </c>
      <c r="I54" s="1746">
        <f>+'[3]Oct midyear NOMMA'!K53</f>
        <v>0</v>
      </c>
      <c r="J54" s="1746">
        <f>'[3]Feb midyear NOMMA'!K53</f>
        <v>0</v>
      </c>
      <c r="K54" s="1692">
        <f t="shared" si="37"/>
        <v>0</v>
      </c>
      <c r="L54" s="1435">
        <f t="shared" si="54"/>
        <v>0</v>
      </c>
      <c r="M54" s="931">
        <f t="shared" si="38"/>
        <v>0</v>
      </c>
      <c r="N54" s="905">
        <f t="shared" si="53"/>
        <v>0</v>
      </c>
      <c r="O54" s="882">
        <v>0</v>
      </c>
      <c r="P54" s="1552">
        <f t="shared" si="39"/>
        <v>0</v>
      </c>
      <c r="Q54" s="1718">
        <f>'[4]Table 5C1D-NOMMA'!M53+'[27]Table 5C1D-NOMMA'!T53+('[26]Table 5C1D-NOMMA'!T53*6)</f>
        <v>0</v>
      </c>
      <c r="R54" s="1815">
        <f t="shared" si="40"/>
        <v>0</v>
      </c>
      <c r="S54" s="1550">
        <f t="shared" si="41"/>
        <v>0</v>
      </c>
      <c r="T54" s="1802">
        <f>'Table 5C1A-Madison Prep'!T54</f>
        <v>12963</v>
      </c>
      <c r="U54" s="1555">
        <f t="shared" si="55"/>
        <v>0</v>
      </c>
      <c r="V54" s="1785">
        <f>+'[3]Oct midyear NOMMA'!E53</f>
        <v>0</v>
      </c>
      <c r="W54" s="1786">
        <f t="shared" si="42"/>
        <v>0</v>
      </c>
      <c r="X54" s="1758">
        <f>'[3]Feb midyear NOMMA'!E53</f>
        <v>0</v>
      </c>
      <c r="Y54" s="1759">
        <f t="shared" si="43"/>
        <v>0</v>
      </c>
      <c r="Z54" s="1653">
        <f t="shared" si="57"/>
        <v>0</v>
      </c>
      <c r="AA54" s="1441">
        <f t="shared" si="44"/>
        <v>0</v>
      </c>
      <c r="AB54" s="937">
        <f t="shared" si="45"/>
        <v>0</v>
      </c>
      <c r="AC54" s="899">
        <f t="shared" si="46"/>
        <v>0</v>
      </c>
      <c r="AD54" s="1830">
        <v>0</v>
      </c>
      <c r="AE54" s="899">
        <f t="shared" si="47"/>
        <v>0</v>
      </c>
      <c r="AF54" s="1755">
        <f>'[4]Table 5C1D-NOMMA'!T53+'[27]Table 5C1D-NOMMA'!AF53+('[26]Table 5C1D-NOMMA'!AF53*6)</f>
        <v>0</v>
      </c>
      <c r="AG54" s="1841">
        <f t="shared" si="48"/>
        <v>0</v>
      </c>
      <c r="AH54" s="999">
        <f t="shared" si="49"/>
        <v>0</v>
      </c>
      <c r="AI54" s="900">
        <f t="shared" si="56"/>
        <v>0</v>
      </c>
      <c r="AJ54" s="900">
        <f t="shared" si="50"/>
        <v>0</v>
      </c>
      <c r="AL54" s="49">
        <f>-'[4]Table 5C1D-NOMMA'!P53</f>
        <v>0</v>
      </c>
      <c r="AM54" s="49">
        <f t="shared" si="51"/>
        <v>0</v>
      </c>
      <c r="AN54" s="49">
        <f t="shared" si="52"/>
        <v>0</v>
      </c>
    </row>
    <row r="55" spans="1:40">
      <c r="A55" s="876">
        <v>48</v>
      </c>
      <c r="B55" s="877" t="s">
        <v>195</v>
      </c>
      <c r="C55" s="972">
        <f>'2-1-13 SIS'!O54</f>
        <v>0</v>
      </c>
      <c r="D55" s="882">
        <f>'Table 3 Levels 1&amp;2'!AL55</f>
        <v>4272.723323083942</v>
      </c>
      <c r="E55" s="921">
        <f t="shared" si="34"/>
        <v>0</v>
      </c>
      <c r="F55" s="921">
        <f>'Table 4 Level 3'!P53</f>
        <v>871.07</v>
      </c>
      <c r="G55" s="921">
        <f t="shared" si="35"/>
        <v>0</v>
      </c>
      <c r="H55" s="905">
        <f t="shared" si="36"/>
        <v>0</v>
      </c>
      <c r="I55" s="1746">
        <f>+'[3]Oct midyear NOMMA'!K54</f>
        <v>0</v>
      </c>
      <c r="J55" s="1746">
        <f>'[3]Feb midyear NOMMA'!K54</f>
        <v>0</v>
      </c>
      <c r="K55" s="1692">
        <f t="shared" si="37"/>
        <v>0</v>
      </c>
      <c r="L55" s="1435">
        <f t="shared" si="54"/>
        <v>0</v>
      </c>
      <c r="M55" s="931">
        <f t="shared" si="38"/>
        <v>0</v>
      </c>
      <c r="N55" s="905">
        <f t="shared" si="53"/>
        <v>0</v>
      </c>
      <c r="O55" s="882">
        <v>0</v>
      </c>
      <c r="P55" s="1552">
        <f t="shared" si="39"/>
        <v>0</v>
      </c>
      <c r="Q55" s="1718">
        <f>'[4]Table 5C1D-NOMMA'!M54+'[27]Table 5C1D-NOMMA'!T54+('[26]Table 5C1D-NOMMA'!T54*6)</f>
        <v>0</v>
      </c>
      <c r="R55" s="1815">
        <f t="shared" si="40"/>
        <v>0</v>
      </c>
      <c r="S55" s="1550">
        <f t="shared" si="41"/>
        <v>0</v>
      </c>
      <c r="T55" s="1802">
        <f>'Table 5C1A-Madison Prep'!T55</f>
        <v>6585</v>
      </c>
      <c r="U55" s="1555">
        <f t="shared" si="55"/>
        <v>0</v>
      </c>
      <c r="V55" s="1785">
        <f>+'[3]Oct midyear NOMMA'!E54</f>
        <v>0</v>
      </c>
      <c r="W55" s="1786">
        <f t="shared" si="42"/>
        <v>0</v>
      </c>
      <c r="X55" s="1758">
        <f>'[3]Feb midyear NOMMA'!E54</f>
        <v>0</v>
      </c>
      <c r="Y55" s="1759">
        <f t="shared" si="43"/>
        <v>0</v>
      </c>
      <c r="Z55" s="1653">
        <f t="shared" si="57"/>
        <v>0</v>
      </c>
      <c r="AA55" s="1441">
        <f t="shared" si="44"/>
        <v>0</v>
      </c>
      <c r="AB55" s="937">
        <f t="shared" si="45"/>
        <v>0</v>
      </c>
      <c r="AC55" s="899">
        <f t="shared" si="46"/>
        <v>0</v>
      </c>
      <c r="AD55" s="1830">
        <v>0</v>
      </c>
      <c r="AE55" s="899">
        <f t="shared" si="47"/>
        <v>0</v>
      </c>
      <c r="AF55" s="1755">
        <f>'[4]Table 5C1D-NOMMA'!T54+'[27]Table 5C1D-NOMMA'!AF54+('[26]Table 5C1D-NOMMA'!AF54*6)</f>
        <v>0</v>
      </c>
      <c r="AG55" s="1841">
        <f t="shared" si="48"/>
        <v>0</v>
      </c>
      <c r="AH55" s="999">
        <f t="shared" si="49"/>
        <v>0</v>
      </c>
      <c r="AI55" s="900">
        <f t="shared" si="56"/>
        <v>0</v>
      </c>
      <c r="AJ55" s="900">
        <f t="shared" si="50"/>
        <v>0</v>
      </c>
      <c r="AL55" s="49">
        <f>-'[4]Table 5C1D-NOMMA'!P54</f>
        <v>0</v>
      </c>
      <c r="AM55" s="49">
        <f t="shared" si="51"/>
        <v>0</v>
      </c>
      <c r="AN55" s="49">
        <f t="shared" si="52"/>
        <v>0</v>
      </c>
    </row>
    <row r="56" spans="1:40">
      <c r="A56" s="876">
        <v>49</v>
      </c>
      <c r="B56" s="877" t="s">
        <v>139</v>
      </c>
      <c r="C56" s="972">
        <f>'2-1-13 SIS'!O55</f>
        <v>0</v>
      </c>
      <c r="D56" s="882">
        <f>'Table 3 Levels 1&amp;2'!AL56</f>
        <v>4836.7092570332552</v>
      </c>
      <c r="E56" s="921">
        <f t="shared" si="34"/>
        <v>0</v>
      </c>
      <c r="F56" s="921">
        <f>'Table 4 Level 3'!P54</f>
        <v>574.43999999999994</v>
      </c>
      <c r="G56" s="921">
        <f t="shared" si="35"/>
        <v>0</v>
      </c>
      <c r="H56" s="905">
        <f t="shared" si="36"/>
        <v>0</v>
      </c>
      <c r="I56" s="1746">
        <f>+'[3]Oct midyear NOMMA'!K55</f>
        <v>0</v>
      </c>
      <c r="J56" s="1746">
        <f>'[3]Feb midyear NOMMA'!K55</f>
        <v>0</v>
      </c>
      <c r="K56" s="1692">
        <f t="shared" si="37"/>
        <v>0</v>
      </c>
      <c r="L56" s="1435">
        <f t="shared" si="54"/>
        <v>0</v>
      </c>
      <c r="M56" s="931">
        <f t="shared" si="38"/>
        <v>0</v>
      </c>
      <c r="N56" s="905">
        <f t="shared" si="53"/>
        <v>0</v>
      </c>
      <c r="O56" s="882">
        <v>0</v>
      </c>
      <c r="P56" s="1552">
        <f t="shared" si="39"/>
        <v>0</v>
      </c>
      <c r="Q56" s="1718">
        <f>'[4]Table 5C1D-NOMMA'!M55+'[27]Table 5C1D-NOMMA'!T55+('[26]Table 5C1D-NOMMA'!T55*6)</f>
        <v>0</v>
      </c>
      <c r="R56" s="1815">
        <f t="shared" si="40"/>
        <v>0</v>
      </c>
      <c r="S56" s="1550">
        <f t="shared" si="41"/>
        <v>0</v>
      </c>
      <c r="T56" s="1802">
        <f>'Table 5C1A-Madison Prep'!T56</f>
        <v>2402</v>
      </c>
      <c r="U56" s="1555">
        <f t="shared" si="55"/>
        <v>0</v>
      </c>
      <c r="V56" s="1785">
        <f>+'[3]Oct midyear NOMMA'!E55</f>
        <v>0</v>
      </c>
      <c r="W56" s="1786">
        <f t="shared" si="42"/>
        <v>0</v>
      </c>
      <c r="X56" s="1758">
        <f>'[3]Feb midyear NOMMA'!E55</f>
        <v>0</v>
      </c>
      <c r="Y56" s="1759">
        <f t="shared" si="43"/>
        <v>0</v>
      </c>
      <c r="Z56" s="1653">
        <f t="shared" si="57"/>
        <v>0</v>
      </c>
      <c r="AA56" s="1441">
        <f t="shared" si="44"/>
        <v>0</v>
      </c>
      <c r="AB56" s="937">
        <f t="shared" si="45"/>
        <v>0</v>
      </c>
      <c r="AC56" s="899">
        <f t="shared" si="46"/>
        <v>0</v>
      </c>
      <c r="AD56" s="1830">
        <v>0</v>
      </c>
      <c r="AE56" s="899">
        <f t="shared" si="47"/>
        <v>0</v>
      </c>
      <c r="AF56" s="1755">
        <f>'[4]Table 5C1D-NOMMA'!T55+'[27]Table 5C1D-NOMMA'!AF55+('[26]Table 5C1D-NOMMA'!AF55*6)</f>
        <v>0</v>
      </c>
      <c r="AG56" s="1841">
        <f t="shared" si="48"/>
        <v>0</v>
      </c>
      <c r="AH56" s="999">
        <f t="shared" si="49"/>
        <v>0</v>
      </c>
      <c r="AI56" s="900">
        <f t="shared" si="56"/>
        <v>0</v>
      </c>
      <c r="AJ56" s="900">
        <f t="shared" si="50"/>
        <v>0</v>
      </c>
      <c r="AL56" s="49">
        <f>-'[4]Table 5C1D-NOMMA'!P55</f>
        <v>0</v>
      </c>
      <c r="AM56" s="49">
        <f t="shared" si="51"/>
        <v>0</v>
      </c>
      <c r="AN56" s="49">
        <f t="shared" si="52"/>
        <v>0</v>
      </c>
    </row>
    <row r="57" spans="1:40">
      <c r="A57" s="879">
        <v>50</v>
      </c>
      <c r="B57" s="880" t="s">
        <v>140</v>
      </c>
      <c r="C57" s="973">
        <f>'2-1-13 SIS'!O56</f>
        <v>0</v>
      </c>
      <c r="D57" s="883">
        <f>'Table 3 Levels 1&amp;2'!AL57</f>
        <v>5032.6862895017111</v>
      </c>
      <c r="E57" s="922">
        <f t="shared" si="34"/>
        <v>0</v>
      </c>
      <c r="F57" s="922">
        <f>'Table 4 Level 3'!P55</f>
        <v>634.46</v>
      </c>
      <c r="G57" s="922">
        <f t="shared" si="35"/>
        <v>0</v>
      </c>
      <c r="H57" s="906">
        <f t="shared" si="36"/>
        <v>0</v>
      </c>
      <c r="I57" s="1747">
        <f>+'[3]Oct midyear NOMMA'!K56</f>
        <v>0</v>
      </c>
      <c r="J57" s="1747">
        <f>'[3]Feb midyear NOMMA'!K56</f>
        <v>0</v>
      </c>
      <c r="K57" s="1693">
        <f t="shared" si="37"/>
        <v>0</v>
      </c>
      <c r="L57" s="1436">
        <f t="shared" si="54"/>
        <v>0</v>
      </c>
      <c r="M57" s="932">
        <f t="shared" si="38"/>
        <v>0</v>
      </c>
      <c r="N57" s="906">
        <f t="shared" si="53"/>
        <v>0</v>
      </c>
      <c r="O57" s="883">
        <v>0</v>
      </c>
      <c r="P57" s="1553">
        <f t="shared" si="39"/>
        <v>0</v>
      </c>
      <c r="Q57" s="1804">
        <f>'[4]Table 5C1D-NOMMA'!M56+'[27]Table 5C1D-NOMMA'!T56+('[26]Table 5C1D-NOMMA'!T56*6)</f>
        <v>0</v>
      </c>
      <c r="R57" s="1816">
        <f t="shared" si="40"/>
        <v>0</v>
      </c>
      <c r="S57" s="1806">
        <f t="shared" si="41"/>
        <v>0</v>
      </c>
      <c r="T57" s="1807">
        <f>'Table 5C1A-Madison Prep'!T57</f>
        <v>3143</v>
      </c>
      <c r="U57" s="1556">
        <f t="shared" si="55"/>
        <v>0</v>
      </c>
      <c r="V57" s="1787">
        <f>+'[3]Oct midyear NOMMA'!E56</f>
        <v>0</v>
      </c>
      <c r="W57" s="1788">
        <f t="shared" si="42"/>
        <v>0</v>
      </c>
      <c r="X57" s="1762">
        <f>'[3]Feb midyear NOMMA'!E56</f>
        <v>0</v>
      </c>
      <c r="Y57" s="1763">
        <f t="shared" si="43"/>
        <v>0</v>
      </c>
      <c r="Z57" s="1654">
        <f t="shared" si="57"/>
        <v>0</v>
      </c>
      <c r="AA57" s="1443">
        <f t="shared" si="44"/>
        <v>0</v>
      </c>
      <c r="AB57" s="938">
        <f t="shared" si="45"/>
        <v>0</v>
      </c>
      <c r="AC57" s="903">
        <f t="shared" si="46"/>
        <v>0</v>
      </c>
      <c r="AD57" s="1831">
        <v>0</v>
      </c>
      <c r="AE57" s="903">
        <f t="shared" si="47"/>
        <v>0</v>
      </c>
      <c r="AF57" s="1833">
        <f>'[4]Table 5C1D-NOMMA'!T56+'[27]Table 5C1D-NOMMA'!AF56+('[26]Table 5C1D-NOMMA'!AF56*6)</f>
        <v>0</v>
      </c>
      <c r="AG57" s="1842">
        <f t="shared" si="48"/>
        <v>0</v>
      </c>
      <c r="AH57" s="1659">
        <f t="shared" si="49"/>
        <v>0</v>
      </c>
      <c r="AI57" s="904">
        <f t="shared" si="56"/>
        <v>0</v>
      </c>
      <c r="AJ57" s="904">
        <f t="shared" si="50"/>
        <v>0</v>
      </c>
      <c r="AL57" s="49">
        <f>-'[4]Table 5C1D-NOMMA'!P56</f>
        <v>0</v>
      </c>
      <c r="AM57" s="49">
        <f t="shared" si="51"/>
        <v>0</v>
      </c>
      <c r="AN57" s="49">
        <f t="shared" si="52"/>
        <v>0</v>
      </c>
    </row>
    <row r="58" spans="1:40">
      <c r="A58" s="870">
        <v>51</v>
      </c>
      <c r="B58" s="871" t="s">
        <v>141</v>
      </c>
      <c r="C58" s="974">
        <f>'2-1-13 SIS'!O57</f>
        <v>0</v>
      </c>
      <c r="D58" s="884">
        <f>'Table 3 Levels 1&amp;2'!AL58</f>
        <v>4246.0339872793602</v>
      </c>
      <c r="E58" s="923">
        <f t="shared" si="34"/>
        <v>0</v>
      </c>
      <c r="F58" s="923">
        <f>'Table 4 Level 3'!P56</f>
        <v>706.66</v>
      </c>
      <c r="G58" s="923">
        <f t="shared" si="35"/>
        <v>0</v>
      </c>
      <c r="H58" s="907">
        <f t="shared" si="36"/>
        <v>0</v>
      </c>
      <c r="I58" s="1723">
        <f>+'[3]Oct midyear NOMMA'!K57</f>
        <v>0</v>
      </c>
      <c r="J58" s="1723">
        <f>'[3]Feb midyear NOMMA'!K57</f>
        <v>0</v>
      </c>
      <c r="K58" s="1547">
        <f t="shared" si="37"/>
        <v>0</v>
      </c>
      <c r="L58" s="1437">
        <f t="shared" si="54"/>
        <v>0</v>
      </c>
      <c r="M58" s="933">
        <f t="shared" si="38"/>
        <v>0</v>
      </c>
      <c r="N58" s="907">
        <f t="shared" si="53"/>
        <v>0</v>
      </c>
      <c r="O58" s="884">
        <v>0</v>
      </c>
      <c r="P58" s="996">
        <f t="shared" si="39"/>
        <v>0</v>
      </c>
      <c r="Q58" s="1718">
        <f>'[4]Table 5C1D-NOMMA'!M57+'[27]Table 5C1D-NOMMA'!T57+('[26]Table 5C1D-NOMMA'!T57*6)</f>
        <v>0</v>
      </c>
      <c r="R58" s="1723">
        <f t="shared" si="40"/>
        <v>0</v>
      </c>
      <c r="S58" s="998">
        <f t="shared" si="41"/>
        <v>0</v>
      </c>
      <c r="T58" s="1802">
        <f>'Table 5C1A-Madison Prep'!T58</f>
        <v>4370</v>
      </c>
      <c r="U58" s="999">
        <f t="shared" si="55"/>
        <v>0</v>
      </c>
      <c r="V58" s="1754">
        <f>+'[3]Oct midyear NOMMA'!E57</f>
        <v>0</v>
      </c>
      <c r="W58" s="1755">
        <f t="shared" si="42"/>
        <v>0</v>
      </c>
      <c r="X58" s="1754">
        <f>'[3]Feb midyear NOMMA'!E57</f>
        <v>0</v>
      </c>
      <c r="Y58" s="1755">
        <f t="shared" si="43"/>
        <v>0</v>
      </c>
      <c r="Z58" s="1652">
        <f t="shared" si="57"/>
        <v>0</v>
      </c>
      <c r="AA58" s="1446">
        <f t="shared" si="44"/>
        <v>0</v>
      </c>
      <c r="AB58" s="936">
        <f t="shared" si="45"/>
        <v>0</v>
      </c>
      <c r="AC58" s="874">
        <f t="shared" si="46"/>
        <v>0</v>
      </c>
      <c r="AD58" s="1829">
        <v>0</v>
      </c>
      <c r="AE58" s="874">
        <f t="shared" si="47"/>
        <v>0</v>
      </c>
      <c r="AF58" s="1755">
        <f>'[4]Table 5C1D-NOMMA'!T57+'[27]Table 5C1D-NOMMA'!AF57+('[26]Table 5C1D-NOMMA'!AF57*6)</f>
        <v>0</v>
      </c>
      <c r="AG58" s="1755">
        <f t="shared" si="48"/>
        <v>0</v>
      </c>
      <c r="AH58" s="999">
        <f t="shared" si="49"/>
        <v>0</v>
      </c>
      <c r="AI58" s="875">
        <f t="shared" si="56"/>
        <v>0</v>
      </c>
      <c r="AJ58" s="875">
        <f t="shared" si="50"/>
        <v>0</v>
      </c>
      <c r="AL58" s="49">
        <f>-'[4]Table 5C1D-NOMMA'!P57</f>
        <v>0</v>
      </c>
      <c r="AM58" s="49">
        <f t="shared" si="51"/>
        <v>0</v>
      </c>
      <c r="AN58" s="49">
        <f t="shared" si="52"/>
        <v>0</v>
      </c>
    </row>
    <row r="59" spans="1:40">
      <c r="A59" s="876">
        <v>52</v>
      </c>
      <c r="B59" s="877" t="s">
        <v>142</v>
      </c>
      <c r="C59" s="972">
        <f>'2-1-13 SIS'!O58</f>
        <v>0</v>
      </c>
      <c r="D59" s="882">
        <f>'Table 3 Levels 1&amp;2'!AL59</f>
        <v>5013.4438050113249</v>
      </c>
      <c r="E59" s="921">
        <f t="shared" si="34"/>
        <v>0</v>
      </c>
      <c r="F59" s="921">
        <f>'Table 4 Level 3'!P57</f>
        <v>658.37</v>
      </c>
      <c r="G59" s="921">
        <f t="shared" si="35"/>
        <v>0</v>
      </c>
      <c r="H59" s="905">
        <f t="shared" si="36"/>
        <v>0</v>
      </c>
      <c r="I59" s="1746">
        <f>+'[3]Oct midyear NOMMA'!K58</f>
        <v>0</v>
      </c>
      <c r="J59" s="1746">
        <f>'[3]Feb midyear NOMMA'!K58</f>
        <v>0</v>
      </c>
      <c r="K59" s="1692">
        <f t="shared" si="37"/>
        <v>0</v>
      </c>
      <c r="L59" s="1435">
        <f t="shared" si="54"/>
        <v>0</v>
      </c>
      <c r="M59" s="931">
        <f t="shared" si="38"/>
        <v>0</v>
      </c>
      <c r="N59" s="905">
        <f t="shared" si="53"/>
        <v>0</v>
      </c>
      <c r="O59" s="882">
        <v>0</v>
      </c>
      <c r="P59" s="1552">
        <f t="shared" si="39"/>
        <v>0</v>
      </c>
      <c r="Q59" s="1718">
        <f>'[4]Table 5C1D-NOMMA'!M58+'[27]Table 5C1D-NOMMA'!T58+('[26]Table 5C1D-NOMMA'!T58*6)</f>
        <v>4011.777028171874</v>
      </c>
      <c r="R59" s="1815">
        <f t="shared" si="40"/>
        <v>-4011.777028171874</v>
      </c>
      <c r="S59" s="1550">
        <f t="shared" si="41"/>
        <v>-1003</v>
      </c>
      <c r="T59" s="1802">
        <f>'Table 5C1A-Madison Prep'!T59</f>
        <v>5143</v>
      </c>
      <c r="U59" s="1555">
        <f t="shared" si="55"/>
        <v>0</v>
      </c>
      <c r="V59" s="1785">
        <f>+'[3]Oct midyear NOMMA'!E58</f>
        <v>0</v>
      </c>
      <c r="W59" s="1786">
        <f t="shared" si="42"/>
        <v>0</v>
      </c>
      <c r="X59" s="1758">
        <f>'[3]Feb midyear NOMMA'!E58</f>
        <v>0</v>
      </c>
      <c r="Y59" s="1759">
        <f t="shared" si="43"/>
        <v>0</v>
      </c>
      <c r="Z59" s="1653">
        <f t="shared" si="57"/>
        <v>0</v>
      </c>
      <c r="AA59" s="1441">
        <f t="shared" si="44"/>
        <v>0</v>
      </c>
      <c r="AB59" s="937">
        <f t="shared" si="45"/>
        <v>0</v>
      </c>
      <c r="AC59" s="899">
        <f t="shared" si="46"/>
        <v>0</v>
      </c>
      <c r="AD59" s="1830">
        <v>0</v>
      </c>
      <c r="AE59" s="899">
        <f t="shared" si="47"/>
        <v>0</v>
      </c>
      <c r="AF59" s="1755">
        <f>'[4]Table 5C1D-NOMMA'!T58+'[27]Table 5C1D-NOMMA'!AF58+('[26]Table 5C1D-NOMMA'!AF58*6)</f>
        <v>3458.078590909091</v>
      </c>
      <c r="AG59" s="1841">
        <f t="shared" si="48"/>
        <v>-3458.078590909091</v>
      </c>
      <c r="AH59" s="999">
        <f t="shared" si="49"/>
        <v>-865</v>
      </c>
      <c r="AI59" s="900">
        <f t="shared" si="56"/>
        <v>0</v>
      </c>
      <c r="AJ59" s="900">
        <f t="shared" si="50"/>
        <v>-1868</v>
      </c>
      <c r="AL59" s="49">
        <f>-'[4]Table 5C1D-NOMMA'!P58</f>
        <v>0</v>
      </c>
      <c r="AM59" s="49">
        <f t="shared" si="51"/>
        <v>0</v>
      </c>
      <c r="AN59" s="49">
        <f t="shared" si="52"/>
        <v>0</v>
      </c>
    </row>
    <row r="60" spans="1:40">
      <c r="A60" s="876">
        <v>53</v>
      </c>
      <c r="B60" s="877" t="s">
        <v>143</v>
      </c>
      <c r="C60" s="972">
        <f>'2-1-13 SIS'!O59</f>
        <v>0</v>
      </c>
      <c r="D60" s="882">
        <f>'Table 3 Levels 1&amp;2'!AL60</f>
        <v>4775.5877635581091</v>
      </c>
      <c r="E60" s="921">
        <f t="shared" si="34"/>
        <v>0</v>
      </c>
      <c r="F60" s="921">
        <f>'Table 4 Level 3'!P58</f>
        <v>689.74</v>
      </c>
      <c r="G60" s="921">
        <f t="shared" si="35"/>
        <v>0</v>
      </c>
      <c r="H60" s="905">
        <f t="shared" si="36"/>
        <v>0</v>
      </c>
      <c r="I60" s="1746">
        <f>+'[3]Oct midyear NOMMA'!K59</f>
        <v>0</v>
      </c>
      <c r="J60" s="1746">
        <f>'[3]Feb midyear NOMMA'!K59</f>
        <v>0</v>
      </c>
      <c r="K60" s="1692">
        <f t="shared" si="37"/>
        <v>0</v>
      </c>
      <c r="L60" s="1435">
        <f t="shared" si="54"/>
        <v>0</v>
      </c>
      <c r="M60" s="931">
        <f t="shared" si="38"/>
        <v>0</v>
      </c>
      <c r="N60" s="905">
        <f t="shared" si="53"/>
        <v>0</v>
      </c>
      <c r="O60" s="882">
        <v>0</v>
      </c>
      <c r="P60" s="1552">
        <f t="shared" si="39"/>
        <v>0</v>
      </c>
      <c r="Q60" s="1718">
        <f>'[4]Table 5C1D-NOMMA'!M59+'[27]Table 5C1D-NOMMA'!T59+('[26]Table 5C1D-NOMMA'!T59*6)</f>
        <v>0</v>
      </c>
      <c r="R60" s="1815">
        <f t="shared" si="40"/>
        <v>0</v>
      </c>
      <c r="S60" s="1550">
        <f t="shared" si="41"/>
        <v>0</v>
      </c>
      <c r="T60" s="1802">
        <f>'Table 5C1A-Madison Prep'!T60</f>
        <v>2109</v>
      </c>
      <c r="U60" s="1555">
        <f t="shared" si="55"/>
        <v>0</v>
      </c>
      <c r="V60" s="1785">
        <f>+'[3]Oct midyear NOMMA'!E59</f>
        <v>0</v>
      </c>
      <c r="W60" s="1786">
        <f t="shared" si="42"/>
        <v>0</v>
      </c>
      <c r="X60" s="1758">
        <f>'[3]Feb midyear NOMMA'!E59</f>
        <v>0</v>
      </c>
      <c r="Y60" s="1759">
        <f t="shared" si="43"/>
        <v>0</v>
      </c>
      <c r="Z60" s="1653">
        <f t="shared" si="57"/>
        <v>0</v>
      </c>
      <c r="AA60" s="1441">
        <f t="shared" si="44"/>
        <v>0</v>
      </c>
      <c r="AB60" s="937">
        <f t="shared" si="45"/>
        <v>0</v>
      </c>
      <c r="AC60" s="899">
        <f t="shared" si="46"/>
        <v>0</v>
      </c>
      <c r="AD60" s="1830">
        <v>0</v>
      </c>
      <c r="AE60" s="899">
        <f t="shared" si="47"/>
        <v>0</v>
      </c>
      <c r="AF60" s="1755">
        <f>'[4]Table 5C1D-NOMMA'!T59+'[27]Table 5C1D-NOMMA'!AF59+('[26]Table 5C1D-NOMMA'!AF59*6)</f>
        <v>0</v>
      </c>
      <c r="AG60" s="1841">
        <f t="shared" si="48"/>
        <v>0</v>
      </c>
      <c r="AH60" s="999">
        <f t="shared" si="49"/>
        <v>0</v>
      </c>
      <c r="AI60" s="900">
        <f t="shared" si="56"/>
        <v>0</v>
      </c>
      <c r="AJ60" s="900">
        <f t="shared" si="50"/>
        <v>0</v>
      </c>
      <c r="AL60" s="49">
        <f>-'[4]Table 5C1D-NOMMA'!P59</f>
        <v>0</v>
      </c>
      <c r="AM60" s="49">
        <f t="shared" si="51"/>
        <v>0</v>
      </c>
      <c r="AN60" s="49">
        <f t="shared" si="52"/>
        <v>0</v>
      </c>
    </row>
    <row r="61" spans="1:40">
      <c r="A61" s="876">
        <v>54</v>
      </c>
      <c r="B61" s="877" t="s">
        <v>144</v>
      </c>
      <c r="C61" s="972">
        <f>'2-1-13 SIS'!O60</f>
        <v>0</v>
      </c>
      <c r="D61" s="882">
        <f>'Table 3 Levels 1&amp;2'!AL61</f>
        <v>5951.8009386275662</v>
      </c>
      <c r="E61" s="921">
        <f t="shared" si="34"/>
        <v>0</v>
      </c>
      <c r="F61" s="921">
        <f>'Table 4 Level 3'!P59</f>
        <v>951.45</v>
      </c>
      <c r="G61" s="921">
        <f t="shared" si="35"/>
        <v>0</v>
      </c>
      <c r="H61" s="905">
        <f t="shared" si="36"/>
        <v>0</v>
      </c>
      <c r="I61" s="1746">
        <f>+'[3]Oct midyear NOMMA'!K60</f>
        <v>0</v>
      </c>
      <c r="J61" s="1746">
        <f>'[3]Feb midyear NOMMA'!K60</f>
        <v>0</v>
      </c>
      <c r="K61" s="1692">
        <f t="shared" si="37"/>
        <v>0</v>
      </c>
      <c r="L61" s="1435">
        <f t="shared" si="54"/>
        <v>0</v>
      </c>
      <c r="M61" s="931">
        <f t="shared" si="38"/>
        <v>0</v>
      </c>
      <c r="N61" s="905">
        <f t="shared" si="53"/>
        <v>0</v>
      </c>
      <c r="O61" s="882">
        <v>0</v>
      </c>
      <c r="P61" s="1552">
        <f t="shared" si="39"/>
        <v>0</v>
      </c>
      <c r="Q61" s="1718">
        <f>'[4]Table 5C1D-NOMMA'!M60+'[27]Table 5C1D-NOMMA'!T60+('[26]Table 5C1D-NOMMA'!T60*6)</f>
        <v>0</v>
      </c>
      <c r="R61" s="1815">
        <f t="shared" si="40"/>
        <v>0</v>
      </c>
      <c r="S61" s="1550">
        <f t="shared" si="41"/>
        <v>0</v>
      </c>
      <c r="T61" s="1802">
        <f>'Table 5C1A-Madison Prep'!T61</f>
        <v>3760</v>
      </c>
      <c r="U61" s="1555">
        <f t="shared" si="55"/>
        <v>0</v>
      </c>
      <c r="V61" s="1785">
        <f>+'[3]Oct midyear NOMMA'!E60</f>
        <v>0</v>
      </c>
      <c r="W61" s="1786">
        <f t="shared" si="42"/>
        <v>0</v>
      </c>
      <c r="X61" s="1758">
        <f>'[3]Feb midyear NOMMA'!E60</f>
        <v>0</v>
      </c>
      <c r="Y61" s="1759">
        <f t="shared" si="43"/>
        <v>0</v>
      </c>
      <c r="Z61" s="1653">
        <f t="shared" si="57"/>
        <v>0</v>
      </c>
      <c r="AA61" s="1441">
        <f t="shared" si="44"/>
        <v>0</v>
      </c>
      <c r="AB61" s="937">
        <f t="shared" si="45"/>
        <v>0</v>
      </c>
      <c r="AC61" s="899">
        <f t="shared" si="46"/>
        <v>0</v>
      </c>
      <c r="AD61" s="1830">
        <v>0</v>
      </c>
      <c r="AE61" s="899">
        <f t="shared" si="47"/>
        <v>0</v>
      </c>
      <c r="AF61" s="1755">
        <f>'[4]Table 5C1D-NOMMA'!T60+'[27]Table 5C1D-NOMMA'!AF60+('[26]Table 5C1D-NOMMA'!AF60*6)</f>
        <v>0</v>
      </c>
      <c r="AG61" s="1841">
        <f t="shared" si="48"/>
        <v>0</v>
      </c>
      <c r="AH61" s="999">
        <f t="shared" si="49"/>
        <v>0</v>
      </c>
      <c r="AI61" s="900">
        <f t="shared" si="56"/>
        <v>0</v>
      </c>
      <c r="AJ61" s="900">
        <f t="shared" si="50"/>
        <v>0</v>
      </c>
      <c r="AL61" s="49">
        <f>-'[4]Table 5C1D-NOMMA'!P60</f>
        <v>0</v>
      </c>
      <c r="AM61" s="49">
        <f t="shared" si="51"/>
        <v>0</v>
      </c>
      <c r="AN61" s="49">
        <f t="shared" si="52"/>
        <v>0</v>
      </c>
    </row>
    <row r="62" spans="1:40">
      <c r="A62" s="879">
        <v>55</v>
      </c>
      <c r="B62" s="880" t="s">
        <v>145</v>
      </c>
      <c r="C62" s="973">
        <f>'2-1-13 SIS'!O61</f>
        <v>0</v>
      </c>
      <c r="D62" s="883">
        <f>'Table 3 Levels 1&amp;2'!AL62</f>
        <v>4171.0434735233157</v>
      </c>
      <c r="E62" s="922">
        <f t="shared" si="34"/>
        <v>0</v>
      </c>
      <c r="F62" s="922">
        <f>'Table 4 Level 3'!P60</f>
        <v>795.14</v>
      </c>
      <c r="G62" s="922">
        <f t="shared" si="35"/>
        <v>0</v>
      </c>
      <c r="H62" s="906">
        <f t="shared" si="36"/>
        <v>0</v>
      </c>
      <c r="I62" s="1747">
        <f>+'[3]Oct midyear NOMMA'!K61</f>
        <v>0</v>
      </c>
      <c r="J62" s="1747">
        <f>'[3]Feb midyear NOMMA'!K61</f>
        <v>0</v>
      </c>
      <c r="K62" s="1693">
        <f t="shared" si="37"/>
        <v>0</v>
      </c>
      <c r="L62" s="1436">
        <f t="shared" si="54"/>
        <v>0</v>
      </c>
      <c r="M62" s="932">
        <f t="shared" si="38"/>
        <v>0</v>
      </c>
      <c r="N62" s="906">
        <f t="shared" si="53"/>
        <v>0</v>
      </c>
      <c r="O62" s="883">
        <v>0</v>
      </c>
      <c r="P62" s="1553">
        <f t="shared" si="39"/>
        <v>0</v>
      </c>
      <c r="Q62" s="1804">
        <f>'[4]Table 5C1D-NOMMA'!M61+'[27]Table 5C1D-NOMMA'!T61+('[26]Table 5C1D-NOMMA'!T61*6)</f>
        <v>0</v>
      </c>
      <c r="R62" s="1816">
        <f t="shared" si="40"/>
        <v>0</v>
      </c>
      <c r="S62" s="1806">
        <f t="shared" si="41"/>
        <v>0</v>
      </c>
      <c r="T62" s="1807">
        <f>'Table 5C1A-Madison Prep'!T62</f>
        <v>3359</v>
      </c>
      <c r="U62" s="1556">
        <f t="shared" si="55"/>
        <v>0</v>
      </c>
      <c r="V62" s="1787">
        <f>+'[3]Oct midyear NOMMA'!E61</f>
        <v>0</v>
      </c>
      <c r="W62" s="1788">
        <f t="shared" si="42"/>
        <v>0</v>
      </c>
      <c r="X62" s="1762">
        <f>'[3]Feb midyear NOMMA'!E61</f>
        <v>0</v>
      </c>
      <c r="Y62" s="1763">
        <f t="shared" si="43"/>
        <v>0</v>
      </c>
      <c r="Z62" s="1654">
        <f t="shared" si="57"/>
        <v>0</v>
      </c>
      <c r="AA62" s="1443">
        <f t="shared" si="44"/>
        <v>0</v>
      </c>
      <c r="AB62" s="938">
        <f t="shared" si="45"/>
        <v>0</v>
      </c>
      <c r="AC62" s="903">
        <f t="shared" si="46"/>
        <v>0</v>
      </c>
      <c r="AD62" s="1831">
        <v>0</v>
      </c>
      <c r="AE62" s="903">
        <f t="shared" si="47"/>
        <v>0</v>
      </c>
      <c r="AF62" s="1833">
        <f>'[4]Table 5C1D-NOMMA'!T61+'[27]Table 5C1D-NOMMA'!AF61+('[26]Table 5C1D-NOMMA'!AF61*6)</f>
        <v>0</v>
      </c>
      <c r="AG62" s="1842">
        <f t="shared" si="48"/>
        <v>0</v>
      </c>
      <c r="AH62" s="1659">
        <f t="shared" si="49"/>
        <v>0</v>
      </c>
      <c r="AI62" s="904">
        <f t="shared" si="56"/>
        <v>0</v>
      </c>
      <c r="AJ62" s="904">
        <f t="shared" si="50"/>
        <v>0</v>
      </c>
      <c r="AL62" s="49">
        <f>-'[4]Table 5C1D-NOMMA'!P61</f>
        <v>0</v>
      </c>
      <c r="AM62" s="49">
        <f t="shared" si="51"/>
        <v>0</v>
      </c>
      <c r="AN62" s="49">
        <f t="shared" si="52"/>
        <v>0</v>
      </c>
    </row>
    <row r="63" spans="1:40">
      <c r="A63" s="870">
        <v>56</v>
      </c>
      <c r="B63" s="871" t="s">
        <v>146</v>
      </c>
      <c r="C63" s="974">
        <f>'2-1-13 SIS'!O62</f>
        <v>0</v>
      </c>
      <c r="D63" s="884">
        <f>'Table 3 Levels 1&amp;2'!AL63</f>
        <v>4968.593189672727</v>
      </c>
      <c r="E63" s="923">
        <f t="shared" si="34"/>
        <v>0</v>
      </c>
      <c r="F63" s="923">
        <f>'Table 4 Level 3'!P61</f>
        <v>614.66000000000008</v>
      </c>
      <c r="G63" s="923">
        <f t="shared" si="35"/>
        <v>0</v>
      </c>
      <c r="H63" s="907">
        <f t="shared" si="36"/>
        <v>0</v>
      </c>
      <c r="I63" s="1723">
        <f>+'[3]Oct midyear NOMMA'!K62</f>
        <v>0</v>
      </c>
      <c r="J63" s="1723">
        <f>'[3]Feb midyear NOMMA'!K62</f>
        <v>0</v>
      </c>
      <c r="K63" s="1547">
        <f t="shared" si="37"/>
        <v>0</v>
      </c>
      <c r="L63" s="1437">
        <f t="shared" si="54"/>
        <v>0</v>
      </c>
      <c r="M63" s="933">
        <f t="shared" si="38"/>
        <v>0</v>
      </c>
      <c r="N63" s="907">
        <f t="shared" si="53"/>
        <v>0</v>
      </c>
      <c r="O63" s="884">
        <v>0</v>
      </c>
      <c r="P63" s="996">
        <f t="shared" si="39"/>
        <v>0</v>
      </c>
      <c r="Q63" s="1718">
        <f>'[4]Table 5C1D-NOMMA'!M62+'[27]Table 5C1D-NOMMA'!T62+('[26]Table 5C1D-NOMMA'!T62*6)</f>
        <v>0</v>
      </c>
      <c r="R63" s="1723">
        <f t="shared" si="40"/>
        <v>0</v>
      </c>
      <c r="S63" s="998">
        <f t="shared" si="41"/>
        <v>0</v>
      </c>
      <c r="T63" s="1802">
        <f>'Table 5C1A-Madison Prep'!T63</f>
        <v>2853</v>
      </c>
      <c r="U63" s="999">
        <f t="shared" si="55"/>
        <v>0</v>
      </c>
      <c r="V63" s="1754">
        <f>+'[3]Oct midyear NOMMA'!E62</f>
        <v>0</v>
      </c>
      <c r="W63" s="1755">
        <f t="shared" si="42"/>
        <v>0</v>
      </c>
      <c r="X63" s="1754">
        <f>'[3]Feb midyear NOMMA'!E62</f>
        <v>0</v>
      </c>
      <c r="Y63" s="1755">
        <f t="shared" si="43"/>
        <v>0</v>
      </c>
      <c r="Z63" s="1652">
        <f t="shared" si="57"/>
        <v>0</v>
      </c>
      <c r="AA63" s="1446">
        <f t="shared" si="44"/>
        <v>0</v>
      </c>
      <c r="AB63" s="936">
        <f t="shared" si="45"/>
        <v>0</v>
      </c>
      <c r="AC63" s="874">
        <f t="shared" si="46"/>
        <v>0</v>
      </c>
      <c r="AD63" s="1829">
        <v>0</v>
      </c>
      <c r="AE63" s="874">
        <f t="shared" si="47"/>
        <v>0</v>
      </c>
      <c r="AF63" s="1755">
        <f>'[4]Table 5C1D-NOMMA'!T62+'[27]Table 5C1D-NOMMA'!AF62+('[26]Table 5C1D-NOMMA'!AF62*6)</f>
        <v>0</v>
      </c>
      <c r="AG63" s="1755">
        <f t="shared" si="48"/>
        <v>0</v>
      </c>
      <c r="AH63" s="999">
        <f t="shared" si="49"/>
        <v>0</v>
      </c>
      <c r="AI63" s="875">
        <f t="shared" si="56"/>
        <v>0</v>
      </c>
      <c r="AJ63" s="875">
        <f t="shared" si="50"/>
        <v>0</v>
      </c>
      <c r="AL63" s="49">
        <f>-'[4]Table 5C1D-NOMMA'!P62</f>
        <v>0</v>
      </c>
      <c r="AM63" s="49">
        <f t="shared" si="51"/>
        <v>0</v>
      </c>
      <c r="AN63" s="49">
        <f t="shared" si="52"/>
        <v>0</v>
      </c>
    </row>
    <row r="64" spans="1:40">
      <c r="A64" s="876">
        <v>57</v>
      </c>
      <c r="B64" s="877" t="s">
        <v>147</v>
      </c>
      <c r="C64" s="972">
        <f>'2-1-13 SIS'!O63</f>
        <v>0</v>
      </c>
      <c r="D64" s="882">
        <f>'Table 3 Levels 1&amp;2'!AL64</f>
        <v>4485.7073020218859</v>
      </c>
      <c r="E64" s="921">
        <f t="shared" si="34"/>
        <v>0</v>
      </c>
      <c r="F64" s="921">
        <f>'Table 4 Level 3'!P62</f>
        <v>764.51</v>
      </c>
      <c r="G64" s="921">
        <f t="shared" si="35"/>
        <v>0</v>
      </c>
      <c r="H64" s="905">
        <f t="shared" si="36"/>
        <v>0</v>
      </c>
      <c r="I64" s="1746">
        <f>+'[3]Oct midyear NOMMA'!K63</f>
        <v>0</v>
      </c>
      <c r="J64" s="1746">
        <f>'[3]Feb midyear NOMMA'!K63</f>
        <v>0</v>
      </c>
      <c r="K64" s="1692">
        <f t="shared" si="37"/>
        <v>0</v>
      </c>
      <c r="L64" s="1435">
        <f t="shared" si="54"/>
        <v>0</v>
      </c>
      <c r="M64" s="931">
        <f t="shared" si="38"/>
        <v>0</v>
      </c>
      <c r="N64" s="905">
        <f t="shared" si="53"/>
        <v>0</v>
      </c>
      <c r="O64" s="882">
        <v>0</v>
      </c>
      <c r="P64" s="1552">
        <f t="shared" si="39"/>
        <v>0</v>
      </c>
      <c r="Q64" s="1718">
        <f>'[4]Table 5C1D-NOMMA'!M63+'[27]Table 5C1D-NOMMA'!T63+('[26]Table 5C1D-NOMMA'!T63*6)</f>
        <v>0</v>
      </c>
      <c r="R64" s="1815">
        <f t="shared" si="40"/>
        <v>0</v>
      </c>
      <c r="S64" s="1550">
        <f t="shared" si="41"/>
        <v>0</v>
      </c>
      <c r="T64" s="1802">
        <f>'Table 5C1A-Madison Prep'!T64</f>
        <v>3178</v>
      </c>
      <c r="U64" s="1555">
        <f t="shared" si="55"/>
        <v>0</v>
      </c>
      <c r="V64" s="1785">
        <f>+'[3]Oct midyear NOMMA'!E63</f>
        <v>0</v>
      </c>
      <c r="W64" s="1786">
        <f t="shared" si="42"/>
        <v>0</v>
      </c>
      <c r="X64" s="1758">
        <f>'[3]Feb midyear NOMMA'!E63</f>
        <v>0</v>
      </c>
      <c r="Y64" s="1759">
        <f t="shared" si="43"/>
        <v>0</v>
      </c>
      <c r="Z64" s="1653">
        <f t="shared" si="57"/>
        <v>0</v>
      </c>
      <c r="AA64" s="1441">
        <f t="shared" si="44"/>
        <v>0</v>
      </c>
      <c r="AB64" s="937">
        <f t="shared" si="45"/>
        <v>0</v>
      </c>
      <c r="AC64" s="899">
        <f t="shared" si="46"/>
        <v>0</v>
      </c>
      <c r="AD64" s="1830">
        <v>0</v>
      </c>
      <c r="AE64" s="899">
        <f t="shared" si="47"/>
        <v>0</v>
      </c>
      <c r="AF64" s="1755">
        <f>'[4]Table 5C1D-NOMMA'!T63+'[27]Table 5C1D-NOMMA'!AF63+('[26]Table 5C1D-NOMMA'!AF63*6)</f>
        <v>0</v>
      </c>
      <c r="AG64" s="1841">
        <f t="shared" si="48"/>
        <v>0</v>
      </c>
      <c r="AH64" s="999">
        <f t="shared" si="49"/>
        <v>0</v>
      </c>
      <c r="AI64" s="900">
        <f t="shared" si="56"/>
        <v>0</v>
      </c>
      <c r="AJ64" s="900">
        <f t="shared" si="50"/>
        <v>0</v>
      </c>
      <c r="AL64" s="49">
        <f>-'[4]Table 5C1D-NOMMA'!P63</f>
        <v>0</v>
      </c>
      <c r="AM64" s="49">
        <f t="shared" si="51"/>
        <v>0</v>
      </c>
      <c r="AN64" s="49">
        <f t="shared" si="52"/>
        <v>0</v>
      </c>
    </row>
    <row r="65" spans="1:40">
      <c r="A65" s="876">
        <v>58</v>
      </c>
      <c r="B65" s="877" t="s">
        <v>148</v>
      </c>
      <c r="C65" s="972">
        <f>'2-1-13 SIS'!O64</f>
        <v>0</v>
      </c>
      <c r="D65" s="882">
        <f>'Table 3 Levels 1&amp;2'!AL65</f>
        <v>5457.8662803476354</v>
      </c>
      <c r="E65" s="921">
        <f t="shared" si="34"/>
        <v>0</v>
      </c>
      <c r="F65" s="921">
        <f>'Table 4 Level 3'!P63</f>
        <v>697.04</v>
      </c>
      <c r="G65" s="921">
        <f t="shared" si="35"/>
        <v>0</v>
      </c>
      <c r="H65" s="905">
        <f t="shared" si="36"/>
        <v>0</v>
      </c>
      <c r="I65" s="1746">
        <f>+'[3]Oct midyear NOMMA'!K64</f>
        <v>0</v>
      </c>
      <c r="J65" s="1746">
        <f>'[3]Feb midyear NOMMA'!K64</f>
        <v>0</v>
      </c>
      <c r="K65" s="1692">
        <f t="shared" si="37"/>
        <v>0</v>
      </c>
      <c r="L65" s="1435">
        <f t="shared" si="54"/>
        <v>0</v>
      </c>
      <c r="M65" s="931">
        <f t="shared" si="38"/>
        <v>0</v>
      </c>
      <c r="N65" s="905">
        <f t="shared" si="53"/>
        <v>0</v>
      </c>
      <c r="O65" s="882">
        <v>0</v>
      </c>
      <c r="P65" s="1552">
        <f t="shared" si="39"/>
        <v>0</v>
      </c>
      <c r="Q65" s="1718">
        <f>'[4]Table 5C1D-NOMMA'!M64+'[27]Table 5C1D-NOMMA'!T64+('[26]Table 5C1D-NOMMA'!T64*6)</f>
        <v>0</v>
      </c>
      <c r="R65" s="1815">
        <f t="shared" si="40"/>
        <v>0</v>
      </c>
      <c r="S65" s="1550">
        <f t="shared" si="41"/>
        <v>0</v>
      </c>
      <c r="T65" s="1802">
        <f>'Table 5C1A-Madison Prep'!T65</f>
        <v>2127</v>
      </c>
      <c r="U65" s="1555">
        <f t="shared" si="55"/>
        <v>0</v>
      </c>
      <c r="V65" s="1785">
        <f>+'[3]Oct midyear NOMMA'!E64</f>
        <v>0</v>
      </c>
      <c r="W65" s="1786">
        <f t="shared" si="42"/>
        <v>0</v>
      </c>
      <c r="X65" s="1758">
        <f>'[3]Feb midyear NOMMA'!E64</f>
        <v>0</v>
      </c>
      <c r="Y65" s="1759">
        <f t="shared" si="43"/>
        <v>0</v>
      </c>
      <c r="Z65" s="1653">
        <f t="shared" si="57"/>
        <v>0</v>
      </c>
      <c r="AA65" s="1441">
        <f t="shared" si="44"/>
        <v>0</v>
      </c>
      <c r="AB65" s="937">
        <f t="shared" si="45"/>
        <v>0</v>
      </c>
      <c r="AC65" s="899">
        <f t="shared" si="46"/>
        <v>0</v>
      </c>
      <c r="AD65" s="1830">
        <v>0</v>
      </c>
      <c r="AE65" s="899">
        <f t="shared" si="47"/>
        <v>0</v>
      </c>
      <c r="AF65" s="1755">
        <f>'[4]Table 5C1D-NOMMA'!T64+'[27]Table 5C1D-NOMMA'!AF64+('[26]Table 5C1D-NOMMA'!AF64*6)</f>
        <v>0</v>
      </c>
      <c r="AG65" s="1841">
        <f t="shared" si="48"/>
        <v>0</v>
      </c>
      <c r="AH65" s="999">
        <f t="shared" si="49"/>
        <v>0</v>
      </c>
      <c r="AI65" s="900">
        <f t="shared" si="56"/>
        <v>0</v>
      </c>
      <c r="AJ65" s="900">
        <f t="shared" si="50"/>
        <v>0</v>
      </c>
      <c r="AL65" s="49">
        <f>-'[4]Table 5C1D-NOMMA'!P64</f>
        <v>0</v>
      </c>
      <c r="AM65" s="49">
        <f t="shared" si="51"/>
        <v>0</v>
      </c>
      <c r="AN65" s="49">
        <f t="shared" si="52"/>
        <v>0</v>
      </c>
    </row>
    <row r="66" spans="1:40">
      <c r="A66" s="876">
        <v>59</v>
      </c>
      <c r="B66" s="877" t="s">
        <v>149</v>
      </c>
      <c r="C66" s="972">
        <f>'2-1-13 SIS'!O65</f>
        <v>0</v>
      </c>
      <c r="D66" s="882">
        <f>'Table 3 Levels 1&amp;2'!AL66</f>
        <v>6274.2786338006481</v>
      </c>
      <c r="E66" s="921">
        <f t="shared" si="34"/>
        <v>0</v>
      </c>
      <c r="F66" s="921">
        <f>'Table 4 Level 3'!P64</f>
        <v>689.52</v>
      </c>
      <c r="G66" s="921">
        <f t="shared" si="35"/>
        <v>0</v>
      </c>
      <c r="H66" s="905">
        <f t="shared" si="36"/>
        <v>0</v>
      </c>
      <c r="I66" s="1746">
        <f>+'[3]Oct midyear NOMMA'!K65</f>
        <v>0</v>
      </c>
      <c r="J66" s="1746">
        <f>'[3]Feb midyear NOMMA'!K65</f>
        <v>0</v>
      </c>
      <c r="K66" s="1692">
        <f t="shared" si="37"/>
        <v>0</v>
      </c>
      <c r="L66" s="1435">
        <f t="shared" si="54"/>
        <v>0</v>
      </c>
      <c r="M66" s="931">
        <f t="shared" si="38"/>
        <v>0</v>
      </c>
      <c r="N66" s="905">
        <f t="shared" si="53"/>
        <v>0</v>
      </c>
      <c r="O66" s="882">
        <v>0</v>
      </c>
      <c r="P66" s="1552">
        <f t="shared" si="39"/>
        <v>0</v>
      </c>
      <c r="Q66" s="1718">
        <f>'[4]Table 5C1D-NOMMA'!M65+'[27]Table 5C1D-NOMMA'!T65+('[26]Table 5C1D-NOMMA'!T65*6)</f>
        <v>0</v>
      </c>
      <c r="R66" s="1815">
        <f t="shared" si="40"/>
        <v>0</v>
      </c>
      <c r="S66" s="1550">
        <f t="shared" si="41"/>
        <v>0</v>
      </c>
      <c r="T66" s="1802">
        <f>'Table 5C1A-Madison Prep'!T66</f>
        <v>1729</v>
      </c>
      <c r="U66" s="1555">
        <f t="shared" si="55"/>
        <v>0</v>
      </c>
      <c r="V66" s="1785">
        <f>+'[3]Oct midyear NOMMA'!E65</f>
        <v>0</v>
      </c>
      <c r="W66" s="1786">
        <f t="shared" si="42"/>
        <v>0</v>
      </c>
      <c r="X66" s="1758">
        <f>'[3]Feb midyear NOMMA'!E65</f>
        <v>0</v>
      </c>
      <c r="Y66" s="1759">
        <f t="shared" si="43"/>
        <v>0</v>
      </c>
      <c r="Z66" s="1653">
        <f t="shared" si="57"/>
        <v>0</v>
      </c>
      <c r="AA66" s="1441">
        <f t="shared" si="44"/>
        <v>0</v>
      </c>
      <c r="AB66" s="937">
        <f t="shared" si="45"/>
        <v>0</v>
      </c>
      <c r="AC66" s="899">
        <f t="shared" si="46"/>
        <v>0</v>
      </c>
      <c r="AD66" s="1830">
        <v>0</v>
      </c>
      <c r="AE66" s="899">
        <f t="shared" si="47"/>
        <v>0</v>
      </c>
      <c r="AF66" s="1755">
        <f>'[4]Table 5C1D-NOMMA'!T65+'[27]Table 5C1D-NOMMA'!AF65+('[26]Table 5C1D-NOMMA'!AF65*6)</f>
        <v>0</v>
      </c>
      <c r="AG66" s="1841">
        <f t="shared" si="48"/>
        <v>0</v>
      </c>
      <c r="AH66" s="999">
        <f t="shared" si="49"/>
        <v>0</v>
      </c>
      <c r="AI66" s="900">
        <f t="shared" si="56"/>
        <v>0</v>
      </c>
      <c r="AJ66" s="900">
        <f t="shared" si="50"/>
        <v>0</v>
      </c>
      <c r="AL66" s="49">
        <f>-'[4]Table 5C1D-NOMMA'!P65</f>
        <v>0</v>
      </c>
      <c r="AM66" s="49">
        <f t="shared" si="51"/>
        <v>0</v>
      </c>
      <c r="AN66" s="49">
        <f t="shared" si="52"/>
        <v>0</v>
      </c>
    </row>
    <row r="67" spans="1:40">
      <c r="A67" s="879">
        <v>60</v>
      </c>
      <c r="B67" s="880" t="s">
        <v>150</v>
      </c>
      <c r="C67" s="973">
        <f>'2-1-13 SIS'!O66</f>
        <v>0</v>
      </c>
      <c r="D67" s="883">
        <f>'Table 3 Levels 1&amp;2'!AL67</f>
        <v>4940.9166775610411</v>
      </c>
      <c r="E67" s="922">
        <f t="shared" si="34"/>
        <v>0</v>
      </c>
      <c r="F67" s="922">
        <f>'Table 4 Level 3'!P65</f>
        <v>594.04</v>
      </c>
      <c r="G67" s="922">
        <f t="shared" si="35"/>
        <v>0</v>
      </c>
      <c r="H67" s="906">
        <f t="shared" si="36"/>
        <v>0</v>
      </c>
      <c r="I67" s="1747">
        <f>+'[3]Oct midyear NOMMA'!K66</f>
        <v>0</v>
      </c>
      <c r="J67" s="1747">
        <f>'[3]Feb midyear NOMMA'!K66</f>
        <v>0</v>
      </c>
      <c r="K67" s="1693">
        <f t="shared" si="37"/>
        <v>0</v>
      </c>
      <c r="L67" s="1436">
        <f t="shared" si="54"/>
        <v>0</v>
      </c>
      <c r="M67" s="932">
        <f t="shared" si="38"/>
        <v>0</v>
      </c>
      <c r="N67" s="906">
        <f t="shared" si="53"/>
        <v>0</v>
      </c>
      <c r="O67" s="883">
        <v>0</v>
      </c>
      <c r="P67" s="1553">
        <f t="shared" si="39"/>
        <v>0</v>
      </c>
      <c r="Q67" s="1804">
        <f>'[4]Table 5C1D-NOMMA'!M66+'[27]Table 5C1D-NOMMA'!T66+('[26]Table 5C1D-NOMMA'!T66*6)</f>
        <v>0</v>
      </c>
      <c r="R67" s="1816">
        <f t="shared" si="40"/>
        <v>0</v>
      </c>
      <c r="S67" s="1806">
        <f t="shared" si="41"/>
        <v>0</v>
      </c>
      <c r="T67" s="1807">
        <f>'Table 5C1A-Madison Prep'!T67</f>
        <v>3801</v>
      </c>
      <c r="U67" s="1556">
        <f t="shared" si="55"/>
        <v>0</v>
      </c>
      <c r="V67" s="1787">
        <f>+'[3]Oct midyear NOMMA'!E66</f>
        <v>0</v>
      </c>
      <c r="W67" s="1788">
        <f t="shared" si="42"/>
        <v>0</v>
      </c>
      <c r="X67" s="1762">
        <f>'[3]Feb midyear NOMMA'!E66</f>
        <v>0</v>
      </c>
      <c r="Y67" s="1763">
        <f t="shared" si="43"/>
        <v>0</v>
      </c>
      <c r="Z67" s="1654">
        <f t="shared" si="57"/>
        <v>0</v>
      </c>
      <c r="AA67" s="1443">
        <f t="shared" si="44"/>
        <v>0</v>
      </c>
      <c r="AB67" s="938">
        <f t="shared" si="45"/>
        <v>0</v>
      </c>
      <c r="AC67" s="903">
        <f t="shared" si="46"/>
        <v>0</v>
      </c>
      <c r="AD67" s="1831">
        <v>0</v>
      </c>
      <c r="AE67" s="903">
        <f t="shared" si="47"/>
        <v>0</v>
      </c>
      <c r="AF67" s="1833">
        <f>'[4]Table 5C1D-NOMMA'!T66+'[27]Table 5C1D-NOMMA'!AF66+('[26]Table 5C1D-NOMMA'!AF66*6)</f>
        <v>0</v>
      </c>
      <c r="AG67" s="1842">
        <f t="shared" si="48"/>
        <v>0</v>
      </c>
      <c r="AH67" s="1659">
        <f t="shared" si="49"/>
        <v>0</v>
      </c>
      <c r="AI67" s="904">
        <f t="shared" si="56"/>
        <v>0</v>
      </c>
      <c r="AJ67" s="904">
        <f t="shared" si="50"/>
        <v>0</v>
      </c>
      <c r="AL67" s="49">
        <f>-'[4]Table 5C1D-NOMMA'!P66</f>
        <v>0</v>
      </c>
      <c r="AM67" s="49">
        <f t="shared" si="51"/>
        <v>0</v>
      </c>
      <c r="AN67" s="49">
        <f t="shared" si="52"/>
        <v>0</v>
      </c>
    </row>
    <row r="68" spans="1:40">
      <c r="A68" s="870">
        <v>61</v>
      </c>
      <c r="B68" s="871" t="s">
        <v>151</v>
      </c>
      <c r="C68" s="974">
        <f>'2-1-13 SIS'!O67</f>
        <v>0</v>
      </c>
      <c r="D68" s="884">
        <f>'Table 3 Levels 1&amp;2'!AL68</f>
        <v>2908.0344869339228</v>
      </c>
      <c r="E68" s="923">
        <f t="shared" si="34"/>
        <v>0</v>
      </c>
      <c r="F68" s="923">
        <f>'Table 4 Level 3'!P66</f>
        <v>833.70999999999992</v>
      </c>
      <c r="G68" s="923">
        <f t="shared" si="35"/>
        <v>0</v>
      </c>
      <c r="H68" s="907">
        <f t="shared" si="36"/>
        <v>0</v>
      </c>
      <c r="I68" s="1723">
        <f>+'[3]Oct midyear NOMMA'!K67</f>
        <v>0</v>
      </c>
      <c r="J68" s="1723">
        <f>'[3]Feb midyear NOMMA'!K67</f>
        <v>0</v>
      </c>
      <c r="K68" s="1547">
        <f t="shared" si="37"/>
        <v>0</v>
      </c>
      <c r="L68" s="1437">
        <f t="shared" si="54"/>
        <v>0</v>
      </c>
      <c r="M68" s="933">
        <f t="shared" si="38"/>
        <v>0</v>
      </c>
      <c r="N68" s="907">
        <f t="shared" si="53"/>
        <v>0</v>
      </c>
      <c r="O68" s="884">
        <v>0</v>
      </c>
      <c r="P68" s="996">
        <f t="shared" si="39"/>
        <v>0</v>
      </c>
      <c r="Q68" s="1718">
        <f>'[4]Table 5C1D-NOMMA'!M67+'[27]Table 5C1D-NOMMA'!T67+('[26]Table 5C1D-NOMMA'!T67*6)</f>
        <v>0</v>
      </c>
      <c r="R68" s="1723">
        <f t="shared" si="40"/>
        <v>0</v>
      </c>
      <c r="S68" s="998">
        <f t="shared" si="41"/>
        <v>0</v>
      </c>
      <c r="T68" s="1802">
        <f>'Table 5C1A-Madison Prep'!T68</f>
        <v>6597</v>
      </c>
      <c r="U68" s="999">
        <f t="shared" si="55"/>
        <v>0</v>
      </c>
      <c r="V68" s="1754">
        <f>+'[3]Oct midyear NOMMA'!E67</f>
        <v>0</v>
      </c>
      <c r="W68" s="1755">
        <f t="shared" si="42"/>
        <v>0</v>
      </c>
      <c r="X68" s="1754">
        <f>'[3]Feb midyear NOMMA'!E67</f>
        <v>0</v>
      </c>
      <c r="Y68" s="1755">
        <f t="shared" si="43"/>
        <v>0</v>
      </c>
      <c r="Z68" s="1652">
        <f t="shared" si="57"/>
        <v>0</v>
      </c>
      <c r="AA68" s="1446">
        <f t="shared" si="44"/>
        <v>0</v>
      </c>
      <c r="AB68" s="936">
        <f t="shared" si="45"/>
        <v>0</v>
      </c>
      <c r="AC68" s="874">
        <f t="shared" si="46"/>
        <v>0</v>
      </c>
      <c r="AD68" s="1829">
        <v>0</v>
      </c>
      <c r="AE68" s="874">
        <f t="shared" si="47"/>
        <v>0</v>
      </c>
      <c r="AF68" s="1755">
        <f>'[4]Table 5C1D-NOMMA'!T67+'[27]Table 5C1D-NOMMA'!AF67+('[26]Table 5C1D-NOMMA'!AF67*6)</f>
        <v>0</v>
      </c>
      <c r="AG68" s="1755">
        <f t="shared" si="48"/>
        <v>0</v>
      </c>
      <c r="AH68" s="999">
        <f t="shared" si="49"/>
        <v>0</v>
      </c>
      <c r="AI68" s="875">
        <f t="shared" si="56"/>
        <v>0</v>
      </c>
      <c r="AJ68" s="875">
        <f t="shared" si="50"/>
        <v>0</v>
      </c>
      <c r="AL68" s="49">
        <f>-'[4]Table 5C1D-NOMMA'!P67</f>
        <v>0</v>
      </c>
      <c r="AM68" s="49">
        <f t="shared" si="51"/>
        <v>0</v>
      </c>
      <c r="AN68" s="49">
        <f t="shared" si="52"/>
        <v>0</v>
      </c>
    </row>
    <row r="69" spans="1:40">
      <c r="A69" s="876">
        <v>62</v>
      </c>
      <c r="B69" s="877" t="s">
        <v>152</v>
      </c>
      <c r="C69" s="972">
        <f>'2-1-13 SIS'!O68</f>
        <v>0</v>
      </c>
      <c r="D69" s="882">
        <f>'Table 3 Levels 1&amp;2'!AL69</f>
        <v>5652.1730736722093</v>
      </c>
      <c r="E69" s="921">
        <f t="shared" si="34"/>
        <v>0</v>
      </c>
      <c r="F69" s="921">
        <f>'Table 4 Level 3'!P67</f>
        <v>516.08000000000004</v>
      </c>
      <c r="G69" s="921">
        <f t="shared" si="35"/>
        <v>0</v>
      </c>
      <c r="H69" s="905">
        <f t="shared" si="36"/>
        <v>0</v>
      </c>
      <c r="I69" s="1746">
        <f>+'[3]Oct midyear NOMMA'!K68</f>
        <v>0</v>
      </c>
      <c r="J69" s="1746">
        <f>'[3]Feb midyear NOMMA'!K68</f>
        <v>0</v>
      </c>
      <c r="K69" s="1692">
        <f t="shared" si="37"/>
        <v>0</v>
      </c>
      <c r="L69" s="1435">
        <f t="shared" si="54"/>
        <v>0</v>
      </c>
      <c r="M69" s="931">
        <f t="shared" si="38"/>
        <v>0</v>
      </c>
      <c r="N69" s="905">
        <f t="shared" si="53"/>
        <v>0</v>
      </c>
      <c r="O69" s="882">
        <v>0</v>
      </c>
      <c r="P69" s="1552">
        <f t="shared" si="39"/>
        <v>0</v>
      </c>
      <c r="Q69" s="1718">
        <f>'[4]Table 5C1D-NOMMA'!M68+'[27]Table 5C1D-NOMMA'!T68+('[26]Table 5C1D-NOMMA'!T68*6)</f>
        <v>0</v>
      </c>
      <c r="R69" s="1815">
        <f t="shared" si="40"/>
        <v>0</v>
      </c>
      <c r="S69" s="1550">
        <f t="shared" si="41"/>
        <v>0</v>
      </c>
      <c r="T69" s="1802">
        <f>'Table 5C1A-Madison Prep'!T69</f>
        <v>1998</v>
      </c>
      <c r="U69" s="1555">
        <f t="shared" si="55"/>
        <v>0</v>
      </c>
      <c r="V69" s="1785">
        <f>+'[3]Oct midyear NOMMA'!E68</f>
        <v>0</v>
      </c>
      <c r="W69" s="1786">
        <f t="shared" si="42"/>
        <v>0</v>
      </c>
      <c r="X69" s="1758">
        <f>'[3]Feb midyear NOMMA'!E68</f>
        <v>0</v>
      </c>
      <c r="Y69" s="1759">
        <f t="shared" si="43"/>
        <v>0</v>
      </c>
      <c r="Z69" s="1653">
        <f t="shared" si="57"/>
        <v>0</v>
      </c>
      <c r="AA69" s="1441">
        <f t="shared" si="44"/>
        <v>0</v>
      </c>
      <c r="AB69" s="937">
        <f t="shared" si="45"/>
        <v>0</v>
      </c>
      <c r="AC69" s="899">
        <f t="shared" si="46"/>
        <v>0</v>
      </c>
      <c r="AD69" s="1830">
        <v>0</v>
      </c>
      <c r="AE69" s="899">
        <f t="shared" si="47"/>
        <v>0</v>
      </c>
      <c r="AF69" s="1755">
        <f>'[4]Table 5C1D-NOMMA'!T68+'[27]Table 5C1D-NOMMA'!AF68+('[26]Table 5C1D-NOMMA'!AF68*6)</f>
        <v>0</v>
      </c>
      <c r="AG69" s="1841">
        <f t="shared" si="48"/>
        <v>0</v>
      </c>
      <c r="AH69" s="999">
        <f t="shared" si="49"/>
        <v>0</v>
      </c>
      <c r="AI69" s="900">
        <f t="shared" si="56"/>
        <v>0</v>
      </c>
      <c r="AJ69" s="900">
        <f t="shared" si="50"/>
        <v>0</v>
      </c>
      <c r="AL69" s="49">
        <f>-'[4]Table 5C1D-NOMMA'!P68</f>
        <v>0</v>
      </c>
      <c r="AM69" s="49">
        <f t="shared" si="51"/>
        <v>0</v>
      </c>
      <c r="AN69" s="49">
        <f t="shared" si="52"/>
        <v>0</v>
      </c>
    </row>
    <row r="70" spans="1:40">
      <c r="A70" s="876">
        <v>63</v>
      </c>
      <c r="B70" s="877" t="s">
        <v>153</v>
      </c>
      <c r="C70" s="972">
        <f>'2-1-13 SIS'!O69</f>
        <v>0</v>
      </c>
      <c r="D70" s="882">
        <f>'Table 3 Levels 1&amp;2'!AL70</f>
        <v>4362.300753810403</v>
      </c>
      <c r="E70" s="921">
        <f t="shared" si="34"/>
        <v>0</v>
      </c>
      <c r="F70" s="921">
        <f>'Table 4 Level 3'!P68</f>
        <v>756.79</v>
      </c>
      <c r="G70" s="921">
        <f t="shared" si="35"/>
        <v>0</v>
      </c>
      <c r="H70" s="905">
        <f t="shared" si="36"/>
        <v>0</v>
      </c>
      <c r="I70" s="1746">
        <f>+'[3]Oct midyear NOMMA'!K69</f>
        <v>0</v>
      </c>
      <c r="J70" s="1746">
        <f>'[3]Feb midyear NOMMA'!K69</f>
        <v>0</v>
      </c>
      <c r="K70" s="1692">
        <f t="shared" si="37"/>
        <v>0</v>
      </c>
      <c r="L70" s="1435">
        <f t="shared" si="54"/>
        <v>0</v>
      </c>
      <c r="M70" s="931">
        <f t="shared" si="38"/>
        <v>0</v>
      </c>
      <c r="N70" s="905">
        <f t="shared" si="53"/>
        <v>0</v>
      </c>
      <c r="O70" s="882">
        <v>0</v>
      </c>
      <c r="P70" s="1552">
        <f t="shared" si="39"/>
        <v>0</v>
      </c>
      <c r="Q70" s="1718">
        <f>'[4]Table 5C1D-NOMMA'!M69+'[27]Table 5C1D-NOMMA'!T69+('[26]Table 5C1D-NOMMA'!T69*6)</f>
        <v>0</v>
      </c>
      <c r="R70" s="1815">
        <f t="shared" si="40"/>
        <v>0</v>
      </c>
      <c r="S70" s="1550">
        <f t="shared" si="41"/>
        <v>0</v>
      </c>
      <c r="T70" s="1802">
        <f>'Table 5C1A-Madison Prep'!T70</f>
        <v>7391</v>
      </c>
      <c r="U70" s="1555">
        <f t="shared" si="55"/>
        <v>0</v>
      </c>
      <c r="V70" s="1785">
        <f>+'[3]Oct midyear NOMMA'!E69</f>
        <v>0</v>
      </c>
      <c r="W70" s="1786">
        <f t="shared" si="42"/>
        <v>0</v>
      </c>
      <c r="X70" s="1758">
        <f>'[3]Feb midyear NOMMA'!E69</f>
        <v>0</v>
      </c>
      <c r="Y70" s="1759">
        <f t="shared" si="43"/>
        <v>0</v>
      </c>
      <c r="Z70" s="1653">
        <f t="shared" si="57"/>
        <v>0</v>
      </c>
      <c r="AA70" s="1441">
        <f t="shared" si="44"/>
        <v>0</v>
      </c>
      <c r="AB70" s="937">
        <f t="shared" si="45"/>
        <v>0</v>
      </c>
      <c r="AC70" s="899">
        <f t="shared" si="46"/>
        <v>0</v>
      </c>
      <c r="AD70" s="1830">
        <v>0</v>
      </c>
      <c r="AE70" s="899">
        <f t="shared" si="47"/>
        <v>0</v>
      </c>
      <c r="AF70" s="1755">
        <f>'[4]Table 5C1D-NOMMA'!T69+'[27]Table 5C1D-NOMMA'!AF69+('[26]Table 5C1D-NOMMA'!AF69*6)</f>
        <v>0</v>
      </c>
      <c r="AG70" s="1841">
        <f t="shared" si="48"/>
        <v>0</v>
      </c>
      <c r="AH70" s="999">
        <f t="shared" si="49"/>
        <v>0</v>
      </c>
      <c r="AI70" s="900">
        <f t="shared" si="56"/>
        <v>0</v>
      </c>
      <c r="AJ70" s="900">
        <f t="shared" si="50"/>
        <v>0</v>
      </c>
      <c r="AL70" s="49">
        <f>-'[4]Table 5C1D-NOMMA'!P69</f>
        <v>0</v>
      </c>
      <c r="AM70" s="49">
        <f t="shared" si="51"/>
        <v>0</v>
      </c>
      <c r="AN70" s="49">
        <f t="shared" si="52"/>
        <v>0</v>
      </c>
    </row>
    <row r="71" spans="1:40">
      <c r="A71" s="876">
        <v>64</v>
      </c>
      <c r="B71" s="877" t="s">
        <v>154</v>
      </c>
      <c r="C71" s="972">
        <f>'2-1-13 SIS'!O70</f>
        <v>0</v>
      </c>
      <c r="D71" s="882">
        <f>'Table 3 Levels 1&amp;2'!AL71</f>
        <v>5960.2049072003338</v>
      </c>
      <c r="E71" s="921">
        <f t="shared" si="34"/>
        <v>0</v>
      </c>
      <c r="F71" s="921">
        <f>'Table 4 Level 3'!P69</f>
        <v>592.66</v>
      </c>
      <c r="G71" s="921">
        <f t="shared" si="35"/>
        <v>0</v>
      </c>
      <c r="H71" s="905">
        <f t="shared" si="36"/>
        <v>0</v>
      </c>
      <c r="I71" s="1746">
        <f>+'[3]Oct midyear NOMMA'!K70</f>
        <v>0</v>
      </c>
      <c r="J71" s="1746">
        <f>'[3]Feb midyear NOMMA'!K70</f>
        <v>0</v>
      </c>
      <c r="K71" s="1692">
        <f t="shared" si="37"/>
        <v>0</v>
      </c>
      <c r="L71" s="1435">
        <f t="shared" si="54"/>
        <v>0</v>
      </c>
      <c r="M71" s="931">
        <f t="shared" si="38"/>
        <v>0</v>
      </c>
      <c r="N71" s="905">
        <f t="shared" si="53"/>
        <v>0</v>
      </c>
      <c r="O71" s="882">
        <v>0</v>
      </c>
      <c r="P71" s="1552">
        <f t="shared" si="39"/>
        <v>0</v>
      </c>
      <c r="Q71" s="1718">
        <f>'[4]Table 5C1D-NOMMA'!M70+'[27]Table 5C1D-NOMMA'!T70+('[26]Table 5C1D-NOMMA'!T70*6)</f>
        <v>0</v>
      </c>
      <c r="R71" s="1815">
        <f t="shared" si="40"/>
        <v>0</v>
      </c>
      <c r="S71" s="1550">
        <f t="shared" si="41"/>
        <v>0</v>
      </c>
      <c r="T71" s="1802">
        <f>'Table 5C1A-Madison Prep'!T71</f>
        <v>2902</v>
      </c>
      <c r="U71" s="1555">
        <f t="shared" si="55"/>
        <v>0</v>
      </c>
      <c r="V71" s="1785">
        <f>+'[3]Oct midyear NOMMA'!E70</f>
        <v>0</v>
      </c>
      <c r="W71" s="1786">
        <f t="shared" si="42"/>
        <v>0</v>
      </c>
      <c r="X71" s="1758">
        <f>'[3]Feb midyear NOMMA'!E70</f>
        <v>0</v>
      </c>
      <c r="Y71" s="1759">
        <f t="shared" si="43"/>
        <v>0</v>
      </c>
      <c r="Z71" s="1653">
        <f t="shared" si="57"/>
        <v>0</v>
      </c>
      <c r="AA71" s="1441">
        <f t="shared" si="44"/>
        <v>0</v>
      </c>
      <c r="AB71" s="937">
        <f t="shared" si="45"/>
        <v>0</v>
      </c>
      <c r="AC71" s="899">
        <f t="shared" si="46"/>
        <v>0</v>
      </c>
      <c r="AD71" s="1830">
        <v>0</v>
      </c>
      <c r="AE71" s="899">
        <f t="shared" si="47"/>
        <v>0</v>
      </c>
      <c r="AF71" s="1755">
        <f>'[4]Table 5C1D-NOMMA'!T70+'[27]Table 5C1D-NOMMA'!AF70+('[26]Table 5C1D-NOMMA'!AF70*6)</f>
        <v>0</v>
      </c>
      <c r="AG71" s="1841">
        <f t="shared" si="48"/>
        <v>0</v>
      </c>
      <c r="AH71" s="999">
        <f t="shared" si="49"/>
        <v>0</v>
      </c>
      <c r="AI71" s="900">
        <f t="shared" si="56"/>
        <v>0</v>
      </c>
      <c r="AJ71" s="900">
        <f t="shared" si="50"/>
        <v>0</v>
      </c>
      <c r="AL71" s="49">
        <f>-'[4]Table 5C1D-NOMMA'!P70</f>
        <v>0</v>
      </c>
      <c r="AM71" s="49">
        <f t="shared" si="51"/>
        <v>0</v>
      </c>
      <c r="AN71" s="49">
        <f t="shared" si="52"/>
        <v>0</v>
      </c>
    </row>
    <row r="72" spans="1:40">
      <c r="A72" s="879">
        <v>65</v>
      </c>
      <c r="B72" s="880" t="s">
        <v>155</v>
      </c>
      <c r="C72" s="973">
        <f>'2-1-13 SIS'!O71</f>
        <v>0</v>
      </c>
      <c r="D72" s="883">
        <f>'Table 3 Levels 1&amp;2'!AL72</f>
        <v>4579.2772303106676</v>
      </c>
      <c r="E72" s="922">
        <f t="shared" si="34"/>
        <v>0</v>
      </c>
      <c r="F72" s="922">
        <f>'Table 4 Level 3'!P70</f>
        <v>829.12</v>
      </c>
      <c r="G72" s="922">
        <f t="shared" si="35"/>
        <v>0</v>
      </c>
      <c r="H72" s="906">
        <f t="shared" si="36"/>
        <v>0</v>
      </c>
      <c r="I72" s="1747">
        <f>+'[3]Oct midyear NOMMA'!K71</f>
        <v>0</v>
      </c>
      <c r="J72" s="1747">
        <f>'[3]Feb midyear NOMMA'!K71</f>
        <v>0</v>
      </c>
      <c r="K72" s="1693">
        <f t="shared" si="37"/>
        <v>0</v>
      </c>
      <c r="L72" s="1436">
        <f t="shared" ref="L72:L76" si="58">H72+K72</f>
        <v>0</v>
      </c>
      <c r="M72" s="932">
        <f t="shared" si="38"/>
        <v>0</v>
      </c>
      <c r="N72" s="906">
        <f t="shared" si="53"/>
        <v>0</v>
      </c>
      <c r="O72" s="883">
        <v>0</v>
      </c>
      <c r="P72" s="1553">
        <f t="shared" si="39"/>
        <v>0</v>
      </c>
      <c r="Q72" s="1804">
        <f>'[4]Table 5C1D-NOMMA'!M71+'[27]Table 5C1D-NOMMA'!T71+('[26]Table 5C1D-NOMMA'!T71*6)</f>
        <v>0</v>
      </c>
      <c r="R72" s="1816">
        <f t="shared" si="40"/>
        <v>0</v>
      </c>
      <c r="S72" s="1806">
        <f t="shared" si="41"/>
        <v>0</v>
      </c>
      <c r="T72" s="1807">
        <f>'Table 5C1A-Madison Prep'!T72</f>
        <v>4823</v>
      </c>
      <c r="U72" s="1556">
        <f t="shared" ref="U72:U76" si="59">C72*T72</f>
        <v>0</v>
      </c>
      <c r="V72" s="1787">
        <f>+'[3]Oct midyear NOMMA'!E71</f>
        <v>0</v>
      </c>
      <c r="W72" s="1788">
        <f t="shared" si="42"/>
        <v>0</v>
      </c>
      <c r="X72" s="1762">
        <f>'[3]Feb midyear NOMMA'!E71</f>
        <v>0</v>
      </c>
      <c r="Y72" s="1763">
        <f t="shared" si="43"/>
        <v>0</v>
      </c>
      <c r="Z72" s="1654">
        <f t="shared" si="57"/>
        <v>0</v>
      </c>
      <c r="AA72" s="1443">
        <f t="shared" si="44"/>
        <v>0</v>
      </c>
      <c r="AB72" s="938">
        <f t="shared" si="45"/>
        <v>0</v>
      </c>
      <c r="AC72" s="903">
        <f t="shared" si="46"/>
        <v>0</v>
      </c>
      <c r="AD72" s="1831">
        <v>0</v>
      </c>
      <c r="AE72" s="903">
        <f t="shared" si="47"/>
        <v>0</v>
      </c>
      <c r="AF72" s="1833">
        <f>'[4]Table 5C1D-NOMMA'!T71+'[27]Table 5C1D-NOMMA'!AF71+('[26]Table 5C1D-NOMMA'!AF71*6)</f>
        <v>0</v>
      </c>
      <c r="AG72" s="1842">
        <f t="shared" si="48"/>
        <v>0</v>
      </c>
      <c r="AH72" s="1659">
        <f t="shared" si="49"/>
        <v>0</v>
      </c>
      <c r="AI72" s="904">
        <f t="shared" si="56"/>
        <v>0</v>
      </c>
      <c r="AJ72" s="904">
        <f t="shared" si="50"/>
        <v>0</v>
      </c>
      <c r="AL72" s="49">
        <f>-'[4]Table 5C1D-NOMMA'!P71</f>
        <v>0</v>
      </c>
      <c r="AM72" s="49">
        <f t="shared" si="51"/>
        <v>0</v>
      </c>
      <c r="AN72" s="49">
        <f t="shared" si="52"/>
        <v>0</v>
      </c>
    </row>
    <row r="73" spans="1:40">
      <c r="A73" s="870">
        <v>66</v>
      </c>
      <c r="B73" s="871" t="s">
        <v>156</v>
      </c>
      <c r="C73" s="974">
        <f>'2-1-13 SIS'!O72</f>
        <v>0</v>
      </c>
      <c r="D73" s="884">
        <f>'Table 3 Levels 1&amp;2'!AL73</f>
        <v>6370.8108195713585</v>
      </c>
      <c r="E73" s="923">
        <f t="shared" ref="E73:E76" si="60">C73*D73</f>
        <v>0</v>
      </c>
      <c r="F73" s="923">
        <f>'Table 4 Level 3'!P71</f>
        <v>730.06</v>
      </c>
      <c r="G73" s="923">
        <f t="shared" ref="G73:G76" si="61">C73*F73</f>
        <v>0</v>
      </c>
      <c r="H73" s="907">
        <f t="shared" ref="H73:H76" si="62">E73+G73</f>
        <v>0</v>
      </c>
      <c r="I73" s="1723">
        <f>+'[3]Oct midyear NOMMA'!K72</f>
        <v>0</v>
      </c>
      <c r="J73" s="1723">
        <f>'[3]Feb midyear NOMMA'!K72</f>
        <v>0</v>
      </c>
      <c r="K73" s="1547">
        <f t="shared" ref="K73:K76" si="63">SUM(I73:J73)</f>
        <v>0</v>
      </c>
      <c r="L73" s="1437">
        <f t="shared" si="58"/>
        <v>0</v>
      </c>
      <c r="M73" s="933">
        <f t="shared" ref="M73:M76" si="64">-(0.25%*L73)</f>
        <v>0</v>
      </c>
      <c r="N73" s="907">
        <f t="shared" ref="N73:N76" si="65">SUM(L73:M73)</f>
        <v>0</v>
      </c>
      <c r="O73" s="884">
        <v>0</v>
      </c>
      <c r="P73" s="996">
        <f t="shared" ref="P73:P76" si="66">SUM(N73:O73)</f>
        <v>0</v>
      </c>
      <c r="Q73" s="1718">
        <f>'[4]Table 5C1D-NOMMA'!M72+'[27]Table 5C1D-NOMMA'!T72+('[26]Table 5C1D-NOMMA'!T72*6)</f>
        <v>0</v>
      </c>
      <c r="R73" s="1723">
        <f t="shared" ref="R73:R76" si="67">P73-Q73</f>
        <v>0</v>
      </c>
      <c r="S73" s="998">
        <f t="shared" ref="S73:S76" si="68">ROUND(R73/4,0)</f>
        <v>0</v>
      </c>
      <c r="T73" s="1802">
        <f>'Table 5C1A-Madison Prep'!T73</f>
        <v>3524</v>
      </c>
      <c r="U73" s="999">
        <f t="shared" si="59"/>
        <v>0</v>
      </c>
      <c r="V73" s="1754">
        <f>+'[3]Oct midyear NOMMA'!E72</f>
        <v>0</v>
      </c>
      <c r="W73" s="1755">
        <f t="shared" ref="W73:W76" si="69">V73*T73</f>
        <v>0</v>
      </c>
      <c r="X73" s="1754">
        <f>'[3]Feb midyear NOMMA'!E72</f>
        <v>0</v>
      </c>
      <c r="Y73" s="1755">
        <f t="shared" ref="Y73:Y76" si="70">(T73*X73)*0.5</f>
        <v>0</v>
      </c>
      <c r="Z73" s="1652">
        <f t="shared" si="57"/>
        <v>0</v>
      </c>
      <c r="AA73" s="1446">
        <f t="shared" ref="AA73:AA76" si="71">Z73+U73</f>
        <v>0</v>
      </c>
      <c r="AB73" s="936">
        <f t="shared" ref="AB73:AB76" si="72">-(0.25%*AA73)</f>
        <v>0</v>
      </c>
      <c r="AC73" s="874">
        <f t="shared" ref="AC73:AC76" si="73">SUM(AA73:AB73)</f>
        <v>0</v>
      </c>
      <c r="AD73" s="1829">
        <v>0</v>
      </c>
      <c r="AE73" s="874">
        <f t="shared" ref="AE73:AE76" si="74">SUM(AC73:AD73)</f>
        <v>0</v>
      </c>
      <c r="AF73" s="1755">
        <f>'[4]Table 5C1D-NOMMA'!T72+'[27]Table 5C1D-NOMMA'!AF72+('[26]Table 5C1D-NOMMA'!AF72*6)</f>
        <v>0</v>
      </c>
      <c r="AG73" s="1755">
        <f t="shared" ref="AG73:AG76" si="75">AE73-AF73</f>
        <v>0</v>
      </c>
      <c r="AH73" s="999">
        <f t="shared" ref="AH73:AH76" si="76">ROUND(AG73/4,0)</f>
        <v>0</v>
      </c>
      <c r="AI73" s="875">
        <f t="shared" si="56"/>
        <v>0</v>
      </c>
      <c r="AJ73" s="875">
        <f t="shared" ref="AJ73:AJ76" si="77">S73+AH73</f>
        <v>0</v>
      </c>
      <c r="AL73" s="49">
        <f>-'[4]Table 5C1D-NOMMA'!P72</f>
        <v>0</v>
      </c>
      <c r="AM73" s="49">
        <f t="shared" ref="AM73:AM76" si="78">AB73</f>
        <v>0</v>
      </c>
      <c r="AN73" s="49">
        <f t="shared" ref="AN73:AN76" si="79">SUM(AL73:AM73)</f>
        <v>0</v>
      </c>
    </row>
    <row r="74" spans="1:40">
      <c r="A74" s="876">
        <v>67</v>
      </c>
      <c r="B74" s="877" t="s">
        <v>32</v>
      </c>
      <c r="C74" s="972">
        <f>'2-1-13 SIS'!O73</f>
        <v>0</v>
      </c>
      <c r="D74" s="882">
        <f>'Table 3 Levels 1&amp;2'!AL74</f>
        <v>4951.6009932106244</v>
      </c>
      <c r="E74" s="921">
        <f t="shared" si="60"/>
        <v>0</v>
      </c>
      <c r="F74" s="921">
        <f>'Table 4 Level 3'!P72</f>
        <v>715.61</v>
      </c>
      <c r="G74" s="921">
        <f t="shared" si="61"/>
        <v>0</v>
      </c>
      <c r="H74" s="905">
        <f t="shared" si="62"/>
        <v>0</v>
      </c>
      <c r="I74" s="1746">
        <f>+'[3]Oct midyear NOMMA'!K73</f>
        <v>0</v>
      </c>
      <c r="J74" s="1746">
        <f>'[3]Feb midyear NOMMA'!K73</f>
        <v>0</v>
      </c>
      <c r="K74" s="1692">
        <f t="shared" si="63"/>
        <v>0</v>
      </c>
      <c r="L74" s="1435">
        <f t="shared" si="58"/>
        <v>0</v>
      </c>
      <c r="M74" s="931">
        <f t="shared" si="64"/>
        <v>0</v>
      </c>
      <c r="N74" s="905">
        <f t="shared" si="65"/>
        <v>0</v>
      </c>
      <c r="O74" s="882">
        <v>0</v>
      </c>
      <c r="P74" s="1552">
        <f t="shared" si="66"/>
        <v>0</v>
      </c>
      <c r="Q74" s="1718">
        <f>'[4]Table 5C1D-NOMMA'!M73+'[27]Table 5C1D-NOMMA'!T73+('[26]Table 5C1D-NOMMA'!T73*6)</f>
        <v>0</v>
      </c>
      <c r="R74" s="1815">
        <f t="shared" si="67"/>
        <v>0</v>
      </c>
      <c r="S74" s="1550">
        <f t="shared" si="68"/>
        <v>0</v>
      </c>
      <c r="T74" s="1802">
        <f>'Table 5C1A-Madison Prep'!T74</f>
        <v>5007</v>
      </c>
      <c r="U74" s="1555">
        <f t="shared" si="59"/>
        <v>0</v>
      </c>
      <c r="V74" s="1785">
        <f>+'[3]Oct midyear NOMMA'!E73</f>
        <v>0</v>
      </c>
      <c r="W74" s="1786">
        <f t="shared" si="69"/>
        <v>0</v>
      </c>
      <c r="X74" s="1758">
        <f>'[3]Feb midyear NOMMA'!E73</f>
        <v>0</v>
      </c>
      <c r="Y74" s="1759">
        <f t="shared" si="70"/>
        <v>0</v>
      </c>
      <c r="Z74" s="1653">
        <f t="shared" si="57"/>
        <v>0</v>
      </c>
      <c r="AA74" s="1441">
        <f t="shared" si="71"/>
        <v>0</v>
      </c>
      <c r="AB74" s="937">
        <f t="shared" si="72"/>
        <v>0</v>
      </c>
      <c r="AC74" s="899">
        <f t="shared" si="73"/>
        <v>0</v>
      </c>
      <c r="AD74" s="1830">
        <v>0</v>
      </c>
      <c r="AE74" s="899">
        <f t="shared" si="74"/>
        <v>0</v>
      </c>
      <c r="AF74" s="1755">
        <f>'[4]Table 5C1D-NOMMA'!T73+'[27]Table 5C1D-NOMMA'!AF73+('[26]Table 5C1D-NOMMA'!AF73*6)</f>
        <v>0</v>
      </c>
      <c r="AG74" s="1841">
        <f t="shared" si="75"/>
        <v>0</v>
      </c>
      <c r="AH74" s="999">
        <f t="shared" si="76"/>
        <v>0</v>
      </c>
      <c r="AI74" s="900">
        <f t="shared" si="56"/>
        <v>0</v>
      </c>
      <c r="AJ74" s="900">
        <f t="shared" si="77"/>
        <v>0</v>
      </c>
      <c r="AL74" s="49">
        <f>-'[4]Table 5C1D-NOMMA'!P73</f>
        <v>0</v>
      </c>
      <c r="AM74" s="49">
        <f t="shared" si="78"/>
        <v>0</v>
      </c>
      <c r="AN74" s="49">
        <f t="shared" si="79"/>
        <v>0</v>
      </c>
    </row>
    <row r="75" spans="1:40">
      <c r="A75" s="876">
        <v>68</v>
      </c>
      <c r="B75" s="877" t="s">
        <v>30</v>
      </c>
      <c r="C75" s="972">
        <f>'2-1-13 SIS'!O74</f>
        <v>0</v>
      </c>
      <c r="D75" s="882">
        <f>'Table 3 Levels 1&amp;2'!AL75</f>
        <v>6077.2398733698947</v>
      </c>
      <c r="E75" s="921">
        <f t="shared" si="60"/>
        <v>0</v>
      </c>
      <c r="F75" s="921">
        <f>'Table 4 Level 3'!P73</f>
        <v>798.7</v>
      </c>
      <c r="G75" s="921">
        <f t="shared" si="61"/>
        <v>0</v>
      </c>
      <c r="H75" s="905">
        <f t="shared" si="62"/>
        <v>0</v>
      </c>
      <c r="I75" s="1746">
        <f>+'[3]Oct midyear NOMMA'!K74</f>
        <v>0</v>
      </c>
      <c r="J75" s="1746">
        <f>'[3]Feb midyear NOMMA'!K74</f>
        <v>0</v>
      </c>
      <c r="K75" s="1692">
        <f t="shared" si="63"/>
        <v>0</v>
      </c>
      <c r="L75" s="1435">
        <f t="shared" si="58"/>
        <v>0</v>
      </c>
      <c r="M75" s="931">
        <f t="shared" si="64"/>
        <v>0</v>
      </c>
      <c r="N75" s="905">
        <f t="shared" si="65"/>
        <v>0</v>
      </c>
      <c r="O75" s="882">
        <v>0</v>
      </c>
      <c r="P75" s="1552">
        <f t="shared" si="66"/>
        <v>0</v>
      </c>
      <c r="Q75" s="1718">
        <f>'[4]Table 5C1D-NOMMA'!M74+'[27]Table 5C1D-NOMMA'!T74+('[26]Table 5C1D-NOMMA'!T74*6)</f>
        <v>0</v>
      </c>
      <c r="R75" s="1815">
        <f t="shared" si="67"/>
        <v>0</v>
      </c>
      <c r="S75" s="1550">
        <f t="shared" si="68"/>
        <v>0</v>
      </c>
      <c r="T75" s="1802">
        <f>'Table 5C1A-Madison Prep'!T75</f>
        <v>2927</v>
      </c>
      <c r="U75" s="1555">
        <f t="shared" si="59"/>
        <v>0</v>
      </c>
      <c r="V75" s="1785">
        <f>+'[3]Oct midyear NOMMA'!E74</f>
        <v>0</v>
      </c>
      <c r="W75" s="1786">
        <f t="shared" si="69"/>
        <v>0</v>
      </c>
      <c r="X75" s="1758">
        <f>'[3]Feb midyear NOMMA'!E74</f>
        <v>0</v>
      </c>
      <c r="Y75" s="1759">
        <f t="shared" si="70"/>
        <v>0</v>
      </c>
      <c r="Z75" s="1653">
        <f t="shared" si="57"/>
        <v>0</v>
      </c>
      <c r="AA75" s="1441">
        <f t="shared" si="71"/>
        <v>0</v>
      </c>
      <c r="AB75" s="937">
        <f t="shared" si="72"/>
        <v>0</v>
      </c>
      <c r="AC75" s="899">
        <f t="shared" si="73"/>
        <v>0</v>
      </c>
      <c r="AD75" s="1830">
        <v>0</v>
      </c>
      <c r="AE75" s="899">
        <f t="shared" si="74"/>
        <v>0</v>
      </c>
      <c r="AF75" s="1755">
        <f>'[4]Table 5C1D-NOMMA'!T74+'[27]Table 5C1D-NOMMA'!AF74+('[26]Table 5C1D-NOMMA'!AF74*6)</f>
        <v>0</v>
      </c>
      <c r="AG75" s="1841">
        <f t="shared" si="75"/>
        <v>0</v>
      </c>
      <c r="AH75" s="999">
        <f t="shared" si="76"/>
        <v>0</v>
      </c>
      <c r="AI75" s="900">
        <f t="shared" si="56"/>
        <v>0</v>
      </c>
      <c r="AJ75" s="900">
        <f t="shared" si="77"/>
        <v>0</v>
      </c>
      <c r="AL75" s="49">
        <f>-'[4]Table 5C1D-NOMMA'!P74</f>
        <v>0</v>
      </c>
      <c r="AM75" s="49">
        <f t="shared" si="78"/>
        <v>0</v>
      </c>
      <c r="AN75" s="49">
        <f t="shared" si="79"/>
        <v>0</v>
      </c>
    </row>
    <row r="76" spans="1:40">
      <c r="A76" s="885">
        <v>69</v>
      </c>
      <c r="B76" s="886" t="s">
        <v>205</v>
      </c>
      <c r="C76" s="975">
        <f>'2-1-13 SIS'!O75</f>
        <v>0</v>
      </c>
      <c r="D76" s="887">
        <f>'Table 3 Levels 1&amp;2'!AL76</f>
        <v>5585.8253106686579</v>
      </c>
      <c r="E76" s="924">
        <f t="shared" si="60"/>
        <v>0</v>
      </c>
      <c r="F76" s="924">
        <f>'Table 4 Level 3'!P74</f>
        <v>705.67</v>
      </c>
      <c r="G76" s="924">
        <f t="shared" si="61"/>
        <v>0</v>
      </c>
      <c r="H76" s="908">
        <f t="shared" si="62"/>
        <v>0</v>
      </c>
      <c r="I76" s="1742">
        <f>+'[3]Oct midyear NOMMA'!K75</f>
        <v>0</v>
      </c>
      <c r="J76" s="1742">
        <f>'[3]Feb midyear NOMMA'!K75</f>
        <v>0</v>
      </c>
      <c r="K76" s="1688">
        <f t="shared" si="63"/>
        <v>0</v>
      </c>
      <c r="L76" s="1438">
        <f t="shared" si="58"/>
        <v>0</v>
      </c>
      <c r="M76" s="934">
        <f t="shared" si="64"/>
        <v>0</v>
      </c>
      <c r="N76" s="908">
        <f t="shared" si="65"/>
        <v>0</v>
      </c>
      <c r="O76" s="887">
        <v>0</v>
      </c>
      <c r="P76" s="1554">
        <f t="shared" si="66"/>
        <v>0</v>
      </c>
      <c r="Q76" s="1718">
        <f>'[4]Table 5C1D-NOMMA'!M75+'[27]Table 5C1D-NOMMA'!T75+('[26]Table 5C1D-NOMMA'!T75*6)</f>
        <v>0</v>
      </c>
      <c r="R76" s="1817">
        <f t="shared" si="67"/>
        <v>0</v>
      </c>
      <c r="S76" s="1550">
        <f t="shared" si="68"/>
        <v>0</v>
      </c>
      <c r="T76" s="1802">
        <f>'Table 5C1A-Madison Prep'!T76</f>
        <v>3404</v>
      </c>
      <c r="U76" s="1557">
        <f t="shared" si="59"/>
        <v>0</v>
      </c>
      <c r="V76" s="1789">
        <f>+'[3]Oct midyear NOMMA'!E75</f>
        <v>0</v>
      </c>
      <c r="W76" s="1790">
        <f t="shared" si="69"/>
        <v>0</v>
      </c>
      <c r="X76" s="1766">
        <f>'[3]Feb midyear NOMMA'!E75</f>
        <v>0</v>
      </c>
      <c r="Y76" s="1767">
        <f t="shared" si="70"/>
        <v>0</v>
      </c>
      <c r="Z76" s="1655">
        <f t="shared" si="57"/>
        <v>0</v>
      </c>
      <c r="AA76" s="1442">
        <f t="shared" si="71"/>
        <v>0</v>
      </c>
      <c r="AB76" s="939">
        <f t="shared" si="72"/>
        <v>0</v>
      </c>
      <c r="AC76" s="909">
        <f t="shared" si="73"/>
        <v>0</v>
      </c>
      <c r="AD76" s="1832">
        <v>0</v>
      </c>
      <c r="AE76" s="909">
        <f t="shared" si="74"/>
        <v>0</v>
      </c>
      <c r="AF76" s="1755">
        <f>'[4]Table 5C1D-NOMMA'!T75+'[27]Table 5C1D-NOMMA'!AF75+('[26]Table 5C1D-NOMMA'!AF75*6)</f>
        <v>0</v>
      </c>
      <c r="AG76" s="1782">
        <f t="shared" si="75"/>
        <v>0</v>
      </c>
      <c r="AH76" s="999">
        <f t="shared" si="76"/>
        <v>0</v>
      </c>
      <c r="AI76" s="910">
        <f t="shared" si="56"/>
        <v>0</v>
      </c>
      <c r="AJ76" s="910">
        <f t="shared" si="77"/>
        <v>0</v>
      </c>
      <c r="AL76" s="49">
        <f>-'[4]Table 5C1D-NOMMA'!P75</f>
        <v>0</v>
      </c>
      <c r="AM76" s="49">
        <f t="shared" si="78"/>
        <v>0</v>
      </c>
      <c r="AN76" s="49">
        <f t="shared" si="79"/>
        <v>0</v>
      </c>
    </row>
    <row r="77" spans="1:40" ht="13.5" thickBot="1">
      <c r="A77" s="888"/>
      <c r="B77" s="889" t="s">
        <v>157</v>
      </c>
      <c r="C77" s="890">
        <f>SUM(C8:C76)</f>
        <v>224</v>
      </c>
      <c r="D77" s="891"/>
      <c r="E77" s="925">
        <f>SUM(E8:E76)</f>
        <v>755349.14952526544</v>
      </c>
      <c r="F77" s="925">
        <f>'Table 4 Level 3'!P75</f>
        <v>704.49059912051428</v>
      </c>
      <c r="G77" s="925">
        <f t="shared" ref="G77:P77" si="80">SUM(G8:G76)</f>
        <v>177604.47041095892</v>
      </c>
      <c r="H77" s="892">
        <f t="shared" si="80"/>
        <v>932953.61993622442</v>
      </c>
      <c r="I77" s="1748">
        <f t="shared" ref="I77:K77" si="81">SUM(I8:I76)</f>
        <v>563009.13395038503</v>
      </c>
      <c r="J77" s="1748">
        <f t="shared" si="81"/>
        <v>-3222.0575891702983</v>
      </c>
      <c r="K77" s="1694">
        <f t="shared" si="81"/>
        <v>559787.07636121474</v>
      </c>
      <c r="L77" s="1432">
        <f>SUM(L8:L76)</f>
        <v>1492740.6962974393</v>
      </c>
      <c r="M77" s="935">
        <f t="shared" si="80"/>
        <v>-3731.8517407435979</v>
      </c>
      <c r="N77" s="892">
        <f t="shared" si="80"/>
        <v>1489008.8445566955</v>
      </c>
      <c r="O77" s="1725">
        <f t="shared" si="80"/>
        <v>3987.1779009796828</v>
      </c>
      <c r="P77" s="997">
        <f t="shared" si="80"/>
        <v>1492996.0224576753</v>
      </c>
      <c r="Q77" s="1818">
        <f>SUM(Q8:Q76)</f>
        <v>983059.88818713592</v>
      </c>
      <c r="R77" s="1818">
        <f>SUM(R8:R76)</f>
        <v>509936.13427053922</v>
      </c>
      <c r="S77" s="997">
        <f>SUM(S8:S76)</f>
        <v>127483</v>
      </c>
      <c r="T77" s="1812">
        <f>'Table 5C1A-Madison Prep'!T77</f>
        <v>4626</v>
      </c>
      <c r="U77" s="1000">
        <f t="shared" ref="U77:AJ77" si="82">SUM(U8:U76)</f>
        <v>1261686</v>
      </c>
      <c r="V77" s="1791">
        <f>SUM(V8:V76)</f>
        <v>136</v>
      </c>
      <c r="W77" s="1792">
        <f>SUM(W8:W76)</f>
        <v>761052</v>
      </c>
      <c r="X77" s="1770">
        <f t="shared" ref="X77:Z77" si="83">SUM(X8:X76)</f>
        <v>-3</v>
      </c>
      <c r="Y77" s="1771">
        <f>SUM(Y8:Y76)</f>
        <v>-25825</v>
      </c>
      <c r="Z77" s="1665">
        <f t="shared" si="83"/>
        <v>735227</v>
      </c>
      <c r="AA77" s="1801">
        <f>SUM(AA8:AA76)</f>
        <v>1996913</v>
      </c>
      <c r="AB77" s="940">
        <f t="shared" si="82"/>
        <v>-4992.2824999999993</v>
      </c>
      <c r="AC77" s="1000">
        <f t="shared" si="82"/>
        <v>1991920.7175</v>
      </c>
      <c r="AD77" s="1828">
        <f t="shared" si="82"/>
        <v>4648</v>
      </c>
      <c r="AE77" s="1000">
        <f t="shared" si="82"/>
        <v>1996568.7175</v>
      </c>
      <c r="AF77" s="1843">
        <f>SUM(AF8:AF76)</f>
        <v>1305654.364530303</v>
      </c>
      <c r="AG77" s="1843">
        <f>SUM(AG8:AG76)</f>
        <v>690914.35296969698</v>
      </c>
      <c r="AH77" s="1000">
        <f>SUM(AH8:AH76)</f>
        <v>172728</v>
      </c>
      <c r="AI77" s="894">
        <f t="shared" si="82"/>
        <v>3489564.7399576753</v>
      </c>
      <c r="AJ77" s="894">
        <f t="shared" si="82"/>
        <v>300211</v>
      </c>
      <c r="AL77" s="49">
        <f>SUM(AL8:AL76)</f>
        <v>3112.3</v>
      </c>
      <c r="AM77" s="49">
        <f>SUM(AM8:AM76)</f>
        <v>-4992.2824999999993</v>
      </c>
      <c r="AN77" s="49">
        <f t="shared" ref="AN77" si="84">SUM(AN8:AN76)</f>
        <v>-1879.9825000000001</v>
      </c>
    </row>
    <row r="78" spans="1:40" ht="12.75" customHeight="1" thickTop="1"/>
    <row r="79" spans="1:40" hidden="1"/>
    <row r="80" spans="1:40" hidden="1">
      <c r="M80" s="1464" t="s">
        <v>951</v>
      </c>
      <c r="N80" s="49">
        <f>-'[4]Table 5C1D-NOMMA'!$I$76</f>
        <v>2332.3840498405607</v>
      </c>
    </row>
    <row r="81" spans="13:14" hidden="1">
      <c r="M81" s="1464" t="s">
        <v>952</v>
      </c>
      <c r="N81" s="49">
        <f>M77</f>
        <v>-3731.8517407435979</v>
      </c>
    </row>
    <row r="82" spans="13:14" hidden="1">
      <c r="M82" s="1464" t="s">
        <v>953</v>
      </c>
      <c r="N82" s="49">
        <f>SUM(N80:N81)</f>
        <v>-1399.4676909030372</v>
      </c>
    </row>
  </sheetData>
  <mergeCells count="30">
    <mergeCell ref="A2:B5"/>
    <mergeCell ref="C2:S2"/>
    <mergeCell ref="T2:AH2"/>
    <mergeCell ref="AI2:AI5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I4:I5"/>
    <mergeCell ref="J4:J5"/>
    <mergeCell ref="K4:K5"/>
    <mergeCell ref="L4:L5"/>
    <mergeCell ref="I3:K3"/>
    <mergeCell ref="V3:Z3"/>
    <mergeCell ref="V4:V5"/>
    <mergeCell ref="W4:W5"/>
    <mergeCell ref="AA4:AA5"/>
    <mergeCell ref="P4:P5"/>
    <mergeCell ref="S4:S5"/>
    <mergeCell ref="T4:T5"/>
    <mergeCell ref="X4:X5"/>
    <mergeCell ref="Y4:Y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5C1-D: FY2013-14 MFP Budget Letter (March 2014) 
New Orleans Military/Maritime Academy</oddHeader>
    <oddFooter>&amp;R&amp;P</oddFooter>
  </headerFooter>
  <colBreaks count="3" manualBreakCount="3">
    <brk id="12" max="1048575" man="1"/>
    <brk id="19" max="1048575" man="1"/>
    <brk id="31" min="1" max="7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AP83"/>
  <sheetViews>
    <sheetView view="pageBreakPreview" zoomScale="80" zoomScaleNormal="100" zoomScaleSheetLayoutView="80" workbookViewId="0">
      <pane xSplit="2" ySplit="7" topLeftCell="C8" activePane="bottomRight" state="frozen"/>
      <selection activeCell="AL6" sqref="AL6"/>
      <selection pane="topRight" activeCell="AL6" sqref="AL6"/>
      <selection pane="bottomLeft" activeCell="AL6" sqref="AL6"/>
      <selection pane="bottomRight"/>
    </sheetView>
  </sheetViews>
  <sheetFormatPr defaultRowHeight="12.75"/>
  <cols>
    <col min="1" max="1" width="4.28515625" customWidth="1"/>
    <col min="2" max="2" width="17.85546875" bestFit="1" customWidth="1"/>
    <col min="3" max="3" width="13.7109375" customWidth="1"/>
    <col min="4" max="4" width="14" customWidth="1"/>
    <col min="5" max="5" width="10.7109375" customWidth="1"/>
    <col min="6" max="6" width="13" customWidth="1"/>
    <col min="7" max="7" width="13.42578125" customWidth="1"/>
    <col min="8" max="8" width="12.85546875" customWidth="1"/>
    <col min="9" max="9" width="12.5703125" style="1447" customWidth="1"/>
    <col min="10" max="10" width="13.42578125" style="1447" bestFit="1" customWidth="1"/>
    <col min="11" max="11" width="12.5703125" style="1447" customWidth="1"/>
    <col min="12" max="12" width="15.140625" style="1447" customWidth="1"/>
    <col min="13" max="13" width="12" customWidth="1"/>
    <col min="14" max="14" width="13.140625" customWidth="1"/>
    <col min="15" max="15" width="13.42578125" bestFit="1" customWidth="1"/>
    <col min="16" max="16" width="14.7109375" customWidth="1"/>
    <col min="17" max="18" width="14" style="1461" customWidth="1"/>
    <col min="19" max="19" width="10.7109375" customWidth="1"/>
    <col min="20" max="20" width="11.42578125" customWidth="1"/>
    <col min="21" max="21" width="14.28515625" customWidth="1"/>
    <col min="22" max="22" width="11.5703125" customWidth="1"/>
    <col min="23" max="23" width="10.7109375" customWidth="1"/>
    <col min="24" max="25" width="12" style="1461" customWidth="1"/>
    <col min="26" max="28" width="12" style="1464" customWidth="1"/>
    <col min="29" max="29" width="13" style="1461" customWidth="1"/>
    <col min="30" max="30" width="12.5703125" customWidth="1"/>
    <col min="31" max="31" width="13" customWidth="1"/>
    <col min="32" max="32" width="13.28515625" customWidth="1"/>
    <col min="33" max="33" width="13" customWidth="1"/>
    <col min="34" max="35" width="13.140625" style="1464" customWidth="1"/>
    <col min="36" max="36" width="12" customWidth="1"/>
    <col min="37" max="37" width="11" customWidth="1"/>
    <col min="38" max="38" width="12.140625" customWidth="1"/>
    <col min="39" max="39" width="2.5703125" customWidth="1"/>
    <col min="40" max="40" width="9.140625" hidden="1" customWidth="1"/>
    <col min="41" max="41" width="10.5703125" hidden="1" customWidth="1"/>
    <col min="42" max="42" width="9.140625" style="49" hidden="1" customWidth="1"/>
  </cols>
  <sheetData>
    <row r="1" spans="1:42">
      <c r="C1" s="1646"/>
      <c r="D1" s="1646"/>
      <c r="E1" s="1646"/>
      <c r="F1" s="1646"/>
      <c r="G1" s="1646"/>
      <c r="H1" s="1646"/>
      <c r="I1" s="1646"/>
      <c r="J1" s="1646"/>
      <c r="K1" s="1646"/>
      <c r="L1" s="1646"/>
      <c r="M1" s="1646"/>
      <c r="N1" s="1646"/>
      <c r="O1" s="1646"/>
      <c r="P1" s="1646"/>
      <c r="Q1" s="1646"/>
      <c r="R1" s="1646"/>
      <c r="S1" s="1646"/>
      <c r="T1" s="35"/>
      <c r="U1" s="35"/>
    </row>
    <row r="2" spans="1:42" ht="45" customHeight="1">
      <c r="A2" s="2324" t="s">
        <v>444</v>
      </c>
      <c r="B2" s="2325"/>
      <c r="C2" s="2379" t="s">
        <v>440</v>
      </c>
      <c r="D2" s="2380"/>
      <c r="E2" s="2380"/>
      <c r="F2" s="2380"/>
      <c r="G2" s="2380"/>
      <c r="H2" s="2380"/>
      <c r="I2" s="2380"/>
      <c r="J2" s="2380"/>
      <c r="K2" s="2380"/>
      <c r="L2" s="2380"/>
      <c r="M2" s="2380"/>
      <c r="N2" s="2380"/>
      <c r="O2" s="2380"/>
      <c r="P2" s="2380"/>
      <c r="Q2" s="2380"/>
      <c r="R2" s="2380"/>
      <c r="S2" s="2380"/>
      <c r="T2" s="2380"/>
      <c r="U2" s="2381"/>
      <c r="V2" s="2317" t="s">
        <v>529</v>
      </c>
      <c r="W2" s="2318"/>
      <c r="X2" s="2369"/>
      <c r="Y2" s="2369"/>
      <c r="Z2" s="2320"/>
      <c r="AA2" s="2320"/>
      <c r="AB2" s="2320"/>
      <c r="AC2" s="2369"/>
      <c r="AD2" s="2318"/>
      <c r="AE2" s="2318"/>
      <c r="AF2" s="2318"/>
      <c r="AG2" s="2318"/>
      <c r="AH2" s="2369"/>
      <c r="AI2" s="2369"/>
      <c r="AJ2" s="2321"/>
      <c r="AK2" s="2382" t="s">
        <v>542</v>
      </c>
      <c r="AL2" s="2382" t="s">
        <v>527</v>
      </c>
    </row>
    <row r="3" spans="1:42" s="1464" customFormat="1" ht="22.15" customHeight="1">
      <c r="A3" s="2326"/>
      <c r="B3" s="2327"/>
      <c r="C3" s="1598"/>
      <c r="D3" s="1603"/>
      <c r="E3" s="1603"/>
      <c r="F3" s="1599"/>
      <c r="G3" s="1599"/>
      <c r="H3" s="1599"/>
      <c r="I3" s="2373" t="s">
        <v>772</v>
      </c>
      <c r="J3" s="2374"/>
      <c r="K3" s="2375"/>
      <c r="L3" s="1600"/>
      <c r="M3" s="1600"/>
      <c r="N3" s="1600"/>
      <c r="O3" s="1600"/>
      <c r="P3" s="1600"/>
      <c r="Q3" s="1600"/>
      <c r="R3" s="1600"/>
      <c r="S3" s="1602"/>
      <c r="T3" s="1600"/>
      <c r="U3" s="1601"/>
      <c r="V3" s="1584"/>
      <c r="W3" s="1582"/>
      <c r="X3" s="2376" t="s">
        <v>772</v>
      </c>
      <c r="Y3" s="2377"/>
      <c r="Z3" s="2377"/>
      <c r="AA3" s="2377"/>
      <c r="AB3" s="2378"/>
      <c r="AC3" s="1582"/>
      <c r="AD3" s="1582"/>
      <c r="AE3" s="1582"/>
      <c r="AF3" s="1582"/>
      <c r="AG3" s="1582"/>
      <c r="AH3" s="1582"/>
      <c r="AI3" s="1582"/>
      <c r="AJ3" s="1581"/>
      <c r="AK3" s="2308"/>
      <c r="AL3" s="2308"/>
      <c r="AP3" s="49"/>
    </row>
    <row r="4" spans="1:42" ht="171" customHeight="1">
      <c r="A4" s="2328"/>
      <c r="B4" s="2327"/>
      <c r="C4" s="2311" t="s">
        <v>825</v>
      </c>
      <c r="D4" s="2331" t="s">
        <v>830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60" t="s">
        <v>784</v>
      </c>
      <c r="J4" s="2360" t="s">
        <v>785</v>
      </c>
      <c r="K4" s="2360" t="s">
        <v>793</v>
      </c>
      <c r="L4" s="2370" t="s">
        <v>829</v>
      </c>
      <c r="M4" s="984" t="s">
        <v>413</v>
      </c>
      <c r="N4" s="2311" t="s">
        <v>824</v>
      </c>
      <c r="O4" s="2311" t="s">
        <v>814</v>
      </c>
      <c r="P4" s="2311" t="s">
        <v>823</v>
      </c>
      <c r="Q4" s="1407" t="s">
        <v>781</v>
      </c>
      <c r="R4" s="1407" t="s">
        <v>795</v>
      </c>
      <c r="S4" s="2331" t="s">
        <v>822</v>
      </c>
      <c r="T4" s="2383" t="s">
        <v>832</v>
      </c>
      <c r="U4" s="2311" t="s">
        <v>831</v>
      </c>
      <c r="V4" s="2314" t="s">
        <v>833</v>
      </c>
      <c r="W4" s="1148" t="s">
        <v>539</v>
      </c>
      <c r="X4" s="2371" t="s">
        <v>819</v>
      </c>
      <c r="Y4" s="2371" t="s">
        <v>787</v>
      </c>
      <c r="Z4" s="1596" t="s">
        <v>820</v>
      </c>
      <c r="AA4" s="1596" t="s">
        <v>821</v>
      </c>
      <c r="AB4" s="1596" t="s">
        <v>791</v>
      </c>
      <c r="AC4" s="2372" t="s">
        <v>799</v>
      </c>
      <c r="AD4" s="986" t="s">
        <v>808</v>
      </c>
      <c r="AE4" s="2314" t="s">
        <v>805</v>
      </c>
      <c r="AF4" s="2314" t="s">
        <v>814</v>
      </c>
      <c r="AG4" s="2314" t="s">
        <v>806</v>
      </c>
      <c r="AH4" s="1423" t="s">
        <v>807</v>
      </c>
      <c r="AI4" s="1423" t="s">
        <v>795</v>
      </c>
      <c r="AJ4" s="1148" t="s">
        <v>540</v>
      </c>
      <c r="AK4" s="2308"/>
      <c r="AL4" s="2308"/>
    </row>
    <row r="5" spans="1:42" ht="22.5" customHeight="1">
      <c r="A5" s="2329"/>
      <c r="B5" s="2330"/>
      <c r="C5" s="231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463"/>
      <c r="R5" s="1463"/>
      <c r="S5" s="2331"/>
      <c r="T5" s="2180"/>
      <c r="U5" s="2312"/>
      <c r="V5" s="2287"/>
      <c r="W5" s="985"/>
      <c r="X5" s="2285"/>
      <c r="Y5" s="2285"/>
      <c r="Z5" s="1597"/>
      <c r="AA5" s="1597"/>
      <c r="AB5" s="1597"/>
      <c r="AC5" s="2287" t="s">
        <v>792</v>
      </c>
      <c r="AD5" s="927">
        <v>2.5000000000000001E-3</v>
      </c>
      <c r="AE5" s="2287"/>
      <c r="AF5" s="2287"/>
      <c r="AG5" s="2287"/>
      <c r="AH5" s="1479"/>
      <c r="AI5" s="1479"/>
      <c r="AJ5" s="985"/>
      <c r="AK5" s="2310"/>
      <c r="AL5" s="2310"/>
    </row>
    <row r="6" spans="1:42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I6" si="1">E6+1</f>
        <v>4</v>
      </c>
      <c r="G6" s="869">
        <f t="shared" si="1"/>
        <v>5</v>
      </c>
      <c r="H6" s="869">
        <f t="shared" si="1"/>
        <v>6</v>
      </c>
      <c r="I6" s="869">
        <f t="shared" si="1"/>
        <v>7</v>
      </c>
      <c r="J6" s="869">
        <f t="shared" ref="J6" si="2">I6+1</f>
        <v>8</v>
      </c>
      <c r="K6" s="869">
        <f t="shared" ref="K6" si="3">J6+1</f>
        <v>9</v>
      </c>
      <c r="L6" s="869">
        <f t="shared" ref="L6" si="4">K6+1</f>
        <v>10</v>
      </c>
      <c r="M6" s="869">
        <f t="shared" ref="M6" si="5">L6+1</f>
        <v>11</v>
      </c>
      <c r="N6" s="869">
        <f t="shared" ref="N6" si="6">M6+1</f>
        <v>12</v>
      </c>
      <c r="O6" s="869">
        <f t="shared" ref="O6" si="7">N6+1</f>
        <v>13</v>
      </c>
      <c r="P6" s="869">
        <f t="shared" ref="P6" si="8">O6+1</f>
        <v>14</v>
      </c>
      <c r="Q6" s="869">
        <f t="shared" ref="Q6" si="9">P6+1</f>
        <v>15</v>
      </c>
      <c r="R6" s="869">
        <f t="shared" ref="R6" si="10">Q6+1</f>
        <v>16</v>
      </c>
      <c r="S6" s="869">
        <f t="shared" ref="S6" si="11">R6+1</f>
        <v>17</v>
      </c>
      <c r="T6" s="869">
        <f t="shared" ref="T6" si="12">S6+1</f>
        <v>18</v>
      </c>
      <c r="U6" s="869">
        <f t="shared" ref="U6" si="13">T6+1</f>
        <v>19</v>
      </c>
      <c r="V6" s="869">
        <f t="shared" ref="V6" si="14">U6+1</f>
        <v>20</v>
      </c>
      <c r="W6" s="869">
        <f t="shared" ref="W6" si="15">V6+1</f>
        <v>21</v>
      </c>
      <c r="X6" s="869">
        <f t="shared" ref="X6" si="16">W6+1</f>
        <v>22</v>
      </c>
      <c r="Y6" s="869">
        <f t="shared" ref="Y6" si="17">X6+1</f>
        <v>23</v>
      </c>
      <c r="Z6" s="869">
        <f t="shared" ref="Z6" si="18">Y6+1</f>
        <v>24</v>
      </c>
      <c r="AA6" s="869">
        <f t="shared" ref="AA6" si="19">Z6+1</f>
        <v>25</v>
      </c>
      <c r="AB6" s="869">
        <f t="shared" ref="AB6" si="20">AA6+1</f>
        <v>26</v>
      </c>
      <c r="AC6" s="869">
        <f t="shared" ref="AC6" si="21">AB6+1</f>
        <v>27</v>
      </c>
      <c r="AD6" s="869">
        <f t="shared" ref="AD6" si="22">AC6+1</f>
        <v>28</v>
      </c>
      <c r="AE6" s="869">
        <f t="shared" ref="AE6" si="23">AD6+1</f>
        <v>29</v>
      </c>
      <c r="AF6" s="869">
        <f t="shared" ref="AF6" si="24">AE6+1</f>
        <v>30</v>
      </c>
      <c r="AG6" s="869">
        <f t="shared" ref="AG6" si="25">AF6+1</f>
        <v>31</v>
      </c>
      <c r="AH6" s="869">
        <f t="shared" ref="AH6" si="26">AG6+1</f>
        <v>32</v>
      </c>
      <c r="AI6" s="869">
        <f t="shared" ref="AI6" si="27">AH6+1</f>
        <v>33</v>
      </c>
      <c r="AJ6" s="869">
        <f t="shared" ref="AJ6" si="28">AI6+1</f>
        <v>34</v>
      </c>
      <c r="AK6" s="869">
        <f t="shared" ref="AK6" si="29">AJ6+1</f>
        <v>35</v>
      </c>
      <c r="AL6" s="869">
        <f t="shared" ref="AL6" si="30">AK6+1</f>
        <v>36</v>
      </c>
    </row>
    <row r="7" spans="1:42" ht="27" customHeight="1">
      <c r="A7" s="895"/>
      <c r="B7" s="896"/>
      <c r="C7" s="896"/>
      <c r="D7" s="896"/>
      <c r="E7" s="896"/>
      <c r="F7" s="896"/>
      <c r="G7" s="896"/>
      <c r="H7" s="896"/>
      <c r="I7" s="1450"/>
      <c r="J7" s="1450"/>
      <c r="K7" s="1450"/>
      <c r="L7" s="1450"/>
      <c r="M7" s="896"/>
      <c r="N7" s="896"/>
      <c r="O7" s="896"/>
      <c r="P7" s="896"/>
      <c r="Q7" s="1457"/>
      <c r="R7" s="1457"/>
      <c r="S7" s="896"/>
      <c r="T7" s="1146"/>
      <c r="U7" s="1146"/>
      <c r="V7" s="896"/>
      <c r="W7" s="896"/>
      <c r="X7" s="1457"/>
      <c r="Y7" s="1457"/>
      <c r="Z7" s="1535"/>
      <c r="AA7" s="1535"/>
      <c r="AB7" s="1535"/>
      <c r="AC7" s="1457"/>
      <c r="AD7" s="896"/>
      <c r="AE7" s="896"/>
      <c r="AF7" s="896"/>
      <c r="AG7" s="896"/>
      <c r="AH7" s="1469"/>
      <c r="AI7" s="1469"/>
      <c r="AJ7" s="896"/>
      <c r="AK7" s="896"/>
      <c r="AL7" s="896"/>
      <c r="AN7" s="2036" t="s">
        <v>945</v>
      </c>
      <c r="AO7" s="2035" t="s">
        <v>946</v>
      </c>
      <c r="AP7" s="2038" t="s">
        <v>947</v>
      </c>
    </row>
    <row r="8" spans="1:42">
      <c r="A8" s="870">
        <v>1</v>
      </c>
      <c r="B8" s="871" t="s">
        <v>92</v>
      </c>
      <c r="C8" s="971">
        <f>'2-1-13 SIS'!N7</f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LFNO'!K7</f>
        <v>0</v>
      </c>
      <c r="J8" s="1718">
        <f>'[3]Feb midyear LFNO '!K7</f>
        <v>0</v>
      </c>
      <c r="K8" s="1542">
        <f>+I8+J8</f>
        <v>0</v>
      </c>
      <c r="L8" s="1448">
        <f>H8+K8</f>
        <v>0</v>
      </c>
      <c r="M8" s="928">
        <f>-(0.25%*L8)</f>
        <v>0</v>
      </c>
      <c r="N8" s="873">
        <f>SUM(L8:M8)</f>
        <v>0</v>
      </c>
      <c r="O8" s="872">
        <v>0</v>
      </c>
      <c r="P8" s="873">
        <f>SUM(N8:O8)</f>
        <v>0</v>
      </c>
      <c r="Q8" s="872">
        <f>'[4]Table 5C1E-LFNO'!M7+'[27]Table 5C1E-LFNO'!T7+('[26]Table 5C1E-LFNO'!T7*6)</f>
        <v>0</v>
      </c>
      <c r="R8" s="872">
        <f>P8-Q8</f>
        <v>0</v>
      </c>
      <c r="S8" s="873">
        <f>ROUND(R8/4,0)</f>
        <v>0</v>
      </c>
      <c r="T8" s="872"/>
      <c r="U8" s="873">
        <f t="shared" ref="U8:U39" si="31">P8+T8</f>
        <v>0</v>
      </c>
      <c r="V8" s="897">
        <f>'Table 5C1A-Madison Prep'!T8</f>
        <v>2180</v>
      </c>
      <c r="W8" s="874">
        <f t="shared" ref="W8:W39" si="32">C8*V8</f>
        <v>0</v>
      </c>
      <c r="X8" s="1754">
        <f>+'[3]Oct midyear LFNO'!E7</f>
        <v>0</v>
      </c>
      <c r="Y8" s="1755">
        <f>X8*V8</f>
        <v>0</v>
      </c>
      <c r="Z8" s="1754">
        <f>'[3]Feb midyear LFNO '!E7</f>
        <v>0</v>
      </c>
      <c r="AA8" s="1755">
        <f>(V8*Z8)*0.5</f>
        <v>0</v>
      </c>
      <c r="AB8" s="1652">
        <f>+Y8+AA8</f>
        <v>0</v>
      </c>
      <c r="AC8" s="1462">
        <f>W8+AB8</f>
        <v>0</v>
      </c>
      <c r="AD8" s="936">
        <f>-(0.25%*AC8)</f>
        <v>0</v>
      </c>
      <c r="AE8" s="874">
        <f>SUM(AC8:AD8)</f>
        <v>0</v>
      </c>
      <c r="AF8" s="1829">
        <v>0</v>
      </c>
      <c r="AG8" s="874">
        <f>SUM(AE8:AF8)</f>
        <v>0</v>
      </c>
      <c r="AH8" s="1755">
        <f>'[4]Table 5C1E-LFNO'!V7+'[27]Table 5C1E-LFNO'!AH7+('[26]Table 5C1E-LFNO'!AH7*6)</f>
        <v>0</v>
      </c>
      <c r="AI8" s="1755">
        <f>AG8-AH8</f>
        <v>0</v>
      </c>
      <c r="AJ8" s="874">
        <f>ROUND(AI8/4,0)</f>
        <v>0</v>
      </c>
      <c r="AK8" s="875">
        <f>U8+AG8</f>
        <v>0</v>
      </c>
      <c r="AL8" s="875">
        <f t="shared" ref="AL8:AL39" si="33">S8+AJ8</f>
        <v>0</v>
      </c>
      <c r="AN8" s="49">
        <f>-'[4]Table 5C1E-LFNO'!R7</f>
        <v>0</v>
      </c>
      <c r="AO8" s="49">
        <f>AD8</f>
        <v>0</v>
      </c>
      <c r="AP8" s="49">
        <f>SUM(AN8:AO8)</f>
        <v>0</v>
      </c>
    </row>
    <row r="9" spans="1:42">
      <c r="A9" s="876">
        <v>2</v>
      </c>
      <c r="B9" s="877" t="s">
        <v>93</v>
      </c>
      <c r="C9" s="969">
        <f>'2-1-13 SIS'!N8</f>
        <v>0</v>
      </c>
      <c r="D9" s="878">
        <f>'Table 3 Levels 1&amp;2'!AL9</f>
        <v>6182.4313545138375</v>
      </c>
      <c r="E9" s="919">
        <f t="shared" ref="E9:E72" si="34">C9*D9</f>
        <v>0</v>
      </c>
      <c r="F9" s="919">
        <f>'Table 4 Level 3'!P7</f>
        <v>842.32</v>
      </c>
      <c r="G9" s="919">
        <f t="shared" ref="G9:G72" si="35">C9*F9</f>
        <v>0</v>
      </c>
      <c r="H9" s="898">
        <f t="shared" ref="H9:H72" si="36">E9+G9</f>
        <v>0</v>
      </c>
      <c r="I9" s="1744">
        <f>+'[3]Oct midyear LFNO'!K8</f>
        <v>0</v>
      </c>
      <c r="J9" s="1744">
        <f>'[3]Feb midyear LFNO '!K8</f>
        <v>0</v>
      </c>
      <c r="K9" s="1690">
        <f t="shared" ref="K9:K72" si="37">+I9+J9</f>
        <v>0</v>
      </c>
      <c r="L9" s="1451">
        <f t="shared" ref="L9:L39" si="38">H9+K9</f>
        <v>0</v>
      </c>
      <c r="M9" s="929">
        <f t="shared" ref="M9:M72" si="39">-(0.25%*L9)</f>
        <v>0</v>
      </c>
      <c r="N9" s="898">
        <f t="shared" ref="N9:N72" si="40">SUM(L9:M9)</f>
        <v>0</v>
      </c>
      <c r="O9" s="878">
        <v>0</v>
      </c>
      <c r="P9" s="898">
        <f t="shared" ref="P9:P72" si="41">SUM(N9:O9)</f>
        <v>0</v>
      </c>
      <c r="Q9" s="872">
        <f>'[4]Table 5C1E-LFNO'!M8+'[27]Table 5C1E-LFNO'!T8+('[26]Table 5C1E-LFNO'!T8*6)</f>
        <v>0</v>
      </c>
      <c r="R9" s="1851">
        <f t="shared" ref="R9:R72" si="42">P9-Q9</f>
        <v>0</v>
      </c>
      <c r="S9" s="898">
        <f t="shared" ref="S9:S72" si="43">ROUND(R9/4,0)</f>
        <v>0</v>
      </c>
      <c r="T9" s="878"/>
      <c r="U9" s="898">
        <f t="shared" si="31"/>
        <v>0</v>
      </c>
      <c r="V9" s="897">
        <f>'Table 5C1A-Madison Prep'!T9</f>
        <v>2759</v>
      </c>
      <c r="W9" s="899">
        <f t="shared" si="32"/>
        <v>0</v>
      </c>
      <c r="X9" s="1777">
        <f>+'[3]Oct midyear LFNO'!E8</f>
        <v>0</v>
      </c>
      <c r="Y9" s="1778">
        <f t="shared" ref="Y9:Y72" si="44">X9*V9</f>
        <v>0</v>
      </c>
      <c r="Z9" s="1758">
        <f>'[3]Feb midyear LFNO '!E8</f>
        <v>0</v>
      </c>
      <c r="AA9" s="1759">
        <f t="shared" ref="AA9:AA72" si="45">(V9*Z9)*0.5</f>
        <v>0</v>
      </c>
      <c r="AB9" s="1653">
        <f t="shared" ref="AB9:AB72" si="46">+Y9+AA9</f>
        <v>0</v>
      </c>
      <c r="AC9" s="1460">
        <f t="shared" ref="AC9:AC72" si="47">W9+AB9</f>
        <v>0</v>
      </c>
      <c r="AD9" s="937">
        <f t="shared" ref="AD9:AD72" si="48">-(0.25%*AC9)</f>
        <v>0</v>
      </c>
      <c r="AE9" s="899">
        <f t="shared" ref="AE9:AE72" si="49">SUM(AC9:AD9)</f>
        <v>0</v>
      </c>
      <c r="AF9" s="1830">
        <v>0</v>
      </c>
      <c r="AG9" s="899">
        <f t="shared" ref="AG9:AG72" si="50">SUM(AE9:AF9)</f>
        <v>0</v>
      </c>
      <c r="AH9" s="1755">
        <f>'[4]Table 5C1E-LFNO'!V8+'[27]Table 5C1E-LFNO'!AH8+('[26]Table 5C1E-LFNO'!AH8*6)</f>
        <v>0</v>
      </c>
      <c r="AI9" s="1778">
        <f t="shared" ref="AI9:AI72" si="51">AG9-AH9</f>
        <v>0</v>
      </c>
      <c r="AJ9" s="899">
        <f t="shared" ref="AJ9:AJ72" si="52">ROUND(AI9/4,0)</f>
        <v>0</v>
      </c>
      <c r="AK9" s="900">
        <f t="shared" ref="AK9:AK72" si="53">U9+AG9</f>
        <v>0</v>
      </c>
      <c r="AL9" s="900">
        <f t="shared" si="33"/>
        <v>0</v>
      </c>
      <c r="AN9" s="49">
        <f>-'[4]Table 5C1E-LFNO'!R8</f>
        <v>0</v>
      </c>
      <c r="AO9" s="49">
        <f t="shared" ref="AO9:AO72" si="54">AD9</f>
        <v>0</v>
      </c>
      <c r="AP9" s="49">
        <f t="shared" ref="AP9:AP72" si="55">SUM(AN9:AO9)</f>
        <v>0</v>
      </c>
    </row>
    <row r="10" spans="1:42">
      <c r="A10" s="876">
        <v>3</v>
      </c>
      <c r="B10" s="877" t="s">
        <v>94</v>
      </c>
      <c r="C10" s="969">
        <f>'2-1-13 SIS'!N9</f>
        <v>0</v>
      </c>
      <c r="D10" s="878">
        <f>'Table 3 Levels 1&amp;2'!AL10</f>
        <v>4206.710737685361</v>
      </c>
      <c r="E10" s="919">
        <f t="shared" si="34"/>
        <v>0</v>
      </c>
      <c r="F10" s="919">
        <f>'Table 4 Level 3'!P8</f>
        <v>596.84</v>
      </c>
      <c r="G10" s="919">
        <f t="shared" si="35"/>
        <v>0</v>
      </c>
      <c r="H10" s="898">
        <f t="shared" si="36"/>
        <v>0</v>
      </c>
      <c r="I10" s="1744">
        <f>+'[3]Oct midyear LFNO'!K9</f>
        <v>0</v>
      </c>
      <c r="J10" s="1744">
        <f>'[3]Feb midyear LFNO '!K9</f>
        <v>0</v>
      </c>
      <c r="K10" s="1690">
        <f t="shared" si="37"/>
        <v>0</v>
      </c>
      <c r="L10" s="1451">
        <f t="shared" si="38"/>
        <v>0</v>
      </c>
      <c r="M10" s="929">
        <f t="shared" si="39"/>
        <v>0</v>
      </c>
      <c r="N10" s="898">
        <f t="shared" si="40"/>
        <v>0</v>
      </c>
      <c r="O10" s="878">
        <v>0</v>
      </c>
      <c r="P10" s="898">
        <f t="shared" si="41"/>
        <v>0</v>
      </c>
      <c r="Q10" s="872">
        <f>'[4]Table 5C1E-LFNO'!M9+'[27]Table 5C1E-LFNO'!T9+('[26]Table 5C1E-LFNO'!T9*6)</f>
        <v>0</v>
      </c>
      <c r="R10" s="1851">
        <f t="shared" si="42"/>
        <v>0</v>
      </c>
      <c r="S10" s="898">
        <f t="shared" si="43"/>
        <v>0</v>
      </c>
      <c r="T10" s="878"/>
      <c r="U10" s="898">
        <f t="shared" si="31"/>
        <v>0</v>
      </c>
      <c r="V10" s="897">
        <f>'Table 5C1A-Madison Prep'!T10</f>
        <v>5538</v>
      </c>
      <c r="W10" s="899">
        <f t="shared" si="32"/>
        <v>0</v>
      </c>
      <c r="X10" s="1777">
        <f>+'[3]Oct midyear LFNO'!E9</f>
        <v>0</v>
      </c>
      <c r="Y10" s="1778">
        <f t="shared" si="44"/>
        <v>0</v>
      </c>
      <c r="Z10" s="1758">
        <f>'[3]Feb midyear LFNO '!E9</f>
        <v>0</v>
      </c>
      <c r="AA10" s="1759">
        <f t="shared" si="45"/>
        <v>0</v>
      </c>
      <c r="AB10" s="1653">
        <f t="shared" si="46"/>
        <v>0</v>
      </c>
      <c r="AC10" s="1460">
        <f t="shared" si="47"/>
        <v>0</v>
      </c>
      <c r="AD10" s="937">
        <f t="shared" si="48"/>
        <v>0</v>
      </c>
      <c r="AE10" s="899">
        <f t="shared" si="49"/>
        <v>0</v>
      </c>
      <c r="AF10" s="1830">
        <v>0</v>
      </c>
      <c r="AG10" s="899">
        <f t="shared" si="50"/>
        <v>0</v>
      </c>
      <c r="AH10" s="1755">
        <f>'[4]Table 5C1E-LFNO'!V9+'[27]Table 5C1E-LFNO'!AH9+('[26]Table 5C1E-LFNO'!AH9*6)</f>
        <v>0</v>
      </c>
      <c r="AI10" s="1778">
        <f t="shared" si="51"/>
        <v>0</v>
      </c>
      <c r="AJ10" s="899">
        <f t="shared" si="52"/>
        <v>0</v>
      </c>
      <c r="AK10" s="900">
        <f t="shared" si="53"/>
        <v>0</v>
      </c>
      <c r="AL10" s="900">
        <f t="shared" si="33"/>
        <v>0</v>
      </c>
      <c r="AN10" s="49">
        <f>-'[4]Table 5C1E-LFNO'!R9</f>
        <v>0</v>
      </c>
      <c r="AO10" s="49">
        <f t="shared" si="54"/>
        <v>0</v>
      </c>
      <c r="AP10" s="49">
        <f t="shared" si="55"/>
        <v>0</v>
      </c>
    </row>
    <row r="11" spans="1:42">
      <c r="A11" s="876">
        <v>4</v>
      </c>
      <c r="B11" s="877" t="s">
        <v>95</v>
      </c>
      <c r="C11" s="969">
        <f>'2-1-13 SIS'!N10</f>
        <v>0</v>
      </c>
      <c r="D11" s="878">
        <f>'Table 3 Levels 1&amp;2'!AL11</f>
        <v>5987.4993535453223</v>
      </c>
      <c r="E11" s="919">
        <f t="shared" si="34"/>
        <v>0</v>
      </c>
      <c r="F11" s="919">
        <f>'Table 4 Level 3'!P9</f>
        <v>585.76</v>
      </c>
      <c r="G11" s="919">
        <f t="shared" si="35"/>
        <v>0</v>
      </c>
      <c r="H11" s="898">
        <f t="shared" si="36"/>
        <v>0</v>
      </c>
      <c r="I11" s="1744">
        <f>+'[3]Oct midyear LFNO'!K10</f>
        <v>0</v>
      </c>
      <c r="J11" s="1744">
        <f>'[3]Feb midyear LFNO '!K10</f>
        <v>0</v>
      </c>
      <c r="K11" s="1690">
        <f t="shared" si="37"/>
        <v>0</v>
      </c>
      <c r="L11" s="1451">
        <f t="shared" si="38"/>
        <v>0</v>
      </c>
      <c r="M11" s="929">
        <f t="shared" si="39"/>
        <v>0</v>
      </c>
      <c r="N11" s="898">
        <f t="shared" si="40"/>
        <v>0</v>
      </c>
      <c r="O11" s="878">
        <v>0</v>
      </c>
      <c r="P11" s="898">
        <f t="shared" si="41"/>
        <v>0</v>
      </c>
      <c r="Q11" s="872">
        <f>'[4]Table 5C1E-LFNO'!M10+'[27]Table 5C1E-LFNO'!T10+('[26]Table 5C1E-LFNO'!T10*6)</f>
        <v>0</v>
      </c>
      <c r="R11" s="1851">
        <f t="shared" si="42"/>
        <v>0</v>
      </c>
      <c r="S11" s="898">
        <f t="shared" si="43"/>
        <v>0</v>
      </c>
      <c r="T11" s="878"/>
      <c r="U11" s="898">
        <f t="shared" si="31"/>
        <v>0</v>
      </c>
      <c r="V11" s="897">
        <f>'Table 5C1A-Madison Prep'!T11</f>
        <v>3507</v>
      </c>
      <c r="W11" s="899">
        <f t="shared" si="32"/>
        <v>0</v>
      </c>
      <c r="X11" s="1777">
        <f>+'[3]Oct midyear LFNO'!E10</f>
        <v>0</v>
      </c>
      <c r="Y11" s="1778">
        <f t="shared" si="44"/>
        <v>0</v>
      </c>
      <c r="Z11" s="1758">
        <f>'[3]Feb midyear LFNO '!E10</f>
        <v>0</v>
      </c>
      <c r="AA11" s="1759">
        <f t="shared" si="45"/>
        <v>0</v>
      </c>
      <c r="AB11" s="1653">
        <f t="shared" si="46"/>
        <v>0</v>
      </c>
      <c r="AC11" s="1460">
        <f t="shared" si="47"/>
        <v>0</v>
      </c>
      <c r="AD11" s="937">
        <f t="shared" si="48"/>
        <v>0</v>
      </c>
      <c r="AE11" s="899">
        <f t="shared" si="49"/>
        <v>0</v>
      </c>
      <c r="AF11" s="1830">
        <v>0</v>
      </c>
      <c r="AG11" s="899">
        <f t="shared" si="50"/>
        <v>0</v>
      </c>
      <c r="AH11" s="1755">
        <f>'[4]Table 5C1E-LFNO'!V10+'[27]Table 5C1E-LFNO'!AH10+('[26]Table 5C1E-LFNO'!AH10*6)</f>
        <v>0</v>
      </c>
      <c r="AI11" s="1778">
        <f t="shared" si="51"/>
        <v>0</v>
      </c>
      <c r="AJ11" s="899">
        <f t="shared" si="52"/>
        <v>0</v>
      </c>
      <c r="AK11" s="900">
        <f t="shared" si="53"/>
        <v>0</v>
      </c>
      <c r="AL11" s="900">
        <f t="shared" si="33"/>
        <v>0</v>
      </c>
      <c r="AN11" s="49">
        <f>-'[4]Table 5C1E-LFNO'!R10</f>
        <v>0</v>
      </c>
      <c r="AO11" s="49">
        <f t="shared" si="54"/>
        <v>0</v>
      </c>
      <c r="AP11" s="49">
        <f t="shared" si="55"/>
        <v>0</v>
      </c>
    </row>
    <row r="12" spans="1:42">
      <c r="A12" s="879">
        <v>5</v>
      </c>
      <c r="B12" s="880" t="s">
        <v>96</v>
      </c>
      <c r="C12" s="970">
        <f>'2-1-13 SIS'!N11</f>
        <v>0</v>
      </c>
      <c r="D12" s="881">
        <f>'Table 3 Levels 1&amp;2'!AL12</f>
        <v>4986.8166927080074</v>
      </c>
      <c r="E12" s="920">
        <f t="shared" si="34"/>
        <v>0</v>
      </c>
      <c r="F12" s="920">
        <f>'Table 4 Level 3'!P10</f>
        <v>555.91</v>
      </c>
      <c r="G12" s="920">
        <f t="shared" si="35"/>
        <v>0</v>
      </c>
      <c r="H12" s="901">
        <f t="shared" si="36"/>
        <v>0</v>
      </c>
      <c r="I12" s="1745">
        <f>+'[3]Oct midyear LFNO'!K11</f>
        <v>0</v>
      </c>
      <c r="J12" s="1745">
        <f>'[3]Feb midyear LFNO '!K11</f>
        <v>0</v>
      </c>
      <c r="K12" s="1691">
        <f t="shared" si="37"/>
        <v>0</v>
      </c>
      <c r="L12" s="1452">
        <f t="shared" si="38"/>
        <v>0</v>
      </c>
      <c r="M12" s="930">
        <f t="shared" si="39"/>
        <v>0</v>
      </c>
      <c r="N12" s="901">
        <f t="shared" si="40"/>
        <v>0</v>
      </c>
      <c r="O12" s="881">
        <v>0</v>
      </c>
      <c r="P12" s="901">
        <f t="shared" si="41"/>
        <v>0</v>
      </c>
      <c r="Q12" s="1852">
        <f>'[4]Table 5C1E-LFNO'!M11+'[27]Table 5C1E-LFNO'!T11+('[26]Table 5C1E-LFNO'!T11*6)</f>
        <v>0</v>
      </c>
      <c r="R12" s="1853">
        <f t="shared" si="42"/>
        <v>0</v>
      </c>
      <c r="S12" s="1529">
        <f t="shared" si="43"/>
        <v>0</v>
      </c>
      <c r="T12" s="881"/>
      <c r="U12" s="901">
        <f t="shared" si="31"/>
        <v>0</v>
      </c>
      <c r="V12" s="902">
        <f>'Table 5C1A-Madison Prep'!T12</f>
        <v>2086</v>
      </c>
      <c r="W12" s="903">
        <f t="shared" si="32"/>
        <v>0</v>
      </c>
      <c r="X12" s="1779">
        <f>+'[3]Oct midyear LFNO'!E11</f>
        <v>0</v>
      </c>
      <c r="Y12" s="1780">
        <f t="shared" si="44"/>
        <v>0</v>
      </c>
      <c r="Z12" s="1762">
        <f>'[3]Feb midyear LFNO '!E11</f>
        <v>0</v>
      </c>
      <c r="AA12" s="1763">
        <f t="shared" si="45"/>
        <v>0</v>
      </c>
      <c r="AB12" s="1654">
        <f t="shared" si="46"/>
        <v>0</v>
      </c>
      <c r="AC12" s="1459">
        <f t="shared" si="47"/>
        <v>0</v>
      </c>
      <c r="AD12" s="938">
        <f t="shared" si="48"/>
        <v>0</v>
      </c>
      <c r="AE12" s="903">
        <f t="shared" si="49"/>
        <v>0</v>
      </c>
      <c r="AF12" s="1831">
        <v>0</v>
      </c>
      <c r="AG12" s="903">
        <f t="shared" si="50"/>
        <v>0</v>
      </c>
      <c r="AH12" s="1833">
        <f>'[4]Table 5C1E-LFNO'!V11+'[27]Table 5C1E-LFNO'!AH11+('[26]Table 5C1E-LFNO'!AH11*6)</f>
        <v>0</v>
      </c>
      <c r="AI12" s="1780">
        <f t="shared" si="51"/>
        <v>0</v>
      </c>
      <c r="AJ12" s="1530">
        <f t="shared" si="52"/>
        <v>0</v>
      </c>
      <c r="AK12" s="904">
        <f t="shared" si="53"/>
        <v>0</v>
      </c>
      <c r="AL12" s="904">
        <f t="shared" si="33"/>
        <v>0</v>
      </c>
      <c r="AN12" s="49">
        <f>-'[4]Table 5C1E-LFNO'!R11</f>
        <v>0</v>
      </c>
      <c r="AO12" s="49">
        <f t="shared" si="54"/>
        <v>0</v>
      </c>
      <c r="AP12" s="49">
        <f t="shared" si="55"/>
        <v>0</v>
      </c>
    </row>
    <row r="13" spans="1:42">
      <c r="A13" s="870">
        <v>6</v>
      </c>
      <c r="B13" s="871" t="s">
        <v>97</v>
      </c>
      <c r="C13" s="971">
        <f>'2-1-13 SIS'!N12</f>
        <v>0</v>
      </c>
      <c r="D13" s="872">
        <f>'Table 3 Levels 1&amp;2'!AL13</f>
        <v>5412.7883404260592</v>
      </c>
      <c r="E13" s="918">
        <f t="shared" si="34"/>
        <v>0</v>
      </c>
      <c r="F13" s="918">
        <f>'Table 4 Level 3'!P11</f>
        <v>545.4799999999999</v>
      </c>
      <c r="G13" s="918">
        <f t="shared" si="35"/>
        <v>0</v>
      </c>
      <c r="H13" s="873">
        <f t="shared" si="36"/>
        <v>0</v>
      </c>
      <c r="I13" s="1718">
        <f>+'[3]Oct midyear LFNO'!K12</f>
        <v>0</v>
      </c>
      <c r="J13" s="1718">
        <f>'[3]Feb midyear LFNO '!K12</f>
        <v>0</v>
      </c>
      <c r="K13" s="1542">
        <f t="shared" si="37"/>
        <v>0</v>
      </c>
      <c r="L13" s="1448">
        <f t="shared" si="38"/>
        <v>0</v>
      </c>
      <c r="M13" s="928">
        <f t="shared" si="39"/>
        <v>0</v>
      </c>
      <c r="N13" s="873">
        <f t="shared" si="40"/>
        <v>0</v>
      </c>
      <c r="O13" s="872">
        <v>0</v>
      </c>
      <c r="P13" s="873">
        <f t="shared" si="41"/>
        <v>0</v>
      </c>
      <c r="Q13" s="872">
        <f>'[4]Table 5C1E-LFNO'!M12+'[27]Table 5C1E-LFNO'!T12+('[26]Table 5C1E-LFNO'!T12*6)</f>
        <v>0</v>
      </c>
      <c r="R13" s="872">
        <f t="shared" si="42"/>
        <v>0</v>
      </c>
      <c r="S13" s="1520">
        <f t="shared" si="43"/>
        <v>0</v>
      </c>
      <c r="T13" s="872"/>
      <c r="U13" s="873">
        <f t="shared" si="31"/>
        <v>0</v>
      </c>
      <c r="V13" s="897">
        <f>'Table 5C1A-Madison Prep'!T13</f>
        <v>3683</v>
      </c>
      <c r="W13" s="874">
        <f t="shared" si="32"/>
        <v>0</v>
      </c>
      <c r="X13" s="1754">
        <f>+'[3]Oct midyear LFNO'!E12</f>
        <v>0</v>
      </c>
      <c r="Y13" s="1755">
        <f t="shared" si="44"/>
        <v>0</v>
      </c>
      <c r="Z13" s="1754">
        <f>'[3]Feb midyear LFNO '!E12</f>
        <v>0</v>
      </c>
      <c r="AA13" s="1755">
        <f t="shared" si="45"/>
        <v>0</v>
      </c>
      <c r="AB13" s="1652">
        <f t="shared" si="46"/>
        <v>0</v>
      </c>
      <c r="AC13" s="1462">
        <f t="shared" si="47"/>
        <v>0</v>
      </c>
      <c r="AD13" s="936">
        <f t="shared" si="48"/>
        <v>0</v>
      </c>
      <c r="AE13" s="874">
        <f t="shared" si="49"/>
        <v>0</v>
      </c>
      <c r="AF13" s="1829">
        <v>0</v>
      </c>
      <c r="AG13" s="874">
        <f t="shared" si="50"/>
        <v>0</v>
      </c>
      <c r="AH13" s="1755">
        <f>'[4]Table 5C1E-LFNO'!V12+'[27]Table 5C1E-LFNO'!AH12+('[26]Table 5C1E-LFNO'!AH12*6)</f>
        <v>0</v>
      </c>
      <c r="AI13" s="1755">
        <f t="shared" si="51"/>
        <v>0</v>
      </c>
      <c r="AJ13" s="1521">
        <f t="shared" si="52"/>
        <v>0</v>
      </c>
      <c r="AK13" s="875">
        <f t="shared" si="53"/>
        <v>0</v>
      </c>
      <c r="AL13" s="875">
        <f t="shared" si="33"/>
        <v>0</v>
      </c>
      <c r="AN13" s="49">
        <f>-'[4]Table 5C1E-LFNO'!R12</f>
        <v>0</v>
      </c>
      <c r="AO13" s="49">
        <f t="shared" si="54"/>
        <v>0</v>
      </c>
      <c r="AP13" s="49">
        <f t="shared" si="55"/>
        <v>0</v>
      </c>
    </row>
    <row r="14" spans="1:42">
      <c r="A14" s="876">
        <v>7</v>
      </c>
      <c r="B14" s="877" t="s">
        <v>98</v>
      </c>
      <c r="C14" s="969">
        <f>'2-1-13 SIS'!N13</f>
        <v>0</v>
      </c>
      <c r="D14" s="878">
        <f>'Table 3 Levels 1&amp;2'!AL14</f>
        <v>1766.1023604176123</v>
      </c>
      <c r="E14" s="919">
        <f t="shared" si="34"/>
        <v>0</v>
      </c>
      <c r="F14" s="919">
        <f>'Table 4 Level 3'!P12</f>
        <v>756.91999999999985</v>
      </c>
      <c r="G14" s="919">
        <f t="shared" si="35"/>
        <v>0</v>
      </c>
      <c r="H14" s="898">
        <f t="shared" si="36"/>
        <v>0</v>
      </c>
      <c r="I14" s="1744">
        <f>+'[3]Oct midyear LFNO'!K13</f>
        <v>0</v>
      </c>
      <c r="J14" s="1744">
        <f>'[3]Feb midyear LFNO '!K13</f>
        <v>0</v>
      </c>
      <c r="K14" s="1690">
        <f t="shared" si="37"/>
        <v>0</v>
      </c>
      <c r="L14" s="1451">
        <f t="shared" si="38"/>
        <v>0</v>
      </c>
      <c r="M14" s="929">
        <f t="shared" si="39"/>
        <v>0</v>
      </c>
      <c r="N14" s="898">
        <f t="shared" si="40"/>
        <v>0</v>
      </c>
      <c r="O14" s="878">
        <v>0</v>
      </c>
      <c r="P14" s="898">
        <f t="shared" si="41"/>
        <v>0</v>
      </c>
      <c r="Q14" s="872">
        <f>'[4]Table 5C1E-LFNO'!M13+'[27]Table 5C1E-LFNO'!T13+('[26]Table 5C1E-LFNO'!T13*6)</f>
        <v>0</v>
      </c>
      <c r="R14" s="1851">
        <f t="shared" si="42"/>
        <v>0</v>
      </c>
      <c r="S14" s="898">
        <f t="shared" si="43"/>
        <v>0</v>
      </c>
      <c r="T14" s="878"/>
      <c r="U14" s="898">
        <f t="shared" si="31"/>
        <v>0</v>
      </c>
      <c r="V14" s="897">
        <f>'Table 5C1A-Madison Prep'!T14</f>
        <v>11801</v>
      </c>
      <c r="W14" s="899">
        <f t="shared" si="32"/>
        <v>0</v>
      </c>
      <c r="X14" s="1777">
        <f>+'[3]Oct midyear LFNO'!E13</f>
        <v>0</v>
      </c>
      <c r="Y14" s="1778">
        <f t="shared" si="44"/>
        <v>0</v>
      </c>
      <c r="Z14" s="1758">
        <f>'[3]Feb midyear LFNO '!E13</f>
        <v>0</v>
      </c>
      <c r="AA14" s="1759">
        <f t="shared" si="45"/>
        <v>0</v>
      </c>
      <c r="AB14" s="1653">
        <f t="shared" si="46"/>
        <v>0</v>
      </c>
      <c r="AC14" s="1460">
        <f t="shared" si="47"/>
        <v>0</v>
      </c>
      <c r="AD14" s="937">
        <f t="shared" si="48"/>
        <v>0</v>
      </c>
      <c r="AE14" s="899">
        <f t="shared" si="49"/>
        <v>0</v>
      </c>
      <c r="AF14" s="1830">
        <v>0</v>
      </c>
      <c r="AG14" s="899">
        <f t="shared" si="50"/>
        <v>0</v>
      </c>
      <c r="AH14" s="1755">
        <f>'[4]Table 5C1E-LFNO'!V13+'[27]Table 5C1E-LFNO'!AH13+('[26]Table 5C1E-LFNO'!AH13*6)</f>
        <v>0</v>
      </c>
      <c r="AI14" s="1778">
        <f t="shared" si="51"/>
        <v>0</v>
      </c>
      <c r="AJ14" s="899">
        <f t="shared" si="52"/>
        <v>0</v>
      </c>
      <c r="AK14" s="900">
        <f t="shared" si="53"/>
        <v>0</v>
      </c>
      <c r="AL14" s="900">
        <f t="shared" si="33"/>
        <v>0</v>
      </c>
      <c r="AN14" s="49">
        <f>-'[4]Table 5C1E-LFNO'!R13</f>
        <v>0</v>
      </c>
      <c r="AO14" s="49">
        <f t="shared" si="54"/>
        <v>0</v>
      </c>
      <c r="AP14" s="49">
        <f t="shared" si="55"/>
        <v>0</v>
      </c>
    </row>
    <row r="15" spans="1:42">
      <c r="A15" s="876">
        <v>8</v>
      </c>
      <c r="B15" s="877" t="s">
        <v>99</v>
      </c>
      <c r="C15" s="969">
        <f>'2-1-13 SIS'!N14</f>
        <v>0</v>
      </c>
      <c r="D15" s="878">
        <f>'Table 3 Levels 1&amp;2'!AL15</f>
        <v>4289.5073606712331</v>
      </c>
      <c r="E15" s="919">
        <f t="shared" si="34"/>
        <v>0</v>
      </c>
      <c r="F15" s="919">
        <f>'Table 4 Level 3'!P13</f>
        <v>725.76</v>
      </c>
      <c r="G15" s="919">
        <f t="shared" si="35"/>
        <v>0</v>
      </c>
      <c r="H15" s="898">
        <f t="shared" si="36"/>
        <v>0</v>
      </c>
      <c r="I15" s="1744">
        <f>+'[3]Oct midyear LFNO'!K14</f>
        <v>0</v>
      </c>
      <c r="J15" s="1744">
        <f>'[3]Feb midyear LFNO '!K14</f>
        <v>0</v>
      </c>
      <c r="K15" s="1690">
        <f t="shared" si="37"/>
        <v>0</v>
      </c>
      <c r="L15" s="1451">
        <f t="shared" si="38"/>
        <v>0</v>
      </c>
      <c r="M15" s="929">
        <f t="shared" si="39"/>
        <v>0</v>
      </c>
      <c r="N15" s="898">
        <f t="shared" si="40"/>
        <v>0</v>
      </c>
      <c r="O15" s="878">
        <v>0</v>
      </c>
      <c r="P15" s="898">
        <f t="shared" si="41"/>
        <v>0</v>
      </c>
      <c r="Q15" s="872">
        <f>'[4]Table 5C1E-LFNO'!M14+'[27]Table 5C1E-LFNO'!T14+('[26]Table 5C1E-LFNO'!T14*6)</f>
        <v>0</v>
      </c>
      <c r="R15" s="1851">
        <f t="shared" si="42"/>
        <v>0</v>
      </c>
      <c r="S15" s="898">
        <f t="shared" si="43"/>
        <v>0</v>
      </c>
      <c r="T15" s="878"/>
      <c r="U15" s="898">
        <f t="shared" si="31"/>
        <v>0</v>
      </c>
      <c r="V15" s="897">
        <f>'Table 5C1A-Madison Prep'!T15</f>
        <v>3988</v>
      </c>
      <c r="W15" s="899">
        <f t="shared" si="32"/>
        <v>0</v>
      </c>
      <c r="X15" s="1777">
        <f>+'[3]Oct midyear LFNO'!E14</f>
        <v>0</v>
      </c>
      <c r="Y15" s="1778">
        <f t="shared" si="44"/>
        <v>0</v>
      </c>
      <c r="Z15" s="1758">
        <f>'[3]Feb midyear LFNO '!E14</f>
        <v>0</v>
      </c>
      <c r="AA15" s="1759">
        <f t="shared" si="45"/>
        <v>0</v>
      </c>
      <c r="AB15" s="1653">
        <f t="shared" si="46"/>
        <v>0</v>
      </c>
      <c r="AC15" s="1460">
        <f t="shared" si="47"/>
        <v>0</v>
      </c>
      <c r="AD15" s="937">
        <f t="shared" si="48"/>
        <v>0</v>
      </c>
      <c r="AE15" s="899">
        <f t="shared" si="49"/>
        <v>0</v>
      </c>
      <c r="AF15" s="1830">
        <v>0</v>
      </c>
      <c r="AG15" s="899">
        <f t="shared" si="50"/>
        <v>0</v>
      </c>
      <c r="AH15" s="1755">
        <f>'[4]Table 5C1E-LFNO'!V14+'[27]Table 5C1E-LFNO'!AH14+('[26]Table 5C1E-LFNO'!AH14*6)</f>
        <v>0</v>
      </c>
      <c r="AI15" s="1778">
        <f t="shared" si="51"/>
        <v>0</v>
      </c>
      <c r="AJ15" s="899">
        <f t="shared" si="52"/>
        <v>0</v>
      </c>
      <c r="AK15" s="900">
        <f t="shared" si="53"/>
        <v>0</v>
      </c>
      <c r="AL15" s="900">
        <f t="shared" si="33"/>
        <v>0</v>
      </c>
      <c r="AN15" s="49">
        <f>-'[4]Table 5C1E-LFNO'!R14</f>
        <v>0</v>
      </c>
      <c r="AO15" s="49">
        <f t="shared" si="54"/>
        <v>0</v>
      </c>
      <c r="AP15" s="49">
        <f t="shared" si="55"/>
        <v>0</v>
      </c>
    </row>
    <row r="16" spans="1:42">
      <c r="A16" s="876">
        <v>9</v>
      </c>
      <c r="B16" s="877" t="s">
        <v>100</v>
      </c>
      <c r="C16" s="969">
        <f>'2-1-13 SIS'!N15</f>
        <v>0</v>
      </c>
      <c r="D16" s="878">
        <f>'Table 3 Levels 1&amp;2'!AL16</f>
        <v>4395.6154516889328</v>
      </c>
      <c r="E16" s="919">
        <f t="shared" si="34"/>
        <v>0</v>
      </c>
      <c r="F16" s="919">
        <f>'Table 4 Level 3'!P14</f>
        <v>744.76</v>
      </c>
      <c r="G16" s="919">
        <f t="shared" si="35"/>
        <v>0</v>
      </c>
      <c r="H16" s="898">
        <f t="shared" si="36"/>
        <v>0</v>
      </c>
      <c r="I16" s="1744">
        <f>+'[3]Oct midyear LFNO'!K15</f>
        <v>0</v>
      </c>
      <c r="J16" s="1744">
        <f>'[3]Feb midyear LFNO '!K15</f>
        <v>0</v>
      </c>
      <c r="K16" s="1690">
        <f t="shared" si="37"/>
        <v>0</v>
      </c>
      <c r="L16" s="1451">
        <f t="shared" si="38"/>
        <v>0</v>
      </c>
      <c r="M16" s="929">
        <f t="shared" si="39"/>
        <v>0</v>
      </c>
      <c r="N16" s="898">
        <f t="shared" si="40"/>
        <v>0</v>
      </c>
      <c r="O16" s="878">
        <v>0</v>
      </c>
      <c r="P16" s="898">
        <f t="shared" si="41"/>
        <v>0</v>
      </c>
      <c r="Q16" s="872">
        <f>'[4]Table 5C1E-LFNO'!M15+'[27]Table 5C1E-LFNO'!T15+('[26]Table 5C1E-LFNO'!T15*6)</f>
        <v>0</v>
      </c>
      <c r="R16" s="1851">
        <f t="shared" si="42"/>
        <v>0</v>
      </c>
      <c r="S16" s="898">
        <f t="shared" si="43"/>
        <v>0</v>
      </c>
      <c r="T16" s="878"/>
      <c r="U16" s="898">
        <f t="shared" si="31"/>
        <v>0</v>
      </c>
      <c r="V16" s="897">
        <f>'Table 5C1A-Madison Prep'!T16</f>
        <v>4677</v>
      </c>
      <c r="W16" s="899">
        <f t="shared" si="32"/>
        <v>0</v>
      </c>
      <c r="X16" s="1777">
        <f>+'[3]Oct midyear LFNO'!E15</f>
        <v>0</v>
      </c>
      <c r="Y16" s="1778">
        <f t="shared" si="44"/>
        <v>0</v>
      </c>
      <c r="Z16" s="1758">
        <f>'[3]Feb midyear LFNO '!E15</f>
        <v>0</v>
      </c>
      <c r="AA16" s="1759">
        <f t="shared" si="45"/>
        <v>0</v>
      </c>
      <c r="AB16" s="1653">
        <f t="shared" si="46"/>
        <v>0</v>
      </c>
      <c r="AC16" s="1460">
        <f t="shared" si="47"/>
        <v>0</v>
      </c>
      <c r="AD16" s="937">
        <f t="shared" si="48"/>
        <v>0</v>
      </c>
      <c r="AE16" s="899">
        <f t="shared" si="49"/>
        <v>0</v>
      </c>
      <c r="AF16" s="1830">
        <v>0</v>
      </c>
      <c r="AG16" s="899">
        <f t="shared" si="50"/>
        <v>0</v>
      </c>
      <c r="AH16" s="1755">
        <f>'[4]Table 5C1E-LFNO'!V15+'[27]Table 5C1E-LFNO'!AH15+('[26]Table 5C1E-LFNO'!AH15*6)</f>
        <v>0</v>
      </c>
      <c r="AI16" s="1778">
        <f t="shared" si="51"/>
        <v>0</v>
      </c>
      <c r="AJ16" s="899">
        <f t="shared" si="52"/>
        <v>0</v>
      </c>
      <c r="AK16" s="900">
        <f t="shared" si="53"/>
        <v>0</v>
      </c>
      <c r="AL16" s="900">
        <f t="shared" si="33"/>
        <v>0</v>
      </c>
      <c r="AN16" s="49">
        <f>-'[4]Table 5C1E-LFNO'!R15</f>
        <v>0</v>
      </c>
      <c r="AO16" s="49">
        <f t="shared" si="54"/>
        <v>0</v>
      </c>
      <c r="AP16" s="49">
        <f t="shared" si="55"/>
        <v>0</v>
      </c>
    </row>
    <row r="17" spans="1:42">
      <c r="A17" s="879">
        <v>10</v>
      </c>
      <c r="B17" s="880" t="s">
        <v>101</v>
      </c>
      <c r="C17" s="970">
        <f>'2-1-13 SIS'!N16</f>
        <v>0</v>
      </c>
      <c r="D17" s="881">
        <f>'Table 3 Levels 1&amp;2'!AL17</f>
        <v>4253.5980618992444</v>
      </c>
      <c r="E17" s="920">
        <f t="shared" si="34"/>
        <v>0</v>
      </c>
      <c r="F17" s="920">
        <f>'Table 4 Level 3'!P15</f>
        <v>608.04000000000008</v>
      </c>
      <c r="G17" s="920">
        <f t="shared" si="35"/>
        <v>0</v>
      </c>
      <c r="H17" s="901">
        <f t="shared" si="36"/>
        <v>0</v>
      </c>
      <c r="I17" s="1745">
        <f>+'[3]Oct midyear LFNO'!K16</f>
        <v>0</v>
      </c>
      <c r="J17" s="1745">
        <f>'[3]Feb midyear LFNO '!K16</f>
        <v>0</v>
      </c>
      <c r="K17" s="1691">
        <f t="shared" si="37"/>
        <v>0</v>
      </c>
      <c r="L17" s="1452">
        <f t="shared" si="38"/>
        <v>0</v>
      </c>
      <c r="M17" s="930">
        <f t="shared" si="39"/>
        <v>0</v>
      </c>
      <c r="N17" s="901">
        <f t="shared" si="40"/>
        <v>0</v>
      </c>
      <c r="O17" s="881">
        <v>0</v>
      </c>
      <c r="P17" s="901">
        <f t="shared" si="41"/>
        <v>0</v>
      </c>
      <c r="Q17" s="1852">
        <f>'[4]Table 5C1E-LFNO'!M16+'[27]Table 5C1E-LFNO'!T16+('[26]Table 5C1E-LFNO'!T16*6)</f>
        <v>0</v>
      </c>
      <c r="R17" s="1853">
        <f t="shared" si="42"/>
        <v>0</v>
      </c>
      <c r="S17" s="1529">
        <f t="shared" si="43"/>
        <v>0</v>
      </c>
      <c r="T17" s="881"/>
      <c r="U17" s="901">
        <f t="shared" si="31"/>
        <v>0</v>
      </c>
      <c r="V17" s="902">
        <f>'Table 5C1A-Madison Prep'!T17</f>
        <v>4502</v>
      </c>
      <c r="W17" s="903">
        <f t="shared" si="32"/>
        <v>0</v>
      </c>
      <c r="X17" s="1779">
        <f>+'[3]Oct midyear LFNO'!E16</f>
        <v>0</v>
      </c>
      <c r="Y17" s="1780">
        <f t="shared" si="44"/>
        <v>0</v>
      </c>
      <c r="Z17" s="1762">
        <f>'[3]Feb midyear LFNO '!E16</f>
        <v>0</v>
      </c>
      <c r="AA17" s="1763">
        <f t="shared" si="45"/>
        <v>0</v>
      </c>
      <c r="AB17" s="1654">
        <f t="shared" si="46"/>
        <v>0</v>
      </c>
      <c r="AC17" s="1459">
        <f t="shared" si="47"/>
        <v>0</v>
      </c>
      <c r="AD17" s="938">
        <f t="shared" si="48"/>
        <v>0</v>
      </c>
      <c r="AE17" s="903">
        <f t="shared" si="49"/>
        <v>0</v>
      </c>
      <c r="AF17" s="1831">
        <v>0</v>
      </c>
      <c r="AG17" s="903">
        <f t="shared" si="50"/>
        <v>0</v>
      </c>
      <c r="AH17" s="1833">
        <f>'[4]Table 5C1E-LFNO'!V16+'[27]Table 5C1E-LFNO'!AH16+('[26]Table 5C1E-LFNO'!AH16*6)</f>
        <v>0</v>
      </c>
      <c r="AI17" s="1780">
        <f t="shared" si="51"/>
        <v>0</v>
      </c>
      <c r="AJ17" s="1530">
        <f t="shared" si="52"/>
        <v>0</v>
      </c>
      <c r="AK17" s="904">
        <f t="shared" si="53"/>
        <v>0</v>
      </c>
      <c r="AL17" s="904">
        <f t="shared" si="33"/>
        <v>0</v>
      </c>
      <c r="AN17" s="49">
        <f>-'[4]Table 5C1E-LFNO'!R16</f>
        <v>0</v>
      </c>
      <c r="AO17" s="49">
        <f t="shared" si="54"/>
        <v>0</v>
      </c>
      <c r="AP17" s="49">
        <f t="shared" si="55"/>
        <v>0</v>
      </c>
    </row>
    <row r="18" spans="1:42">
      <c r="A18" s="870">
        <v>11</v>
      </c>
      <c r="B18" s="871" t="s">
        <v>102</v>
      </c>
      <c r="C18" s="971">
        <f>'2-1-13 SIS'!N17</f>
        <v>0</v>
      </c>
      <c r="D18" s="872">
        <f>'Table 3 Levels 1&amp;2'!AL18</f>
        <v>6852.9138435383502</v>
      </c>
      <c r="E18" s="918">
        <f t="shared" si="34"/>
        <v>0</v>
      </c>
      <c r="F18" s="918">
        <f>'Table 4 Level 3'!P16</f>
        <v>706.55</v>
      </c>
      <c r="G18" s="918">
        <f t="shared" si="35"/>
        <v>0</v>
      </c>
      <c r="H18" s="873">
        <f t="shared" si="36"/>
        <v>0</v>
      </c>
      <c r="I18" s="1718">
        <f>+'[3]Oct midyear LFNO'!K17</f>
        <v>0</v>
      </c>
      <c r="J18" s="1718">
        <f>'[3]Feb midyear LFNO '!K17</f>
        <v>0</v>
      </c>
      <c r="K18" s="1542">
        <f t="shared" si="37"/>
        <v>0</v>
      </c>
      <c r="L18" s="1448">
        <f t="shared" si="38"/>
        <v>0</v>
      </c>
      <c r="M18" s="928">
        <f t="shared" si="39"/>
        <v>0</v>
      </c>
      <c r="N18" s="873">
        <f t="shared" si="40"/>
        <v>0</v>
      </c>
      <c r="O18" s="872">
        <v>0</v>
      </c>
      <c r="P18" s="873">
        <f t="shared" si="41"/>
        <v>0</v>
      </c>
      <c r="Q18" s="872">
        <f>'[4]Table 5C1E-LFNO'!M17+'[27]Table 5C1E-LFNO'!T17+('[26]Table 5C1E-LFNO'!T17*6)</f>
        <v>0</v>
      </c>
      <c r="R18" s="872">
        <f t="shared" si="42"/>
        <v>0</v>
      </c>
      <c r="S18" s="1520">
        <f t="shared" si="43"/>
        <v>0</v>
      </c>
      <c r="T18" s="872"/>
      <c r="U18" s="873">
        <f t="shared" si="31"/>
        <v>0</v>
      </c>
      <c r="V18" s="897">
        <f>'Table 5C1A-Madison Prep'!T18</f>
        <v>3776</v>
      </c>
      <c r="W18" s="874">
        <f t="shared" si="32"/>
        <v>0</v>
      </c>
      <c r="X18" s="1754">
        <f>+'[3]Oct midyear LFNO'!E17</f>
        <v>0</v>
      </c>
      <c r="Y18" s="1755">
        <f t="shared" si="44"/>
        <v>0</v>
      </c>
      <c r="Z18" s="1754">
        <f>'[3]Feb midyear LFNO '!E17</f>
        <v>0</v>
      </c>
      <c r="AA18" s="1755">
        <f t="shared" si="45"/>
        <v>0</v>
      </c>
      <c r="AB18" s="1652">
        <f t="shared" si="46"/>
        <v>0</v>
      </c>
      <c r="AC18" s="1462">
        <f t="shared" si="47"/>
        <v>0</v>
      </c>
      <c r="AD18" s="936">
        <f t="shared" si="48"/>
        <v>0</v>
      </c>
      <c r="AE18" s="874">
        <f t="shared" si="49"/>
        <v>0</v>
      </c>
      <c r="AF18" s="1829">
        <v>0</v>
      </c>
      <c r="AG18" s="874">
        <f t="shared" si="50"/>
        <v>0</v>
      </c>
      <c r="AH18" s="1755">
        <f>'[4]Table 5C1E-LFNO'!V17+'[27]Table 5C1E-LFNO'!AH17+('[26]Table 5C1E-LFNO'!AH17*6)</f>
        <v>0</v>
      </c>
      <c r="AI18" s="1755">
        <f t="shared" si="51"/>
        <v>0</v>
      </c>
      <c r="AJ18" s="1521">
        <f t="shared" si="52"/>
        <v>0</v>
      </c>
      <c r="AK18" s="875">
        <f t="shared" si="53"/>
        <v>0</v>
      </c>
      <c r="AL18" s="875">
        <f t="shared" si="33"/>
        <v>0</v>
      </c>
      <c r="AN18" s="49">
        <f>-'[4]Table 5C1E-LFNO'!R17</f>
        <v>0</v>
      </c>
      <c r="AO18" s="49">
        <f t="shared" si="54"/>
        <v>0</v>
      </c>
      <c r="AP18" s="49">
        <f t="shared" si="55"/>
        <v>0</v>
      </c>
    </row>
    <row r="19" spans="1:42">
      <c r="A19" s="876">
        <v>12</v>
      </c>
      <c r="B19" s="877" t="s">
        <v>103</v>
      </c>
      <c r="C19" s="969">
        <f>'2-1-13 SIS'!N18</f>
        <v>0</v>
      </c>
      <c r="D19" s="878">
        <f>'Table 3 Levels 1&amp;2'!AL19</f>
        <v>1733.9056059356967</v>
      </c>
      <c r="E19" s="919">
        <f t="shared" si="34"/>
        <v>0</v>
      </c>
      <c r="F19" s="919">
        <f>'Table 4 Level 3'!P17</f>
        <v>1063.31</v>
      </c>
      <c r="G19" s="919">
        <f t="shared" si="35"/>
        <v>0</v>
      </c>
      <c r="H19" s="898">
        <f t="shared" si="36"/>
        <v>0</v>
      </c>
      <c r="I19" s="1744">
        <f>+'[3]Oct midyear LFNO'!K18</f>
        <v>0</v>
      </c>
      <c r="J19" s="1744">
        <f>'[3]Feb midyear LFNO '!K18</f>
        <v>0</v>
      </c>
      <c r="K19" s="1690">
        <f t="shared" si="37"/>
        <v>0</v>
      </c>
      <c r="L19" s="1451">
        <f t="shared" si="38"/>
        <v>0</v>
      </c>
      <c r="M19" s="929">
        <f t="shared" si="39"/>
        <v>0</v>
      </c>
      <c r="N19" s="898">
        <f t="shared" si="40"/>
        <v>0</v>
      </c>
      <c r="O19" s="878">
        <v>0</v>
      </c>
      <c r="P19" s="898">
        <f t="shared" si="41"/>
        <v>0</v>
      </c>
      <c r="Q19" s="872">
        <f>'[4]Table 5C1E-LFNO'!M18+'[27]Table 5C1E-LFNO'!T18+('[26]Table 5C1E-LFNO'!T18*6)</f>
        <v>0</v>
      </c>
      <c r="R19" s="1851">
        <f t="shared" si="42"/>
        <v>0</v>
      </c>
      <c r="S19" s="898">
        <f t="shared" si="43"/>
        <v>0</v>
      </c>
      <c r="T19" s="878"/>
      <c r="U19" s="898">
        <f t="shared" si="31"/>
        <v>0</v>
      </c>
      <c r="V19" s="897">
        <f>'Table 5C1A-Madison Prep'!T19</f>
        <v>13312</v>
      </c>
      <c r="W19" s="899">
        <f t="shared" si="32"/>
        <v>0</v>
      </c>
      <c r="X19" s="1777">
        <f>+'[3]Oct midyear LFNO'!E18</f>
        <v>0</v>
      </c>
      <c r="Y19" s="1778">
        <f t="shared" si="44"/>
        <v>0</v>
      </c>
      <c r="Z19" s="1758">
        <f>'[3]Feb midyear LFNO '!E18</f>
        <v>0</v>
      </c>
      <c r="AA19" s="1759">
        <f t="shared" si="45"/>
        <v>0</v>
      </c>
      <c r="AB19" s="1653">
        <f t="shared" si="46"/>
        <v>0</v>
      </c>
      <c r="AC19" s="1460">
        <f t="shared" si="47"/>
        <v>0</v>
      </c>
      <c r="AD19" s="937">
        <f t="shared" si="48"/>
        <v>0</v>
      </c>
      <c r="AE19" s="899">
        <f t="shared" si="49"/>
        <v>0</v>
      </c>
      <c r="AF19" s="1830">
        <v>0</v>
      </c>
      <c r="AG19" s="899">
        <f t="shared" si="50"/>
        <v>0</v>
      </c>
      <c r="AH19" s="1755">
        <f>'[4]Table 5C1E-LFNO'!V18+'[27]Table 5C1E-LFNO'!AH18+('[26]Table 5C1E-LFNO'!AH18*6)</f>
        <v>0</v>
      </c>
      <c r="AI19" s="1778">
        <f t="shared" si="51"/>
        <v>0</v>
      </c>
      <c r="AJ19" s="899">
        <f t="shared" si="52"/>
        <v>0</v>
      </c>
      <c r="AK19" s="900">
        <f t="shared" si="53"/>
        <v>0</v>
      </c>
      <c r="AL19" s="900">
        <f t="shared" si="33"/>
        <v>0</v>
      </c>
      <c r="AN19" s="49">
        <f>-'[4]Table 5C1E-LFNO'!R18</f>
        <v>0</v>
      </c>
      <c r="AO19" s="49">
        <f t="shared" si="54"/>
        <v>0</v>
      </c>
      <c r="AP19" s="49">
        <f t="shared" si="55"/>
        <v>0</v>
      </c>
    </row>
    <row r="20" spans="1:42">
      <c r="A20" s="876">
        <v>13</v>
      </c>
      <c r="B20" s="877" t="s">
        <v>104</v>
      </c>
      <c r="C20" s="969">
        <f>'2-1-13 SIS'!N19</f>
        <v>0</v>
      </c>
      <c r="D20" s="878">
        <f>'Table 3 Levels 1&amp;2'!AL20</f>
        <v>6254.1238637730876</v>
      </c>
      <c r="E20" s="919">
        <f t="shared" si="34"/>
        <v>0</v>
      </c>
      <c r="F20" s="919">
        <f>'Table 4 Level 3'!P18</f>
        <v>749.43000000000006</v>
      </c>
      <c r="G20" s="919">
        <f t="shared" si="35"/>
        <v>0</v>
      </c>
      <c r="H20" s="898">
        <f t="shared" si="36"/>
        <v>0</v>
      </c>
      <c r="I20" s="1744">
        <f>+'[3]Oct midyear LFNO'!K19</f>
        <v>0</v>
      </c>
      <c r="J20" s="1744">
        <f>'[3]Feb midyear LFNO '!K19</f>
        <v>0</v>
      </c>
      <c r="K20" s="1690">
        <f t="shared" si="37"/>
        <v>0</v>
      </c>
      <c r="L20" s="1451">
        <f t="shared" si="38"/>
        <v>0</v>
      </c>
      <c r="M20" s="929">
        <f t="shared" si="39"/>
        <v>0</v>
      </c>
      <c r="N20" s="898">
        <f t="shared" si="40"/>
        <v>0</v>
      </c>
      <c r="O20" s="878">
        <v>0</v>
      </c>
      <c r="P20" s="898">
        <f t="shared" si="41"/>
        <v>0</v>
      </c>
      <c r="Q20" s="872">
        <f>'[4]Table 5C1E-LFNO'!M19+'[27]Table 5C1E-LFNO'!T19+('[26]Table 5C1E-LFNO'!T19*6)</f>
        <v>0</v>
      </c>
      <c r="R20" s="1851">
        <f t="shared" si="42"/>
        <v>0</v>
      </c>
      <c r="S20" s="898">
        <f t="shared" si="43"/>
        <v>0</v>
      </c>
      <c r="T20" s="878"/>
      <c r="U20" s="898">
        <f t="shared" si="31"/>
        <v>0</v>
      </c>
      <c r="V20" s="897">
        <f>'Table 5C1A-Madison Prep'!T20</f>
        <v>2671</v>
      </c>
      <c r="W20" s="899">
        <f t="shared" si="32"/>
        <v>0</v>
      </c>
      <c r="X20" s="1777">
        <f>+'[3]Oct midyear LFNO'!E19</f>
        <v>0</v>
      </c>
      <c r="Y20" s="1778">
        <f t="shared" si="44"/>
        <v>0</v>
      </c>
      <c r="Z20" s="1758">
        <f>'[3]Feb midyear LFNO '!E19</f>
        <v>0</v>
      </c>
      <c r="AA20" s="1759">
        <f t="shared" si="45"/>
        <v>0</v>
      </c>
      <c r="AB20" s="1653">
        <f t="shared" si="46"/>
        <v>0</v>
      </c>
      <c r="AC20" s="1460">
        <f t="shared" si="47"/>
        <v>0</v>
      </c>
      <c r="AD20" s="937">
        <f t="shared" si="48"/>
        <v>0</v>
      </c>
      <c r="AE20" s="899">
        <f t="shared" si="49"/>
        <v>0</v>
      </c>
      <c r="AF20" s="1830">
        <v>0</v>
      </c>
      <c r="AG20" s="899">
        <f t="shared" si="50"/>
        <v>0</v>
      </c>
      <c r="AH20" s="1755">
        <f>'[4]Table 5C1E-LFNO'!V19+'[27]Table 5C1E-LFNO'!AH19+('[26]Table 5C1E-LFNO'!AH19*6)</f>
        <v>0</v>
      </c>
      <c r="AI20" s="1778">
        <f t="shared" si="51"/>
        <v>0</v>
      </c>
      <c r="AJ20" s="899">
        <f t="shared" si="52"/>
        <v>0</v>
      </c>
      <c r="AK20" s="900">
        <f t="shared" si="53"/>
        <v>0</v>
      </c>
      <c r="AL20" s="900">
        <f t="shared" si="33"/>
        <v>0</v>
      </c>
      <c r="AN20" s="49">
        <f>-'[4]Table 5C1E-LFNO'!R19</f>
        <v>0</v>
      </c>
      <c r="AO20" s="49">
        <f t="shared" si="54"/>
        <v>0</v>
      </c>
      <c r="AP20" s="49">
        <f t="shared" si="55"/>
        <v>0</v>
      </c>
    </row>
    <row r="21" spans="1:42">
      <c r="A21" s="876">
        <v>14</v>
      </c>
      <c r="B21" s="877" t="s">
        <v>105</v>
      </c>
      <c r="C21" s="969">
        <f>'2-1-13 SIS'!N20</f>
        <v>0</v>
      </c>
      <c r="D21" s="878">
        <f>'Table 3 Levels 1&amp;2'!AL21</f>
        <v>5377.9187438545459</v>
      </c>
      <c r="E21" s="919">
        <f t="shared" si="34"/>
        <v>0</v>
      </c>
      <c r="F21" s="919">
        <f>'Table 4 Level 3'!P19</f>
        <v>809.9799999999999</v>
      </c>
      <c r="G21" s="919">
        <f t="shared" si="35"/>
        <v>0</v>
      </c>
      <c r="H21" s="898">
        <f t="shared" si="36"/>
        <v>0</v>
      </c>
      <c r="I21" s="1744">
        <f>+'[3]Oct midyear LFNO'!K20</f>
        <v>0</v>
      </c>
      <c r="J21" s="1744">
        <f>'[3]Feb midyear LFNO '!K20</f>
        <v>0</v>
      </c>
      <c r="K21" s="1690">
        <f t="shared" si="37"/>
        <v>0</v>
      </c>
      <c r="L21" s="1451">
        <f t="shared" si="38"/>
        <v>0</v>
      </c>
      <c r="M21" s="929">
        <f t="shared" si="39"/>
        <v>0</v>
      </c>
      <c r="N21" s="898">
        <f t="shared" si="40"/>
        <v>0</v>
      </c>
      <c r="O21" s="878">
        <v>0</v>
      </c>
      <c r="P21" s="898">
        <f t="shared" si="41"/>
        <v>0</v>
      </c>
      <c r="Q21" s="872">
        <f>'[4]Table 5C1E-LFNO'!M20+'[27]Table 5C1E-LFNO'!T20+('[26]Table 5C1E-LFNO'!T20*6)</f>
        <v>0</v>
      </c>
      <c r="R21" s="1851">
        <f t="shared" si="42"/>
        <v>0</v>
      </c>
      <c r="S21" s="898">
        <f t="shared" si="43"/>
        <v>0</v>
      </c>
      <c r="T21" s="878"/>
      <c r="U21" s="898">
        <f t="shared" si="31"/>
        <v>0</v>
      </c>
      <c r="V21" s="897">
        <f>'Table 5C1A-Madison Prep'!T21</f>
        <v>4439</v>
      </c>
      <c r="W21" s="899">
        <f t="shared" si="32"/>
        <v>0</v>
      </c>
      <c r="X21" s="1777">
        <f>+'[3]Oct midyear LFNO'!E20</f>
        <v>0</v>
      </c>
      <c r="Y21" s="1778">
        <f t="shared" si="44"/>
        <v>0</v>
      </c>
      <c r="Z21" s="1758">
        <f>'[3]Feb midyear LFNO '!E20</f>
        <v>0</v>
      </c>
      <c r="AA21" s="1759">
        <f t="shared" si="45"/>
        <v>0</v>
      </c>
      <c r="AB21" s="1653">
        <f t="shared" si="46"/>
        <v>0</v>
      </c>
      <c r="AC21" s="1460">
        <f t="shared" si="47"/>
        <v>0</v>
      </c>
      <c r="AD21" s="937">
        <f t="shared" si="48"/>
        <v>0</v>
      </c>
      <c r="AE21" s="899">
        <f t="shared" si="49"/>
        <v>0</v>
      </c>
      <c r="AF21" s="1830">
        <v>0</v>
      </c>
      <c r="AG21" s="899">
        <f t="shared" si="50"/>
        <v>0</v>
      </c>
      <c r="AH21" s="1755">
        <f>'[4]Table 5C1E-LFNO'!V20+'[27]Table 5C1E-LFNO'!AH20+('[26]Table 5C1E-LFNO'!AH20*6)</f>
        <v>0</v>
      </c>
      <c r="AI21" s="1778">
        <f t="shared" si="51"/>
        <v>0</v>
      </c>
      <c r="AJ21" s="899">
        <f t="shared" si="52"/>
        <v>0</v>
      </c>
      <c r="AK21" s="900">
        <f t="shared" si="53"/>
        <v>0</v>
      </c>
      <c r="AL21" s="900">
        <f t="shared" si="33"/>
        <v>0</v>
      </c>
      <c r="AN21" s="49">
        <f>-'[4]Table 5C1E-LFNO'!R20</f>
        <v>0</v>
      </c>
      <c r="AO21" s="49">
        <f t="shared" si="54"/>
        <v>0</v>
      </c>
      <c r="AP21" s="49">
        <f t="shared" si="55"/>
        <v>0</v>
      </c>
    </row>
    <row r="22" spans="1:42">
      <c r="A22" s="879">
        <v>15</v>
      </c>
      <c r="B22" s="880" t="s">
        <v>106</v>
      </c>
      <c r="C22" s="970">
        <f>'2-1-13 SIS'!N21</f>
        <v>0</v>
      </c>
      <c r="D22" s="881">
        <f>'Table 3 Levels 1&amp;2'!AL22</f>
        <v>5527.7651197617861</v>
      </c>
      <c r="E22" s="920">
        <f t="shared" si="34"/>
        <v>0</v>
      </c>
      <c r="F22" s="920">
        <f>'Table 4 Level 3'!P20</f>
        <v>553.79999999999995</v>
      </c>
      <c r="G22" s="920">
        <f t="shared" si="35"/>
        <v>0</v>
      </c>
      <c r="H22" s="901">
        <f t="shared" si="36"/>
        <v>0</v>
      </c>
      <c r="I22" s="1745">
        <f>+'[3]Oct midyear LFNO'!K21</f>
        <v>0</v>
      </c>
      <c r="J22" s="1745">
        <f>'[3]Feb midyear LFNO '!K21</f>
        <v>0</v>
      </c>
      <c r="K22" s="1691">
        <f t="shared" si="37"/>
        <v>0</v>
      </c>
      <c r="L22" s="1452">
        <f t="shared" si="38"/>
        <v>0</v>
      </c>
      <c r="M22" s="930">
        <f t="shared" si="39"/>
        <v>0</v>
      </c>
      <c r="N22" s="901">
        <f t="shared" si="40"/>
        <v>0</v>
      </c>
      <c r="O22" s="881">
        <v>0</v>
      </c>
      <c r="P22" s="901">
        <f t="shared" si="41"/>
        <v>0</v>
      </c>
      <c r="Q22" s="1852">
        <f>'[4]Table 5C1E-LFNO'!M21+'[27]Table 5C1E-LFNO'!T21+('[26]Table 5C1E-LFNO'!T21*6)</f>
        <v>0</v>
      </c>
      <c r="R22" s="1853">
        <f t="shared" si="42"/>
        <v>0</v>
      </c>
      <c r="S22" s="1529">
        <f t="shared" si="43"/>
        <v>0</v>
      </c>
      <c r="T22" s="881"/>
      <c r="U22" s="901">
        <f t="shared" si="31"/>
        <v>0</v>
      </c>
      <c r="V22" s="902">
        <f>'Table 5C1A-Madison Prep'!T22</f>
        <v>2800</v>
      </c>
      <c r="W22" s="903">
        <f t="shared" si="32"/>
        <v>0</v>
      </c>
      <c r="X22" s="1779">
        <f>+'[3]Oct midyear LFNO'!E21</f>
        <v>0</v>
      </c>
      <c r="Y22" s="1780">
        <f t="shared" si="44"/>
        <v>0</v>
      </c>
      <c r="Z22" s="1762">
        <f>'[3]Feb midyear LFNO '!E21</f>
        <v>0</v>
      </c>
      <c r="AA22" s="1763">
        <f t="shared" si="45"/>
        <v>0</v>
      </c>
      <c r="AB22" s="1654">
        <f t="shared" si="46"/>
        <v>0</v>
      </c>
      <c r="AC22" s="1459">
        <f t="shared" si="47"/>
        <v>0</v>
      </c>
      <c r="AD22" s="938">
        <f t="shared" si="48"/>
        <v>0</v>
      </c>
      <c r="AE22" s="903">
        <f t="shared" si="49"/>
        <v>0</v>
      </c>
      <c r="AF22" s="1831">
        <v>0</v>
      </c>
      <c r="AG22" s="903">
        <f t="shared" si="50"/>
        <v>0</v>
      </c>
      <c r="AH22" s="1833">
        <f>'[4]Table 5C1E-LFNO'!V21+'[27]Table 5C1E-LFNO'!AH21+('[26]Table 5C1E-LFNO'!AH21*6)</f>
        <v>0</v>
      </c>
      <c r="AI22" s="1780">
        <f t="shared" si="51"/>
        <v>0</v>
      </c>
      <c r="AJ22" s="1530">
        <f t="shared" si="52"/>
        <v>0</v>
      </c>
      <c r="AK22" s="904">
        <f t="shared" si="53"/>
        <v>0</v>
      </c>
      <c r="AL22" s="904">
        <f t="shared" si="33"/>
        <v>0</v>
      </c>
      <c r="AN22" s="49">
        <f>-'[4]Table 5C1E-LFNO'!R21</f>
        <v>0</v>
      </c>
      <c r="AO22" s="49">
        <f t="shared" si="54"/>
        <v>0</v>
      </c>
      <c r="AP22" s="49">
        <f t="shared" si="55"/>
        <v>0</v>
      </c>
    </row>
    <row r="23" spans="1:42">
      <c r="A23" s="870">
        <v>16</v>
      </c>
      <c r="B23" s="871" t="s">
        <v>107</v>
      </c>
      <c r="C23" s="971">
        <f>'2-1-13 SIS'!N22</f>
        <v>0</v>
      </c>
      <c r="D23" s="872">
        <f>'Table 3 Levels 1&amp;2'!AL23</f>
        <v>1530.3678845377474</v>
      </c>
      <c r="E23" s="918">
        <f t="shared" si="34"/>
        <v>0</v>
      </c>
      <c r="F23" s="918">
        <f>'Table 4 Level 3'!P21</f>
        <v>686.73</v>
      </c>
      <c r="G23" s="918">
        <f t="shared" si="35"/>
        <v>0</v>
      </c>
      <c r="H23" s="873">
        <f t="shared" si="36"/>
        <v>0</v>
      </c>
      <c r="I23" s="1718">
        <f>+'[3]Oct midyear LFNO'!K22</f>
        <v>0</v>
      </c>
      <c r="J23" s="1718">
        <f>'[3]Feb midyear LFNO '!K22</f>
        <v>0</v>
      </c>
      <c r="K23" s="1542">
        <f t="shared" si="37"/>
        <v>0</v>
      </c>
      <c r="L23" s="1448">
        <f t="shared" si="38"/>
        <v>0</v>
      </c>
      <c r="M23" s="928">
        <f t="shared" si="39"/>
        <v>0</v>
      </c>
      <c r="N23" s="873">
        <f t="shared" si="40"/>
        <v>0</v>
      </c>
      <c r="O23" s="872">
        <v>0</v>
      </c>
      <c r="P23" s="873">
        <f t="shared" si="41"/>
        <v>0</v>
      </c>
      <c r="Q23" s="872">
        <f>'[4]Table 5C1E-LFNO'!M22+'[27]Table 5C1E-LFNO'!T22+('[26]Table 5C1E-LFNO'!T22*6)</f>
        <v>0</v>
      </c>
      <c r="R23" s="872">
        <f t="shared" si="42"/>
        <v>0</v>
      </c>
      <c r="S23" s="1520">
        <f t="shared" si="43"/>
        <v>0</v>
      </c>
      <c r="T23" s="872"/>
      <c r="U23" s="873">
        <f t="shared" si="31"/>
        <v>0</v>
      </c>
      <c r="V23" s="897">
        <f>'Table 5C1A-Madison Prep'!T23</f>
        <v>12312</v>
      </c>
      <c r="W23" s="874">
        <f t="shared" si="32"/>
        <v>0</v>
      </c>
      <c r="X23" s="1754">
        <f>+'[3]Oct midyear LFNO'!E22</f>
        <v>0</v>
      </c>
      <c r="Y23" s="1755">
        <f t="shared" si="44"/>
        <v>0</v>
      </c>
      <c r="Z23" s="1754">
        <f>'[3]Feb midyear LFNO '!E22</f>
        <v>0</v>
      </c>
      <c r="AA23" s="1755">
        <f t="shared" si="45"/>
        <v>0</v>
      </c>
      <c r="AB23" s="1652">
        <f t="shared" si="46"/>
        <v>0</v>
      </c>
      <c r="AC23" s="1462">
        <f t="shared" si="47"/>
        <v>0</v>
      </c>
      <c r="AD23" s="936">
        <f t="shared" si="48"/>
        <v>0</v>
      </c>
      <c r="AE23" s="874">
        <f t="shared" si="49"/>
        <v>0</v>
      </c>
      <c r="AF23" s="1829">
        <v>0</v>
      </c>
      <c r="AG23" s="874">
        <f t="shared" si="50"/>
        <v>0</v>
      </c>
      <c r="AH23" s="1755">
        <f>'[4]Table 5C1E-LFNO'!V22+'[27]Table 5C1E-LFNO'!AH22+('[26]Table 5C1E-LFNO'!AH22*6)</f>
        <v>0</v>
      </c>
      <c r="AI23" s="1755">
        <f t="shared" si="51"/>
        <v>0</v>
      </c>
      <c r="AJ23" s="1521">
        <f t="shared" si="52"/>
        <v>0</v>
      </c>
      <c r="AK23" s="875">
        <f t="shared" si="53"/>
        <v>0</v>
      </c>
      <c r="AL23" s="875">
        <f t="shared" si="33"/>
        <v>0</v>
      </c>
      <c r="AN23" s="49">
        <f>-'[4]Table 5C1E-LFNO'!R22</f>
        <v>0</v>
      </c>
      <c r="AO23" s="49">
        <f t="shared" si="54"/>
        <v>0</v>
      </c>
      <c r="AP23" s="49">
        <f t="shared" si="55"/>
        <v>0</v>
      </c>
    </row>
    <row r="24" spans="1:42">
      <c r="A24" s="876">
        <v>17</v>
      </c>
      <c r="B24" s="877" t="s">
        <v>108</v>
      </c>
      <c r="C24" s="969">
        <f>'2-1-13 SIS'!N23</f>
        <v>0</v>
      </c>
      <c r="D24" s="878">
        <f>'Table 3 Levels 1&amp;2'!AL24</f>
        <v>3313.0666313017805</v>
      </c>
      <c r="E24" s="919">
        <f t="shared" si="34"/>
        <v>0</v>
      </c>
      <c r="F24" s="919">
        <f>'Table 5B2_RSD_LA'!F7</f>
        <v>801.47762416806802</v>
      </c>
      <c r="G24" s="919">
        <f t="shared" si="35"/>
        <v>0</v>
      </c>
      <c r="H24" s="898">
        <f t="shared" si="36"/>
        <v>0</v>
      </c>
      <c r="I24" s="1744">
        <f>+'[3]Oct midyear LFNO'!K23</f>
        <v>0</v>
      </c>
      <c r="J24" s="1744">
        <f>'[3]Feb midyear LFNO '!K23</f>
        <v>0</v>
      </c>
      <c r="K24" s="1690">
        <f t="shared" si="37"/>
        <v>0</v>
      </c>
      <c r="L24" s="1451">
        <f t="shared" si="38"/>
        <v>0</v>
      </c>
      <c r="M24" s="929">
        <f t="shared" si="39"/>
        <v>0</v>
      </c>
      <c r="N24" s="898">
        <f t="shared" si="40"/>
        <v>0</v>
      </c>
      <c r="O24" s="878">
        <v>0</v>
      </c>
      <c r="P24" s="898">
        <f t="shared" si="41"/>
        <v>0</v>
      </c>
      <c r="Q24" s="872">
        <f>'[4]Table 5C1E-LFNO'!M23+'[27]Table 5C1E-LFNO'!T23+('[26]Table 5C1E-LFNO'!T23*6)</f>
        <v>2611.8004785289286</v>
      </c>
      <c r="R24" s="1851">
        <f t="shared" si="42"/>
        <v>-2611.8004785289286</v>
      </c>
      <c r="S24" s="898">
        <f t="shared" si="43"/>
        <v>-653</v>
      </c>
      <c r="T24" s="878"/>
      <c r="U24" s="898">
        <f t="shared" si="31"/>
        <v>0</v>
      </c>
      <c r="V24" s="897">
        <f>'Table 5C1A-Madison Prep'!T24</f>
        <v>6866</v>
      </c>
      <c r="W24" s="899">
        <f t="shared" si="32"/>
        <v>0</v>
      </c>
      <c r="X24" s="1777">
        <f>+'[3]Oct midyear LFNO'!E23</f>
        <v>0</v>
      </c>
      <c r="Y24" s="1778">
        <f t="shared" si="44"/>
        <v>0</v>
      </c>
      <c r="Z24" s="1758">
        <f>'[3]Feb midyear LFNO '!E23</f>
        <v>0</v>
      </c>
      <c r="AA24" s="1759">
        <f t="shared" si="45"/>
        <v>0</v>
      </c>
      <c r="AB24" s="1653">
        <f t="shared" si="46"/>
        <v>0</v>
      </c>
      <c r="AC24" s="1460">
        <f t="shared" si="47"/>
        <v>0</v>
      </c>
      <c r="AD24" s="937">
        <f t="shared" si="48"/>
        <v>0</v>
      </c>
      <c r="AE24" s="899">
        <f t="shared" si="49"/>
        <v>0</v>
      </c>
      <c r="AF24" s="1830">
        <v>0</v>
      </c>
      <c r="AG24" s="899">
        <f t="shared" si="50"/>
        <v>0</v>
      </c>
      <c r="AH24" s="1755">
        <f>'[4]Table 5C1E-LFNO'!V23+'[27]Table 5C1E-LFNO'!AH23+('[26]Table 5C1E-LFNO'!AH23*6)</f>
        <v>4292.9679545454537</v>
      </c>
      <c r="AI24" s="1778">
        <f t="shared" si="51"/>
        <v>-4292.9679545454537</v>
      </c>
      <c r="AJ24" s="899">
        <f t="shared" si="52"/>
        <v>-1073</v>
      </c>
      <c r="AK24" s="900">
        <f t="shared" si="53"/>
        <v>0</v>
      </c>
      <c r="AL24" s="900">
        <f t="shared" si="33"/>
        <v>-1726</v>
      </c>
      <c r="AN24" s="49">
        <f>-'[4]Table 5C1E-LFNO'!R23</f>
        <v>0</v>
      </c>
      <c r="AO24" s="49">
        <f t="shared" si="54"/>
        <v>0</v>
      </c>
      <c r="AP24" s="49">
        <f t="shared" si="55"/>
        <v>0</v>
      </c>
    </row>
    <row r="25" spans="1:42">
      <c r="A25" s="876">
        <v>18</v>
      </c>
      <c r="B25" s="877" t="s">
        <v>109</v>
      </c>
      <c r="C25" s="969">
        <f>'2-1-13 SIS'!N24</f>
        <v>0</v>
      </c>
      <c r="D25" s="878">
        <f>'Table 3 Levels 1&amp;2'!AL25</f>
        <v>5989.1351892854573</v>
      </c>
      <c r="E25" s="919">
        <f t="shared" si="34"/>
        <v>0</v>
      </c>
      <c r="F25" s="919">
        <f>'Table 4 Level 3'!P23</f>
        <v>845.94999999999993</v>
      </c>
      <c r="G25" s="919">
        <f t="shared" si="35"/>
        <v>0</v>
      </c>
      <c r="H25" s="898">
        <f t="shared" si="36"/>
        <v>0</v>
      </c>
      <c r="I25" s="1744">
        <f>+'[3]Oct midyear LFNO'!K24</f>
        <v>0</v>
      </c>
      <c r="J25" s="1744">
        <f>'[3]Feb midyear LFNO '!K24</f>
        <v>0</v>
      </c>
      <c r="K25" s="1690">
        <f t="shared" si="37"/>
        <v>0</v>
      </c>
      <c r="L25" s="1451">
        <f t="shared" si="38"/>
        <v>0</v>
      </c>
      <c r="M25" s="929">
        <f t="shared" si="39"/>
        <v>0</v>
      </c>
      <c r="N25" s="898">
        <f t="shared" si="40"/>
        <v>0</v>
      </c>
      <c r="O25" s="878">
        <v>0</v>
      </c>
      <c r="P25" s="898">
        <f t="shared" si="41"/>
        <v>0</v>
      </c>
      <c r="Q25" s="872">
        <f>'[4]Table 5C1E-LFNO'!M24+'[27]Table 5C1E-LFNO'!T24+('[26]Table 5C1E-LFNO'!T24*6)</f>
        <v>0</v>
      </c>
      <c r="R25" s="1851">
        <f t="shared" si="42"/>
        <v>0</v>
      </c>
      <c r="S25" s="898">
        <f t="shared" si="43"/>
        <v>0</v>
      </c>
      <c r="T25" s="878"/>
      <c r="U25" s="898">
        <f t="shared" si="31"/>
        <v>0</v>
      </c>
      <c r="V25" s="897">
        <f>'Table 5C1A-Madison Prep'!T25</f>
        <v>3071</v>
      </c>
      <c r="W25" s="899">
        <f t="shared" si="32"/>
        <v>0</v>
      </c>
      <c r="X25" s="1777">
        <f>+'[3]Oct midyear LFNO'!E24</f>
        <v>0</v>
      </c>
      <c r="Y25" s="1778">
        <f t="shared" si="44"/>
        <v>0</v>
      </c>
      <c r="Z25" s="1758">
        <f>'[3]Feb midyear LFNO '!E24</f>
        <v>0</v>
      </c>
      <c r="AA25" s="1759">
        <f t="shared" si="45"/>
        <v>0</v>
      </c>
      <c r="AB25" s="1653">
        <f t="shared" si="46"/>
        <v>0</v>
      </c>
      <c r="AC25" s="1460">
        <f t="shared" si="47"/>
        <v>0</v>
      </c>
      <c r="AD25" s="937">
        <f t="shared" si="48"/>
        <v>0</v>
      </c>
      <c r="AE25" s="899">
        <f t="shared" si="49"/>
        <v>0</v>
      </c>
      <c r="AF25" s="1830">
        <v>0</v>
      </c>
      <c r="AG25" s="899">
        <f t="shared" si="50"/>
        <v>0</v>
      </c>
      <c r="AH25" s="1755">
        <f>'[4]Table 5C1E-LFNO'!V24+'[27]Table 5C1E-LFNO'!AH24+('[26]Table 5C1E-LFNO'!AH24*6)</f>
        <v>0</v>
      </c>
      <c r="AI25" s="1778">
        <f t="shared" si="51"/>
        <v>0</v>
      </c>
      <c r="AJ25" s="899">
        <f t="shared" si="52"/>
        <v>0</v>
      </c>
      <c r="AK25" s="900">
        <f t="shared" si="53"/>
        <v>0</v>
      </c>
      <c r="AL25" s="900">
        <f t="shared" si="33"/>
        <v>0</v>
      </c>
      <c r="AN25" s="49">
        <f>-'[4]Table 5C1E-LFNO'!R24</f>
        <v>0</v>
      </c>
      <c r="AO25" s="49">
        <f t="shared" si="54"/>
        <v>0</v>
      </c>
      <c r="AP25" s="49">
        <f t="shared" si="55"/>
        <v>0</v>
      </c>
    </row>
    <row r="26" spans="1:42">
      <c r="A26" s="876">
        <v>19</v>
      </c>
      <c r="B26" s="877" t="s">
        <v>110</v>
      </c>
      <c r="C26" s="969">
        <f>'2-1-13 SIS'!N25</f>
        <v>0</v>
      </c>
      <c r="D26" s="878">
        <f>'Table 3 Levels 1&amp;2'!AL26</f>
        <v>5315.8913399708035</v>
      </c>
      <c r="E26" s="919">
        <f t="shared" si="34"/>
        <v>0</v>
      </c>
      <c r="F26" s="919">
        <f>'Table 4 Level 3'!P24</f>
        <v>905.43</v>
      </c>
      <c r="G26" s="919">
        <f t="shared" si="35"/>
        <v>0</v>
      </c>
      <c r="H26" s="898">
        <f t="shared" si="36"/>
        <v>0</v>
      </c>
      <c r="I26" s="1744">
        <f>+'[3]Oct midyear LFNO'!K25</f>
        <v>0</v>
      </c>
      <c r="J26" s="1744">
        <f>'[3]Feb midyear LFNO '!K25</f>
        <v>0</v>
      </c>
      <c r="K26" s="1690">
        <f t="shared" si="37"/>
        <v>0</v>
      </c>
      <c r="L26" s="1451">
        <f t="shared" si="38"/>
        <v>0</v>
      </c>
      <c r="M26" s="929">
        <f t="shared" si="39"/>
        <v>0</v>
      </c>
      <c r="N26" s="898">
        <f t="shared" si="40"/>
        <v>0</v>
      </c>
      <c r="O26" s="878">
        <v>0</v>
      </c>
      <c r="P26" s="898">
        <f t="shared" si="41"/>
        <v>0</v>
      </c>
      <c r="Q26" s="872">
        <f>'[4]Table 5C1E-LFNO'!M25+'[27]Table 5C1E-LFNO'!T25+('[26]Table 5C1E-LFNO'!T25*6)</f>
        <v>0</v>
      </c>
      <c r="R26" s="1851">
        <f t="shared" si="42"/>
        <v>0</v>
      </c>
      <c r="S26" s="898">
        <f t="shared" si="43"/>
        <v>0</v>
      </c>
      <c r="T26" s="878"/>
      <c r="U26" s="898">
        <f t="shared" si="31"/>
        <v>0</v>
      </c>
      <c r="V26" s="897">
        <f>'Table 5C1A-Madison Prep'!T26</f>
        <v>2566</v>
      </c>
      <c r="W26" s="899">
        <f t="shared" si="32"/>
        <v>0</v>
      </c>
      <c r="X26" s="1777">
        <f>+'[3]Oct midyear LFNO'!E25</f>
        <v>0</v>
      </c>
      <c r="Y26" s="1778">
        <f t="shared" si="44"/>
        <v>0</v>
      </c>
      <c r="Z26" s="1758">
        <f>'[3]Feb midyear LFNO '!E25</f>
        <v>0</v>
      </c>
      <c r="AA26" s="1759">
        <f t="shared" si="45"/>
        <v>0</v>
      </c>
      <c r="AB26" s="1653">
        <f t="shared" si="46"/>
        <v>0</v>
      </c>
      <c r="AC26" s="1460">
        <f t="shared" si="47"/>
        <v>0</v>
      </c>
      <c r="AD26" s="937">
        <f t="shared" si="48"/>
        <v>0</v>
      </c>
      <c r="AE26" s="899">
        <f t="shared" si="49"/>
        <v>0</v>
      </c>
      <c r="AF26" s="1830">
        <v>0</v>
      </c>
      <c r="AG26" s="899">
        <f t="shared" si="50"/>
        <v>0</v>
      </c>
      <c r="AH26" s="1755">
        <f>'[4]Table 5C1E-LFNO'!V25+'[27]Table 5C1E-LFNO'!AH25+('[26]Table 5C1E-LFNO'!AH25*6)</f>
        <v>0</v>
      </c>
      <c r="AI26" s="1778">
        <f t="shared" si="51"/>
        <v>0</v>
      </c>
      <c r="AJ26" s="899">
        <f t="shared" si="52"/>
        <v>0</v>
      </c>
      <c r="AK26" s="900">
        <f t="shared" si="53"/>
        <v>0</v>
      </c>
      <c r="AL26" s="900">
        <f t="shared" si="33"/>
        <v>0</v>
      </c>
      <c r="AN26" s="49">
        <f>-'[4]Table 5C1E-LFNO'!R25</f>
        <v>0</v>
      </c>
      <c r="AO26" s="49">
        <f t="shared" si="54"/>
        <v>0</v>
      </c>
      <c r="AP26" s="49">
        <f t="shared" si="55"/>
        <v>0</v>
      </c>
    </row>
    <row r="27" spans="1:42">
      <c r="A27" s="879">
        <v>20</v>
      </c>
      <c r="B27" s="880" t="s">
        <v>111</v>
      </c>
      <c r="C27" s="970">
        <f>'2-1-13 SIS'!N26</f>
        <v>0</v>
      </c>
      <c r="D27" s="881">
        <f>'Table 3 Levels 1&amp;2'!AL27</f>
        <v>5420.2042919205833</v>
      </c>
      <c r="E27" s="920">
        <f t="shared" si="34"/>
        <v>0</v>
      </c>
      <c r="F27" s="920">
        <f>'Table 4 Level 3'!P25</f>
        <v>586.16999999999996</v>
      </c>
      <c r="G27" s="920">
        <f t="shared" si="35"/>
        <v>0</v>
      </c>
      <c r="H27" s="901">
        <f t="shared" si="36"/>
        <v>0</v>
      </c>
      <c r="I27" s="1745">
        <f>+'[3]Oct midyear LFNO'!K26</f>
        <v>0</v>
      </c>
      <c r="J27" s="1745">
        <f>'[3]Feb midyear LFNO '!K26</f>
        <v>0</v>
      </c>
      <c r="K27" s="1691">
        <f t="shared" si="37"/>
        <v>0</v>
      </c>
      <c r="L27" s="1452">
        <f t="shared" si="38"/>
        <v>0</v>
      </c>
      <c r="M27" s="930">
        <f t="shared" si="39"/>
        <v>0</v>
      </c>
      <c r="N27" s="901">
        <f t="shared" si="40"/>
        <v>0</v>
      </c>
      <c r="O27" s="881">
        <v>0</v>
      </c>
      <c r="P27" s="901">
        <f t="shared" si="41"/>
        <v>0</v>
      </c>
      <c r="Q27" s="1852">
        <f>'[4]Table 5C1E-LFNO'!M26+'[27]Table 5C1E-LFNO'!T26+('[26]Table 5C1E-LFNO'!T26*6)</f>
        <v>0</v>
      </c>
      <c r="R27" s="1853">
        <f t="shared" si="42"/>
        <v>0</v>
      </c>
      <c r="S27" s="1529">
        <f t="shared" si="43"/>
        <v>0</v>
      </c>
      <c r="T27" s="881"/>
      <c r="U27" s="901">
        <f t="shared" si="31"/>
        <v>0</v>
      </c>
      <c r="V27" s="902">
        <f>'Table 5C1A-Madison Prep'!T27</f>
        <v>2621</v>
      </c>
      <c r="W27" s="903">
        <f t="shared" si="32"/>
        <v>0</v>
      </c>
      <c r="X27" s="1779">
        <f>+'[3]Oct midyear LFNO'!E26</f>
        <v>0</v>
      </c>
      <c r="Y27" s="1780">
        <f t="shared" si="44"/>
        <v>0</v>
      </c>
      <c r="Z27" s="1762">
        <f>'[3]Feb midyear LFNO '!E26</f>
        <v>0</v>
      </c>
      <c r="AA27" s="1763">
        <f t="shared" si="45"/>
        <v>0</v>
      </c>
      <c r="AB27" s="1654">
        <f t="shared" si="46"/>
        <v>0</v>
      </c>
      <c r="AC27" s="1459">
        <f t="shared" si="47"/>
        <v>0</v>
      </c>
      <c r="AD27" s="938">
        <f t="shared" si="48"/>
        <v>0</v>
      </c>
      <c r="AE27" s="903">
        <f t="shared" si="49"/>
        <v>0</v>
      </c>
      <c r="AF27" s="1831">
        <v>0</v>
      </c>
      <c r="AG27" s="903">
        <f t="shared" si="50"/>
        <v>0</v>
      </c>
      <c r="AH27" s="1833">
        <f>'[4]Table 5C1E-LFNO'!V26+'[27]Table 5C1E-LFNO'!AH26+('[26]Table 5C1E-LFNO'!AH26*6)</f>
        <v>0</v>
      </c>
      <c r="AI27" s="1780">
        <f t="shared" si="51"/>
        <v>0</v>
      </c>
      <c r="AJ27" s="1530">
        <f t="shared" si="52"/>
        <v>0</v>
      </c>
      <c r="AK27" s="904">
        <f t="shared" si="53"/>
        <v>0</v>
      </c>
      <c r="AL27" s="904">
        <f t="shared" si="33"/>
        <v>0</v>
      </c>
      <c r="AN27" s="49">
        <f>-'[4]Table 5C1E-LFNO'!R26</f>
        <v>0</v>
      </c>
      <c r="AO27" s="49">
        <f t="shared" si="54"/>
        <v>0</v>
      </c>
      <c r="AP27" s="49">
        <f t="shared" si="55"/>
        <v>0</v>
      </c>
    </row>
    <row r="28" spans="1:42">
      <c r="A28" s="870">
        <v>21</v>
      </c>
      <c r="B28" s="871" t="s">
        <v>112</v>
      </c>
      <c r="C28" s="971">
        <f>'2-1-13 SIS'!N27</f>
        <v>0</v>
      </c>
      <c r="D28" s="872">
        <f>'Table 3 Levels 1&amp;2'!AL28</f>
        <v>5724.5404916279067</v>
      </c>
      <c r="E28" s="918">
        <f t="shared" si="34"/>
        <v>0</v>
      </c>
      <c r="F28" s="918">
        <f>'Table 4 Level 3'!P26</f>
        <v>610.35</v>
      </c>
      <c r="G28" s="918">
        <f t="shared" si="35"/>
        <v>0</v>
      </c>
      <c r="H28" s="873">
        <f t="shared" si="36"/>
        <v>0</v>
      </c>
      <c r="I28" s="1718">
        <f>+'[3]Oct midyear LFNO'!K27</f>
        <v>0</v>
      </c>
      <c r="J28" s="1718">
        <f>'[3]Feb midyear LFNO '!K27</f>
        <v>0</v>
      </c>
      <c r="K28" s="1542">
        <f t="shared" si="37"/>
        <v>0</v>
      </c>
      <c r="L28" s="1448">
        <f t="shared" si="38"/>
        <v>0</v>
      </c>
      <c r="M28" s="928">
        <f t="shared" si="39"/>
        <v>0</v>
      </c>
      <c r="N28" s="873">
        <f t="shared" si="40"/>
        <v>0</v>
      </c>
      <c r="O28" s="872">
        <v>0</v>
      </c>
      <c r="P28" s="873">
        <f t="shared" si="41"/>
        <v>0</v>
      </c>
      <c r="Q28" s="872">
        <f>'[4]Table 5C1E-LFNO'!M27+'[27]Table 5C1E-LFNO'!T27+('[26]Table 5C1E-LFNO'!T27*6)</f>
        <v>0</v>
      </c>
      <c r="R28" s="872">
        <f t="shared" si="42"/>
        <v>0</v>
      </c>
      <c r="S28" s="1520">
        <f t="shared" si="43"/>
        <v>0</v>
      </c>
      <c r="T28" s="872"/>
      <c r="U28" s="873">
        <f t="shared" si="31"/>
        <v>0</v>
      </c>
      <c r="V28" s="897">
        <f>'Table 5C1A-Madison Prep'!T28</f>
        <v>2445</v>
      </c>
      <c r="W28" s="874">
        <f t="shared" si="32"/>
        <v>0</v>
      </c>
      <c r="X28" s="1754">
        <f>+'[3]Oct midyear LFNO'!E27</f>
        <v>0</v>
      </c>
      <c r="Y28" s="1755">
        <f t="shared" si="44"/>
        <v>0</v>
      </c>
      <c r="Z28" s="1754">
        <f>'[3]Feb midyear LFNO '!E27</f>
        <v>0</v>
      </c>
      <c r="AA28" s="1755">
        <f t="shared" si="45"/>
        <v>0</v>
      </c>
      <c r="AB28" s="1652">
        <f t="shared" si="46"/>
        <v>0</v>
      </c>
      <c r="AC28" s="1462">
        <f t="shared" si="47"/>
        <v>0</v>
      </c>
      <c r="AD28" s="936">
        <f t="shared" si="48"/>
        <v>0</v>
      </c>
      <c r="AE28" s="874">
        <f t="shared" si="49"/>
        <v>0</v>
      </c>
      <c r="AF28" s="1829">
        <v>0</v>
      </c>
      <c r="AG28" s="874">
        <f t="shared" si="50"/>
        <v>0</v>
      </c>
      <c r="AH28" s="1755">
        <f>'[4]Table 5C1E-LFNO'!V27+'[27]Table 5C1E-LFNO'!AH27+('[26]Table 5C1E-LFNO'!AH27*6)</f>
        <v>0</v>
      </c>
      <c r="AI28" s="1755">
        <f t="shared" si="51"/>
        <v>0</v>
      </c>
      <c r="AJ28" s="1521">
        <f t="shared" si="52"/>
        <v>0</v>
      </c>
      <c r="AK28" s="875">
        <f t="shared" si="53"/>
        <v>0</v>
      </c>
      <c r="AL28" s="875">
        <f t="shared" si="33"/>
        <v>0</v>
      </c>
      <c r="AN28" s="49">
        <f>-'[4]Table 5C1E-LFNO'!R27</f>
        <v>0</v>
      </c>
      <c r="AO28" s="49">
        <f t="shared" si="54"/>
        <v>0</v>
      </c>
      <c r="AP28" s="49">
        <f t="shared" si="55"/>
        <v>0</v>
      </c>
    </row>
    <row r="29" spans="1:42">
      <c r="A29" s="876">
        <v>22</v>
      </c>
      <c r="B29" s="877" t="s">
        <v>113</v>
      </c>
      <c r="C29" s="969">
        <f>'2-1-13 SIS'!N28</f>
        <v>0</v>
      </c>
      <c r="D29" s="878">
        <f>'Table 3 Levels 1&amp;2'!AL29</f>
        <v>6203.2933768722742</v>
      </c>
      <c r="E29" s="919">
        <f t="shared" si="34"/>
        <v>0</v>
      </c>
      <c r="F29" s="919">
        <f>'Table 4 Level 3'!P27</f>
        <v>496.36</v>
      </c>
      <c r="G29" s="919">
        <f t="shared" si="35"/>
        <v>0</v>
      </c>
      <c r="H29" s="898">
        <f t="shared" si="36"/>
        <v>0</v>
      </c>
      <c r="I29" s="1744">
        <f>+'[3]Oct midyear LFNO'!K28</f>
        <v>0</v>
      </c>
      <c r="J29" s="1744">
        <f>'[3]Feb midyear LFNO '!K28</f>
        <v>0</v>
      </c>
      <c r="K29" s="1690">
        <f t="shared" si="37"/>
        <v>0</v>
      </c>
      <c r="L29" s="1451">
        <f t="shared" si="38"/>
        <v>0</v>
      </c>
      <c r="M29" s="929">
        <f t="shared" si="39"/>
        <v>0</v>
      </c>
      <c r="N29" s="898">
        <f t="shared" si="40"/>
        <v>0</v>
      </c>
      <c r="O29" s="878">
        <v>0</v>
      </c>
      <c r="P29" s="898">
        <f t="shared" si="41"/>
        <v>0</v>
      </c>
      <c r="Q29" s="872">
        <f>'[4]Table 5C1E-LFNO'!M28+'[27]Table 5C1E-LFNO'!T28+('[26]Table 5C1E-LFNO'!T28*6)</f>
        <v>0</v>
      </c>
      <c r="R29" s="1851">
        <f t="shared" si="42"/>
        <v>0</v>
      </c>
      <c r="S29" s="898">
        <f t="shared" si="43"/>
        <v>0</v>
      </c>
      <c r="T29" s="878"/>
      <c r="U29" s="898">
        <f t="shared" si="31"/>
        <v>0</v>
      </c>
      <c r="V29" s="897">
        <f>'Table 5C1A-Madison Prep'!T29</f>
        <v>1519</v>
      </c>
      <c r="W29" s="899">
        <f t="shared" si="32"/>
        <v>0</v>
      </c>
      <c r="X29" s="1777">
        <f>+'[3]Oct midyear LFNO'!E28</f>
        <v>0</v>
      </c>
      <c r="Y29" s="1778">
        <f t="shared" si="44"/>
        <v>0</v>
      </c>
      <c r="Z29" s="1758">
        <f>'[3]Feb midyear LFNO '!E28</f>
        <v>0</v>
      </c>
      <c r="AA29" s="1759">
        <f t="shared" si="45"/>
        <v>0</v>
      </c>
      <c r="AB29" s="1653">
        <f t="shared" si="46"/>
        <v>0</v>
      </c>
      <c r="AC29" s="1460">
        <f t="shared" si="47"/>
        <v>0</v>
      </c>
      <c r="AD29" s="937">
        <f t="shared" si="48"/>
        <v>0</v>
      </c>
      <c r="AE29" s="899">
        <f t="shared" si="49"/>
        <v>0</v>
      </c>
      <c r="AF29" s="1830">
        <v>0</v>
      </c>
      <c r="AG29" s="899">
        <f t="shared" si="50"/>
        <v>0</v>
      </c>
      <c r="AH29" s="1755">
        <f>'[4]Table 5C1E-LFNO'!V28+'[27]Table 5C1E-LFNO'!AH28+('[26]Table 5C1E-LFNO'!AH28*6)</f>
        <v>0</v>
      </c>
      <c r="AI29" s="1778">
        <f t="shared" si="51"/>
        <v>0</v>
      </c>
      <c r="AJ29" s="899">
        <f t="shared" si="52"/>
        <v>0</v>
      </c>
      <c r="AK29" s="900">
        <f t="shared" si="53"/>
        <v>0</v>
      </c>
      <c r="AL29" s="900">
        <f t="shared" si="33"/>
        <v>0</v>
      </c>
      <c r="AN29" s="49">
        <f>-'[4]Table 5C1E-LFNO'!R28</f>
        <v>0</v>
      </c>
      <c r="AO29" s="49">
        <f t="shared" si="54"/>
        <v>0</v>
      </c>
      <c r="AP29" s="49">
        <f t="shared" si="55"/>
        <v>0</v>
      </c>
    </row>
    <row r="30" spans="1:42">
      <c r="A30" s="876">
        <v>23</v>
      </c>
      <c r="B30" s="877" t="s">
        <v>114</v>
      </c>
      <c r="C30" s="969">
        <f>'2-1-13 SIS'!N29</f>
        <v>0</v>
      </c>
      <c r="D30" s="878">
        <f>'Table 3 Levels 1&amp;2'!AL30</f>
        <v>4846.0802490067681</v>
      </c>
      <c r="E30" s="919">
        <f t="shared" si="34"/>
        <v>0</v>
      </c>
      <c r="F30" s="919">
        <f>'Table 4 Level 3'!P28</f>
        <v>688.58</v>
      </c>
      <c r="G30" s="919">
        <f t="shared" si="35"/>
        <v>0</v>
      </c>
      <c r="H30" s="898">
        <f t="shared" si="36"/>
        <v>0</v>
      </c>
      <c r="I30" s="1744">
        <f>+'[3]Oct midyear LFNO'!K29</f>
        <v>0</v>
      </c>
      <c r="J30" s="1744">
        <f>'[3]Feb midyear LFNO '!K29</f>
        <v>0</v>
      </c>
      <c r="K30" s="1690">
        <f t="shared" si="37"/>
        <v>0</v>
      </c>
      <c r="L30" s="1451">
        <f t="shared" si="38"/>
        <v>0</v>
      </c>
      <c r="M30" s="929">
        <f t="shared" si="39"/>
        <v>0</v>
      </c>
      <c r="N30" s="898">
        <f t="shared" si="40"/>
        <v>0</v>
      </c>
      <c r="O30" s="878">
        <v>0</v>
      </c>
      <c r="P30" s="898">
        <f t="shared" si="41"/>
        <v>0</v>
      </c>
      <c r="Q30" s="872">
        <f>'[4]Table 5C1E-LFNO'!M29+'[27]Table 5C1E-LFNO'!T29+('[26]Table 5C1E-LFNO'!T29*6)</f>
        <v>0</v>
      </c>
      <c r="R30" s="1851">
        <f t="shared" si="42"/>
        <v>0</v>
      </c>
      <c r="S30" s="898">
        <f t="shared" si="43"/>
        <v>0</v>
      </c>
      <c r="T30" s="878"/>
      <c r="U30" s="898">
        <f t="shared" si="31"/>
        <v>0</v>
      </c>
      <c r="V30" s="897">
        <f>'Table 5C1A-Madison Prep'!T30</f>
        <v>3365</v>
      </c>
      <c r="W30" s="899">
        <f t="shared" si="32"/>
        <v>0</v>
      </c>
      <c r="X30" s="1777">
        <f>+'[3]Oct midyear LFNO'!E29</f>
        <v>0</v>
      </c>
      <c r="Y30" s="1778">
        <f t="shared" si="44"/>
        <v>0</v>
      </c>
      <c r="Z30" s="1758">
        <f>'[3]Feb midyear LFNO '!E29</f>
        <v>0</v>
      </c>
      <c r="AA30" s="1759">
        <f t="shared" si="45"/>
        <v>0</v>
      </c>
      <c r="AB30" s="1653">
        <f t="shared" si="46"/>
        <v>0</v>
      </c>
      <c r="AC30" s="1460">
        <f t="shared" si="47"/>
        <v>0</v>
      </c>
      <c r="AD30" s="937">
        <f t="shared" si="48"/>
        <v>0</v>
      </c>
      <c r="AE30" s="899">
        <f t="shared" si="49"/>
        <v>0</v>
      </c>
      <c r="AF30" s="1830">
        <v>0</v>
      </c>
      <c r="AG30" s="899">
        <f t="shared" si="50"/>
        <v>0</v>
      </c>
      <c r="AH30" s="1755">
        <f>'[4]Table 5C1E-LFNO'!V29+'[27]Table 5C1E-LFNO'!AH29+('[26]Table 5C1E-LFNO'!AH29*6)</f>
        <v>0</v>
      </c>
      <c r="AI30" s="1778">
        <f t="shared" si="51"/>
        <v>0</v>
      </c>
      <c r="AJ30" s="899">
        <f t="shared" si="52"/>
        <v>0</v>
      </c>
      <c r="AK30" s="900">
        <f t="shared" si="53"/>
        <v>0</v>
      </c>
      <c r="AL30" s="900">
        <f t="shared" si="33"/>
        <v>0</v>
      </c>
      <c r="AN30" s="49">
        <f>-'[4]Table 5C1E-LFNO'!R29</f>
        <v>0</v>
      </c>
      <c r="AO30" s="49">
        <f t="shared" si="54"/>
        <v>0</v>
      </c>
      <c r="AP30" s="49">
        <f t="shared" si="55"/>
        <v>0</v>
      </c>
    </row>
    <row r="31" spans="1:42">
      <c r="A31" s="876">
        <v>24</v>
      </c>
      <c r="B31" s="877" t="s">
        <v>115</v>
      </c>
      <c r="C31" s="969">
        <f>'2-1-13 SIS'!N30</f>
        <v>0</v>
      </c>
      <c r="D31" s="878">
        <f>'Table 3 Levels 1&amp;2'!AL31</f>
        <v>2764.1216755319151</v>
      </c>
      <c r="E31" s="919">
        <f t="shared" si="34"/>
        <v>0</v>
      </c>
      <c r="F31" s="919">
        <f>'Table 4 Level 3'!P29</f>
        <v>854.24999999999989</v>
      </c>
      <c r="G31" s="919">
        <f t="shared" si="35"/>
        <v>0</v>
      </c>
      <c r="H31" s="898">
        <f t="shared" si="36"/>
        <v>0</v>
      </c>
      <c r="I31" s="1744">
        <f>+'[3]Oct midyear LFNO'!K30</f>
        <v>0</v>
      </c>
      <c r="J31" s="1744">
        <f>'[3]Feb midyear LFNO '!K30</f>
        <v>0</v>
      </c>
      <c r="K31" s="1690">
        <f t="shared" si="37"/>
        <v>0</v>
      </c>
      <c r="L31" s="1451">
        <f t="shared" si="38"/>
        <v>0</v>
      </c>
      <c r="M31" s="929">
        <f t="shared" si="39"/>
        <v>0</v>
      </c>
      <c r="N31" s="898">
        <f t="shared" si="40"/>
        <v>0</v>
      </c>
      <c r="O31" s="878">
        <v>0</v>
      </c>
      <c r="P31" s="898">
        <f t="shared" si="41"/>
        <v>0</v>
      </c>
      <c r="Q31" s="872">
        <f>'[4]Table 5C1E-LFNO'!M30+'[27]Table 5C1E-LFNO'!T30+('[26]Table 5C1E-LFNO'!T30*6)</f>
        <v>0</v>
      </c>
      <c r="R31" s="1851">
        <f t="shared" si="42"/>
        <v>0</v>
      </c>
      <c r="S31" s="898">
        <f t="shared" si="43"/>
        <v>0</v>
      </c>
      <c r="T31" s="878"/>
      <c r="U31" s="898">
        <f t="shared" si="31"/>
        <v>0</v>
      </c>
      <c r="V31" s="897">
        <f>'Table 5C1A-Madison Prep'!T31</f>
        <v>10907</v>
      </c>
      <c r="W31" s="899">
        <f t="shared" si="32"/>
        <v>0</v>
      </c>
      <c r="X31" s="1777">
        <f>+'[3]Oct midyear LFNO'!E30</f>
        <v>0</v>
      </c>
      <c r="Y31" s="1778">
        <f t="shared" si="44"/>
        <v>0</v>
      </c>
      <c r="Z31" s="1758">
        <f>'[3]Feb midyear LFNO '!E30</f>
        <v>0</v>
      </c>
      <c r="AA31" s="1759">
        <f t="shared" si="45"/>
        <v>0</v>
      </c>
      <c r="AB31" s="1653">
        <f t="shared" si="46"/>
        <v>0</v>
      </c>
      <c r="AC31" s="1460">
        <f t="shared" si="47"/>
        <v>0</v>
      </c>
      <c r="AD31" s="937">
        <f t="shared" si="48"/>
        <v>0</v>
      </c>
      <c r="AE31" s="899">
        <f t="shared" si="49"/>
        <v>0</v>
      </c>
      <c r="AF31" s="1830">
        <v>0</v>
      </c>
      <c r="AG31" s="899">
        <f t="shared" si="50"/>
        <v>0</v>
      </c>
      <c r="AH31" s="1755">
        <f>'[4]Table 5C1E-LFNO'!V30+'[27]Table 5C1E-LFNO'!AH30+('[26]Table 5C1E-LFNO'!AH30*6)</f>
        <v>0</v>
      </c>
      <c r="AI31" s="1778">
        <f t="shared" si="51"/>
        <v>0</v>
      </c>
      <c r="AJ31" s="899">
        <f t="shared" si="52"/>
        <v>0</v>
      </c>
      <c r="AK31" s="900">
        <f t="shared" si="53"/>
        <v>0</v>
      </c>
      <c r="AL31" s="900">
        <f t="shared" si="33"/>
        <v>0</v>
      </c>
      <c r="AN31" s="49">
        <f>-'[4]Table 5C1E-LFNO'!R30</f>
        <v>0</v>
      </c>
      <c r="AO31" s="49">
        <f t="shared" si="54"/>
        <v>0</v>
      </c>
      <c r="AP31" s="49">
        <f t="shared" si="55"/>
        <v>0</v>
      </c>
    </row>
    <row r="32" spans="1:42">
      <c r="A32" s="879">
        <v>25</v>
      </c>
      <c r="B32" s="880" t="s">
        <v>116</v>
      </c>
      <c r="C32" s="970">
        <f>'2-1-13 SIS'!N31</f>
        <v>0</v>
      </c>
      <c r="D32" s="881">
        <f>'Table 3 Levels 1&amp;2'!AL32</f>
        <v>3867.4480692053257</v>
      </c>
      <c r="E32" s="920">
        <f t="shared" si="34"/>
        <v>0</v>
      </c>
      <c r="F32" s="920">
        <f>'Table 4 Level 3'!P30</f>
        <v>653.73</v>
      </c>
      <c r="G32" s="920">
        <f t="shared" si="35"/>
        <v>0</v>
      </c>
      <c r="H32" s="901">
        <f t="shared" si="36"/>
        <v>0</v>
      </c>
      <c r="I32" s="1745">
        <f>+'[3]Oct midyear LFNO'!K31</f>
        <v>0</v>
      </c>
      <c r="J32" s="1745">
        <f>'[3]Feb midyear LFNO '!K31</f>
        <v>0</v>
      </c>
      <c r="K32" s="1691">
        <f t="shared" si="37"/>
        <v>0</v>
      </c>
      <c r="L32" s="1452">
        <f t="shared" si="38"/>
        <v>0</v>
      </c>
      <c r="M32" s="930">
        <f t="shared" si="39"/>
        <v>0</v>
      </c>
      <c r="N32" s="901">
        <f t="shared" si="40"/>
        <v>0</v>
      </c>
      <c r="O32" s="881">
        <v>0</v>
      </c>
      <c r="P32" s="901">
        <f t="shared" si="41"/>
        <v>0</v>
      </c>
      <c r="Q32" s="1852">
        <f>'[4]Table 5C1E-LFNO'!M31+'[27]Table 5C1E-LFNO'!T31+('[26]Table 5C1E-LFNO'!T31*6)</f>
        <v>0</v>
      </c>
      <c r="R32" s="1853">
        <f t="shared" si="42"/>
        <v>0</v>
      </c>
      <c r="S32" s="1529">
        <f t="shared" si="43"/>
        <v>0</v>
      </c>
      <c r="T32" s="881"/>
      <c r="U32" s="901">
        <f t="shared" si="31"/>
        <v>0</v>
      </c>
      <c r="V32" s="902">
        <f>'Table 5C1A-Madison Prep'!T32</f>
        <v>5156</v>
      </c>
      <c r="W32" s="903">
        <f t="shared" si="32"/>
        <v>0</v>
      </c>
      <c r="X32" s="1779">
        <f>+'[3]Oct midyear LFNO'!E31</f>
        <v>0</v>
      </c>
      <c r="Y32" s="1780">
        <f t="shared" si="44"/>
        <v>0</v>
      </c>
      <c r="Z32" s="1762">
        <f>'[3]Feb midyear LFNO '!E31</f>
        <v>0</v>
      </c>
      <c r="AA32" s="1763">
        <f t="shared" si="45"/>
        <v>0</v>
      </c>
      <c r="AB32" s="1654">
        <f t="shared" si="46"/>
        <v>0</v>
      </c>
      <c r="AC32" s="1459">
        <f t="shared" si="47"/>
        <v>0</v>
      </c>
      <c r="AD32" s="938">
        <f t="shared" si="48"/>
        <v>0</v>
      </c>
      <c r="AE32" s="903">
        <f t="shared" si="49"/>
        <v>0</v>
      </c>
      <c r="AF32" s="1831">
        <v>0</v>
      </c>
      <c r="AG32" s="903">
        <f t="shared" si="50"/>
        <v>0</v>
      </c>
      <c r="AH32" s="1833">
        <f>'[4]Table 5C1E-LFNO'!V31+'[27]Table 5C1E-LFNO'!AH31+('[26]Table 5C1E-LFNO'!AH31*6)</f>
        <v>0</v>
      </c>
      <c r="AI32" s="1780">
        <f t="shared" si="51"/>
        <v>0</v>
      </c>
      <c r="AJ32" s="1530">
        <f t="shared" si="52"/>
        <v>0</v>
      </c>
      <c r="AK32" s="904">
        <f t="shared" si="53"/>
        <v>0</v>
      </c>
      <c r="AL32" s="904">
        <f t="shared" si="33"/>
        <v>0</v>
      </c>
      <c r="AN32" s="49">
        <f>-'[4]Table 5C1E-LFNO'!R31</f>
        <v>0</v>
      </c>
      <c r="AO32" s="49">
        <f t="shared" si="54"/>
        <v>0</v>
      </c>
      <c r="AP32" s="49">
        <f t="shared" si="55"/>
        <v>0</v>
      </c>
    </row>
    <row r="33" spans="1:42">
      <c r="A33" s="870">
        <v>26</v>
      </c>
      <c r="B33" s="871" t="s">
        <v>117</v>
      </c>
      <c r="C33" s="971">
        <f>'2-1-13 SIS'!N32</f>
        <v>49</v>
      </c>
      <c r="D33" s="872">
        <f>'Table 3 Levels 1&amp;2'!AL33</f>
        <v>3293.481526790355</v>
      </c>
      <c r="E33" s="918">
        <f t="shared" si="34"/>
        <v>161380.59481272739</v>
      </c>
      <c r="F33" s="918">
        <f>'Table 4 Level 3'!P31</f>
        <v>836.83</v>
      </c>
      <c r="G33" s="918">
        <f t="shared" si="35"/>
        <v>41004.670000000006</v>
      </c>
      <c r="H33" s="873">
        <f t="shared" si="36"/>
        <v>202385.2648127274</v>
      </c>
      <c r="I33" s="1718">
        <f>+'[3]Oct midyear LFNO'!K32</f>
        <v>86736.542062597451</v>
      </c>
      <c r="J33" s="1718">
        <f>'[3]Feb midyear LFNO '!K32</f>
        <v>2065.1557633951775</v>
      </c>
      <c r="K33" s="1542">
        <f t="shared" si="37"/>
        <v>88801.697825992625</v>
      </c>
      <c r="L33" s="1448">
        <f t="shared" si="38"/>
        <v>291186.96263872006</v>
      </c>
      <c r="M33" s="928">
        <f t="shared" si="39"/>
        <v>-727.96740659680017</v>
      </c>
      <c r="N33" s="873">
        <f t="shared" si="40"/>
        <v>290458.99523212324</v>
      </c>
      <c r="O33" s="872">
        <v>0</v>
      </c>
      <c r="P33" s="873">
        <f t="shared" si="41"/>
        <v>290458.99523212324</v>
      </c>
      <c r="Q33" s="872">
        <f>'[4]Table 5C1E-LFNO'!M32+'[27]Table 5C1E-LFNO'!T32+('[26]Table 5C1E-LFNO'!T32*6)</f>
        <v>174812.24376704014</v>
      </c>
      <c r="R33" s="872">
        <f t="shared" si="42"/>
        <v>115646.7514650831</v>
      </c>
      <c r="S33" s="1520">
        <f t="shared" si="43"/>
        <v>28912</v>
      </c>
      <c r="T33" s="872"/>
      <c r="U33" s="873">
        <f t="shared" si="31"/>
        <v>290458.99523212324</v>
      </c>
      <c r="V33" s="897">
        <f>'Table 5C1A-Madison Prep'!T33</f>
        <v>5344</v>
      </c>
      <c r="W33" s="874">
        <f t="shared" si="32"/>
        <v>261856</v>
      </c>
      <c r="X33" s="1754">
        <f>+'[3]Oct midyear LFNO'!E32</f>
        <v>21</v>
      </c>
      <c r="Y33" s="1755">
        <f t="shared" si="44"/>
        <v>112224</v>
      </c>
      <c r="Z33" s="1754">
        <f>'[3]Feb midyear LFNO '!E32</f>
        <v>1</v>
      </c>
      <c r="AA33" s="1755">
        <f t="shared" si="45"/>
        <v>2672</v>
      </c>
      <c r="AB33" s="1652">
        <f t="shared" si="46"/>
        <v>114896</v>
      </c>
      <c r="AC33" s="1462">
        <f t="shared" si="47"/>
        <v>376752</v>
      </c>
      <c r="AD33" s="936">
        <f t="shared" si="48"/>
        <v>-941.88</v>
      </c>
      <c r="AE33" s="874">
        <f t="shared" si="49"/>
        <v>375810.12</v>
      </c>
      <c r="AF33" s="1829">
        <v>0</v>
      </c>
      <c r="AG33" s="874">
        <f t="shared" si="50"/>
        <v>375810.12</v>
      </c>
      <c r="AH33" s="1755">
        <f>'[4]Table 5C1E-LFNO'!V32+'[27]Table 5C1E-LFNO'!AH32+('[26]Table 5C1E-LFNO'!AH32*6)</f>
        <v>224318.40454545454</v>
      </c>
      <c r="AI33" s="1755">
        <f t="shared" si="51"/>
        <v>151491.71545454545</v>
      </c>
      <c r="AJ33" s="1521">
        <f t="shared" si="52"/>
        <v>37873</v>
      </c>
      <c r="AK33" s="875">
        <f t="shared" si="53"/>
        <v>666269.11523212329</v>
      </c>
      <c r="AL33" s="875">
        <f t="shared" si="33"/>
        <v>66785</v>
      </c>
      <c r="AN33" s="49">
        <f>-'[4]Table 5C1E-LFNO'!R32</f>
        <v>649.25</v>
      </c>
      <c r="AO33" s="49">
        <f t="shared" si="54"/>
        <v>-941.88</v>
      </c>
      <c r="AP33" s="49">
        <f t="shared" si="55"/>
        <v>-292.63</v>
      </c>
    </row>
    <row r="34" spans="1:42">
      <c r="A34" s="876">
        <v>27</v>
      </c>
      <c r="B34" s="877" t="s">
        <v>118</v>
      </c>
      <c r="C34" s="972">
        <f>'2-1-13 SIS'!N33</f>
        <v>0</v>
      </c>
      <c r="D34" s="882">
        <f>'Table 3 Levels 1&amp;2'!AL34</f>
        <v>5680.7727517381973</v>
      </c>
      <c r="E34" s="921">
        <f t="shared" si="34"/>
        <v>0</v>
      </c>
      <c r="F34" s="921">
        <f>'Table 4 Level 3'!P32</f>
        <v>693.06</v>
      </c>
      <c r="G34" s="921">
        <f t="shared" si="35"/>
        <v>0</v>
      </c>
      <c r="H34" s="905">
        <f t="shared" si="36"/>
        <v>0</v>
      </c>
      <c r="I34" s="1746">
        <f>+'[3]Oct midyear LFNO'!K33</f>
        <v>0</v>
      </c>
      <c r="J34" s="1746">
        <f>'[3]Feb midyear LFNO '!K33</f>
        <v>0</v>
      </c>
      <c r="K34" s="1692">
        <f t="shared" si="37"/>
        <v>0</v>
      </c>
      <c r="L34" s="1453">
        <f t="shared" si="38"/>
        <v>0</v>
      </c>
      <c r="M34" s="931">
        <f t="shared" si="39"/>
        <v>0</v>
      </c>
      <c r="N34" s="905">
        <f t="shared" si="40"/>
        <v>0</v>
      </c>
      <c r="O34" s="882">
        <v>0</v>
      </c>
      <c r="P34" s="905">
        <f t="shared" si="41"/>
        <v>0</v>
      </c>
      <c r="Q34" s="872">
        <f>'[4]Table 5C1E-LFNO'!M33+'[27]Table 5C1E-LFNO'!T33+('[26]Table 5C1E-LFNO'!T33*6)</f>
        <v>0</v>
      </c>
      <c r="R34" s="1854">
        <f t="shared" si="42"/>
        <v>0</v>
      </c>
      <c r="S34" s="898">
        <f t="shared" si="43"/>
        <v>0</v>
      </c>
      <c r="T34" s="882"/>
      <c r="U34" s="905">
        <f t="shared" si="31"/>
        <v>0</v>
      </c>
      <c r="V34" s="897">
        <f>'Table 5C1A-Madison Prep'!T34</f>
        <v>3271</v>
      </c>
      <c r="W34" s="899">
        <f t="shared" si="32"/>
        <v>0</v>
      </c>
      <c r="X34" s="1777">
        <f>+'[3]Oct midyear LFNO'!E33</f>
        <v>0</v>
      </c>
      <c r="Y34" s="1778">
        <f t="shared" si="44"/>
        <v>0</v>
      </c>
      <c r="Z34" s="1758">
        <f>'[3]Feb midyear LFNO '!E33</f>
        <v>0</v>
      </c>
      <c r="AA34" s="1759">
        <f t="shared" si="45"/>
        <v>0</v>
      </c>
      <c r="AB34" s="1653">
        <f t="shared" si="46"/>
        <v>0</v>
      </c>
      <c r="AC34" s="1460">
        <f t="shared" si="47"/>
        <v>0</v>
      </c>
      <c r="AD34" s="937">
        <f t="shared" si="48"/>
        <v>0</v>
      </c>
      <c r="AE34" s="899">
        <f t="shared" si="49"/>
        <v>0</v>
      </c>
      <c r="AF34" s="1830">
        <v>0</v>
      </c>
      <c r="AG34" s="899">
        <f t="shared" si="50"/>
        <v>0</v>
      </c>
      <c r="AH34" s="1755">
        <f>'[4]Table 5C1E-LFNO'!V33+'[27]Table 5C1E-LFNO'!AH33+('[26]Table 5C1E-LFNO'!AH33*6)</f>
        <v>0</v>
      </c>
      <c r="AI34" s="1778">
        <f t="shared" si="51"/>
        <v>0</v>
      </c>
      <c r="AJ34" s="899">
        <f t="shared" si="52"/>
        <v>0</v>
      </c>
      <c r="AK34" s="900">
        <f t="shared" si="53"/>
        <v>0</v>
      </c>
      <c r="AL34" s="900">
        <f t="shared" si="33"/>
        <v>0</v>
      </c>
      <c r="AN34" s="49">
        <f>-'[4]Table 5C1E-LFNO'!R33</f>
        <v>0</v>
      </c>
      <c r="AO34" s="49">
        <f t="shared" si="54"/>
        <v>0</v>
      </c>
      <c r="AP34" s="49">
        <f t="shared" si="55"/>
        <v>0</v>
      </c>
    </row>
    <row r="35" spans="1:42">
      <c r="A35" s="876">
        <v>28</v>
      </c>
      <c r="B35" s="877" t="s">
        <v>119</v>
      </c>
      <c r="C35" s="972">
        <f>'2-1-13 SIS'!N34</f>
        <v>0</v>
      </c>
      <c r="D35" s="882">
        <f>'Table 3 Levels 1&amp;2'!AL35</f>
        <v>3163.1694438483169</v>
      </c>
      <c r="E35" s="921">
        <f t="shared" si="34"/>
        <v>0</v>
      </c>
      <c r="F35" s="921">
        <f>'Table 4 Level 3'!P33</f>
        <v>694.4</v>
      </c>
      <c r="G35" s="921">
        <f t="shared" si="35"/>
        <v>0</v>
      </c>
      <c r="H35" s="905">
        <f t="shared" si="36"/>
        <v>0</v>
      </c>
      <c r="I35" s="1746">
        <f>+'[3]Oct midyear LFNO'!K34</f>
        <v>0</v>
      </c>
      <c r="J35" s="1746">
        <f>'[3]Feb midyear LFNO '!K34</f>
        <v>0</v>
      </c>
      <c r="K35" s="1692">
        <f t="shared" si="37"/>
        <v>0</v>
      </c>
      <c r="L35" s="1453">
        <f t="shared" si="38"/>
        <v>0</v>
      </c>
      <c r="M35" s="931">
        <f t="shared" si="39"/>
        <v>0</v>
      </c>
      <c r="N35" s="905">
        <f t="shared" si="40"/>
        <v>0</v>
      </c>
      <c r="O35" s="882">
        <v>0</v>
      </c>
      <c r="P35" s="905">
        <f t="shared" si="41"/>
        <v>0</v>
      </c>
      <c r="Q35" s="872">
        <f>'[4]Table 5C1E-LFNO'!M34+'[27]Table 5C1E-LFNO'!T34+('[26]Table 5C1E-LFNO'!T34*6)</f>
        <v>0</v>
      </c>
      <c r="R35" s="1854">
        <f t="shared" si="42"/>
        <v>0</v>
      </c>
      <c r="S35" s="898">
        <f t="shared" si="43"/>
        <v>0</v>
      </c>
      <c r="T35" s="882"/>
      <c r="U35" s="905">
        <f t="shared" si="31"/>
        <v>0</v>
      </c>
      <c r="V35" s="897">
        <f>'Table 5C1A-Madison Prep'!T35</f>
        <v>5647</v>
      </c>
      <c r="W35" s="899">
        <f t="shared" si="32"/>
        <v>0</v>
      </c>
      <c r="X35" s="1777">
        <f>+'[3]Oct midyear LFNO'!E34</f>
        <v>0</v>
      </c>
      <c r="Y35" s="1778">
        <f t="shared" si="44"/>
        <v>0</v>
      </c>
      <c r="Z35" s="1758">
        <f>'[3]Feb midyear LFNO '!E34</f>
        <v>0</v>
      </c>
      <c r="AA35" s="1759">
        <f t="shared" si="45"/>
        <v>0</v>
      </c>
      <c r="AB35" s="1653">
        <f t="shared" si="46"/>
        <v>0</v>
      </c>
      <c r="AC35" s="1460">
        <f t="shared" si="47"/>
        <v>0</v>
      </c>
      <c r="AD35" s="937">
        <f t="shared" si="48"/>
        <v>0</v>
      </c>
      <c r="AE35" s="899">
        <f t="shared" si="49"/>
        <v>0</v>
      </c>
      <c r="AF35" s="1830">
        <v>0</v>
      </c>
      <c r="AG35" s="899">
        <f t="shared" si="50"/>
        <v>0</v>
      </c>
      <c r="AH35" s="1755">
        <f>'[4]Table 5C1E-LFNO'!V34+'[27]Table 5C1E-LFNO'!AH34+('[26]Table 5C1E-LFNO'!AH34*6)</f>
        <v>0</v>
      </c>
      <c r="AI35" s="1778">
        <f t="shared" si="51"/>
        <v>0</v>
      </c>
      <c r="AJ35" s="899">
        <f t="shared" si="52"/>
        <v>0</v>
      </c>
      <c r="AK35" s="900">
        <f t="shared" si="53"/>
        <v>0</v>
      </c>
      <c r="AL35" s="900">
        <f t="shared" si="33"/>
        <v>0</v>
      </c>
      <c r="AN35" s="49">
        <f>-'[4]Table 5C1E-LFNO'!R34</f>
        <v>0</v>
      </c>
      <c r="AO35" s="49">
        <f t="shared" si="54"/>
        <v>0</v>
      </c>
      <c r="AP35" s="49">
        <f t="shared" si="55"/>
        <v>0</v>
      </c>
    </row>
    <row r="36" spans="1:42">
      <c r="A36" s="876">
        <v>29</v>
      </c>
      <c r="B36" s="877" t="s">
        <v>120</v>
      </c>
      <c r="C36" s="972">
        <f>'2-1-13 SIS'!N35</f>
        <v>0</v>
      </c>
      <c r="D36" s="882">
        <f>'Table 3 Levels 1&amp;2'!AL36</f>
        <v>3952.5586133052648</v>
      </c>
      <c r="E36" s="921">
        <f t="shared" si="34"/>
        <v>0</v>
      </c>
      <c r="F36" s="921">
        <f>'Table 4 Level 3'!P34</f>
        <v>754.94999999999993</v>
      </c>
      <c r="G36" s="921">
        <f t="shared" si="35"/>
        <v>0</v>
      </c>
      <c r="H36" s="905">
        <f t="shared" si="36"/>
        <v>0</v>
      </c>
      <c r="I36" s="1746">
        <f>+'[3]Oct midyear LFNO'!K35</f>
        <v>4707.5086133052646</v>
      </c>
      <c r="J36" s="1746">
        <f>'[3]Feb midyear LFNO '!K35</f>
        <v>0</v>
      </c>
      <c r="K36" s="1692">
        <f t="shared" si="37"/>
        <v>4707.5086133052646</v>
      </c>
      <c r="L36" s="1453">
        <f t="shared" si="38"/>
        <v>4707.5086133052646</v>
      </c>
      <c r="M36" s="931">
        <f t="shared" si="39"/>
        <v>-11.768771533263161</v>
      </c>
      <c r="N36" s="905">
        <f t="shared" si="40"/>
        <v>4695.7398417720015</v>
      </c>
      <c r="O36" s="882">
        <v>0</v>
      </c>
      <c r="P36" s="905">
        <f t="shared" si="41"/>
        <v>4695.7398417720015</v>
      </c>
      <c r="Q36" s="872">
        <f>'[4]Table 5C1E-LFNO'!M35+'[27]Table 5C1E-LFNO'!T35+('[26]Table 5C1E-LFNO'!T35*6)</f>
        <v>2988.1980811276376</v>
      </c>
      <c r="R36" s="1854">
        <f t="shared" si="42"/>
        <v>1707.5417606443639</v>
      </c>
      <c r="S36" s="898">
        <f t="shared" si="43"/>
        <v>427</v>
      </c>
      <c r="T36" s="882"/>
      <c r="U36" s="905">
        <f t="shared" si="31"/>
        <v>4695.7398417720015</v>
      </c>
      <c r="V36" s="897">
        <f>'Table 5C1A-Madison Prep'!T36</f>
        <v>4826</v>
      </c>
      <c r="W36" s="899">
        <f t="shared" si="32"/>
        <v>0</v>
      </c>
      <c r="X36" s="1777">
        <f>+'[3]Oct midyear LFNO'!E35</f>
        <v>1</v>
      </c>
      <c r="Y36" s="1778">
        <f t="shared" si="44"/>
        <v>4826</v>
      </c>
      <c r="Z36" s="1758">
        <f>'[3]Feb midyear LFNO '!E35</f>
        <v>0</v>
      </c>
      <c r="AA36" s="1759">
        <f t="shared" si="45"/>
        <v>0</v>
      </c>
      <c r="AB36" s="1653">
        <f t="shared" si="46"/>
        <v>4826</v>
      </c>
      <c r="AC36" s="1460">
        <f t="shared" si="47"/>
        <v>4826</v>
      </c>
      <c r="AD36" s="937">
        <f t="shared" si="48"/>
        <v>-12.065</v>
      </c>
      <c r="AE36" s="899">
        <f t="shared" si="49"/>
        <v>4813.9350000000004</v>
      </c>
      <c r="AF36" s="1830">
        <v>0</v>
      </c>
      <c r="AG36" s="899">
        <f t="shared" si="50"/>
        <v>4813.9350000000004</v>
      </c>
      <c r="AH36" s="1755">
        <f>'[4]Table 5C1E-LFNO'!V35+'[27]Table 5C1E-LFNO'!AH35+('[26]Table 5C1E-LFNO'!AH35*6)</f>
        <v>3023.4225000000001</v>
      </c>
      <c r="AI36" s="1778">
        <f t="shared" si="51"/>
        <v>1790.5125000000003</v>
      </c>
      <c r="AJ36" s="899">
        <f t="shared" si="52"/>
        <v>448</v>
      </c>
      <c r="AK36" s="900">
        <f t="shared" si="53"/>
        <v>9509.6748417720009</v>
      </c>
      <c r="AL36" s="900">
        <f t="shared" si="33"/>
        <v>875</v>
      </c>
      <c r="AN36" s="49">
        <f>-'[4]Table 5C1E-LFNO'!R35</f>
        <v>0</v>
      </c>
      <c r="AO36" s="49">
        <f t="shared" si="54"/>
        <v>-12.065</v>
      </c>
      <c r="AP36" s="49">
        <f t="shared" si="55"/>
        <v>-12.065</v>
      </c>
    </row>
    <row r="37" spans="1:42">
      <c r="A37" s="879">
        <v>30</v>
      </c>
      <c r="B37" s="880" t="s">
        <v>121</v>
      </c>
      <c r="C37" s="973">
        <f>'2-1-13 SIS'!N36</f>
        <v>0</v>
      </c>
      <c r="D37" s="883">
        <f>'Table 3 Levels 1&amp;2'!AL37</f>
        <v>5648.6510465852989</v>
      </c>
      <c r="E37" s="922">
        <f t="shared" si="34"/>
        <v>0</v>
      </c>
      <c r="F37" s="922">
        <f>'Table 4 Level 3'!P35</f>
        <v>727.17</v>
      </c>
      <c r="G37" s="922">
        <f t="shared" si="35"/>
        <v>0</v>
      </c>
      <c r="H37" s="906">
        <f t="shared" si="36"/>
        <v>0</v>
      </c>
      <c r="I37" s="1747">
        <f>+'[3]Oct midyear LFNO'!K36</f>
        <v>0</v>
      </c>
      <c r="J37" s="1747">
        <f>'[3]Feb midyear LFNO '!K36</f>
        <v>0</v>
      </c>
      <c r="K37" s="1693">
        <f t="shared" si="37"/>
        <v>0</v>
      </c>
      <c r="L37" s="1454">
        <f t="shared" si="38"/>
        <v>0</v>
      </c>
      <c r="M37" s="932">
        <f t="shared" si="39"/>
        <v>0</v>
      </c>
      <c r="N37" s="906">
        <f t="shared" si="40"/>
        <v>0</v>
      </c>
      <c r="O37" s="883">
        <v>0</v>
      </c>
      <c r="P37" s="906">
        <f t="shared" si="41"/>
        <v>0</v>
      </c>
      <c r="Q37" s="1852">
        <f>'[4]Table 5C1E-LFNO'!M36+'[27]Table 5C1E-LFNO'!T36+('[26]Table 5C1E-LFNO'!T36*6)</f>
        <v>0</v>
      </c>
      <c r="R37" s="1855">
        <f t="shared" si="42"/>
        <v>0</v>
      </c>
      <c r="S37" s="1529">
        <f t="shared" si="43"/>
        <v>0</v>
      </c>
      <c r="T37" s="883"/>
      <c r="U37" s="906">
        <f t="shared" si="31"/>
        <v>0</v>
      </c>
      <c r="V37" s="902">
        <f>'Table 5C1A-Madison Prep'!T37</f>
        <v>4193</v>
      </c>
      <c r="W37" s="903">
        <f t="shared" si="32"/>
        <v>0</v>
      </c>
      <c r="X37" s="1779">
        <f>+'[3]Oct midyear LFNO'!E36</f>
        <v>0</v>
      </c>
      <c r="Y37" s="1780">
        <f t="shared" si="44"/>
        <v>0</v>
      </c>
      <c r="Z37" s="1762">
        <f>'[3]Feb midyear LFNO '!E36</f>
        <v>0</v>
      </c>
      <c r="AA37" s="1763">
        <f t="shared" si="45"/>
        <v>0</v>
      </c>
      <c r="AB37" s="1654">
        <f t="shared" si="46"/>
        <v>0</v>
      </c>
      <c r="AC37" s="1459">
        <f t="shared" si="47"/>
        <v>0</v>
      </c>
      <c r="AD37" s="938">
        <f t="shared" si="48"/>
        <v>0</v>
      </c>
      <c r="AE37" s="903">
        <f t="shared" si="49"/>
        <v>0</v>
      </c>
      <c r="AF37" s="1831">
        <v>0</v>
      </c>
      <c r="AG37" s="903">
        <f t="shared" si="50"/>
        <v>0</v>
      </c>
      <c r="AH37" s="1833">
        <f>'[4]Table 5C1E-LFNO'!V36+'[27]Table 5C1E-LFNO'!AH36+('[26]Table 5C1E-LFNO'!AH36*6)</f>
        <v>0</v>
      </c>
      <c r="AI37" s="1780">
        <f t="shared" si="51"/>
        <v>0</v>
      </c>
      <c r="AJ37" s="1530">
        <f t="shared" si="52"/>
        <v>0</v>
      </c>
      <c r="AK37" s="904">
        <f t="shared" si="53"/>
        <v>0</v>
      </c>
      <c r="AL37" s="904">
        <f t="shared" si="33"/>
        <v>0</v>
      </c>
      <c r="AN37" s="49">
        <f>-'[4]Table 5C1E-LFNO'!R36</f>
        <v>0</v>
      </c>
      <c r="AO37" s="49">
        <f t="shared" si="54"/>
        <v>0</v>
      </c>
      <c r="AP37" s="49">
        <f t="shared" si="55"/>
        <v>0</v>
      </c>
    </row>
    <row r="38" spans="1:42">
      <c r="A38" s="870">
        <v>31</v>
      </c>
      <c r="B38" s="871" t="s">
        <v>122</v>
      </c>
      <c r="C38" s="974">
        <f>'2-1-13 SIS'!N37</f>
        <v>0</v>
      </c>
      <c r="D38" s="884">
        <f>'Table 3 Levels 1&amp;2'!AL38</f>
        <v>4348.9307899232972</v>
      </c>
      <c r="E38" s="923">
        <f t="shared" si="34"/>
        <v>0</v>
      </c>
      <c r="F38" s="923">
        <f>'Table 4 Level 3'!P36</f>
        <v>620.83000000000004</v>
      </c>
      <c r="G38" s="923">
        <f t="shared" si="35"/>
        <v>0</v>
      </c>
      <c r="H38" s="907">
        <f t="shared" si="36"/>
        <v>0</v>
      </c>
      <c r="I38" s="1723">
        <f>+'[3]Oct midyear LFNO'!K37</f>
        <v>0</v>
      </c>
      <c r="J38" s="1723">
        <f>'[3]Feb midyear LFNO '!K37</f>
        <v>0</v>
      </c>
      <c r="K38" s="1547">
        <f t="shared" si="37"/>
        <v>0</v>
      </c>
      <c r="L38" s="1455">
        <f t="shared" si="38"/>
        <v>0</v>
      </c>
      <c r="M38" s="933">
        <f t="shared" si="39"/>
        <v>0</v>
      </c>
      <c r="N38" s="907">
        <f t="shared" si="40"/>
        <v>0</v>
      </c>
      <c r="O38" s="884">
        <v>0</v>
      </c>
      <c r="P38" s="907">
        <f t="shared" si="41"/>
        <v>0</v>
      </c>
      <c r="Q38" s="872">
        <f>'[4]Table 5C1E-LFNO'!M37+'[27]Table 5C1E-LFNO'!T37+('[26]Table 5C1E-LFNO'!T37*6)</f>
        <v>0</v>
      </c>
      <c r="R38" s="884">
        <f t="shared" si="42"/>
        <v>0</v>
      </c>
      <c r="S38" s="1520">
        <f t="shared" si="43"/>
        <v>0</v>
      </c>
      <c r="T38" s="884"/>
      <c r="U38" s="907">
        <f t="shared" si="31"/>
        <v>0</v>
      </c>
      <c r="V38" s="897">
        <f>'Table 5C1A-Madison Prep'!T38</f>
        <v>4901</v>
      </c>
      <c r="W38" s="874">
        <f t="shared" si="32"/>
        <v>0</v>
      </c>
      <c r="X38" s="1754">
        <f>+'[3]Oct midyear LFNO'!E37</f>
        <v>0</v>
      </c>
      <c r="Y38" s="1755">
        <f t="shared" si="44"/>
        <v>0</v>
      </c>
      <c r="Z38" s="1754">
        <f>'[3]Feb midyear LFNO '!E37</f>
        <v>0</v>
      </c>
      <c r="AA38" s="1755">
        <f t="shared" si="45"/>
        <v>0</v>
      </c>
      <c r="AB38" s="1652">
        <f t="shared" si="46"/>
        <v>0</v>
      </c>
      <c r="AC38" s="1462">
        <f t="shared" si="47"/>
        <v>0</v>
      </c>
      <c r="AD38" s="936">
        <f t="shared" si="48"/>
        <v>0</v>
      </c>
      <c r="AE38" s="874">
        <f t="shared" si="49"/>
        <v>0</v>
      </c>
      <c r="AF38" s="1829">
        <v>0</v>
      </c>
      <c r="AG38" s="874">
        <f t="shared" si="50"/>
        <v>0</v>
      </c>
      <c r="AH38" s="1755">
        <f>'[4]Table 5C1E-LFNO'!V37+'[27]Table 5C1E-LFNO'!AH37+('[26]Table 5C1E-LFNO'!AH37*6)</f>
        <v>0</v>
      </c>
      <c r="AI38" s="1755">
        <f t="shared" si="51"/>
        <v>0</v>
      </c>
      <c r="AJ38" s="1521">
        <f t="shared" si="52"/>
        <v>0</v>
      </c>
      <c r="AK38" s="875">
        <f t="shared" si="53"/>
        <v>0</v>
      </c>
      <c r="AL38" s="875">
        <f t="shared" si="33"/>
        <v>0</v>
      </c>
      <c r="AN38" s="49">
        <f>-'[4]Table 5C1E-LFNO'!R37</f>
        <v>0</v>
      </c>
      <c r="AO38" s="49">
        <f t="shared" si="54"/>
        <v>0</v>
      </c>
      <c r="AP38" s="49">
        <f t="shared" si="55"/>
        <v>0</v>
      </c>
    </row>
    <row r="39" spans="1:42">
      <c r="A39" s="876">
        <v>32</v>
      </c>
      <c r="B39" s="877" t="s">
        <v>123</v>
      </c>
      <c r="C39" s="972">
        <f>'2-1-13 SIS'!N38</f>
        <v>0</v>
      </c>
      <c r="D39" s="882">
        <f>'Table 3 Levels 1&amp;2'!AL39</f>
        <v>5531.5157655456787</v>
      </c>
      <c r="E39" s="921">
        <f t="shared" si="34"/>
        <v>0</v>
      </c>
      <c r="F39" s="921">
        <f>'Table 4 Level 3'!P37</f>
        <v>559.77</v>
      </c>
      <c r="G39" s="921">
        <f t="shared" si="35"/>
        <v>0</v>
      </c>
      <c r="H39" s="905">
        <f t="shared" si="36"/>
        <v>0</v>
      </c>
      <c r="I39" s="1746">
        <f>+'[3]Oct midyear LFNO'!K38</f>
        <v>0</v>
      </c>
      <c r="J39" s="1746">
        <f>'[3]Feb midyear LFNO '!K38</f>
        <v>0</v>
      </c>
      <c r="K39" s="1692">
        <f t="shared" si="37"/>
        <v>0</v>
      </c>
      <c r="L39" s="1453">
        <f t="shared" si="38"/>
        <v>0</v>
      </c>
      <c r="M39" s="931">
        <f t="shared" si="39"/>
        <v>0</v>
      </c>
      <c r="N39" s="905">
        <f t="shared" si="40"/>
        <v>0</v>
      </c>
      <c r="O39" s="882">
        <v>0</v>
      </c>
      <c r="P39" s="905">
        <f t="shared" si="41"/>
        <v>0</v>
      </c>
      <c r="Q39" s="872">
        <f>'[4]Table 5C1E-LFNO'!M38+'[27]Table 5C1E-LFNO'!T38+('[26]Table 5C1E-LFNO'!T38*6)</f>
        <v>0</v>
      </c>
      <c r="R39" s="1854">
        <f t="shared" si="42"/>
        <v>0</v>
      </c>
      <c r="S39" s="898">
        <f t="shared" si="43"/>
        <v>0</v>
      </c>
      <c r="T39" s="882"/>
      <c r="U39" s="905">
        <f t="shared" si="31"/>
        <v>0</v>
      </c>
      <c r="V39" s="897">
        <f>'Table 5C1A-Madison Prep'!T39</f>
        <v>2074</v>
      </c>
      <c r="W39" s="899">
        <f t="shared" si="32"/>
        <v>0</v>
      </c>
      <c r="X39" s="1777">
        <f>+'[3]Oct midyear LFNO'!E38</f>
        <v>0</v>
      </c>
      <c r="Y39" s="1778">
        <f t="shared" si="44"/>
        <v>0</v>
      </c>
      <c r="Z39" s="1758">
        <f>'[3]Feb midyear LFNO '!E38</f>
        <v>0</v>
      </c>
      <c r="AA39" s="1759">
        <f t="shared" si="45"/>
        <v>0</v>
      </c>
      <c r="AB39" s="1653">
        <f t="shared" si="46"/>
        <v>0</v>
      </c>
      <c r="AC39" s="1460">
        <f t="shared" si="47"/>
        <v>0</v>
      </c>
      <c r="AD39" s="937">
        <f t="shared" si="48"/>
        <v>0</v>
      </c>
      <c r="AE39" s="899">
        <f t="shared" si="49"/>
        <v>0</v>
      </c>
      <c r="AF39" s="1830">
        <v>0</v>
      </c>
      <c r="AG39" s="899">
        <f t="shared" si="50"/>
        <v>0</v>
      </c>
      <c r="AH39" s="1755">
        <f>'[4]Table 5C1E-LFNO'!V38+'[27]Table 5C1E-LFNO'!AH38+('[26]Table 5C1E-LFNO'!AH38*6)</f>
        <v>0</v>
      </c>
      <c r="AI39" s="1778">
        <f t="shared" si="51"/>
        <v>0</v>
      </c>
      <c r="AJ39" s="899">
        <f t="shared" si="52"/>
        <v>0</v>
      </c>
      <c r="AK39" s="900">
        <f t="shared" si="53"/>
        <v>0</v>
      </c>
      <c r="AL39" s="900">
        <f t="shared" si="33"/>
        <v>0</v>
      </c>
      <c r="AN39" s="49">
        <f>-'[4]Table 5C1E-LFNO'!R38</f>
        <v>0</v>
      </c>
      <c r="AO39" s="49">
        <f t="shared" si="54"/>
        <v>0</v>
      </c>
      <c r="AP39" s="49">
        <f t="shared" si="55"/>
        <v>0</v>
      </c>
    </row>
    <row r="40" spans="1:42">
      <c r="A40" s="876">
        <v>33</v>
      </c>
      <c r="B40" s="877" t="s">
        <v>124</v>
      </c>
      <c r="C40" s="972">
        <f>'2-1-13 SIS'!N39</f>
        <v>0</v>
      </c>
      <c r="D40" s="882">
        <f>'Table 3 Levels 1&amp;2'!AL40</f>
        <v>5329.5444226517857</v>
      </c>
      <c r="E40" s="921">
        <f t="shared" si="34"/>
        <v>0</v>
      </c>
      <c r="F40" s="921">
        <f>'Table 4 Level 3'!P38</f>
        <v>655.31000000000006</v>
      </c>
      <c r="G40" s="921">
        <f t="shared" si="35"/>
        <v>0</v>
      </c>
      <c r="H40" s="905">
        <f t="shared" si="36"/>
        <v>0</v>
      </c>
      <c r="I40" s="1746">
        <f>+'[3]Oct midyear LFNO'!K39</f>
        <v>0</v>
      </c>
      <c r="J40" s="1746">
        <f>'[3]Feb midyear LFNO '!K39</f>
        <v>0</v>
      </c>
      <c r="K40" s="1692">
        <f t="shared" si="37"/>
        <v>0</v>
      </c>
      <c r="L40" s="1453">
        <f t="shared" ref="L40:L71" si="56">H40+K40</f>
        <v>0</v>
      </c>
      <c r="M40" s="931">
        <f t="shared" si="39"/>
        <v>0</v>
      </c>
      <c r="N40" s="905">
        <f t="shared" si="40"/>
        <v>0</v>
      </c>
      <c r="O40" s="882">
        <v>0</v>
      </c>
      <c r="P40" s="905">
        <f t="shared" si="41"/>
        <v>0</v>
      </c>
      <c r="Q40" s="872">
        <f>'[4]Table 5C1E-LFNO'!M39+'[27]Table 5C1E-LFNO'!T39+('[26]Table 5C1E-LFNO'!T39*6)</f>
        <v>0</v>
      </c>
      <c r="R40" s="1854">
        <f t="shared" si="42"/>
        <v>0</v>
      </c>
      <c r="S40" s="898">
        <f t="shared" si="43"/>
        <v>0</v>
      </c>
      <c r="T40" s="882"/>
      <c r="U40" s="905">
        <f t="shared" ref="U40:U71" si="57">P40+T40</f>
        <v>0</v>
      </c>
      <c r="V40" s="897">
        <f>'Table 5C1A-Madison Prep'!T40</f>
        <v>3501</v>
      </c>
      <c r="W40" s="899">
        <f t="shared" ref="W40:W71" si="58">C40*V40</f>
        <v>0</v>
      </c>
      <c r="X40" s="1777">
        <f>+'[3]Oct midyear LFNO'!E39</f>
        <v>0</v>
      </c>
      <c r="Y40" s="1778">
        <f t="shared" si="44"/>
        <v>0</v>
      </c>
      <c r="Z40" s="1758">
        <f>'[3]Feb midyear LFNO '!E39</f>
        <v>0</v>
      </c>
      <c r="AA40" s="1759">
        <f t="shared" si="45"/>
        <v>0</v>
      </c>
      <c r="AB40" s="1653">
        <f t="shared" si="46"/>
        <v>0</v>
      </c>
      <c r="AC40" s="1460">
        <f t="shared" si="47"/>
        <v>0</v>
      </c>
      <c r="AD40" s="937">
        <f t="shared" si="48"/>
        <v>0</v>
      </c>
      <c r="AE40" s="899">
        <f t="shared" si="49"/>
        <v>0</v>
      </c>
      <c r="AF40" s="1830">
        <v>0</v>
      </c>
      <c r="AG40" s="899">
        <f t="shared" si="50"/>
        <v>0</v>
      </c>
      <c r="AH40" s="1755">
        <f>'[4]Table 5C1E-LFNO'!V39+'[27]Table 5C1E-LFNO'!AH39+('[26]Table 5C1E-LFNO'!AH39*6)</f>
        <v>0</v>
      </c>
      <c r="AI40" s="1778">
        <f t="shared" si="51"/>
        <v>0</v>
      </c>
      <c r="AJ40" s="899">
        <f t="shared" si="52"/>
        <v>0</v>
      </c>
      <c r="AK40" s="900">
        <f t="shared" si="53"/>
        <v>0</v>
      </c>
      <c r="AL40" s="900">
        <f t="shared" ref="AL40:AL76" si="59">S40+AJ40</f>
        <v>0</v>
      </c>
      <c r="AN40" s="49">
        <f>-'[4]Table 5C1E-LFNO'!R39</f>
        <v>0</v>
      </c>
      <c r="AO40" s="49">
        <f t="shared" si="54"/>
        <v>0</v>
      </c>
      <c r="AP40" s="49">
        <f t="shared" si="55"/>
        <v>0</v>
      </c>
    </row>
    <row r="41" spans="1:42">
      <c r="A41" s="876">
        <v>34</v>
      </c>
      <c r="B41" s="877" t="s">
        <v>125</v>
      </c>
      <c r="C41" s="972">
        <f>'2-1-13 SIS'!N40</f>
        <v>0</v>
      </c>
      <c r="D41" s="882">
        <f>'Table 3 Levels 1&amp;2'!AL41</f>
        <v>6003.632932007491</v>
      </c>
      <c r="E41" s="921">
        <f t="shared" si="34"/>
        <v>0</v>
      </c>
      <c r="F41" s="921">
        <f>'Table 4 Level 3'!P39</f>
        <v>644.11000000000013</v>
      </c>
      <c r="G41" s="921">
        <f t="shared" si="35"/>
        <v>0</v>
      </c>
      <c r="H41" s="905">
        <f t="shared" si="36"/>
        <v>0</v>
      </c>
      <c r="I41" s="1746">
        <f>+'[3]Oct midyear LFNO'!K40</f>
        <v>0</v>
      </c>
      <c r="J41" s="1746">
        <f>'[3]Feb midyear LFNO '!K40</f>
        <v>0</v>
      </c>
      <c r="K41" s="1692">
        <f t="shared" si="37"/>
        <v>0</v>
      </c>
      <c r="L41" s="1453">
        <f t="shared" si="56"/>
        <v>0</v>
      </c>
      <c r="M41" s="931">
        <f t="shared" si="39"/>
        <v>0</v>
      </c>
      <c r="N41" s="905">
        <f t="shared" si="40"/>
        <v>0</v>
      </c>
      <c r="O41" s="882">
        <v>0</v>
      </c>
      <c r="P41" s="905">
        <f t="shared" si="41"/>
        <v>0</v>
      </c>
      <c r="Q41" s="872">
        <f>'[4]Table 5C1E-LFNO'!M40+'[27]Table 5C1E-LFNO'!T40+('[26]Table 5C1E-LFNO'!T40*6)</f>
        <v>0</v>
      </c>
      <c r="R41" s="1854">
        <f t="shared" si="42"/>
        <v>0</v>
      </c>
      <c r="S41" s="898">
        <f t="shared" si="43"/>
        <v>0</v>
      </c>
      <c r="T41" s="882"/>
      <c r="U41" s="905">
        <f t="shared" si="57"/>
        <v>0</v>
      </c>
      <c r="V41" s="897">
        <f>'Table 5C1A-Madison Prep'!T41</f>
        <v>2772</v>
      </c>
      <c r="W41" s="899">
        <f t="shared" si="58"/>
        <v>0</v>
      </c>
      <c r="X41" s="1777">
        <f>+'[3]Oct midyear LFNO'!E40</f>
        <v>0</v>
      </c>
      <c r="Y41" s="1778">
        <f t="shared" si="44"/>
        <v>0</v>
      </c>
      <c r="Z41" s="1758">
        <f>'[3]Feb midyear LFNO '!E40</f>
        <v>0</v>
      </c>
      <c r="AA41" s="1759">
        <f t="shared" si="45"/>
        <v>0</v>
      </c>
      <c r="AB41" s="1653">
        <f t="shared" si="46"/>
        <v>0</v>
      </c>
      <c r="AC41" s="1460">
        <f t="shared" si="47"/>
        <v>0</v>
      </c>
      <c r="AD41" s="937">
        <f t="shared" si="48"/>
        <v>0</v>
      </c>
      <c r="AE41" s="899">
        <f t="shared" si="49"/>
        <v>0</v>
      </c>
      <c r="AF41" s="1830">
        <v>0</v>
      </c>
      <c r="AG41" s="899">
        <f t="shared" si="50"/>
        <v>0</v>
      </c>
      <c r="AH41" s="1755">
        <f>'[4]Table 5C1E-LFNO'!V40+'[27]Table 5C1E-LFNO'!AH40+('[26]Table 5C1E-LFNO'!AH40*6)</f>
        <v>0</v>
      </c>
      <c r="AI41" s="1778">
        <f t="shared" si="51"/>
        <v>0</v>
      </c>
      <c r="AJ41" s="899">
        <f t="shared" si="52"/>
        <v>0</v>
      </c>
      <c r="AK41" s="900">
        <f t="shared" si="53"/>
        <v>0</v>
      </c>
      <c r="AL41" s="900">
        <f t="shared" si="59"/>
        <v>0</v>
      </c>
      <c r="AN41" s="49">
        <f>-'[4]Table 5C1E-LFNO'!R40</f>
        <v>0</v>
      </c>
      <c r="AO41" s="49">
        <f t="shared" si="54"/>
        <v>0</v>
      </c>
      <c r="AP41" s="49">
        <f t="shared" si="55"/>
        <v>0</v>
      </c>
    </row>
    <row r="42" spans="1:42">
      <c r="A42" s="879">
        <v>35</v>
      </c>
      <c r="B42" s="880" t="s">
        <v>126</v>
      </c>
      <c r="C42" s="973">
        <f>'2-1-13 SIS'!N41</f>
        <v>0</v>
      </c>
      <c r="D42" s="883">
        <f>'Table 3 Levels 1&amp;2'!AL42</f>
        <v>4607.1606416222867</v>
      </c>
      <c r="E42" s="922">
        <f t="shared" si="34"/>
        <v>0</v>
      </c>
      <c r="F42" s="922">
        <f>'Table 4 Level 3'!P40</f>
        <v>537.96</v>
      </c>
      <c r="G42" s="922">
        <f t="shared" si="35"/>
        <v>0</v>
      </c>
      <c r="H42" s="906">
        <f t="shared" si="36"/>
        <v>0</v>
      </c>
      <c r="I42" s="1747">
        <f>+'[3]Oct midyear LFNO'!K41</f>
        <v>0</v>
      </c>
      <c r="J42" s="1747">
        <f>'[3]Feb midyear LFNO '!K41</f>
        <v>0</v>
      </c>
      <c r="K42" s="1693">
        <f t="shared" si="37"/>
        <v>0</v>
      </c>
      <c r="L42" s="1454">
        <f t="shared" si="56"/>
        <v>0</v>
      </c>
      <c r="M42" s="932">
        <f t="shared" si="39"/>
        <v>0</v>
      </c>
      <c r="N42" s="906">
        <f t="shared" si="40"/>
        <v>0</v>
      </c>
      <c r="O42" s="883">
        <v>0</v>
      </c>
      <c r="P42" s="906">
        <f t="shared" si="41"/>
        <v>0</v>
      </c>
      <c r="Q42" s="1852">
        <f>'[4]Table 5C1E-LFNO'!M41+'[27]Table 5C1E-LFNO'!T41+('[26]Table 5C1E-LFNO'!T41*6)</f>
        <v>0</v>
      </c>
      <c r="R42" s="1855">
        <f t="shared" si="42"/>
        <v>0</v>
      </c>
      <c r="S42" s="1529">
        <f t="shared" si="43"/>
        <v>0</v>
      </c>
      <c r="T42" s="883"/>
      <c r="U42" s="906">
        <f t="shared" si="57"/>
        <v>0</v>
      </c>
      <c r="V42" s="902">
        <f>'Table 5C1A-Madison Prep'!T42</f>
        <v>3140</v>
      </c>
      <c r="W42" s="903">
        <f t="shared" si="58"/>
        <v>0</v>
      </c>
      <c r="X42" s="1779">
        <f>+'[3]Oct midyear LFNO'!E41</f>
        <v>0</v>
      </c>
      <c r="Y42" s="1780">
        <f t="shared" si="44"/>
        <v>0</v>
      </c>
      <c r="Z42" s="1762">
        <f>'[3]Feb midyear LFNO '!E41</f>
        <v>0</v>
      </c>
      <c r="AA42" s="1763">
        <f t="shared" si="45"/>
        <v>0</v>
      </c>
      <c r="AB42" s="1654">
        <f t="shared" si="46"/>
        <v>0</v>
      </c>
      <c r="AC42" s="1459">
        <f t="shared" si="47"/>
        <v>0</v>
      </c>
      <c r="AD42" s="938">
        <f t="shared" si="48"/>
        <v>0</v>
      </c>
      <c r="AE42" s="903">
        <f t="shared" si="49"/>
        <v>0</v>
      </c>
      <c r="AF42" s="1831">
        <v>0</v>
      </c>
      <c r="AG42" s="903">
        <f t="shared" si="50"/>
        <v>0</v>
      </c>
      <c r="AH42" s="1833">
        <f>'[4]Table 5C1E-LFNO'!V41+'[27]Table 5C1E-LFNO'!AH41+('[26]Table 5C1E-LFNO'!AH41*6)</f>
        <v>0</v>
      </c>
      <c r="AI42" s="1780">
        <f t="shared" si="51"/>
        <v>0</v>
      </c>
      <c r="AJ42" s="1530">
        <f t="shared" si="52"/>
        <v>0</v>
      </c>
      <c r="AK42" s="904">
        <f t="shared" si="53"/>
        <v>0</v>
      </c>
      <c r="AL42" s="904">
        <f t="shared" si="59"/>
        <v>0</v>
      </c>
      <c r="AN42" s="49">
        <f>-'[4]Table 5C1E-LFNO'!R41</f>
        <v>0</v>
      </c>
      <c r="AO42" s="49">
        <f t="shared" si="54"/>
        <v>0</v>
      </c>
      <c r="AP42" s="49">
        <f t="shared" si="55"/>
        <v>0</v>
      </c>
    </row>
    <row r="43" spans="1:42">
      <c r="A43" s="870">
        <v>36</v>
      </c>
      <c r="B43" s="871" t="s">
        <v>127</v>
      </c>
      <c r="C43" s="974">
        <f>'2-1-13 SIS'!N42</f>
        <v>146</v>
      </c>
      <c r="D43" s="884">
        <f>'Table 3 Levels 1&amp;2'!AL43</f>
        <v>3520.4894337711748</v>
      </c>
      <c r="E43" s="923">
        <f t="shared" si="34"/>
        <v>513991.45733059151</v>
      </c>
      <c r="F43" s="923">
        <f>'Table 5B1_RSD_Orleans'!F78</f>
        <v>746.0335616438357</v>
      </c>
      <c r="G43" s="923">
        <f t="shared" si="35"/>
        <v>108920.90000000001</v>
      </c>
      <c r="H43" s="907">
        <f t="shared" si="36"/>
        <v>622912.35733059153</v>
      </c>
      <c r="I43" s="1723">
        <f>+'[3]Oct midyear LFNO'!K42</f>
        <v>328522.27064695582</v>
      </c>
      <c r="J43" s="1723">
        <f>'[3]Feb midyear LFNO '!K42</f>
        <v>4266.5229954150109</v>
      </c>
      <c r="K43" s="1547">
        <f t="shared" si="37"/>
        <v>332788.79364237085</v>
      </c>
      <c r="L43" s="1455">
        <f t="shared" si="56"/>
        <v>955701.15097296238</v>
      </c>
      <c r="M43" s="933">
        <f t="shared" si="39"/>
        <v>-2389.252877432406</v>
      </c>
      <c r="N43" s="907">
        <f t="shared" si="40"/>
        <v>953311.89809552999</v>
      </c>
      <c r="O43" s="884">
        <v>0</v>
      </c>
      <c r="P43" s="907">
        <f t="shared" si="41"/>
        <v>953311.89809552999</v>
      </c>
      <c r="Q43" s="872">
        <f>'[4]Table 5C1E-LFNO'!M42+'[27]Table 5C1E-LFNO'!T42+('[26]Table 5C1E-LFNO'!T42*6)</f>
        <v>620374.9397455001</v>
      </c>
      <c r="R43" s="884">
        <f t="shared" si="42"/>
        <v>332936.95835002989</v>
      </c>
      <c r="S43" s="1520">
        <f t="shared" si="43"/>
        <v>83234</v>
      </c>
      <c r="T43" s="884">
        <f>'Table 4A Stipends'!G75</f>
        <v>118000</v>
      </c>
      <c r="U43" s="907">
        <f t="shared" si="57"/>
        <v>1071311.89809553</v>
      </c>
      <c r="V43" s="897">
        <f>'Table 5C1A-Madison Prep'!T43</f>
        <v>5433</v>
      </c>
      <c r="W43" s="874">
        <f t="shared" si="58"/>
        <v>793218</v>
      </c>
      <c r="X43" s="1754">
        <f>+'[3]Oct midyear LFNO'!E42</f>
        <v>77</v>
      </c>
      <c r="Y43" s="1755">
        <f t="shared" si="44"/>
        <v>418341</v>
      </c>
      <c r="Z43" s="1754">
        <f>'[3]Feb midyear LFNO '!E42</f>
        <v>2</v>
      </c>
      <c r="AA43" s="1755">
        <f t="shared" si="45"/>
        <v>5433</v>
      </c>
      <c r="AB43" s="1652">
        <f t="shared" si="46"/>
        <v>423774</v>
      </c>
      <c r="AC43" s="1462">
        <f t="shared" si="47"/>
        <v>1216992</v>
      </c>
      <c r="AD43" s="936">
        <f t="shared" si="48"/>
        <v>-3042.48</v>
      </c>
      <c r="AE43" s="874">
        <f t="shared" si="49"/>
        <v>1213949.52</v>
      </c>
      <c r="AF43" s="1829">
        <v>0</v>
      </c>
      <c r="AG43" s="874">
        <f t="shared" si="50"/>
        <v>1213949.52</v>
      </c>
      <c r="AH43" s="1755">
        <f>'[4]Table 5C1E-LFNO'!V42+'[27]Table 5C1E-LFNO'!AH42+('[26]Table 5C1E-LFNO'!AH42*6)</f>
        <v>791150.08890909096</v>
      </c>
      <c r="AI43" s="1755">
        <f t="shared" si="51"/>
        <v>422799.43109090906</v>
      </c>
      <c r="AJ43" s="1521">
        <f t="shared" si="52"/>
        <v>105700</v>
      </c>
      <c r="AK43" s="875">
        <f t="shared" si="53"/>
        <v>2285261.41809553</v>
      </c>
      <c r="AL43" s="875">
        <f t="shared" si="59"/>
        <v>188934</v>
      </c>
      <c r="AN43" s="49">
        <f>-'[4]Table 5C1E-LFNO'!R42</f>
        <v>1985.9650000000001</v>
      </c>
      <c r="AO43" s="49">
        <f t="shared" si="54"/>
        <v>-3042.48</v>
      </c>
      <c r="AP43" s="49">
        <f t="shared" si="55"/>
        <v>-1056.5149999999999</v>
      </c>
    </row>
    <row r="44" spans="1:42">
      <c r="A44" s="876">
        <v>37</v>
      </c>
      <c r="B44" s="877" t="s">
        <v>128</v>
      </c>
      <c r="C44" s="972">
        <f>'2-1-13 SIS'!N43</f>
        <v>0</v>
      </c>
      <c r="D44" s="882">
        <f>'Table 3 Levels 1&amp;2'!AL44</f>
        <v>5503.7595641818853</v>
      </c>
      <c r="E44" s="921">
        <f t="shared" si="34"/>
        <v>0</v>
      </c>
      <c r="F44" s="921">
        <f>'Table 4 Level 3'!P42</f>
        <v>653.61</v>
      </c>
      <c r="G44" s="921">
        <f t="shared" si="35"/>
        <v>0</v>
      </c>
      <c r="H44" s="905">
        <f t="shared" si="36"/>
        <v>0</v>
      </c>
      <c r="I44" s="1746">
        <f>+'[3]Oct midyear LFNO'!K43</f>
        <v>0</v>
      </c>
      <c r="J44" s="1746">
        <f>'[3]Feb midyear LFNO '!K43</f>
        <v>0</v>
      </c>
      <c r="K44" s="1692">
        <f t="shared" si="37"/>
        <v>0</v>
      </c>
      <c r="L44" s="1453">
        <f t="shared" si="56"/>
        <v>0</v>
      </c>
      <c r="M44" s="931">
        <f t="shared" si="39"/>
        <v>0</v>
      </c>
      <c r="N44" s="905">
        <f t="shared" si="40"/>
        <v>0</v>
      </c>
      <c r="O44" s="882">
        <v>0</v>
      </c>
      <c r="P44" s="905">
        <f t="shared" si="41"/>
        <v>0</v>
      </c>
      <c r="Q44" s="872">
        <f>'[4]Table 5C1E-LFNO'!M43+'[27]Table 5C1E-LFNO'!T43+('[26]Table 5C1E-LFNO'!T43*6)</f>
        <v>0</v>
      </c>
      <c r="R44" s="1854">
        <f t="shared" si="42"/>
        <v>0</v>
      </c>
      <c r="S44" s="898">
        <f t="shared" si="43"/>
        <v>0</v>
      </c>
      <c r="T44" s="882"/>
      <c r="U44" s="905">
        <f t="shared" si="57"/>
        <v>0</v>
      </c>
      <c r="V44" s="897">
        <f>'Table 5C1A-Madison Prep'!T44</f>
        <v>3310</v>
      </c>
      <c r="W44" s="899">
        <f t="shared" si="58"/>
        <v>0</v>
      </c>
      <c r="X44" s="1777">
        <f>+'[3]Oct midyear LFNO'!E43</f>
        <v>0</v>
      </c>
      <c r="Y44" s="1778">
        <f t="shared" si="44"/>
        <v>0</v>
      </c>
      <c r="Z44" s="1758">
        <f>'[3]Feb midyear LFNO '!E43</f>
        <v>0</v>
      </c>
      <c r="AA44" s="1759">
        <f t="shared" si="45"/>
        <v>0</v>
      </c>
      <c r="AB44" s="1653">
        <f t="shared" si="46"/>
        <v>0</v>
      </c>
      <c r="AC44" s="1460">
        <f t="shared" si="47"/>
        <v>0</v>
      </c>
      <c r="AD44" s="937">
        <f t="shared" si="48"/>
        <v>0</v>
      </c>
      <c r="AE44" s="899">
        <f t="shared" si="49"/>
        <v>0</v>
      </c>
      <c r="AF44" s="1830">
        <v>0</v>
      </c>
      <c r="AG44" s="899">
        <f t="shared" si="50"/>
        <v>0</v>
      </c>
      <c r="AH44" s="1755">
        <f>'[4]Table 5C1E-LFNO'!V43+'[27]Table 5C1E-LFNO'!AH43+('[26]Table 5C1E-LFNO'!AH43*6)</f>
        <v>0</v>
      </c>
      <c r="AI44" s="1778">
        <f t="shared" si="51"/>
        <v>0</v>
      </c>
      <c r="AJ44" s="899">
        <f t="shared" si="52"/>
        <v>0</v>
      </c>
      <c r="AK44" s="900">
        <f t="shared" si="53"/>
        <v>0</v>
      </c>
      <c r="AL44" s="900">
        <f t="shared" si="59"/>
        <v>0</v>
      </c>
      <c r="AN44" s="49">
        <f>-'[4]Table 5C1E-LFNO'!R43</f>
        <v>0</v>
      </c>
      <c r="AO44" s="49">
        <f t="shared" si="54"/>
        <v>0</v>
      </c>
      <c r="AP44" s="49">
        <f t="shared" si="55"/>
        <v>0</v>
      </c>
    </row>
    <row r="45" spans="1:42">
      <c r="A45" s="876">
        <v>38</v>
      </c>
      <c r="B45" s="877" t="s">
        <v>129</v>
      </c>
      <c r="C45" s="972">
        <f>'2-1-13 SIS'!N44</f>
        <v>3</v>
      </c>
      <c r="D45" s="882">
        <f>'Table 3 Levels 1&amp;2'!AL45</f>
        <v>2192.7545275590551</v>
      </c>
      <c r="E45" s="921">
        <f t="shared" si="34"/>
        <v>6578.2635826771657</v>
      </c>
      <c r="F45" s="921">
        <f>'Table 4 Level 3'!P43</f>
        <v>829.92000000000007</v>
      </c>
      <c r="G45" s="921">
        <f t="shared" si="35"/>
        <v>2489.7600000000002</v>
      </c>
      <c r="H45" s="905">
        <f t="shared" si="36"/>
        <v>9068.0235826771659</v>
      </c>
      <c r="I45" s="1746">
        <f>+'[3]Oct midyear LFNO'!K44</f>
        <v>3022.6745275590552</v>
      </c>
      <c r="J45" s="1746">
        <f>'[3]Feb midyear LFNO '!K44</f>
        <v>0</v>
      </c>
      <c r="K45" s="1692">
        <f t="shared" si="37"/>
        <v>3022.6745275590552</v>
      </c>
      <c r="L45" s="1453">
        <f t="shared" si="56"/>
        <v>12090.698110236221</v>
      </c>
      <c r="M45" s="931">
        <f t="shared" si="39"/>
        <v>-30.226745275590552</v>
      </c>
      <c r="N45" s="905">
        <f t="shared" si="40"/>
        <v>12060.471364960629</v>
      </c>
      <c r="O45" s="882">
        <v>0</v>
      </c>
      <c r="P45" s="905">
        <f t="shared" si="41"/>
        <v>12060.471364960629</v>
      </c>
      <c r="Q45" s="872">
        <f>'[4]Table 5C1E-LFNO'!M44+'[27]Table 5C1E-LFNO'!T44+('[26]Table 5C1E-LFNO'!T44*6)</f>
        <v>7948.9470359967781</v>
      </c>
      <c r="R45" s="1854">
        <f t="shared" si="42"/>
        <v>4111.5243289638511</v>
      </c>
      <c r="S45" s="898">
        <f t="shared" si="43"/>
        <v>1028</v>
      </c>
      <c r="T45" s="882"/>
      <c r="U45" s="905">
        <f t="shared" si="57"/>
        <v>12060.471364960629</v>
      </c>
      <c r="V45" s="897">
        <f>'Table 5C1A-Madison Prep'!T45</f>
        <v>12521</v>
      </c>
      <c r="W45" s="899">
        <f t="shared" si="58"/>
        <v>37563</v>
      </c>
      <c r="X45" s="1777">
        <f>+'[3]Oct midyear LFNO'!E44</f>
        <v>1</v>
      </c>
      <c r="Y45" s="1778">
        <f t="shared" si="44"/>
        <v>12521</v>
      </c>
      <c r="Z45" s="1758">
        <f>'[3]Feb midyear LFNO '!E44</f>
        <v>0</v>
      </c>
      <c r="AA45" s="1759">
        <f t="shared" si="45"/>
        <v>0</v>
      </c>
      <c r="AB45" s="1653">
        <f t="shared" si="46"/>
        <v>12521</v>
      </c>
      <c r="AC45" s="1460">
        <f t="shared" si="47"/>
        <v>50084</v>
      </c>
      <c r="AD45" s="937">
        <f t="shared" si="48"/>
        <v>-125.21000000000001</v>
      </c>
      <c r="AE45" s="899">
        <f t="shared" si="49"/>
        <v>49958.79</v>
      </c>
      <c r="AF45" s="1830">
        <v>0</v>
      </c>
      <c r="AG45" s="899">
        <f t="shared" si="50"/>
        <v>49958.79</v>
      </c>
      <c r="AH45" s="1755">
        <f>'[4]Table 5C1E-LFNO'!V44+'[27]Table 5C1E-LFNO'!AH44+('[26]Table 5C1E-LFNO'!AH44*6)</f>
        <v>28577.740227272727</v>
      </c>
      <c r="AI45" s="1778">
        <f t="shared" si="51"/>
        <v>21381.049772727274</v>
      </c>
      <c r="AJ45" s="899">
        <f t="shared" si="52"/>
        <v>5345</v>
      </c>
      <c r="AK45" s="900">
        <f t="shared" si="53"/>
        <v>62019.261364960628</v>
      </c>
      <c r="AL45" s="900">
        <f t="shared" si="59"/>
        <v>6373</v>
      </c>
      <c r="AN45" s="49">
        <f>-'[4]Table 5C1E-LFNO'!R44</f>
        <v>81.502499999999998</v>
      </c>
      <c r="AO45" s="49">
        <f t="shared" si="54"/>
        <v>-125.21000000000001</v>
      </c>
      <c r="AP45" s="49">
        <f t="shared" si="55"/>
        <v>-43.70750000000001</v>
      </c>
    </row>
    <row r="46" spans="1:42">
      <c r="A46" s="876">
        <v>39</v>
      </c>
      <c r="B46" s="877" t="s">
        <v>130</v>
      </c>
      <c r="C46" s="972">
        <f>'2-1-13 SIS'!N45</f>
        <v>0</v>
      </c>
      <c r="D46" s="882">
        <f>'Table 3 Levels 1&amp;2'!AL46</f>
        <v>3639.9942778062696</v>
      </c>
      <c r="E46" s="921">
        <f t="shared" si="34"/>
        <v>0</v>
      </c>
      <c r="F46" s="921">
        <f>'Table 5B2_RSD_LA'!F21</f>
        <v>779.65573042776441</v>
      </c>
      <c r="G46" s="921">
        <f t="shared" si="35"/>
        <v>0</v>
      </c>
      <c r="H46" s="905">
        <f t="shared" si="36"/>
        <v>0</v>
      </c>
      <c r="I46" s="1746">
        <f>+'[3]Oct midyear LFNO'!K45</f>
        <v>0</v>
      </c>
      <c r="J46" s="1746">
        <f>'[3]Feb midyear LFNO '!K45</f>
        <v>0</v>
      </c>
      <c r="K46" s="1692">
        <f t="shared" si="37"/>
        <v>0</v>
      </c>
      <c r="L46" s="1453">
        <f t="shared" si="56"/>
        <v>0</v>
      </c>
      <c r="M46" s="931">
        <f t="shared" si="39"/>
        <v>0</v>
      </c>
      <c r="N46" s="905">
        <f t="shared" si="40"/>
        <v>0</v>
      </c>
      <c r="O46" s="882">
        <v>0</v>
      </c>
      <c r="P46" s="905">
        <f t="shared" si="41"/>
        <v>0</v>
      </c>
      <c r="Q46" s="872">
        <f>'[4]Table 5C1E-LFNO'!M45+'[27]Table 5C1E-LFNO'!T45+('[26]Table 5C1E-LFNO'!T45*6)</f>
        <v>0</v>
      </c>
      <c r="R46" s="1854">
        <f t="shared" si="42"/>
        <v>0</v>
      </c>
      <c r="S46" s="898">
        <f t="shared" si="43"/>
        <v>0</v>
      </c>
      <c r="T46" s="882"/>
      <c r="U46" s="905">
        <f t="shared" si="57"/>
        <v>0</v>
      </c>
      <c r="V46" s="897">
        <f>'Table 5C1A-Madison Prep'!T46</f>
        <v>4436</v>
      </c>
      <c r="W46" s="899">
        <f t="shared" si="58"/>
        <v>0</v>
      </c>
      <c r="X46" s="1777">
        <f>+'[3]Oct midyear LFNO'!E45</f>
        <v>0</v>
      </c>
      <c r="Y46" s="1778">
        <f t="shared" si="44"/>
        <v>0</v>
      </c>
      <c r="Z46" s="1758">
        <f>'[3]Feb midyear LFNO '!E45</f>
        <v>0</v>
      </c>
      <c r="AA46" s="1759">
        <f t="shared" si="45"/>
        <v>0</v>
      </c>
      <c r="AB46" s="1653">
        <f t="shared" si="46"/>
        <v>0</v>
      </c>
      <c r="AC46" s="1460">
        <f t="shared" si="47"/>
        <v>0</v>
      </c>
      <c r="AD46" s="937">
        <f t="shared" si="48"/>
        <v>0</v>
      </c>
      <c r="AE46" s="899">
        <f t="shared" si="49"/>
        <v>0</v>
      </c>
      <c r="AF46" s="1830">
        <v>0</v>
      </c>
      <c r="AG46" s="899">
        <f t="shared" si="50"/>
        <v>0</v>
      </c>
      <c r="AH46" s="1755">
        <f>'[4]Table 5C1E-LFNO'!V45+'[27]Table 5C1E-LFNO'!AH45+('[26]Table 5C1E-LFNO'!AH45*6)</f>
        <v>0</v>
      </c>
      <c r="AI46" s="1778">
        <f t="shared" si="51"/>
        <v>0</v>
      </c>
      <c r="AJ46" s="899">
        <f t="shared" si="52"/>
        <v>0</v>
      </c>
      <c r="AK46" s="900">
        <f t="shared" si="53"/>
        <v>0</v>
      </c>
      <c r="AL46" s="900">
        <f t="shared" si="59"/>
        <v>0</v>
      </c>
      <c r="AN46" s="49">
        <f>-'[4]Table 5C1E-LFNO'!R45</f>
        <v>0</v>
      </c>
      <c r="AO46" s="49">
        <f t="shared" si="54"/>
        <v>0</v>
      </c>
      <c r="AP46" s="49">
        <f t="shared" si="55"/>
        <v>0</v>
      </c>
    </row>
    <row r="47" spans="1:42">
      <c r="A47" s="879">
        <v>40</v>
      </c>
      <c r="B47" s="880" t="s">
        <v>131</v>
      </c>
      <c r="C47" s="973">
        <f>'2-1-13 SIS'!N46</f>
        <v>0</v>
      </c>
      <c r="D47" s="883">
        <f>'Table 3 Levels 1&amp;2'!AL47</f>
        <v>4928.4974462701202</v>
      </c>
      <c r="E47" s="922">
        <f t="shared" si="34"/>
        <v>0</v>
      </c>
      <c r="F47" s="922">
        <f>'Table 4 Level 3'!P45</f>
        <v>700.2700000000001</v>
      </c>
      <c r="G47" s="922">
        <f t="shared" si="35"/>
        <v>0</v>
      </c>
      <c r="H47" s="906">
        <f t="shared" si="36"/>
        <v>0</v>
      </c>
      <c r="I47" s="1747">
        <f>+'[3]Oct midyear LFNO'!K46</f>
        <v>0</v>
      </c>
      <c r="J47" s="1747">
        <f>'[3]Feb midyear LFNO '!K46</f>
        <v>0</v>
      </c>
      <c r="K47" s="1693">
        <f t="shared" si="37"/>
        <v>0</v>
      </c>
      <c r="L47" s="1454">
        <f t="shared" si="56"/>
        <v>0</v>
      </c>
      <c r="M47" s="932">
        <f t="shared" si="39"/>
        <v>0</v>
      </c>
      <c r="N47" s="906">
        <f t="shared" si="40"/>
        <v>0</v>
      </c>
      <c r="O47" s="883">
        <v>0</v>
      </c>
      <c r="P47" s="906">
        <f t="shared" si="41"/>
        <v>0</v>
      </c>
      <c r="Q47" s="1852">
        <f>'[4]Table 5C1E-LFNO'!M46+'[27]Table 5C1E-LFNO'!T46+('[26]Table 5C1E-LFNO'!T46*6)</f>
        <v>0</v>
      </c>
      <c r="R47" s="1855">
        <f t="shared" si="42"/>
        <v>0</v>
      </c>
      <c r="S47" s="1529">
        <f t="shared" si="43"/>
        <v>0</v>
      </c>
      <c r="T47" s="883"/>
      <c r="U47" s="906">
        <f t="shared" si="57"/>
        <v>0</v>
      </c>
      <c r="V47" s="902">
        <f>'Table 5C1A-Madison Prep'!T47</f>
        <v>3019</v>
      </c>
      <c r="W47" s="903">
        <f t="shared" si="58"/>
        <v>0</v>
      </c>
      <c r="X47" s="1779">
        <f>+'[3]Oct midyear LFNO'!E46</f>
        <v>0</v>
      </c>
      <c r="Y47" s="1780">
        <f t="shared" si="44"/>
        <v>0</v>
      </c>
      <c r="Z47" s="1762">
        <f>'[3]Feb midyear LFNO '!E46</f>
        <v>0</v>
      </c>
      <c r="AA47" s="1763">
        <f t="shared" si="45"/>
        <v>0</v>
      </c>
      <c r="AB47" s="1654">
        <f t="shared" si="46"/>
        <v>0</v>
      </c>
      <c r="AC47" s="1459">
        <f t="shared" si="47"/>
        <v>0</v>
      </c>
      <c r="AD47" s="938">
        <f t="shared" si="48"/>
        <v>0</v>
      </c>
      <c r="AE47" s="903">
        <f t="shared" si="49"/>
        <v>0</v>
      </c>
      <c r="AF47" s="1831">
        <v>0</v>
      </c>
      <c r="AG47" s="903">
        <f t="shared" si="50"/>
        <v>0</v>
      </c>
      <c r="AH47" s="1833">
        <f>'[4]Table 5C1E-LFNO'!V46+'[27]Table 5C1E-LFNO'!AH46+('[26]Table 5C1E-LFNO'!AH46*6)</f>
        <v>0</v>
      </c>
      <c r="AI47" s="1780">
        <f t="shared" si="51"/>
        <v>0</v>
      </c>
      <c r="AJ47" s="1530">
        <f t="shared" si="52"/>
        <v>0</v>
      </c>
      <c r="AK47" s="904">
        <f t="shared" si="53"/>
        <v>0</v>
      </c>
      <c r="AL47" s="904">
        <f t="shared" si="59"/>
        <v>0</v>
      </c>
      <c r="AN47" s="49">
        <f>-'[4]Table 5C1E-LFNO'!R46</f>
        <v>0</v>
      </c>
      <c r="AO47" s="49">
        <f t="shared" si="54"/>
        <v>0</v>
      </c>
      <c r="AP47" s="49">
        <f t="shared" si="55"/>
        <v>0</v>
      </c>
    </row>
    <row r="48" spans="1:42">
      <c r="A48" s="870">
        <v>41</v>
      </c>
      <c r="B48" s="871" t="s">
        <v>132</v>
      </c>
      <c r="C48" s="974">
        <f>'2-1-13 SIS'!N47</f>
        <v>0</v>
      </c>
      <c r="D48" s="884">
        <f>'Table 3 Levels 1&amp;2'!AL48</f>
        <v>1615.6013465627216</v>
      </c>
      <c r="E48" s="923">
        <f t="shared" si="34"/>
        <v>0</v>
      </c>
      <c r="F48" s="923">
        <f>'Table 4 Level 3'!P46</f>
        <v>886.22</v>
      </c>
      <c r="G48" s="923">
        <f t="shared" si="35"/>
        <v>0</v>
      </c>
      <c r="H48" s="907">
        <f t="shared" si="36"/>
        <v>0</v>
      </c>
      <c r="I48" s="1723">
        <f>+'[3]Oct midyear LFNO'!K47</f>
        <v>0</v>
      </c>
      <c r="J48" s="1723">
        <f>'[3]Feb midyear LFNO '!K47</f>
        <v>0</v>
      </c>
      <c r="K48" s="1547">
        <f t="shared" si="37"/>
        <v>0</v>
      </c>
      <c r="L48" s="1455">
        <f t="shared" si="56"/>
        <v>0</v>
      </c>
      <c r="M48" s="933">
        <f t="shared" si="39"/>
        <v>0</v>
      </c>
      <c r="N48" s="907">
        <f t="shared" si="40"/>
        <v>0</v>
      </c>
      <c r="O48" s="884">
        <v>0</v>
      </c>
      <c r="P48" s="907">
        <f t="shared" si="41"/>
        <v>0</v>
      </c>
      <c r="Q48" s="872">
        <f>'[4]Table 5C1E-LFNO'!M47+'[27]Table 5C1E-LFNO'!T47+('[26]Table 5C1E-LFNO'!T47*6)</f>
        <v>0</v>
      </c>
      <c r="R48" s="884">
        <f t="shared" si="42"/>
        <v>0</v>
      </c>
      <c r="S48" s="1520">
        <f t="shared" si="43"/>
        <v>0</v>
      </c>
      <c r="T48" s="884"/>
      <c r="U48" s="907">
        <f t="shared" si="57"/>
        <v>0</v>
      </c>
      <c r="V48" s="897">
        <f>'Table 5C1A-Madison Prep'!T48</f>
        <v>8964</v>
      </c>
      <c r="W48" s="874">
        <f t="shared" si="58"/>
        <v>0</v>
      </c>
      <c r="X48" s="1754">
        <f>+'[3]Oct midyear LFNO'!E47</f>
        <v>0</v>
      </c>
      <c r="Y48" s="1755">
        <f t="shared" si="44"/>
        <v>0</v>
      </c>
      <c r="Z48" s="1754">
        <f>'[3]Feb midyear LFNO '!E47</f>
        <v>0</v>
      </c>
      <c r="AA48" s="1755">
        <f t="shared" si="45"/>
        <v>0</v>
      </c>
      <c r="AB48" s="1652">
        <f t="shared" si="46"/>
        <v>0</v>
      </c>
      <c r="AC48" s="1462">
        <f t="shared" si="47"/>
        <v>0</v>
      </c>
      <c r="AD48" s="936">
        <f t="shared" si="48"/>
        <v>0</v>
      </c>
      <c r="AE48" s="874">
        <f t="shared" si="49"/>
        <v>0</v>
      </c>
      <c r="AF48" s="1829">
        <v>0</v>
      </c>
      <c r="AG48" s="874">
        <f t="shared" si="50"/>
        <v>0</v>
      </c>
      <c r="AH48" s="1755">
        <f>'[4]Table 5C1E-LFNO'!V47+'[27]Table 5C1E-LFNO'!AH47+('[26]Table 5C1E-LFNO'!AH47*6)</f>
        <v>0</v>
      </c>
      <c r="AI48" s="1755">
        <f t="shared" si="51"/>
        <v>0</v>
      </c>
      <c r="AJ48" s="1521">
        <f t="shared" si="52"/>
        <v>0</v>
      </c>
      <c r="AK48" s="875">
        <f t="shared" si="53"/>
        <v>0</v>
      </c>
      <c r="AL48" s="875">
        <f t="shared" si="59"/>
        <v>0</v>
      </c>
      <c r="AN48" s="49">
        <f>-'[4]Table 5C1E-LFNO'!R47</f>
        <v>0</v>
      </c>
      <c r="AO48" s="49">
        <f t="shared" si="54"/>
        <v>0</v>
      </c>
      <c r="AP48" s="49">
        <f t="shared" si="55"/>
        <v>0</v>
      </c>
    </row>
    <row r="49" spans="1:42">
      <c r="A49" s="876">
        <v>42</v>
      </c>
      <c r="B49" s="877" t="s">
        <v>133</v>
      </c>
      <c r="C49" s="972">
        <f>'2-1-13 SIS'!N48</f>
        <v>0</v>
      </c>
      <c r="D49" s="882">
        <f>'Table 3 Levels 1&amp;2'!AL49</f>
        <v>5087.4730460987803</v>
      </c>
      <c r="E49" s="921">
        <f t="shared" si="34"/>
        <v>0</v>
      </c>
      <c r="F49" s="921">
        <f>'Table 4 Level 3'!P47</f>
        <v>534.28</v>
      </c>
      <c r="G49" s="921">
        <f t="shared" si="35"/>
        <v>0</v>
      </c>
      <c r="H49" s="905">
        <f t="shared" si="36"/>
        <v>0</v>
      </c>
      <c r="I49" s="1746">
        <f>+'[3]Oct midyear LFNO'!K48</f>
        <v>0</v>
      </c>
      <c r="J49" s="1746">
        <f>'[3]Feb midyear LFNO '!K48</f>
        <v>0</v>
      </c>
      <c r="K49" s="1692">
        <f t="shared" si="37"/>
        <v>0</v>
      </c>
      <c r="L49" s="1453">
        <f t="shared" si="56"/>
        <v>0</v>
      </c>
      <c r="M49" s="931">
        <f t="shared" si="39"/>
        <v>0</v>
      </c>
      <c r="N49" s="905">
        <f t="shared" si="40"/>
        <v>0</v>
      </c>
      <c r="O49" s="882">
        <v>0</v>
      </c>
      <c r="P49" s="905">
        <f t="shared" si="41"/>
        <v>0</v>
      </c>
      <c r="Q49" s="872">
        <f>'[4]Table 5C1E-LFNO'!M48+'[27]Table 5C1E-LFNO'!T48+('[26]Table 5C1E-LFNO'!T48*6)</f>
        <v>0</v>
      </c>
      <c r="R49" s="1854">
        <f t="shared" si="42"/>
        <v>0</v>
      </c>
      <c r="S49" s="898">
        <f t="shared" si="43"/>
        <v>0</v>
      </c>
      <c r="T49" s="882"/>
      <c r="U49" s="905">
        <f t="shared" si="57"/>
        <v>0</v>
      </c>
      <c r="V49" s="897">
        <f>'Table 5C1A-Madison Prep'!T49</f>
        <v>3535</v>
      </c>
      <c r="W49" s="899">
        <f t="shared" si="58"/>
        <v>0</v>
      </c>
      <c r="X49" s="1777">
        <f>+'[3]Oct midyear LFNO'!E48</f>
        <v>0</v>
      </c>
      <c r="Y49" s="1778">
        <f t="shared" si="44"/>
        <v>0</v>
      </c>
      <c r="Z49" s="1758">
        <f>'[3]Feb midyear LFNO '!E48</f>
        <v>0</v>
      </c>
      <c r="AA49" s="1759">
        <f t="shared" si="45"/>
        <v>0</v>
      </c>
      <c r="AB49" s="1653">
        <f t="shared" si="46"/>
        <v>0</v>
      </c>
      <c r="AC49" s="1460">
        <f t="shared" si="47"/>
        <v>0</v>
      </c>
      <c r="AD49" s="937">
        <f t="shared" si="48"/>
        <v>0</v>
      </c>
      <c r="AE49" s="899">
        <f t="shared" si="49"/>
        <v>0</v>
      </c>
      <c r="AF49" s="1830">
        <v>0</v>
      </c>
      <c r="AG49" s="899">
        <f t="shared" si="50"/>
        <v>0</v>
      </c>
      <c r="AH49" s="1755">
        <f>'[4]Table 5C1E-LFNO'!V48+'[27]Table 5C1E-LFNO'!AH48+('[26]Table 5C1E-LFNO'!AH48*6)</f>
        <v>0</v>
      </c>
      <c r="AI49" s="1778">
        <f t="shared" si="51"/>
        <v>0</v>
      </c>
      <c r="AJ49" s="899">
        <f t="shared" si="52"/>
        <v>0</v>
      </c>
      <c r="AK49" s="900">
        <f t="shared" si="53"/>
        <v>0</v>
      </c>
      <c r="AL49" s="900">
        <f t="shared" si="59"/>
        <v>0</v>
      </c>
      <c r="AN49" s="49">
        <f>-'[4]Table 5C1E-LFNO'!R48</f>
        <v>0</v>
      </c>
      <c r="AO49" s="49">
        <f t="shared" si="54"/>
        <v>0</v>
      </c>
      <c r="AP49" s="49">
        <f t="shared" si="55"/>
        <v>0</v>
      </c>
    </row>
    <row r="50" spans="1:42">
      <c r="A50" s="876">
        <v>43</v>
      </c>
      <c r="B50" s="877" t="s">
        <v>134</v>
      </c>
      <c r="C50" s="972">
        <f>'2-1-13 SIS'!N49</f>
        <v>0</v>
      </c>
      <c r="D50" s="882">
        <f>'Table 3 Levels 1&amp;2'!AL50</f>
        <v>4717.8414352725031</v>
      </c>
      <c r="E50" s="921">
        <f t="shared" si="34"/>
        <v>0</v>
      </c>
      <c r="F50" s="921">
        <f>'Table 4 Level 3'!P48</f>
        <v>574.6099999999999</v>
      </c>
      <c r="G50" s="921">
        <f t="shared" si="35"/>
        <v>0</v>
      </c>
      <c r="H50" s="905">
        <f t="shared" si="36"/>
        <v>0</v>
      </c>
      <c r="I50" s="1746">
        <f>+'[3]Oct midyear LFNO'!K49</f>
        <v>0</v>
      </c>
      <c r="J50" s="1746">
        <f>'[3]Feb midyear LFNO '!K49</f>
        <v>0</v>
      </c>
      <c r="K50" s="1692">
        <f t="shared" si="37"/>
        <v>0</v>
      </c>
      <c r="L50" s="1453">
        <f t="shared" si="56"/>
        <v>0</v>
      </c>
      <c r="M50" s="931">
        <f t="shared" si="39"/>
        <v>0</v>
      </c>
      <c r="N50" s="905">
        <f t="shared" si="40"/>
        <v>0</v>
      </c>
      <c r="O50" s="882">
        <v>0</v>
      </c>
      <c r="P50" s="905">
        <f t="shared" si="41"/>
        <v>0</v>
      </c>
      <c r="Q50" s="872">
        <f>'[4]Table 5C1E-LFNO'!M49+'[27]Table 5C1E-LFNO'!T49+('[26]Table 5C1E-LFNO'!T49*6)</f>
        <v>0</v>
      </c>
      <c r="R50" s="1854">
        <f t="shared" si="42"/>
        <v>0</v>
      </c>
      <c r="S50" s="898">
        <f t="shared" si="43"/>
        <v>0</v>
      </c>
      <c r="T50" s="882"/>
      <c r="U50" s="905">
        <f t="shared" si="57"/>
        <v>0</v>
      </c>
      <c r="V50" s="897">
        <f>'Table 5C1A-Madison Prep'!T50</f>
        <v>3593</v>
      </c>
      <c r="W50" s="899">
        <f t="shared" si="58"/>
        <v>0</v>
      </c>
      <c r="X50" s="1777">
        <f>+'[3]Oct midyear LFNO'!E49</f>
        <v>0</v>
      </c>
      <c r="Y50" s="1778">
        <f t="shared" si="44"/>
        <v>0</v>
      </c>
      <c r="Z50" s="1758">
        <f>'[3]Feb midyear LFNO '!E49</f>
        <v>0</v>
      </c>
      <c r="AA50" s="1759">
        <f t="shared" si="45"/>
        <v>0</v>
      </c>
      <c r="AB50" s="1653">
        <f t="shared" si="46"/>
        <v>0</v>
      </c>
      <c r="AC50" s="1460">
        <f t="shared" si="47"/>
        <v>0</v>
      </c>
      <c r="AD50" s="937">
        <f t="shared" si="48"/>
        <v>0</v>
      </c>
      <c r="AE50" s="899">
        <f t="shared" si="49"/>
        <v>0</v>
      </c>
      <c r="AF50" s="1830">
        <v>0</v>
      </c>
      <c r="AG50" s="899">
        <f t="shared" si="50"/>
        <v>0</v>
      </c>
      <c r="AH50" s="1755">
        <f>'[4]Table 5C1E-LFNO'!V49+'[27]Table 5C1E-LFNO'!AH49+('[26]Table 5C1E-LFNO'!AH49*6)</f>
        <v>0</v>
      </c>
      <c r="AI50" s="1778">
        <f t="shared" si="51"/>
        <v>0</v>
      </c>
      <c r="AJ50" s="899">
        <f t="shared" si="52"/>
        <v>0</v>
      </c>
      <c r="AK50" s="900">
        <f t="shared" si="53"/>
        <v>0</v>
      </c>
      <c r="AL50" s="900">
        <f t="shared" si="59"/>
        <v>0</v>
      </c>
      <c r="AN50" s="49">
        <f>-'[4]Table 5C1E-LFNO'!R49</f>
        <v>0</v>
      </c>
      <c r="AO50" s="49">
        <f t="shared" si="54"/>
        <v>0</v>
      </c>
      <c r="AP50" s="49">
        <f t="shared" si="55"/>
        <v>0</v>
      </c>
    </row>
    <row r="51" spans="1:42">
      <c r="A51" s="876">
        <v>44</v>
      </c>
      <c r="B51" s="877" t="s">
        <v>135</v>
      </c>
      <c r="C51" s="972">
        <f>'2-1-13 SIS'!N50</f>
        <v>2</v>
      </c>
      <c r="D51" s="882">
        <f>'Table 3 Levels 1&amp;2'!AL51</f>
        <v>4696.6221228259064</v>
      </c>
      <c r="E51" s="921">
        <f t="shared" si="34"/>
        <v>9393.2442456518129</v>
      </c>
      <c r="F51" s="921">
        <f>'Table 4 Level 3'!P49</f>
        <v>663.16000000000008</v>
      </c>
      <c r="G51" s="921">
        <f t="shared" si="35"/>
        <v>1326.3200000000002</v>
      </c>
      <c r="H51" s="905">
        <f t="shared" si="36"/>
        <v>10719.564245651813</v>
      </c>
      <c r="I51" s="1746">
        <f>+'[3]Oct midyear LFNO'!K50</f>
        <v>10719.564245651813</v>
      </c>
      <c r="J51" s="1746">
        <f>'[3]Feb midyear LFNO '!K50</f>
        <v>0</v>
      </c>
      <c r="K51" s="1692">
        <f t="shared" si="37"/>
        <v>10719.564245651813</v>
      </c>
      <c r="L51" s="1453">
        <f t="shared" si="56"/>
        <v>21439.128491303625</v>
      </c>
      <c r="M51" s="931">
        <f t="shared" si="39"/>
        <v>-53.597821228259065</v>
      </c>
      <c r="N51" s="905">
        <f t="shared" si="40"/>
        <v>21385.530670075364</v>
      </c>
      <c r="O51" s="882">
        <v>0</v>
      </c>
      <c r="P51" s="905">
        <f t="shared" si="41"/>
        <v>21385.530670075364</v>
      </c>
      <c r="Q51" s="872">
        <f>'[4]Table 5C1E-LFNO'!M50+'[27]Table 5C1E-LFNO'!T50+('[26]Table 5C1E-LFNO'!T50*6)</f>
        <v>10336.339823869761</v>
      </c>
      <c r="R51" s="1854">
        <f t="shared" si="42"/>
        <v>11049.190846205604</v>
      </c>
      <c r="S51" s="898">
        <f t="shared" si="43"/>
        <v>2762</v>
      </c>
      <c r="T51" s="882"/>
      <c r="U51" s="905">
        <f t="shared" si="57"/>
        <v>21385.530670075364</v>
      </c>
      <c r="V51" s="897">
        <f>'Table 5C1A-Madison Prep'!T51</f>
        <v>4323</v>
      </c>
      <c r="W51" s="899">
        <f t="shared" si="58"/>
        <v>8646</v>
      </c>
      <c r="X51" s="1777">
        <f>+'[3]Oct midyear LFNO'!E50</f>
        <v>2</v>
      </c>
      <c r="Y51" s="1778">
        <f t="shared" si="44"/>
        <v>8646</v>
      </c>
      <c r="Z51" s="1758">
        <f>'[3]Feb midyear LFNO '!E50</f>
        <v>0</v>
      </c>
      <c r="AA51" s="1759">
        <f t="shared" si="45"/>
        <v>0</v>
      </c>
      <c r="AB51" s="1653">
        <f t="shared" si="46"/>
        <v>8646</v>
      </c>
      <c r="AC51" s="1460">
        <f t="shared" si="47"/>
        <v>17292</v>
      </c>
      <c r="AD51" s="937">
        <f t="shared" si="48"/>
        <v>-43.230000000000004</v>
      </c>
      <c r="AE51" s="899">
        <f t="shared" si="49"/>
        <v>17248.77</v>
      </c>
      <c r="AF51" s="1830">
        <v>0</v>
      </c>
      <c r="AG51" s="899">
        <f t="shared" si="50"/>
        <v>17248.77</v>
      </c>
      <c r="AH51" s="1755">
        <f>'[4]Table 5C1E-LFNO'!V50+'[27]Table 5C1E-LFNO'!AH50+('[26]Table 5C1E-LFNO'!AH50*6)</f>
        <v>8793.9599999999991</v>
      </c>
      <c r="AI51" s="1778">
        <f t="shared" si="51"/>
        <v>8454.8100000000013</v>
      </c>
      <c r="AJ51" s="899">
        <f t="shared" si="52"/>
        <v>2114</v>
      </c>
      <c r="AK51" s="900">
        <f t="shared" si="53"/>
        <v>38634.300670075361</v>
      </c>
      <c r="AL51" s="900">
        <f t="shared" si="59"/>
        <v>4876</v>
      </c>
      <c r="AN51" s="49">
        <f>-'[4]Table 5C1E-LFNO'!R50</f>
        <v>22.8</v>
      </c>
      <c r="AO51" s="49">
        <f t="shared" si="54"/>
        <v>-43.230000000000004</v>
      </c>
      <c r="AP51" s="49">
        <f t="shared" si="55"/>
        <v>-20.430000000000003</v>
      </c>
    </row>
    <row r="52" spans="1:42">
      <c r="A52" s="879">
        <v>45</v>
      </c>
      <c r="B52" s="880" t="s">
        <v>136</v>
      </c>
      <c r="C52" s="973">
        <f>'2-1-13 SIS'!N51</f>
        <v>1</v>
      </c>
      <c r="D52" s="883">
        <f>'Table 3 Levels 1&amp;2'!AL52</f>
        <v>2192.4914538932262</v>
      </c>
      <c r="E52" s="922">
        <f t="shared" si="34"/>
        <v>2192.4914538932262</v>
      </c>
      <c r="F52" s="922">
        <f>'Table 4 Level 3'!P50</f>
        <v>753.96000000000015</v>
      </c>
      <c r="G52" s="922">
        <f t="shared" si="35"/>
        <v>753.96000000000015</v>
      </c>
      <c r="H52" s="906">
        <f t="shared" si="36"/>
        <v>2946.4514538932262</v>
      </c>
      <c r="I52" s="1747">
        <f>+'[3]Oct midyear LFNO'!K51</f>
        <v>2946.4514538932262</v>
      </c>
      <c r="J52" s="1747">
        <f>'[3]Feb midyear LFNO '!K51</f>
        <v>0</v>
      </c>
      <c r="K52" s="1693">
        <f t="shared" si="37"/>
        <v>2946.4514538932262</v>
      </c>
      <c r="L52" s="1454">
        <f t="shared" si="56"/>
        <v>5892.9029077864525</v>
      </c>
      <c r="M52" s="932">
        <f t="shared" si="39"/>
        <v>-14.732257269466132</v>
      </c>
      <c r="N52" s="906">
        <f t="shared" si="40"/>
        <v>5878.1706505169859</v>
      </c>
      <c r="O52" s="883">
        <v>0</v>
      </c>
      <c r="P52" s="906">
        <f t="shared" si="41"/>
        <v>5878.1706505169859</v>
      </c>
      <c r="Q52" s="1852">
        <f>'[4]Table 5C1E-LFNO'!M51+'[27]Table 5C1E-LFNO'!T51+('[26]Table 5C1E-LFNO'!T51*6)</f>
        <v>3829.7172420034913</v>
      </c>
      <c r="R52" s="1855">
        <f t="shared" si="42"/>
        <v>2048.4534085134947</v>
      </c>
      <c r="S52" s="1529">
        <f t="shared" si="43"/>
        <v>512</v>
      </c>
      <c r="T52" s="883"/>
      <c r="U52" s="906">
        <f t="shared" si="57"/>
        <v>5878.1706505169859</v>
      </c>
      <c r="V52" s="902">
        <f>'Table 5C1A-Madison Prep'!T52</f>
        <v>12792</v>
      </c>
      <c r="W52" s="903">
        <f t="shared" si="58"/>
        <v>12792</v>
      </c>
      <c r="X52" s="1779">
        <f>+'[3]Oct midyear LFNO'!E51</f>
        <v>1</v>
      </c>
      <c r="Y52" s="1780">
        <f t="shared" si="44"/>
        <v>12792</v>
      </c>
      <c r="Z52" s="1762">
        <f>'[3]Feb midyear LFNO '!E51</f>
        <v>0</v>
      </c>
      <c r="AA52" s="1763">
        <f t="shared" si="45"/>
        <v>0</v>
      </c>
      <c r="AB52" s="1654">
        <f t="shared" si="46"/>
        <v>12792</v>
      </c>
      <c r="AC52" s="1459">
        <f t="shared" si="47"/>
        <v>25584</v>
      </c>
      <c r="AD52" s="938">
        <f t="shared" si="48"/>
        <v>-63.96</v>
      </c>
      <c r="AE52" s="903">
        <f t="shared" si="49"/>
        <v>25520.04</v>
      </c>
      <c r="AF52" s="1831">
        <v>0</v>
      </c>
      <c r="AG52" s="903">
        <f t="shared" si="50"/>
        <v>25520.04</v>
      </c>
      <c r="AH52" s="1833">
        <f>'[4]Table 5C1E-LFNO'!V51+'[27]Table 5C1E-LFNO'!AH51+('[26]Table 5C1E-LFNO'!AH51*6)</f>
        <v>14669.235000000002</v>
      </c>
      <c r="AI52" s="1780">
        <f t="shared" si="51"/>
        <v>10850.804999999998</v>
      </c>
      <c r="AJ52" s="1530">
        <f t="shared" si="52"/>
        <v>2713</v>
      </c>
      <c r="AK52" s="904">
        <f t="shared" si="53"/>
        <v>31398.210650516987</v>
      </c>
      <c r="AL52" s="904">
        <f t="shared" si="59"/>
        <v>3225</v>
      </c>
      <c r="AN52" s="49">
        <f>-'[4]Table 5C1E-LFNO'!R51</f>
        <v>28.215</v>
      </c>
      <c r="AO52" s="49">
        <f t="shared" si="54"/>
        <v>-63.96</v>
      </c>
      <c r="AP52" s="49">
        <f t="shared" si="55"/>
        <v>-35.745000000000005</v>
      </c>
    </row>
    <row r="53" spans="1:42">
      <c r="A53" s="870">
        <v>46</v>
      </c>
      <c r="B53" s="871" t="s">
        <v>137</v>
      </c>
      <c r="C53" s="974">
        <f>'2-1-13 SIS'!N52</f>
        <v>0</v>
      </c>
      <c r="D53" s="884">
        <f>'Table 3 Levels 1&amp;2'!AL53</f>
        <v>5644.6599115241634</v>
      </c>
      <c r="E53" s="923">
        <f t="shared" si="34"/>
        <v>0</v>
      </c>
      <c r="F53" s="923">
        <f>'Table 4 Level 3'!P51</f>
        <v>728.06</v>
      </c>
      <c r="G53" s="923">
        <f t="shared" si="35"/>
        <v>0</v>
      </c>
      <c r="H53" s="907">
        <f t="shared" si="36"/>
        <v>0</v>
      </c>
      <c r="I53" s="1723">
        <f>+'[3]Oct midyear LFNO'!K52</f>
        <v>0</v>
      </c>
      <c r="J53" s="1723">
        <f>'[3]Feb midyear LFNO '!K52</f>
        <v>0</v>
      </c>
      <c r="K53" s="1547">
        <f t="shared" si="37"/>
        <v>0</v>
      </c>
      <c r="L53" s="1455">
        <f t="shared" si="56"/>
        <v>0</v>
      </c>
      <c r="M53" s="933">
        <f t="shared" si="39"/>
        <v>0</v>
      </c>
      <c r="N53" s="907">
        <f t="shared" si="40"/>
        <v>0</v>
      </c>
      <c r="O53" s="884">
        <v>0</v>
      </c>
      <c r="P53" s="907">
        <f t="shared" si="41"/>
        <v>0</v>
      </c>
      <c r="Q53" s="872">
        <f>'[4]Table 5C1E-LFNO'!M52+'[27]Table 5C1E-LFNO'!T52+('[26]Table 5C1E-LFNO'!T52*6)</f>
        <v>0</v>
      </c>
      <c r="R53" s="884">
        <f t="shared" si="42"/>
        <v>0</v>
      </c>
      <c r="S53" s="1520">
        <f t="shared" si="43"/>
        <v>0</v>
      </c>
      <c r="T53" s="884"/>
      <c r="U53" s="907">
        <f t="shared" si="57"/>
        <v>0</v>
      </c>
      <c r="V53" s="897">
        <f>'Table 5C1A-Madison Prep'!T53</f>
        <v>2423</v>
      </c>
      <c r="W53" s="874">
        <f t="shared" si="58"/>
        <v>0</v>
      </c>
      <c r="X53" s="1754">
        <f>+'[3]Oct midyear LFNO'!E52</f>
        <v>0</v>
      </c>
      <c r="Y53" s="1755">
        <f t="shared" si="44"/>
        <v>0</v>
      </c>
      <c r="Z53" s="1754">
        <f>'[3]Feb midyear LFNO '!E52</f>
        <v>0</v>
      </c>
      <c r="AA53" s="1755">
        <f t="shared" si="45"/>
        <v>0</v>
      </c>
      <c r="AB53" s="1652">
        <f t="shared" si="46"/>
        <v>0</v>
      </c>
      <c r="AC53" s="1462">
        <f t="shared" si="47"/>
        <v>0</v>
      </c>
      <c r="AD53" s="936">
        <f t="shared" si="48"/>
        <v>0</v>
      </c>
      <c r="AE53" s="874">
        <f t="shared" si="49"/>
        <v>0</v>
      </c>
      <c r="AF53" s="1829">
        <v>0</v>
      </c>
      <c r="AG53" s="874">
        <f t="shared" si="50"/>
        <v>0</v>
      </c>
      <c r="AH53" s="1755">
        <f>'[4]Table 5C1E-LFNO'!V52+'[27]Table 5C1E-LFNO'!AH52+('[26]Table 5C1E-LFNO'!AH52*6)</f>
        <v>0</v>
      </c>
      <c r="AI53" s="1755">
        <f t="shared" si="51"/>
        <v>0</v>
      </c>
      <c r="AJ53" s="1521">
        <f t="shared" si="52"/>
        <v>0</v>
      </c>
      <c r="AK53" s="875">
        <f t="shared" si="53"/>
        <v>0</v>
      </c>
      <c r="AL53" s="875">
        <f t="shared" si="59"/>
        <v>0</v>
      </c>
      <c r="AN53" s="49">
        <f>-'[4]Table 5C1E-LFNO'!R52</f>
        <v>0</v>
      </c>
      <c r="AO53" s="49">
        <f t="shared" si="54"/>
        <v>0</v>
      </c>
      <c r="AP53" s="49">
        <f t="shared" si="55"/>
        <v>0</v>
      </c>
    </row>
    <row r="54" spans="1:42">
      <c r="A54" s="876">
        <v>47</v>
      </c>
      <c r="B54" s="877" t="s">
        <v>138</v>
      </c>
      <c r="C54" s="972">
        <f>'2-1-13 SIS'!N53</f>
        <v>0</v>
      </c>
      <c r="D54" s="882">
        <f>'Table 3 Levels 1&amp;2'!AL54</f>
        <v>2731.2444076222037</v>
      </c>
      <c r="E54" s="921">
        <f t="shared" si="34"/>
        <v>0</v>
      </c>
      <c r="F54" s="921">
        <f>'Table 4 Level 3'!P52</f>
        <v>910.76</v>
      </c>
      <c r="G54" s="921">
        <f t="shared" si="35"/>
        <v>0</v>
      </c>
      <c r="H54" s="905">
        <f t="shared" si="36"/>
        <v>0</v>
      </c>
      <c r="I54" s="1746">
        <f>+'[3]Oct midyear LFNO'!K53</f>
        <v>0</v>
      </c>
      <c r="J54" s="1746">
        <f>'[3]Feb midyear LFNO '!K53</f>
        <v>0</v>
      </c>
      <c r="K54" s="1692">
        <f t="shared" si="37"/>
        <v>0</v>
      </c>
      <c r="L54" s="1453">
        <f t="shared" si="56"/>
        <v>0</v>
      </c>
      <c r="M54" s="931">
        <f t="shared" si="39"/>
        <v>0</v>
      </c>
      <c r="N54" s="905">
        <f t="shared" si="40"/>
        <v>0</v>
      </c>
      <c r="O54" s="882">
        <v>0</v>
      </c>
      <c r="P54" s="905">
        <f t="shared" si="41"/>
        <v>0</v>
      </c>
      <c r="Q54" s="872">
        <f>'[4]Table 5C1E-LFNO'!M53+'[27]Table 5C1E-LFNO'!T53+('[26]Table 5C1E-LFNO'!T53*6)</f>
        <v>0</v>
      </c>
      <c r="R54" s="1854">
        <f t="shared" si="42"/>
        <v>0</v>
      </c>
      <c r="S54" s="898">
        <f t="shared" si="43"/>
        <v>0</v>
      </c>
      <c r="T54" s="882"/>
      <c r="U54" s="905">
        <f t="shared" si="57"/>
        <v>0</v>
      </c>
      <c r="V54" s="897">
        <f>'Table 5C1A-Madison Prep'!T54</f>
        <v>12963</v>
      </c>
      <c r="W54" s="899">
        <f t="shared" si="58"/>
        <v>0</v>
      </c>
      <c r="X54" s="1777">
        <f>+'[3]Oct midyear LFNO'!E53</f>
        <v>0</v>
      </c>
      <c r="Y54" s="1778">
        <f t="shared" si="44"/>
        <v>0</v>
      </c>
      <c r="Z54" s="1758">
        <f>'[3]Feb midyear LFNO '!E53</f>
        <v>0</v>
      </c>
      <c r="AA54" s="1759">
        <f t="shared" si="45"/>
        <v>0</v>
      </c>
      <c r="AB54" s="1653">
        <f t="shared" si="46"/>
        <v>0</v>
      </c>
      <c r="AC54" s="1460">
        <f t="shared" si="47"/>
        <v>0</v>
      </c>
      <c r="AD54" s="937">
        <f t="shared" si="48"/>
        <v>0</v>
      </c>
      <c r="AE54" s="899">
        <f t="shared" si="49"/>
        <v>0</v>
      </c>
      <c r="AF54" s="1830">
        <v>0</v>
      </c>
      <c r="AG54" s="899">
        <f t="shared" si="50"/>
        <v>0</v>
      </c>
      <c r="AH54" s="1755">
        <f>'[4]Table 5C1E-LFNO'!V53+'[27]Table 5C1E-LFNO'!AH53+('[26]Table 5C1E-LFNO'!AH53*6)</f>
        <v>0</v>
      </c>
      <c r="AI54" s="1778">
        <f t="shared" si="51"/>
        <v>0</v>
      </c>
      <c r="AJ54" s="899">
        <f t="shared" si="52"/>
        <v>0</v>
      </c>
      <c r="AK54" s="900">
        <f t="shared" si="53"/>
        <v>0</v>
      </c>
      <c r="AL54" s="900">
        <f t="shared" si="59"/>
        <v>0</v>
      </c>
      <c r="AN54" s="49">
        <f>-'[4]Table 5C1E-LFNO'!R53</f>
        <v>0</v>
      </c>
      <c r="AO54" s="49">
        <f t="shared" si="54"/>
        <v>0</v>
      </c>
      <c r="AP54" s="49">
        <f t="shared" si="55"/>
        <v>0</v>
      </c>
    </row>
    <row r="55" spans="1:42">
      <c r="A55" s="876">
        <v>48</v>
      </c>
      <c r="B55" s="877" t="s">
        <v>195</v>
      </c>
      <c r="C55" s="972">
        <f>'2-1-13 SIS'!N54</f>
        <v>0</v>
      </c>
      <c r="D55" s="882">
        <f>'Table 3 Levels 1&amp;2'!AL55</f>
        <v>4272.723323083942</v>
      </c>
      <c r="E55" s="921">
        <f t="shared" si="34"/>
        <v>0</v>
      </c>
      <c r="F55" s="921">
        <f>'Table 4 Level 3'!P53</f>
        <v>871.07</v>
      </c>
      <c r="G55" s="921">
        <f t="shared" si="35"/>
        <v>0</v>
      </c>
      <c r="H55" s="905">
        <f t="shared" si="36"/>
        <v>0</v>
      </c>
      <c r="I55" s="1746">
        <f>+'[3]Oct midyear LFNO'!K54</f>
        <v>0</v>
      </c>
      <c r="J55" s="1746">
        <f>'[3]Feb midyear LFNO '!K54</f>
        <v>0</v>
      </c>
      <c r="K55" s="1692">
        <f t="shared" si="37"/>
        <v>0</v>
      </c>
      <c r="L55" s="1453">
        <f t="shared" si="56"/>
        <v>0</v>
      </c>
      <c r="M55" s="931">
        <f t="shared" si="39"/>
        <v>0</v>
      </c>
      <c r="N55" s="905">
        <f t="shared" si="40"/>
        <v>0</v>
      </c>
      <c r="O55" s="882">
        <v>0</v>
      </c>
      <c r="P55" s="905">
        <f t="shared" si="41"/>
        <v>0</v>
      </c>
      <c r="Q55" s="872">
        <f>'[4]Table 5C1E-LFNO'!M54+'[27]Table 5C1E-LFNO'!T54+('[26]Table 5C1E-LFNO'!T54*6)</f>
        <v>0</v>
      </c>
      <c r="R55" s="1854">
        <f t="shared" si="42"/>
        <v>0</v>
      </c>
      <c r="S55" s="898">
        <f t="shared" si="43"/>
        <v>0</v>
      </c>
      <c r="T55" s="882"/>
      <c r="U55" s="905">
        <f t="shared" si="57"/>
        <v>0</v>
      </c>
      <c r="V55" s="897">
        <f>'Table 5C1A-Madison Prep'!T55</f>
        <v>6585</v>
      </c>
      <c r="W55" s="899">
        <f t="shared" si="58"/>
        <v>0</v>
      </c>
      <c r="X55" s="1777">
        <f>+'[3]Oct midyear LFNO'!E54</f>
        <v>0</v>
      </c>
      <c r="Y55" s="1778">
        <f t="shared" si="44"/>
        <v>0</v>
      </c>
      <c r="Z55" s="1758">
        <f>'[3]Feb midyear LFNO '!E54</f>
        <v>0</v>
      </c>
      <c r="AA55" s="1759">
        <f t="shared" si="45"/>
        <v>0</v>
      </c>
      <c r="AB55" s="1653">
        <f t="shared" si="46"/>
        <v>0</v>
      </c>
      <c r="AC55" s="1460">
        <f t="shared" si="47"/>
        <v>0</v>
      </c>
      <c r="AD55" s="937">
        <f t="shared" si="48"/>
        <v>0</v>
      </c>
      <c r="AE55" s="899">
        <f t="shared" si="49"/>
        <v>0</v>
      </c>
      <c r="AF55" s="1830">
        <v>0</v>
      </c>
      <c r="AG55" s="899">
        <f t="shared" si="50"/>
        <v>0</v>
      </c>
      <c r="AH55" s="1755">
        <f>'[4]Table 5C1E-LFNO'!V54+'[27]Table 5C1E-LFNO'!AH54+('[26]Table 5C1E-LFNO'!AH54*6)</f>
        <v>0</v>
      </c>
      <c r="AI55" s="1778">
        <f t="shared" si="51"/>
        <v>0</v>
      </c>
      <c r="AJ55" s="899">
        <f t="shared" si="52"/>
        <v>0</v>
      </c>
      <c r="AK55" s="900">
        <f t="shared" si="53"/>
        <v>0</v>
      </c>
      <c r="AL55" s="900">
        <f t="shared" si="59"/>
        <v>0</v>
      </c>
      <c r="AN55" s="49">
        <f>-'[4]Table 5C1E-LFNO'!R54</f>
        <v>0</v>
      </c>
      <c r="AO55" s="49">
        <f t="shared" si="54"/>
        <v>0</v>
      </c>
      <c r="AP55" s="49">
        <f t="shared" si="55"/>
        <v>0</v>
      </c>
    </row>
    <row r="56" spans="1:42">
      <c r="A56" s="876">
        <v>49</v>
      </c>
      <c r="B56" s="877" t="s">
        <v>139</v>
      </c>
      <c r="C56" s="972">
        <f>'2-1-13 SIS'!N55</f>
        <v>0</v>
      </c>
      <c r="D56" s="882">
        <f>'Table 3 Levels 1&amp;2'!AL56</f>
        <v>4836.7092570332552</v>
      </c>
      <c r="E56" s="921">
        <f t="shared" si="34"/>
        <v>0</v>
      </c>
      <c r="F56" s="921">
        <f>'Table 4 Level 3'!P54</f>
        <v>574.43999999999994</v>
      </c>
      <c r="G56" s="921">
        <f t="shared" si="35"/>
        <v>0</v>
      </c>
      <c r="H56" s="905">
        <f t="shared" si="36"/>
        <v>0</v>
      </c>
      <c r="I56" s="1746">
        <f>+'[3]Oct midyear LFNO'!K55</f>
        <v>0</v>
      </c>
      <c r="J56" s="1746">
        <f>'[3]Feb midyear LFNO '!K55</f>
        <v>0</v>
      </c>
      <c r="K56" s="1692">
        <f t="shared" si="37"/>
        <v>0</v>
      </c>
      <c r="L56" s="1453">
        <f t="shared" si="56"/>
        <v>0</v>
      </c>
      <c r="M56" s="931">
        <f t="shared" si="39"/>
        <v>0</v>
      </c>
      <c r="N56" s="905">
        <f t="shared" si="40"/>
        <v>0</v>
      </c>
      <c r="O56" s="882">
        <v>0</v>
      </c>
      <c r="P56" s="905">
        <f t="shared" si="41"/>
        <v>0</v>
      </c>
      <c r="Q56" s="872">
        <f>'[4]Table 5C1E-LFNO'!M55+'[27]Table 5C1E-LFNO'!T55+('[26]Table 5C1E-LFNO'!T55*6)</f>
        <v>0</v>
      </c>
      <c r="R56" s="1854">
        <f t="shared" si="42"/>
        <v>0</v>
      </c>
      <c r="S56" s="898">
        <f t="shared" si="43"/>
        <v>0</v>
      </c>
      <c r="T56" s="882"/>
      <c r="U56" s="905">
        <f t="shared" si="57"/>
        <v>0</v>
      </c>
      <c r="V56" s="897">
        <f>'Table 5C1A-Madison Prep'!T56</f>
        <v>2402</v>
      </c>
      <c r="W56" s="899">
        <f t="shared" si="58"/>
        <v>0</v>
      </c>
      <c r="X56" s="1777">
        <f>+'[3]Oct midyear LFNO'!E55</f>
        <v>0</v>
      </c>
      <c r="Y56" s="1778">
        <f t="shared" si="44"/>
        <v>0</v>
      </c>
      <c r="Z56" s="1758">
        <f>'[3]Feb midyear LFNO '!E55</f>
        <v>0</v>
      </c>
      <c r="AA56" s="1759">
        <f t="shared" si="45"/>
        <v>0</v>
      </c>
      <c r="AB56" s="1653">
        <f t="shared" si="46"/>
        <v>0</v>
      </c>
      <c r="AC56" s="1460">
        <f t="shared" si="47"/>
        <v>0</v>
      </c>
      <c r="AD56" s="937">
        <f t="shared" si="48"/>
        <v>0</v>
      </c>
      <c r="AE56" s="899">
        <f t="shared" si="49"/>
        <v>0</v>
      </c>
      <c r="AF56" s="1830">
        <v>0</v>
      </c>
      <c r="AG56" s="899">
        <f t="shared" si="50"/>
        <v>0</v>
      </c>
      <c r="AH56" s="1755">
        <f>'[4]Table 5C1E-LFNO'!V55+'[27]Table 5C1E-LFNO'!AH55+('[26]Table 5C1E-LFNO'!AH55*6)</f>
        <v>0</v>
      </c>
      <c r="AI56" s="1778">
        <f t="shared" si="51"/>
        <v>0</v>
      </c>
      <c r="AJ56" s="899">
        <f t="shared" si="52"/>
        <v>0</v>
      </c>
      <c r="AK56" s="900">
        <f t="shared" si="53"/>
        <v>0</v>
      </c>
      <c r="AL56" s="900">
        <f t="shared" si="59"/>
        <v>0</v>
      </c>
      <c r="AN56" s="49">
        <f>-'[4]Table 5C1E-LFNO'!R55</f>
        <v>0</v>
      </c>
      <c r="AO56" s="49">
        <f t="shared" si="54"/>
        <v>0</v>
      </c>
      <c r="AP56" s="49">
        <f t="shared" si="55"/>
        <v>0</v>
      </c>
    </row>
    <row r="57" spans="1:42">
      <c r="A57" s="879">
        <v>50</v>
      </c>
      <c r="B57" s="880" t="s">
        <v>140</v>
      </c>
      <c r="C57" s="973">
        <f>'2-1-13 SIS'!N56</f>
        <v>0</v>
      </c>
      <c r="D57" s="883">
        <f>'Table 3 Levels 1&amp;2'!AL57</f>
        <v>5032.6862895017111</v>
      </c>
      <c r="E57" s="922">
        <f t="shared" si="34"/>
        <v>0</v>
      </c>
      <c r="F57" s="922">
        <f>'Table 4 Level 3'!P55</f>
        <v>634.46</v>
      </c>
      <c r="G57" s="922">
        <f t="shared" si="35"/>
        <v>0</v>
      </c>
      <c r="H57" s="906">
        <f t="shared" si="36"/>
        <v>0</v>
      </c>
      <c r="I57" s="1747">
        <f>+'[3]Oct midyear LFNO'!K56</f>
        <v>0</v>
      </c>
      <c r="J57" s="1747">
        <f>'[3]Feb midyear LFNO '!K56</f>
        <v>0</v>
      </c>
      <c r="K57" s="1693">
        <f t="shared" si="37"/>
        <v>0</v>
      </c>
      <c r="L57" s="1454">
        <f t="shared" si="56"/>
        <v>0</v>
      </c>
      <c r="M57" s="932">
        <f t="shared" si="39"/>
        <v>0</v>
      </c>
      <c r="N57" s="906">
        <f t="shared" si="40"/>
        <v>0</v>
      </c>
      <c r="O57" s="883">
        <v>0</v>
      </c>
      <c r="P57" s="906">
        <f t="shared" si="41"/>
        <v>0</v>
      </c>
      <c r="Q57" s="1852">
        <f>'[4]Table 5C1E-LFNO'!M56+'[27]Table 5C1E-LFNO'!T56+('[26]Table 5C1E-LFNO'!T56*6)</f>
        <v>0</v>
      </c>
      <c r="R57" s="1855">
        <f t="shared" si="42"/>
        <v>0</v>
      </c>
      <c r="S57" s="1529">
        <f t="shared" si="43"/>
        <v>0</v>
      </c>
      <c r="T57" s="883"/>
      <c r="U57" s="906">
        <f t="shared" si="57"/>
        <v>0</v>
      </c>
      <c r="V57" s="902">
        <f>'Table 5C1A-Madison Prep'!T57</f>
        <v>3143</v>
      </c>
      <c r="W57" s="903">
        <f t="shared" si="58"/>
        <v>0</v>
      </c>
      <c r="X57" s="1779">
        <f>+'[3]Oct midyear LFNO'!E56</f>
        <v>0</v>
      </c>
      <c r="Y57" s="1780">
        <f t="shared" si="44"/>
        <v>0</v>
      </c>
      <c r="Z57" s="1762">
        <f>'[3]Feb midyear LFNO '!E56</f>
        <v>0</v>
      </c>
      <c r="AA57" s="1763">
        <f t="shared" si="45"/>
        <v>0</v>
      </c>
      <c r="AB57" s="1654">
        <f t="shared" si="46"/>
        <v>0</v>
      </c>
      <c r="AC57" s="1459">
        <f t="shared" si="47"/>
        <v>0</v>
      </c>
      <c r="AD57" s="938">
        <f t="shared" si="48"/>
        <v>0</v>
      </c>
      <c r="AE57" s="903">
        <f t="shared" si="49"/>
        <v>0</v>
      </c>
      <c r="AF57" s="1831">
        <v>0</v>
      </c>
      <c r="AG57" s="903">
        <f t="shared" si="50"/>
        <v>0</v>
      </c>
      <c r="AH57" s="1833">
        <f>'[4]Table 5C1E-LFNO'!V56+'[27]Table 5C1E-LFNO'!AH56+('[26]Table 5C1E-LFNO'!AH56*6)</f>
        <v>0</v>
      </c>
      <c r="AI57" s="1780">
        <f t="shared" si="51"/>
        <v>0</v>
      </c>
      <c r="AJ57" s="1530">
        <f t="shared" si="52"/>
        <v>0</v>
      </c>
      <c r="AK57" s="904">
        <f t="shared" si="53"/>
        <v>0</v>
      </c>
      <c r="AL57" s="904">
        <f t="shared" si="59"/>
        <v>0</v>
      </c>
      <c r="AN57" s="49">
        <f>-'[4]Table 5C1E-LFNO'!R56</f>
        <v>0</v>
      </c>
      <c r="AO57" s="49">
        <f t="shared" si="54"/>
        <v>0</v>
      </c>
      <c r="AP57" s="49">
        <f t="shared" si="55"/>
        <v>0</v>
      </c>
    </row>
    <row r="58" spans="1:42">
      <c r="A58" s="870">
        <v>51</v>
      </c>
      <c r="B58" s="871" t="s">
        <v>141</v>
      </c>
      <c r="C58" s="974">
        <f>'2-1-13 SIS'!N57</f>
        <v>0</v>
      </c>
      <c r="D58" s="884">
        <f>'Table 3 Levels 1&amp;2'!AL58</f>
        <v>4246.0339872793602</v>
      </c>
      <c r="E58" s="923">
        <f t="shared" si="34"/>
        <v>0</v>
      </c>
      <c r="F58" s="923">
        <f>'Table 4 Level 3'!P56</f>
        <v>706.66</v>
      </c>
      <c r="G58" s="923">
        <f t="shared" si="35"/>
        <v>0</v>
      </c>
      <c r="H58" s="907">
        <f t="shared" si="36"/>
        <v>0</v>
      </c>
      <c r="I58" s="1723">
        <f>+'[3]Oct midyear LFNO'!K57</f>
        <v>0</v>
      </c>
      <c r="J58" s="1723">
        <f>'[3]Feb midyear LFNO '!K57</f>
        <v>0</v>
      </c>
      <c r="K58" s="1547">
        <f t="shared" si="37"/>
        <v>0</v>
      </c>
      <c r="L58" s="1455">
        <f t="shared" si="56"/>
        <v>0</v>
      </c>
      <c r="M58" s="933">
        <f t="shared" si="39"/>
        <v>0</v>
      </c>
      <c r="N58" s="907">
        <f t="shared" si="40"/>
        <v>0</v>
      </c>
      <c r="O58" s="884">
        <v>0</v>
      </c>
      <c r="P58" s="907">
        <f t="shared" si="41"/>
        <v>0</v>
      </c>
      <c r="Q58" s="872">
        <f>'[4]Table 5C1E-LFNO'!M57+'[27]Table 5C1E-LFNO'!T57+('[26]Table 5C1E-LFNO'!T57*6)</f>
        <v>0</v>
      </c>
      <c r="R58" s="884">
        <f t="shared" si="42"/>
        <v>0</v>
      </c>
      <c r="S58" s="1520">
        <f t="shared" si="43"/>
        <v>0</v>
      </c>
      <c r="T58" s="884"/>
      <c r="U58" s="907">
        <f t="shared" si="57"/>
        <v>0</v>
      </c>
      <c r="V58" s="897">
        <f>'Table 5C1A-Madison Prep'!T58</f>
        <v>4370</v>
      </c>
      <c r="W58" s="874">
        <f t="shared" si="58"/>
        <v>0</v>
      </c>
      <c r="X58" s="1754">
        <f>+'[3]Oct midyear LFNO'!E57</f>
        <v>0</v>
      </c>
      <c r="Y58" s="1755">
        <f t="shared" si="44"/>
        <v>0</v>
      </c>
      <c r="Z58" s="1754">
        <f>'[3]Feb midyear LFNO '!E57</f>
        <v>0</v>
      </c>
      <c r="AA58" s="1755">
        <f t="shared" si="45"/>
        <v>0</v>
      </c>
      <c r="AB58" s="1652">
        <f t="shared" si="46"/>
        <v>0</v>
      </c>
      <c r="AC58" s="1462">
        <f t="shared" si="47"/>
        <v>0</v>
      </c>
      <c r="AD58" s="936">
        <f t="shared" si="48"/>
        <v>0</v>
      </c>
      <c r="AE58" s="874">
        <f t="shared" si="49"/>
        <v>0</v>
      </c>
      <c r="AF58" s="1829">
        <v>0</v>
      </c>
      <c r="AG58" s="874">
        <f t="shared" si="50"/>
        <v>0</v>
      </c>
      <c r="AH58" s="1755">
        <f>'[4]Table 5C1E-LFNO'!V57+'[27]Table 5C1E-LFNO'!AH57+('[26]Table 5C1E-LFNO'!AH57*6)</f>
        <v>0</v>
      </c>
      <c r="AI58" s="1755">
        <f t="shared" si="51"/>
        <v>0</v>
      </c>
      <c r="AJ58" s="1521">
        <f t="shared" si="52"/>
        <v>0</v>
      </c>
      <c r="AK58" s="875">
        <f t="shared" si="53"/>
        <v>0</v>
      </c>
      <c r="AL58" s="875">
        <f t="shared" si="59"/>
        <v>0</v>
      </c>
      <c r="AN58" s="49">
        <f>-'[4]Table 5C1E-LFNO'!R57</f>
        <v>0</v>
      </c>
      <c r="AO58" s="49">
        <f t="shared" si="54"/>
        <v>0</v>
      </c>
      <c r="AP58" s="49">
        <f t="shared" si="55"/>
        <v>0</v>
      </c>
    </row>
    <row r="59" spans="1:42">
      <c r="A59" s="876">
        <v>52</v>
      </c>
      <c r="B59" s="877" t="s">
        <v>142</v>
      </c>
      <c r="C59" s="972">
        <f>'2-1-13 SIS'!N58</f>
        <v>1</v>
      </c>
      <c r="D59" s="882">
        <f>'Table 3 Levels 1&amp;2'!AL59</f>
        <v>5013.4438050113249</v>
      </c>
      <c r="E59" s="921">
        <f t="shared" si="34"/>
        <v>5013.4438050113249</v>
      </c>
      <c r="F59" s="921">
        <f>'Table 4 Level 3'!P57</f>
        <v>658.37</v>
      </c>
      <c r="G59" s="921">
        <f t="shared" si="35"/>
        <v>658.37</v>
      </c>
      <c r="H59" s="905">
        <f t="shared" si="36"/>
        <v>5671.8138050113248</v>
      </c>
      <c r="I59" s="1746">
        <f>+'[3]Oct midyear LFNO'!K58</f>
        <v>0</v>
      </c>
      <c r="J59" s="1746">
        <f>'[3]Feb midyear LFNO '!K58</f>
        <v>0</v>
      </c>
      <c r="K59" s="1692">
        <f t="shared" si="37"/>
        <v>0</v>
      </c>
      <c r="L59" s="1453">
        <f t="shared" si="56"/>
        <v>5671.8138050113248</v>
      </c>
      <c r="M59" s="931">
        <f t="shared" si="39"/>
        <v>-14.179534512528312</v>
      </c>
      <c r="N59" s="905">
        <f t="shared" si="40"/>
        <v>5657.6342704987965</v>
      </c>
      <c r="O59" s="882">
        <v>0</v>
      </c>
      <c r="P59" s="905">
        <f t="shared" si="41"/>
        <v>5657.6342704987965</v>
      </c>
      <c r="Q59" s="872">
        <f>'[4]Table 5C1E-LFNO'!M58+'[27]Table 5C1E-LFNO'!T58+('[26]Table 5C1E-LFNO'!T58*6)</f>
        <v>3771.7561803325311</v>
      </c>
      <c r="R59" s="1854">
        <f t="shared" si="42"/>
        <v>1885.8780901662653</v>
      </c>
      <c r="S59" s="898">
        <f t="shared" si="43"/>
        <v>471</v>
      </c>
      <c r="T59" s="882"/>
      <c r="U59" s="905">
        <f t="shared" si="57"/>
        <v>5657.6342704987965</v>
      </c>
      <c r="V59" s="897">
        <f>'Table 5C1A-Madison Prep'!T59</f>
        <v>5143</v>
      </c>
      <c r="W59" s="899">
        <f t="shared" si="58"/>
        <v>5143</v>
      </c>
      <c r="X59" s="1777">
        <f>+'[3]Oct midyear LFNO'!E58</f>
        <v>0</v>
      </c>
      <c r="Y59" s="1778">
        <f t="shared" si="44"/>
        <v>0</v>
      </c>
      <c r="Z59" s="1758">
        <f>'[3]Feb midyear LFNO '!E58</f>
        <v>0</v>
      </c>
      <c r="AA59" s="1759">
        <f t="shared" si="45"/>
        <v>0</v>
      </c>
      <c r="AB59" s="1653">
        <f t="shared" si="46"/>
        <v>0</v>
      </c>
      <c r="AC59" s="1460">
        <f t="shared" si="47"/>
        <v>5143</v>
      </c>
      <c r="AD59" s="937">
        <f t="shared" si="48"/>
        <v>-12.8575</v>
      </c>
      <c r="AE59" s="899">
        <f t="shared" si="49"/>
        <v>5130.1424999999999</v>
      </c>
      <c r="AF59" s="1830">
        <v>0</v>
      </c>
      <c r="AG59" s="899">
        <f t="shared" si="50"/>
        <v>5130.1424999999999</v>
      </c>
      <c r="AH59" s="1755">
        <f>'[4]Table 5C1E-LFNO'!V58+'[27]Table 5C1E-LFNO'!AH58+('[26]Table 5C1E-LFNO'!AH58*6)</f>
        <v>3251.1850000000004</v>
      </c>
      <c r="AI59" s="1778">
        <f t="shared" si="51"/>
        <v>1878.9574999999995</v>
      </c>
      <c r="AJ59" s="899">
        <f t="shared" si="52"/>
        <v>470</v>
      </c>
      <c r="AK59" s="900">
        <f t="shared" si="53"/>
        <v>10787.776770498796</v>
      </c>
      <c r="AL59" s="900">
        <f t="shared" si="59"/>
        <v>941</v>
      </c>
      <c r="AN59" s="49">
        <f>-'[4]Table 5C1E-LFNO'!R58</f>
        <v>12.2225</v>
      </c>
      <c r="AO59" s="49">
        <f t="shared" si="54"/>
        <v>-12.8575</v>
      </c>
      <c r="AP59" s="49">
        <f t="shared" si="55"/>
        <v>-0.63499999999999979</v>
      </c>
    </row>
    <row r="60" spans="1:42">
      <c r="A60" s="876">
        <v>53</v>
      </c>
      <c r="B60" s="877" t="s">
        <v>143</v>
      </c>
      <c r="C60" s="972">
        <f>'2-1-13 SIS'!N59</f>
        <v>0</v>
      </c>
      <c r="D60" s="882">
        <f>'Table 3 Levels 1&amp;2'!AL60</f>
        <v>4775.5877635581091</v>
      </c>
      <c r="E60" s="921">
        <f t="shared" si="34"/>
        <v>0</v>
      </c>
      <c r="F60" s="921">
        <f>'Table 4 Level 3'!P58</f>
        <v>689.74</v>
      </c>
      <c r="G60" s="921">
        <f t="shared" si="35"/>
        <v>0</v>
      </c>
      <c r="H60" s="905">
        <f t="shared" si="36"/>
        <v>0</v>
      </c>
      <c r="I60" s="1746">
        <f>+'[3]Oct midyear LFNO'!K59</f>
        <v>0</v>
      </c>
      <c r="J60" s="1746">
        <f>'[3]Feb midyear LFNO '!K59</f>
        <v>0</v>
      </c>
      <c r="K60" s="1692">
        <f t="shared" si="37"/>
        <v>0</v>
      </c>
      <c r="L60" s="1453">
        <f t="shared" si="56"/>
        <v>0</v>
      </c>
      <c r="M60" s="931">
        <f t="shared" si="39"/>
        <v>0</v>
      </c>
      <c r="N60" s="905">
        <f t="shared" si="40"/>
        <v>0</v>
      </c>
      <c r="O60" s="882">
        <v>0</v>
      </c>
      <c r="P60" s="905">
        <f t="shared" si="41"/>
        <v>0</v>
      </c>
      <c r="Q60" s="872">
        <f>'[4]Table 5C1E-LFNO'!M59+'[27]Table 5C1E-LFNO'!T59+('[26]Table 5C1E-LFNO'!T59*6)</f>
        <v>0</v>
      </c>
      <c r="R60" s="1854">
        <f t="shared" si="42"/>
        <v>0</v>
      </c>
      <c r="S60" s="898">
        <f t="shared" si="43"/>
        <v>0</v>
      </c>
      <c r="T60" s="882"/>
      <c r="U60" s="905">
        <f t="shared" si="57"/>
        <v>0</v>
      </c>
      <c r="V60" s="897">
        <f>'Table 5C1A-Madison Prep'!T60</f>
        <v>2109</v>
      </c>
      <c r="W60" s="899">
        <f t="shared" si="58"/>
        <v>0</v>
      </c>
      <c r="X60" s="1777">
        <f>+'[3]Oct midyear LFNO'!E59</f>
        <v>0</v>
      </c>
      <c r="Y60" s="1778">
        <f t="shared" si="44"/>
        <v>0</v>
      </c>
      <c r="Z60" s="1758">
        <f>'[3]Feb midyear LFNO '!E59</f>
        <v>0</v>
      </c>
      <c r="AA60" s="1759">
        <f t="shared" si="45"/>
        <v>0</v>
      </c>
      <c r="AB60" s="1653">
        <f t="shared" si="46"/>
        <v>0</v>
      </c>
      <c r="AC60" s="1460">
        <f t="shared" si="47"/>
        <v>0</v>
      </c>
      <c r="AD60" s="937">
        <f t="shared" si="48"/>
        <v>0</v>
      </c>
      <c r="AE60" s="899">
        <f t="shared" si="49"/>
        <v>0</v>
      </c>
      <c r="AF60" s="1830">
        <v>0</v>
      </c>
      <c r="AG60" s="899">
        <f t="shared" si="50"/>
        <v>0</v>
      </c>
      <c r="AH60" s="1755">
        <f>'[4]Table 5C1E-LFNO'!V59+'[27]Table 5C1E-LFNO'!AH59+('[26]Table 5C1E-LFNO'!AH59*6)</f>
        <v>0</v>
      </c>
      <c r="AI60" s="1778">
        <f t="shared" si="51"/>
        <v>0</v>
      </c>
      <c r="AJ60" s="899">
        <f t="shared" si="52"/>
        <v>0</v>
      </c>
      <c r="AK60" s="900">
        <f t="shared" si="53"/>
        <v>0</v>
      </c>
      <c r="AL60" s="900">
        <f t="shared" si="59"/>
        <v>0</v>
      </c>
      <c r="AN60" s="49">
        <f>-'[4]Table 5C1E-LFNO'!R59</f>
        <v>0</v>
      </c>
      <c r="AO60" s="49">
        <f t="shared" si="54"/>
        <v>0</v>
      </c>
      <c r="AP60" s="49">
        <f t="shared" si="55"/>
        <v>0</v>
      </c>
    </row>
    <row r="61" spans="1:42">
      <c r="A61" s="876">
        <v>54</v>
      </c>
      <c r="B61" s="877" t="s">
        <v>144</v>
      </c>
      <c r="C61" s="972">
        <f>'2-1-13 SIS'!N60</f>
        <v>0</v>
      </c>
      <c r="D61" s="882">
        <f>'Table 3 Levels 1&amp;2'!AL61</f>
        <v>5951.8009386275662</v>
      </c>
      <c r="E61" s="921">
        <f t="shared" si="34"/>
        <v>0</v>
      </c>
      <c r="F61" s="921">
        <f>'Table 4 Level 3'!P59</f>
        <v>951.45</v>
      </c>
      <c r="G61" s="921">
        <f t="shared" si="35"/>
        <v>0</v>
      </c>
      <c r="H61" s="905">
        <f t="shared" si="36"/>
        <v>0</v>
      </c>
      <c r="I61" s="1746">
        <f>+'[3]Oct midyear LFNO'!K60</f>
        <v>0</v>
      </c>
      <c r="J61" s="1746">
        <f>'[3]Feb midyear LFNO '!K60</f>
        <v>0</v>
      </c>
      <c r="K61" s="1692">
        <f t="shared" si="37"/>
        <v>0</v>
      </c>
      <c r="L61" s="1453">
        <f t="shared" si="56"/>
        <v>0</v>
      </c>
      <c r="M61" s="931">
        <f t="shared" si="39"/>
        <v>0</v>
      </c>
      <c r="N61" s="905">
        <f t="shared" si="40"/>
        <v>0</v>
      </c>
      <c r="O61" s="882">
        <v>0</v>
      </c>
      <c r="P61" s="905">
        <f t="shared" si="41"/>
        <v>0</v>
      </c>
      <c r="Q61" s="872">
        <f>'[4]Table 5C1E-LFNO'!M60+'[27]Table 5C1E-LFNO'!T60+('[26]Table 5C1E-LFNO'!T60*6)</f>
        <v>0</v>
      </c>
      <c r="R61" s="1854">
        <f t="shared" si="42"/>
        <v>0</v>
      </c>
      <c r="S61" s="898">
        <f t="shared" si="43"/>
        <v>0</v>
      </c>
      <c r="T61" s="882"/>
      <c r="U61" s="905">
        <f t="shared" si="57"/>
        <v>0</v>
      </c>
      <c r="V61" s="897">
        <f>'Table 5C1A-Madison Prep'!T61</f>
        <v>3760</v>
      </c>
      <c r="W61" s="899">
        <f t="shared" si="58"/>
        <v>0</v>
      </c>
      <c r="X61" s="1777">
        <f>+'[3]Oct midyear LFNO'!E60</f>
        <v>0</v>
      </c>
      <c r="Y61" s="1778">
        <f t="shared" si="44"/>
        <v>0</v>
      </c>
      <c r="Z61" s="1758">
        <f>'[3]Feb midyear LFNO '!E60</f>
        <v>0</v>
      </c>
      <c r="AA61" s="1759">
        <f t="shared" si="45"/>
        <v>0</v>
      </c>
      <c r="AB61" s="1653">
        <f t="shared" si="46"/>
        <v>0</v>
      </c>
      <c r="AC61" s="1460">
        <f t="shared" si="47"/>
        <v>0</v>
      </c>
      <c r="AD61" s="937">
        <f t="shared" si="48"/>
        <v>0</v>
      </c>
      <c r="AE61" s="899">
        <f t="shared" si="49"/>
        <v>0</v>
      </c>
      <c r="AF61" s="1830">
        <v>0</v>
      </c>
      <c r="AG61" s="899">
        <f t="shared" si="50"/>
        <v>0</v>
      </c>
      <c r="AH61" s="1755">
        <f>'[4]Table 5C1E-LFNO'!V60+'[27]Table 5C1E-LFNO'!AH60+('[26]Table 5C1E-LFNO'!AH60*6)</f>
        <v>0</v>
      </c>
      <c r="AI61" s="1778">
        <f t="shared" si="51"/>
        <v>0</v>
      </c>
      <c r="AJ61" s="899">
        <f t="shared" si="52"/>
        <v>0</v>
      </c>
      <c r="AK61" s="900">
        <f t="shared" si="53"/>
        <v>0</v>
      </c>
      <c r="AL61" s="900">
        <f t="shared" si="59"/>
        <v>0</v>
      </c>
      <c r="AN61" s="49">
        <f>-'[4]Table 5C1E-LFNO'!R60</f>
        <v>0</v>
      </c>
      <c r="AO61" s="49">
        <f t="shared" si="54"/>
        <v>0</v>
      </c>
      <c r="AP61" s="49">
        <f t="shared" si="55"/>
        <v>0</v>
      </c>
    </row>
    <row r="62" spans="1:42">
      <c r="A62" s="879">
        <v>55</v>
      </c>
      <c r="B62" s="880" t="s">
        <v>145</v>
      </c>
      <c r="C62" s="973">
        <f>'2-1-13 SIS'!N61</f>
        <v>0</v>
      </c>
      <c r="D62" s="883">
        <f>'Table 3 Levels 1&amp;2'!AL62</f>
        <v>4171.0434735233157</v>
      </c>
      <c r="E62" s="922">
        <f t="shared" si="34"/>
        <v>0</v>
      </c>
      <c r="F62" s="922">
        <f>'Table 4 Level 3'!P60</f>
        <v>795.14</v>
      </c>
      <c r="G62" s="922">
        <f t="shared" si="35"/>
        <v>0</v>
      </c>
      <c r="H62" s="906">
        <f t="shared" si="36"/>
        <v>0</v>
      </c>
      <c r="I62" s="1747">
        <f>+'[3]Oct midyear LFNO'!K61</f>
        <v>0</v>
      </c>
      <c r="J62" s="1747">
        <f>'[3]Feb midyear LFNO '!K61</f>
        <v>0</v>
      </c>
      <c r="K62" s="1693">
        <f t="shared" si="37"/>
        <v>0</v>
      </c>
      <c r="L62" s="1454">
        <f t="shared" si="56"/>
        <v>0</v>
      </c>
      <c r="M62" s="932">
        <f t="shared" si="39"/>
        <v>0</v>
      </c>
      <c r="N62" s="906">
        <f t="shared" si="40"/>
        <v>0</v>
      </c>
      <c r="O62" s="883">
        <v>0</v>
      </c>
      <c r="P62" s="906">
        <f t="shared" si="41"/>
        <v>0</v>
      </c>
      <c r="Q62" s="1852">
        <f>'[4]Table 5C1E-LFNO'!M61+'[27]Table 5C1E-LFNO'!T61+('[26]Table 5C1E-LFNO'!T61*6)</f>
        <v>0</v>
      </c>
      <c r="R62" s="1855">
        <f t="shared" si="42"/>
        <v>0</v>
      </c>
      <c r="S62" s="1529">
        <f t="shared" si="43"/>
        <v>0</v>
      </c>
      <c r="T62" s="883"/>
      <c r="U62" s="906">
        <f t="shared" si="57"/>
        <v>0</v>
      </c>
      <c r="V62" s="902">
        <f>'Table 5C1A-Madison Prep'!T62</f>
        <v>3359</v>
      </c>
      <c r="W62" s="903">
        <f t="shared" si="58"/>
        <v>0</v>
      </c>
      <c r="X62" s="1779">
        <f>+'[3]Oct midyear LFNO'!E61</f>
        <v>0</v>
      </c>
      <c r="Y62" s="1780">
        <f t="shared" si="44"/>
        <v>0</v>
      </c>
      <c r="Z62" s="1762">
        <f>'[3]Feb midyear LFNO '!E61</f>
        <v>0</v>
      </c>
      <c r="AA62" s="1763">
        <f t="shared" si="45"/>
        <v>0</v>
      </c>
      <c r="AB62" s="1654">
        <f t="shared" si="46"/>
        <v>0</v>
      </c>
      <c r="AC62" s="1459">
        <f t="shared" si="47"/>
        <v>0</v>
      </c>
      <c r="AD62" s="938">
        <f t="shared" si="48"/>
        <v>0</v>
      </c>
      <c r="AE62" s="903">
        <f t="shared" si="49"/>
        <v>0</v>
      </c>
      <c r="AF62" s="1831">
        <v>0</v>
      </c>
      <c r="AG62" s="903">
        <f t="shared" si="50"/>
        <v>0</v>
      </c>
      <c r="AH62" s="1833">
        <f>'[4]Table 5C1E-LFNO'!V61+'[27]Table 5C1E-LFNO'!AH61+('[26]Table 5C1E-LFNO'!AH61*6)</f>
        <v>0</v>
      </c>
      <c r="AI62" s="1780">
        <f t="shared" si="51"/>
        <v>0</v>
      </c>
      <c r="AJ62" s="1530">
        <f t="shared" si="52"/>
        <v>0</v>
      </c>
      <c r="AK62" s="904">
        <f t="shared" si="53"/>
        <v>0</v>
      </c>
      <c r="AL62" s="904">
        <f t="shared" si="59"/>
        <v>0</v>
      </c>
      <c r="AN62" s="49">
        <f>-'[4]Table 5C1E-LFNO'!R61</f>
        <v>0</v>
      </c>
      <c r="AO62" s="49">
        <f t="shared" si="54"/>
        <v>0</v>
      </c>
      <c r="AP62" s="49">
        <f t="shared" si="55"/>
        <v>0</v>
      </c>
    </row>
    <row r="63" spans="1:42">
      <c r="A63" s="870">
        <v>56</v>
      </c>
      <c r="B63" s="871" t="s">
        <v>146</v>
      </c>
      <c r="C63" s="974">
        <f>'2-1-13 SIS'!N62</f>
        <v>0</v>
      </c>
      <c r="D63" s="884">
        <f>'Table 3 Levels 1&amp;2'!AL63</f>
        <v>4968.593189672727</v>
      </c>
      <c r="E63" s="923">
        <f t="shared" si="34"/>
        <v>0</v>
      </c>
      <c r="F63" s="923">
        <f>'Table 4 Level 3'!P61</f>
        <v>614.66000000000008</v>
      </c>
      <c r="G63" s="923">
        <f t="shared" si="35"/>
        <v>0</v>
      </c>
      <c r="H63" s="907">
        <f t="shared" si="36"/>
        <v>0</v>
      </c>
      <c r="I63" s="1723">
        <f>+'[3]Oct midyear LFNO'!K62</f>
        <v>0</v>
      </c>
      <c r="J63" s="1723">
        <f>'[3]Feb midyear LFNO '!K62</f>
        <v>0</v>
      </c>
      <c r="K63" s="1547">
        <f t="shared" si="37"/>
        <v>0</v>
      </c>
      <c r="L63" s="1455">
        <f t="shared" si="56"/>
        <v>0</v>
      </c>
      <c r="M63" s="933">
        <f t="shared" si="39"/>
        <v>0</v>
      </c>
      <c r="N63" s="907">
        <f t="shared" si="40"/>
        <v>0</v>
      </c>
      <c r="O63" s="884">
        <v>0</v>
      </c>
      <c r="P63" s="907">
        <f t="shared" si="41"/>
        <v>0</v>
      </c>
      <c r="Q63" s="872">
        <f>'[4]Table 5C1E-LFNO'!M62+'[27]Table 5C1E-LFNO'!T62+('[26]Table 5C1E-LFNO'!T62*6)</f>
        <v>0</v>
      </c>
      <c r="R63" s="884">
        <f t="shared" si="42"/>
        <v>0</v>
      </c>
      <c r="S63" s="1520">
        <f t="shared" si="43"/>
        <v>0</v>
      </c>
      <c r="T63" s="884"/>
      <c r="U63" s="907">
        <f t="shared" si="57"/>
        <v>0</v>
      </c>
      <c r="V63" s="897">
        <f>'Table 5C1A-Madison Prep'!T63</f>
        <v>2853</v>
      </c>
      <c r="W63" s="874">
        <f t="shared" si="58"/>
        <v>0</v>
      </c>
      <c r="X63" s="1754">
        <f>+'[3]Oct midyear LFNO'!E62</f>
        <v>0</v>
      </c>
      <c r="Y63" s="1755">
        <f t="shared" si="44"/>
        <v>0</v>
      </c>
      <c r="Z63" s="1754">
        <f>'[3]Feb midyear LFNO '!E62</f>
        <v>0</v>
      </c>
      <c r="AA63" s="1755">
        <f t="shared" si="45"/>
        <v>0</v>
      </c>
      <c r="AB63" s="1652">
        <f t="shared" si="46"/>
        <v>0</v>
      </c>
      <c r="AC63" s="1462">
        <f t="shared" si="47"/>
        <v>0</v>
      </c>
      <c r="AD63" s="936">
        <f t="shared" si="48"/>
        <v>0</v>
      </c>
      <c r="AE63" s="874">
        <f t="shared" si="49"/>
        <v>0</v>
      </c>
      <c r="AF63" s="1829">
        <v>0</v>
      </c>
      <c r="AG63" s="874">
        <f t="shared" si="50"/>
        <v>0</v>
      </c>
      <c r="AH63" s="1755">
        <f>'[4]Table 5C1E-LFNO'!V62+'[27]Table 5C1E-LFNO'!AH62+('[26]Table 5C1E-LFNO'!AH62*6)</f>
        <v>0</v>
      </c>
      <c r="AI63" s="1755">
        <f t="shared" si="51"/>
        <v>0</v>
      </c>
      <c r="AJ63" s="1521">
        <f t="shared" si="52"/>
        <v>0</v>
      </c>
      <c r="AK63" s="875">
        <f t="shared" si="53"/>
        <v>0</v>
      </c>
      <c r="AL63" s="875">
        <f t="shared" si="59"/>
        <v>0</v>
      </c>
      <c r="AN63" s="49">
        <f>-'[4]Table 5C1E-LFNO'!R62</f>
        <v>0</v>
      </c>
      <c r="AO63" s="49">
        <f t="shared" si="54"/>
        <v>0</v>
      </c>
      <c r="AP63" s="49">
        <f t="shared" si="55"/>
        <v>0</v>
      </c>
    </row>
    <row r="64" spans="1:42">
      <c r="A64" s="876">
        <v>57</v>
      </c>
      <c r="B64" s="877" t="s">
        <v>147</v>
      </c>
      <c r="C64" s="972">
        <f>'2-1-13 SIS'!N63</f>
        <v>0</v>
      </c>
      <c r="D64" s="882">
        <f>'Table 3 Levels 1&amp;2'!AL64</f>
        <v>4485.7073020218859</v>
      </c>
      <c r="E64" s="921">
        <f t="shared" si="34"/>
        <v>0</v>
      </c>
      <c r="F64" s="921">
        <f>'Table 4 Level 3'!P62</f>
        <v>764.51</v>
      </c>
      <c r="G64" s="921">
        <f t="shared" si="35"/>
        <v>0</v>
      </c>
      <c r="H64" s="905">
        <f t="shared" si="36"/>
        <v>0</v>
      </c>
      <c r="I64" s="1746">
        <f>+'[3]Oct midyear LFNO'!K63</f>
        <v>0</v>
      </c>
      <c r="J64" s="1746">
        <f>'[3]Feb midyear LFNO '!K63</f>
        <v>0</v>
      </c>
      <c r="K64" s="1692">
        <f t="shared" si="37"/>
        <v>0</v>
      </c>
      <c r="L64" s="1453">
        <f t="shared" si="56"/>
        <v>0</v>
      </c>
      <c r="M64" s="931">
        <f t="shared" si="39"/>
        <v>0</v>
      </c>
      <c r="N64" s="905">
        <f t="shared" si="40"/>
        <v>0</v>
      </c>
      <c r="O64" s="882">
        <v>0</v>
      </c>
      <c r="P64" s="905">
        <f t="shared" si="41"/>
        <v>0</v>
      </c>
      <c r="Q64" s="872">
        <f>'[4]Table 5C1E-LFNO'!M63+'[27]Table 5C1E-LFNO'!T63+('[26]Table 5C1E-LFNO'!T63*6)</f>
        <v>0</v>
      </c>
      <c r="R64" s="1854">
        <f t="shared" si="42"/>
        <v>0</v>
      </c>
      <c r="S64" s="898">
        <f t="shared" si="43"/>
        <v>0</v>
      </c>
      <c r="T64" s="882"/>
      <c r="U64" s="905">
        <f t="shared" si="57"/>
        <v>0</v>
      </c>
      <c r="V64" s="897">
        <f>'Table 5C1A-Madison Prep'!T64</f>
        <v>3178</v>
      </c>
      <c r="W64" s="899">
        <f t="shared" si="58"/>
        <v>0</v>
      </c>
      <c r="X64" s="1777">
        <f>+'[3]Oct midyear LFNO'!E63</f>
        <v>0</v>
      </c>
      <c r="Y64" s="1778">
        <f t="shared" si="44"/>
        <v>0</v>
      </c>
      <c r="Z64" s="1758">
        <f>'[3]Feb midyear LFNO '!E63</f>
        <v>0</v>
      </c>
      <c r="AA64" s="1759">
        <f t="shared" si="45"/>
        <v>0</v>
      </c>
      <c r="AB64" s="1653">
        <f t="shared" si="46"/>
        <v>0</v>
      </c>
      <c r="AC64" s="1460">
        <f t="shared" si="47"/>
        <v>0</v>
      </c>
      <c r="AD64" s="937">
        <f t="shared" si="48"/>
        <v>0</v>
      </c>
      <c r="AE64" s="899">
        <f t="shared" si="49"/>
        <v>0</v>
      </c>
      <c r="AF64" s="1830">
        <v>0</v>
      </c>
      <c r="AG64" s="899">
        <f t="shared" si="50"/>
        <v>0</v>
      </c>
      <c r="AH64" s="1755">
        <f>'[4]Table 5C1E-LFNO'!V63+'[27]Table 5C1E-LFNO'!AH63+('[26]Table 5C1E-LFNO'!AH63*6)</f>
        <v>0</v>
      </c>
      <c r="AI64" s="1778">
        <f t="shared" si="51"/>
        <v>0</v>
      </c>
      <c r="AJ64" s="899">
        <f t="shared" si="52"/>
        <v>0</v>
      </c>
      <c r="AK64" s="900">
        <f t="shared" si="53"/>
        <v>0</v>
      </c>
      <c r="AL64" s="900">
        <f t="shared" si="59"/>
        <v>0</v>
      </c>
      <c r="AN64" s="49">
        <f>-'[4]Table 5C1E-LFNO'!R63</f>
        <v>0</v>
      </c>
      <c r="AO64" s="49">
        <f t="shared" si="54"/>
        <v>0</v>
      </c>
      <c r="AP64" s="49">
        <f t="shared" si="55"/>
        <v>0</v>
      </c>
    </row>
    <row r="65" spans="1:42">
      <c r="A65" s="876">
        <v>58</v>
      </c>
      <c r="B65" s="877" t="s">
        <v>148</v>
      </c>
      <c r="C65" s="972">
        <f>'2-1-13 SIS'!N64</f>
        <v>0</v>
      </c>
      <c r="D65" s="882">
        <f>'Table 3 Levels 1&amp;2'!AL65</f>
        <v>5457.8662803476354</v>
      </c>
      <c r="E65" s="921">
        <f t="shared" si="34"/>
        <v>0</v>
      </c>
      <c r="F65" s="921">
        <f>'Table 4 Level 3'!P63</f>
        <v>697.04</v>
      </c>
      <c r="G65" s="921">
        <f t="shared" si="35"/>
        <v>0</v>
      </c>
      <c r="H65" s="905">
        <f t="shared" si="36"/>
        <v>0</v>
      </c>
      <c r="I65" s="1746">
        <f>+'[3]Oct midyear LFNO'!K64</f>
        <v>0</v>
      </c>
      <c r="J65" s="1746">
        <f>'[3]Feb midyear LFNO '!K64</f>
        <v>0</v>
      </c>
      <c r="K65" s="1692">
        <f t="shared" si="37"/>
        <v>0</v>
      </c>
      <c r="L65" s="1453">
        <f t="shared" si="56"/>
        <v>0</v>
      </c>
      <c r="M65" s="931">
        <f t="shared" si="39"/>
        <v>0</v>
      </c>
      <c r="N65" s="905">
        <f t="shared" si="40"/>
        <v>0</v>
      </c>
      <c r="O65" s="882">
        <v>0</v>
      </c>
      <c r="P65" s="905">
        <f t="shared" si="41"/>
        <v>0</v>
      </c>
      <c r="Q65" s="872">
        <f>'[4]Table 5C1E-LFNO'!M64+'[27]Table 5C1E-LFNO'!T64+('[26]Table 5C1E-LFNO'!T64*6)</f>
        <v>0</v>
      </c>
      <c r="R65" s="1854">
        <f t="shared" si="42"/>
        <v>0</v>
      </c>
      <c r="S65" s="898">
        <f t="shared" si="43"/>
        <v>0</v>
      </c>
      <c r="T65" s="882"/>
      <c r="U65" s="905">
        <f t="shared" si="57"/>
        <v>0</v>
      </c>
      <c r="V65" s="897">
        <f>'Table 5C1A-Madison Prep'!T65</f>
        <v>2127</v>
      </c>
      <c r="W65" s="899">
        <f t="shared" si="58"/>
        <v>0</v>
      </c>
      <c r="X65" s="1777">
        <f>+'[3]Oct midyear LFNO'!E64</f>
        <v>0</v>
      </c>
      <c r="Y65" s="1778">
        <f t="shared" si="44"/>
        <v>0</v>
      </c>
      <c r="Z65" s="1758">
        <f>'[3]Feb midyear LFNO '!E64</f>
        <v>0</v>
      </c>
      <c r="AA65" s="1759">
        <f t="shared" si="45"/>
        <v>0</v>
      </c>
      <c r="AB65" s="1653">
        <f t="shared" si="46"/>
        <v>0</v>
      </c>
      <c r="AC65" s="1460">
        <f t="shared" si="47"/>
        <v>0</v>
      </c>
      <c r="AD65" s="937">
        <f t="shared" si="48"/>
        <v>0</v>
      </c>
      <c r="AE65" s="899">
        <f t="shared" si="49"/>
        <v>0</v>
      </c>
      <c r="AF65" s="1830">
        <v>0</v>
      </c>
      <c r="AG65" s="899">
        <f t="shared" si="50"/>
        <v>0</v>
      </c>
      <c r="AH65" s="1755">
        <f>'[4]Table 5C1E-LFNO'!V64+'[27]Table 5C1E-LFNO'!AH64+('[26]Table 5C1E-LFNO'!AH64*6)</f>
        <v>0</v>
      </c>
      <c r="AI65" s="1778">
        <f t="shared" si="51"/>
        <v>0</v>
      </c>
      <c r="AJ65" s="1555">
        <f t="shared" si="52"/>
        <v>0</v>
      </c>
      <c r="AK65" s="900">
        <f t="shared" si="53"/>
        <v>0</v>
      </c>
      <c r="AL65" s="900">
        <f t="shared" si="59"/>
        <v>0</v>
      </c>
      <c r="AN65" s="49">
        <f>-'[4]Table 5C1E-LFNO'!R64</f>
        <v>0</v>
      </c>
      <c r="AO65" s="49">
        <f t="shared" si="54"/>
        <v>0</v>
      </c>
      <c r="AP65" s="49">
        <f t="shared" si="55"/>
        <v>0</v>
      </c>
    </row>
    <row r="66" spans="1:42">
      <c r="A66" s="876">
        <v>59</v>
      </c>
      <c r="B66" s="877" t="s">
        <v>149</v>
      </c>
      <c r="C66" s="972">
        <f>'2-1-13 SIS'!N65</f>
        <v>0</v>
      </c>
      <c r="D66" s="882">
        <f>'Table 3 Levels 1&amp;2'!AL66</f>
        <v>6274.2786338006481</v>
      </c>
      <c r="E66" s="921">
        <f t="shared" si="34"/>
        <v>0</v>
      </c>
      <c r="F66" s="921">
        <f>'Table 4 Level 3'!P64</f>
        <v>689.52</v>
      </c>
      <c r="G66" s="921">
        <f t="shared" si="35"/>
        <v>0</v>
      </c>
      <c r="H66" s="905">
        <f t="shared" si="36"/>
        <v>0</v>
      </c>
      <c r="I66" s="1746">
        <f>+'[3]Oct midyear LFNO'!K65</f>
        <v>0</v>
      </c>
      <c r="J66" s="1746">
        <f>'[3]Feb midyear LFNO '!K65</f>
        <v>0</v>
      </c>
      <c r="K66" s="1692">
        <f t="shared" si="37"/>
        <v>0</v>
      </c>
      <c r="L66" s="1453">
        <f t="shared" si="56"/>
        <v>0</v>
      </c>
      <c r="M66" s="931">
        <f t="shared" si="39"/>
        <v>0</v>
      </c>
      <c r="N66" s="905">
        <f t="shared" si="40"/>
        <v>0</v>
      </c>
      <c r="O66" s="882">
        <v>0</v>
      </c>
      <c r="P66" s="905">
        <f t="shared" si="41"/>
        <v>0</v>
      </c>
      <c r="Q66" s="872">
        <f>'[4]Table 5C1E-LFNO'!M65+'[27]Table 5C1E-LFNO'!T65+('[26]Table 5C1E-LFNO'!T65*6)</f>
        <v>0</v>
      </c>
      <c r="R66" s="1854">
        <f t="shared" si="42"/>
        <v>0</v>
      </c>
      <c r="S66" s="898">
        <f t="shared" si="43"/>
        <v>0</v>
      </c>
      <c r="T66" s="882"/>
      <c r="U66" s="905">
        <f t="shared" si="57"/>
        <v>0</v>
      </c>
      <c r="V66" s="897">
        <f>'Table 5C1A-Madison Prep'!T66</f>
        <v>1729</v>
      </c>
      <c r="W66" s="899">
        <f t="shared" si="58"/>
        <v>0</v>
      </c>
      <c r="X66" s="1777">
        <f>+'[3]Oct midyear LFNO'!E65</f>
        <v>0</v>
      </c>
      <c r="Y66" s="1778">
        <f t="shared" si="44"/>
        <v>0</v>
      </c>
      <c r="Z66" s="1758">
        <f>'[3]Feb midyear LFNO '!E65</f>
        <v>0</v>
      </c>
      <c r="AA66" s="1759">
        <f t="shared" si="45"/>
        <v>0</v>
      </c>
      <c r="AB66" s="1653">
        <f t="shared" si="46"/>
        <v>0</v>
      </c>
      <c r="AC66" s="1460">
        <f t="shared" si="47"/>
        <v>0</v>
      </c>
      <c r="AD66" s="937">
        <f t="shared" si="48"/>
        <v>0</v>
      </c>
      <c r="AE66" s="899">
        <f t="shared" si="49"/>
        <v>0</v>
      </c>
      <c r="AF66" s="1830">
        <v>0</v>
      </c>
      <c r="AG66" s="899">
        <f t="shared" si="50"/>
        <v>0</v>
      </c>
      <c r="AH66" s="1755">
        <f>'[4]Table 5C1E-LFNO'!V65+'[27]Table 5C1E-LFNO'!AH65+('[26]Table 5C1E-LFNO'!AH65*6)</f>
        <v>0</v>
      </c>
      <c r="AI66" s="1778">
        <f t="shared" si="51"/>
        <v>0</v>
      </c>
      <c r="AJ66" s="1555">
        <f t="shared" si="52"/>
        <v>0</v>
      </c>
      <c r="AK66" s="900">
        <f t="shared" si="53"/>
        <v>0</v>
      </c>
      <c r="AL66" s="900">
        <f t="shared" si="59"/>
        <v>0</v>
      </c>
      <c r="AN66" s="49">
        <f>-'[4]Table 5C1E-LFNO'!R65</f>
        <v>0</v>
      </c>
      <c r="AO66" s="49">
        <f t="shared" si="54"/>
        <v>0</v>
      </c>
      <c r="AP66" s="49">
        <f t="shared" si="55"/>
        <v>0</v>
      </c>
    </row>
    <row r="67" spans="1:42">
      <c r="A67" s="879">
        <v>60</v>
      </c>
      <c r="B67" s="880" t="s">
        <v>150</v>
      </c>
      <c r="C67" s="973">
        <f>'2-1-13 SIS'!N66</f>
        <v>0</v>
      </c>
      <c r="D67" s="883">
        <f>'Table 3 Levels 1&amp;2'!AL67</f>
        <v>4940.9166775610411</v>
      </c>
      <c r="E67" s="922">
        <f t="shared" si="34"/>
        <v>0</v>
      </c>
      <c r="F67" s="922">
        <f>'Table 4 Level 3'!P65</f>
        <v>594.04</v>
      </c>
      <c r="G67" s="922">
        <f t="shared" si="35"/>
        <v>0</v>
      </c>
      <c r="H67" s="906">
        <f t="shared" si="36"/>
        <v>0</v>
      </c>
      <c r="I67" s="1747">
        <f>+'[3]Oct midyear LFNO'!K66</f>
        <v>0</v>
      </c>
      <c r="J67" s="1747">
        <f>'[3]Feb midyear LFNO '!K66</f>
        <v>0</v>
      </c>
      <c r="K67" s="1693">
        <f t="shared" si="37"/>
        <v>0</v>
      </c>
      <c r="L67" s="1454">
        <f t="shared" si="56"/>
        <v>0</v>
      </c>
      <c r="M67" s="932">
        <f t="shared" si="39"/>
        <v>0</v>
      </c>
      <c r="N67" s="906">
        <f t="shared" si="40"/>
        <v>0</v>
      </c>
      <c r="O67" s="883">
        <v>0</v>
      </c>
      <c r="P67" s="906">
        <f t="shared" si="41"/>
        <v>0</v>
      </c>
      <c r="Q67" s="1852">
        <f>'[4]Table 5C1E-LFNO'!M66+'[27]Table 5C1E-LFNO'!T66+('[26]Table 5C1E-LFNO'!T66*6)</f>
        <v>0</v>
      </c>
      <c r="R67" s="1855">
        <f t="shared" si="42"/>
        <v>0</v>
      </c>
      <c r="S67" s="1529">
        <f t="shared" si="43"/>
        <v>0</v>
      </c>
      <c r="T67" s="883"/>
      <c r="U67" s="906">
        <f t="shared" si="57"/>
        <v>0</v>
      </c>
      <c r="V67" s="902">
        <f>'Table 5C1A-Madison Prep'!T67</f>
        <v>3801</v>
      </c>
      <c r="W67" s="903">
        <f t="shared" si="58"/>
        <v>0</v>
      </c>
      <c r="X67" s="1779">
        <f>+'[3]Oct midyear LFNO'!E66</f>
        <v>0</v>
      </c>
      <c r="Y67" s="1780">
        <f t="shared" si="44"/>
        <v>0</v>
      </c>
      <c r="Z67" s="1762">
        <f>'[3]Feb midyear LFNO '!E66</f>
        <v>0</v>
      </c>
      <c r="AA67" s="1763">
        <f t="shared" si="45"/>
        <v>0</v>
      </c>
      <c r="AB67" s="1654">
        <f t="shared" si="46"/>
        <v>0</v>
      </c>
      <c r="AC67" s="1459">
        <f t="shared" si="47"/>
        <v>0</v>
      </c>
      <c r="AD67" s="938">
        <f t="shared" si="48"/>
        <v>0</v>
      </c>
      <c r="AE67" s="903">
        <f t="shared" si="49"/>
        <v>0</v>
      </c>
      <c r="AF67" s="1831">
        <v>0</v>
      </c>
      <c r="AG67" s="903">
        <f t="shared" si="50"/>
        <v>0</v>
      </c>
      <c r="AH67" s="1833">
        <f>'[4]Table 5C1E-LFNO'!V66+'[27]Table 5C1E-LFNO'!AH66+('[26]Table 5C1E-LFNO'!AH66*6)</f>
        <v>0</v>
      </c>
      <c r="AI67" s="1780">
        <f t="shared" si="51"/>
        <v>0</v>
      </c>
      <c r="AJ67" s="1659">
        <f t="shared" si="52"/>
        <v>0</v>
      </c>
      <c r="AK67" s="904">
        <f t="shared" si="53"/>
        <v>0</v>
      </c>
      <c r="AL67" s="904">
        <f t="shared" si="59"/>
        <v>0</v>
      </c>
      <c r="AN67" s="49">
        <f>-'[4]Table 5C1E-LFNO'!R66</f>
        <v>0</v>
      </c>
      <c r="AO67" s="49">
        <f t="shared" si="54"/>
        <v>0</v>
      </c>
      <c r="AP67" s="49">
        <f t="shared" si="55"/>
        <v>0</v>
      </c>
    </row>
    <row r="68" spans="1:42">
      <c r="A68" s="870">
        <v>61</v>
      </c>
      <c r="B68" s="871" t="s">
        <v>151</v>
      </c>
      <c r="C68" s="974">
        <f>'2-1-13 SIS'!N67</f>
        <v>0</v>
      </c>
      <c r="D68" s="884">
        <f>'Table 3 Levels 1&amp;2'!AL68</f>
        <v>2908.0344869339228</v>
      </c>
      <c r="E68" s="923">
        <f t="shared" si="34"/>
        <v>0</v>
      </c>
      <c r="F68" s="923">
        <f>'Table 4 Level 3'!P66</f>
        <v>833.70999999999992</v>
      </c>
      <c r="G68" s="923">
        <f t="shared" si="35"/>
        <v>0</v>
      </c>
      <c r="H68" s="907">
        <f t="shared" si="36"/>
        <v>0</v>
      </c>
      <c r="I68" s="1723">
        <f>+'[3]Oct midyear LFNO'!K67</f>
        <v>0</v>
      </c>
      <c r="J68" s="1723">
        <f>'[3]Feb midyear LFNO '!K67</f>
        <v>0</v>
      </c>
      <c r="K68" s="1547">
        <f t="shared" si="37"/>
        <v>0</v>
      </c>
      <c r="L68" s="1455">
        <f t="shared" si="56"/>
        <v>0</v>
      </c>
      <c r="M68" s="933">
        <f t="shared" si="39"/>
        <v>0</v>
      </c>
      <c r="N68" s="907">
        <f t="shared" si="40"/>
        <v>0</v>
      </c>
      <c r="O68" s="884">
        <v>0</v>
      </c>
      <c r="P68" s="907">
        <f t="shared" si="41"/>
        <v>0</v>
      </c>
      <c r="Q68" s="872">
        <f>'[4]Table 5C1E-LFNO'!M67+'[27]Table 5C1E-LFNO'!T67+('[26]Table 5C1E-LFNO'!T67*6)</f>
        <v>0</v>
      </c>
      <c r="R68" s="884">
        <f t="shared" si="42"/>
        <v>0</v>
      </c>
      <c r="S68" s="1520">
        <f t="shared" si="43"/>
        <v>0</v>
      </c>
      <c r="T68" s="884"/>
      <c r="U68" s="907">
        <f t="shared" si="57"/>
        <v>0</v>
      </c>
      <c r="V68" s="897">
        <f>'Table 5C1A-Madison Prep'!T68</f>
        <v>6597</v>
      </c>
      <c r="W68" s="874">
        <f t="shared" si="58"/>
        <v>0</v>
      </c>
      <c r="X68" s="1754">
        <f>+'[3]Oct midyear LFNO'!E67</f>
        <v>0</v>
      </c>
      <c r="Y68" s="1755">
        <f t="shared" si="44"/>
        <v>0</v>
      </c>
      <c r="Z68" s="1754">
        <f>'[3]Feb midyear LFNO '!E67</f>
        <v>0</v>
      </c>
      <c r="AA68" s="1755">
        <f t="shared" si="45"/>
        <v>0</v>
      </c>
      <c r="AB68" s="1652">
        <f t="shared" si="46"/>
        <v>0</v>
      </c>
      <c r="AC68" s="1462">
        <f t="shared" si="47"/>
        <v>0</v>
      </c>
      <c r="AD68" s="936">
        <f t="shared" si="48"/>
        <v>0</v>
      </c>
      <c r="AE68" s="874">
        <f t="shared" si="49"/>
        <v>0</v>
      </c>
      <c r="AF68" s="1829">
        <v>0</v>
      </c>
      <c r="AG68" s="874">
        <f t="shared" si="50"/>
        <v>0</v>
      </c>
      <c r="AH68" s="1755">
        <f>'[4]Table 5C1E-LFNO'!V67+'[27]Table 5C1E-LFNO'!AH67+('[26]Table 5C1E-LFNO'!AH67*6)</f>
        <v>0</v>
      </c>
      <c r="AI68" s="1755">
        <f t="shared" si="51"/>
        <v>0</v>
      </c>
      <c r="AJ68" s="999">
        <f t="shared" si="52"/>
        <v>0</v>
      </c>
      <c r="AK68" s="875">
        <f t="shared" si="53"/>
        <v>0</v>
      </c>
      <c r="AL68" s="875">
        <f t="shared" si="59"/>
        <v>0</v>
      </c>
      <c r="AN68" s="49">
        <f>-'[4]Table 5C1E-LFNO'!R67</f>
        <v>0</v>
      </c>
      <c r="AO68" s="49">
        <f t="shared" si="54"/>
        <v>0</v>
      </c>
      <c r="AP68" s="49">
        <f t="shared" si="55"/>
        <v>0</v>
      </c>
    </row>
    <row r="69" spans="1:42">
      <c r="A69" s="876">
        <v>62</v>
      </c>
      <c r="B69" s="877" t="s">
        <v>152</v>
      </c>
      <c r="C69" s="972">
        <f>'2-1-13 SIS'!N68</f>
        <v>0</v>
      </c>
      <c r="D69" s="882">
        <f>'Table 3 Levels 1&amp;2'!AL69</f>
        <v>5652.1730736722093</v>
      </c>
      <c r="E69" s="921">
        <f t="shared" si="34"/>
        <v>0</v>
      </c>
      <c r="F69" s="921">
        <f>'Table 4 Level 3'!P67</f>
        <v>516.08000000000004</v>
      </c>
      <c r="G69" s="921">
        <f t="shared" si="35"/>
        <v>0</v>
      </c>
      <c r="H69" s="905">
        <f t="shared" si="36"/>
        <v>0</v>
      </c>
      <c r="I69" s="1746">
        <f>+'[3]Oct midyear LFNO'!K68</f>
        <v>0</v>
      </c>
      <c r="J69" s="1746">
        <f>'[3]Feb midyear LFNO '!K68</f>
        <v>0</v>
      </c>
      <c r="K69" s="1692">
        <f t="shared" si="37"/>
        <v>0</v>
      </c>
      <c r="L69" s="1453">
        <f t="shared" si="56"/>
        <v>0</v>
      </c>
      <c r="M69" s="931">
        <f t="shared" si="39"/>
        <v>0</v>
      </c>
      <c r="N69" s="905">
        <f t="shared" si="40"/>
        <v>0</v>
      </c>
      <c r="O69" s="882">
        <v>0</v>
      </c>
      <c r="P69" s="905">
        <f t="shared" si="41"/>
        <v>0</v>
      </c>
      <c r="Q69" s="872">
        <f>'[4]Table 5C1E-LFNO'!M68+'[27]Table 5C1E-LFNO'!T68+('[26]Table 5C1E-LFNO'!T68*6)</f>
        <v>0</v>
      </c>
      <c r="R69" s="1854">
        <f t="shared" si="42"/>
        <v>0</v>
      </c>
      <c r="S69" s="898">
        <f t="shared" si="43"/>
        <v>0</v>
      </c>
      <c r="T69" s="882"/>
      <c r="U69" s="905">
        <f t="shared" si="57"/>
        <v>0</v>
      </c>
      <c r="V69" s="897">
        <f>'Table 5C1A-Madison Prep'!T69</f>
        <v>1998</v>
      </c>
      <c r="W69" s="899">
        <f t="shared" si="58"/>
        <v>0</v>
      </c>
      <c r="X69" s="1777">
        <f>+'[3]Oct midyear LFNO'!E68</f>
        <v>0</v>
      </c>
      <c r="Y69" s="1778">
        <f t="shared" si="44"/>
        <v>0</v>
      </c>
      <c r="Z69" s="1758">
        <f>'[3]Feb midyear LFNO '!E68</f>
        <v>0</v>
      </c>
      <c r="AA69" s="1759">
        <f t="shared" si="45"/>
        <v>0</v>
      </c>
      <c r="AB69" s="1653">
        <f t="shared" si="46"/>
        <v>0</v>
      </c>
      <c r="AC69" s="1460">
        <f t="shared" si="47"/>
        <v>0</v>
      </c>
      <c r="AD69" s="937">
        <f t="shared" si="48"/>
        <v>0</v>
      </c>
      <c r="AE69" s="899">
        <f t="shared" si="49"/>
        <v>0</v>
      </c>
      <c r="AF69" s="1830">
        <v>0</v>
      </c>
      <c r="AG69" s="899">
        <f t="shared" si="50"/>
        <v>0</v>
      </c>
      <c r="AH69" s="1755">
        <f>'[4]Table 5C1E-LFNO'!V68+'[27]Table 5C1E-LFNO'!AH68+('[26]Table 5C1E-LFNO'!AH68*6)</f>
        <v>0</v>
      </c>
      <c r="AI69" s="1778">
        <f t="shared" si="51"/>
        <v>0</v>
      </c>
      <c r="AJ69" s="1555">
        <f t="shared" si="52"/>
        <v>0</v>
      </c>
      <c r="AK69" s="900">
        <f t="shared" si="53"/>
        <v>0</v>
      </c>
      <c r="AL69" s="900">
        <f t="shared" si="59"/>
        <v>0</v>
      </c>
      <c r="AN69" s="49">
        <f>-'[4]Table 5C1E-LFNO'!R68</f>
        <v>0</v>
      </c>
      <c r="AO69" s="49">
        <f t="shared" si="54"/>
        <v>0</v>
      </c>
      <c r="AP69" s="49">
        <f t="shared" si="55"/>
        <v>0</v>
      </c>
    </row>
    <row r="70" spans="1:42">
      <c r="A70" s="876">
        <v>63</v>
      </c>
      <c r="B70" s="877" t="s">
        <v>153</v>
      </c>
      <c r="C70" s="972">
        <f>'2-1-13 SIS'!N69</f>
        <v>0</v>
      </c>
      <c r="D70" s="882">
        <f>'Table 3 Levels 1&amp;2'!AL70</f>
        <v>4362.300753810403</v>
      </c>
      <c r="E70" s="921">
        <f t="shared" si="34"/>
        <v>0</v>
      </c>
      <c r="F70" s="921">
        <f>'Table 4 Level 3'!P68</f>
        <v>756.79</v>
      </c>
      <c r="G70" s="921">
        <f t="shared" si="35"/>
        <v>0</v>
      </c>
      <c r="H70" s="905">
        <f t="shared" si="36"/>
        <v>0</v>
      </c>
      <c r="I70" s="1746">
        <f>+'[3]Oct midyear LFNO'!K69</f>
        <v>0</v>
      </c>
      <c r="J70" s="1746">
        <f>'[3]Feb midyear LFNO '!K69</f>
        <v>0</v>
      </c>
      <c r="K70" s="1692">
        <f t="shared" si="37"/>
        <v>0</v>
      </c>
      <c r="L70" s="1453">
        <f t="shared" si="56"/>
        <v>0</v>
      </c>
      <c r="M70" s="931">
        <f t="shared" si="39"/>
        <v>0</v>
      </c>
      <c r="N70" s="905">
        <f t="shared" si="40"/>
        <v>0</v>
      </c>
      <c r="O70" s="882">
        <v>0</v>
      </c>
      <c r="P70" s="905">
        <f t="shared" si="41"/>
        <v>0</v>
      </c>
      <c r="Q70" s="872">
        <f>'[4]Table 5C1E-LFNO'!M69+'[27]Table 5C1E-LFNO'!T69+('[26]Table 5C1E-LFNO'!T69*6)</f>
        <v>0</v>
      </c>
      <c r="R70" s="1854">
        <f t="shared" si="42"/>
        <v>0</v>
      </c>
      <c r="S70" s="898">
        <f t="shared" si="43"/>
        <v>0</v>
      </c>
      <c r="T70" s="882"/>
      <c r="U70" s="905">
        <f t="shared" si="57"/>
        <v>0</v>
      </c>
      <c r="V70" s="897">
        <f>'Table 5C1A-Madison Prep'!T70</f>
        <v>7391</v>
      </c>
      <c r="W70" s="899">
        <f t="shared" si="58"/>
        <v>0</v>
      </c>
      <c r="X70" s="1777">
        <f>+'[3]Oct midyear LFNO'!E69</f>
        <v>0</v>
      </c>
      <c r="Y70" s="1778">
        <f t="shared" si="44"/>
        <v>0</v>
      </c>
      <c r="Z70" s="1758">
        <f>'[3]Feb midyear LFNO '!E69</f>
        <v>0</v>
      </c>
      <c r="AA70" s="1759">
        <f t="shared" si="45"/>
        <v>0</v>
      </c>
      <c r="AB70" s="1653">
        <f t="shared" si="46"/>
        <v>0</v>
      </c>
      <c r="AC70" s="1460">
        <f t="shared" si="47"/>
        <v>0</v>
      </c>
      <c r="AD70" s="937">
        <f t="shared" si="48"/>
        <v>0</v>
      </c>
      <c r="AE70" s="899">
        <f t="shared" si="49"/>
        <v>0</v>
      </c>
      <c r="AF70" s="1830">
        <v>0</v>
      </c>
      <c r="AG70" s="899">
        <f t="shared" si="50"/>
        <v>0</v>
      </c>
      <c r="AH70" s="1755">
        <f>'[4]Table 5C1E-LFNO'!V69+'[27]Table 5C1E-LFNO'!AH69+('[26]Table 5C1E-LFNO'!AH69*6)</f>
        <v>0</v>
      </c>
      <c r="AI70" s="1778">
        <f t="shared" si="51"/>
        <v>0</v>
      </c>
      <c r="AJ70" s="1555">
        <f t="shared" si="52"/>
        <v>0</v>
      </c>
      <c r="AK70" s="900">
        <f t="shared" si="53"/>
        <v>0</v>
      </c>
      <c r="AL70" s="900">
        <f t="shared" si="59"/>
        <v>0</v>
      </c>
      <c r="AN70" s="49">
        <f>-'[4]Table 5C1E-LFNO'!R69</f>
        <v>0</v>
      </c>
      <c r="AO70" s="49">
        <f t="shared" si="54"/>
        <v>0</v>
      </c>
      <c r="AP70" s="49">
        <f t="shared" si="55"/>
        <v>0</v>
      </c>
    </row>
    <row r="71" spans="1:42">
      <c r="A71" s="876">
        <v>64</v>
      </c>
      <c r="B71" s="877" t="s">
        <v>154</v>
      </c>
      <c r="C71" s="972">
        <f>'2-1-13 SIS'!N70</f>
        <v>0</v>
      </c>
      <c r="D71" s="882">
        <f>'Table 3 Levels 1&amp;2'!AL71</f>
        <v>5960.2049072003338</v>
      </c>
      <c r="E71" s="921">
        <f t="shared" si="34"/>
        <v>0</v>
      </c>
      <c r="F71" s="921">
        <f>'Table 4 Level 3'!P69</f>
        <v>592.66</v>
      </c>
      <c r="G71" s="921">
        <f t="shared" si="35"/>
        <v>0</v>
      </c>
      <c r="H71" s="905">
        <f t="shared" si="36"/>
        <v>0</v>
      </c>
      <c r="I71" s="1746">
        <f>+'[3]Oct midyear LFNO'!K70</f>
        <v>0</v>
      </c>
      <c r="J71" s="1746">
        <f>'[3]Feb midyear LFNO '!K70</f>
        <v>0</v>
      </c>
      <c r="K71" s="1692">
        <f t="shared" si="37"/>
        <v>0</v>
      </c>
      <c r="L71" s="1453">
        <f t="shared" si="56"/>
        <v>0</v>
      </c>
      <c r="M71" s="931">
        <f t="shared" si="39"/>
        <v>0</v>
      </c>
      <c r="N71" s="905">
        <f t="shared" si="40"/>
        <v>0</v>
      </c>
      <c r="O71" s="882">
        <v>0</v>
      </c>
      <c r="P71" s="905">
        <f t="shared" si="41"/>
        <v>0</v>
      </c>
      <c r="Q71" s="872">
        <f>'[4]Table 5C1E-LFNO'!M70+'[27]Table 5C1E-LFNO'!T70+('[26]Table 5C1E-LFNO'!T70*6)</f>
        <v>0</v>
      </c>
      <c r="R71" s="1854">
        <f t="shared" si="42"/>
        <v>0</v>
      </c>
      <c r="S71" s="898">
        <f t="shared" si="43"/>
        <v>0</v>
      </c>
      <c r="T71" s="882"/>
      <c r="U71" s="905">
        <f t="shared" si="57"/>
        <v>0</v>
      </c>
      <c r="V71" s="897">
        <f>'Table 5C1A-Madison Prep'!T71</f>
        <v>2902</v>
      </c>
      <c r="W71" s="899">
        <f t="shared" si="58"/>
        <v>0</v>
      </c>
      <c r="X71" s="1777">
        <f>+'[3]Oct midyear LFNO'!E70</f>
        <v>0</v>
      </c>
      <c r="Y71" s="1778">
        <f t="shared" si="44"/>
        <v>0</v>
      </c>
      <c r="Z71" s="1758">
        <f>'[3]Feb midyear LFNO '!E70</f>
        <v>0</v>
      </c>
      <c r="AA71" s="1759">
        <f t="shared" si="45"/>
        <v>0</v>
      </c>
      <c r="AB71" s="1653">
        <f t="shared" si="46"/>
        <v>0</v>
      </c>
      <c r="AC71" s="1460">
        <f t="shared" si="47"/>
        <v>0</v>
      </c>
      <c r="AD71" s="937">
        <f t="shared" si="48"/>
        <v>0</v>
      </c>
      <c r="AE71" s="899">
        <f t="shared" si="49"/>
        <v>0</v>
      </c>
      <c r="AF71" s="1830">
        <v>0</v>
      </c>
      <c r="AG71" s="899">
        <f t="shared" si="50"/>
        <v>0</v>
      </c>
      <c r="AH71" s="1755">
        <f>'[4]Table 5C1E-LFNO'!V70+'[27]Table 5C1E-LFNO'!AH70+('[26]Table 5C1E-LFNO'!AH70*6)</f>
        <v>0</v>
      </c>
      <c r="AI71" s="1778">
        <f t="shared" si="51"/>
        <v>0</v>
      </c>
      <c r="AJ71" s="1555">
        <f t="shared" si="52"/>
        <v>0</v>
      </c>
      <c r="AK71" s="900">
        <f t="shared" si="53"/>
        <v>0</v>
      </c>
      <c r="AL71" s="900">
        <f t="shared" si="59"/>
        <v>0</v>
      </c>
      <c r="AN71" s="49">
        <f>-'[4]Table 5C1E-LFNO'!R70</f>
        <v>0</v>
      </c>
      <c r="AO71" s="49">
        <f t="shared" si="54"/>
        <v>0</v>
      </c>
      <c r="AP71" s="49">
        <f t="shared" si="55"/>
        <v>0</v>
      </c>
    </row>
    <row r="72" spans="1:42">
      <c r="A72" s="879">
        <v>65</v>
      </c>
      <c r="B72" s="880" t="s">
        <v>155</v>
      </c>
      <c r="C72" s="973">
        <f>'2-1-13 SIS'!N71</f>
        <v>0</v>
      </c>
      <c r="D72" s="883">
        <f>'Table 3 Levels 1&amp;2'!AL72</f>
        <v>4579.2772303106676</v>
      </c>
      <c r="E72" s="922">
        <f t="shared" si="34"/>
        <v>0</v>
      </c>
      <c r="F72" s="922">
        <f>'Table 4 Level 3'!P70</f>
        <v>829.12</v>
      </c>
      <c r="G72" s="922">
        <f t="shared" si="35"/>
        <v>0</v>
      </c>
      <c r="H72" s="906">
        <f t="shared" si="36"/>
        <v>0</v>
      </c>
      <c r="I72" s="1747">
        <f>+'[3]Oct midyear LFNO'!K71</f>
        <v>0</v>
      </c>
      <c r="J72" s="1747">
        <f>'[3]Feb midyear LFNO '!K71</f>
        <v>0</v>
      </c>
      <c r="K72" s="1693">
        <f t="shared" si="37"/>
        <v>0</v>
      </c>
      <c r="L72" s="1454">
        <f t="shared" ref="L72:L76" si="60">H72+K72</f>
        <v>0</v>
      </c>
      <c r="M72" s="932">
        <f t="shared" si="39"/>
        <v>0</v>
      </c>
      <c r="N72" s="906">
        <f t="shared" si="40"/>
        <v>0</v>
      </c>
      <c r="O72" s="883">
        <v>0</v>
      </c>
      <c r="P72" s="906">
        <f t="shared" si="41"/>
        <v>0</v>
      </c>
      <c r="Q72" s="1852">
        <f>'[4]Table 5C1E-LFNO'!M71+'[27]Table 5C1E-LFNO'!T71+('[26]Table 5C1E-LFNO'!T71*6)</f>
        <v>0</v>
      </c>
      <c r="R72" s="1855">
        <f t="shared" si="42"/>
        <v>0</v>
      </c>
      <c r="S72" s="1529">
        <f t="shared" si="43"/>
        <v>0</v>
      </c>
      <c r="T72" s="883"/>
      <c r="U72" s="906">
        <f t="shared" ref="U72:U76" si="61">P72+T72</f>
        <v>0</v>
      </c>
      <c r="V72" s="902">
        <f>'Table 5C1A-Madison Prep'!T72</f>
        <v>4823</v>
      </c>
      <c r="W72" s="903">
        <f t="shared" ref="W72:W76" si="62">C72*V72</f>
        <v>0</v>
      </c>
      <c r="X72" s="1779">
        <f>+'[3]Oct midyear LFNO'!E71</f>
        <v>0</v>
      </c>
      <c r="Y72" s="1780">
        <f t="shared" si="44"/>
        <v>0</v>
      </c>
      <c r="Z72" s="1762">
        <f>'[3]Feb midyear LFNO '!E71</f>
        <v>0</v>
      </c>
      <c r="AA72" s="1763">
        <f t="shared" si="45"/>
        <v>0</v>
      </c>
      <c r="AB72" s="1654">
        <f t="shared" si="46"/>
        <v>0</v>
      </c>
      <c r="AC72" s="1459">
        <f t="shared" si="47"/>
        <v>0</v>
      </c>
      <c r="AD72" s="938">
        <f t="shared" si="48"/>
        <v>0</v>
      </c>
      <c r="AE72" s="903">
        <f t="shared" si="49"/>
        <v>0</v>
      </c>
      <c r="AF72" s="1831">
        <v>0</v>
      </c>
      <c r="AG72" s="903">
        <f t="shared" si="50"/>
        <v>0</v>
      </c>
      <c r="AH72" s="1833">
        <f>'[4]Table 5C1E-LFNO'!V71+'[27]Table 5C1E-LFNO'!AH71+('[26]Table 5C1E-LFNO'!AH71*6)</f>
        <v>0</v>
      </c>
      <c r="AI72" s="1780">
        <f t="shared" si="51"/>
        <v>0</v>
      </c>
      <c r="AJ72" s="1659">
        <f t="shared" si="52"/>
        <v>0</v>
      </c>
      <c r="AK72" s="904">
        <f t="shared" si="53"/>
        <v>0</v>
      </c>
      <c r="AL72" s="904">
        <f t="shared" si="59"/>
        <v>0</v>
      </c>
      <c r="AN72" s="49">
        <f>-'[4]Table 5C1E-LFNO'!R71</f>
        <v>0</v>
      </c>
      <c r="AO72" s="49">
        <f t="shared" si="54"/>
        <v>0</v>
      </c>
      <c r="AP72" s="49">
        <f t="shared" si="55"/>
        <v>0</v>
      </c>
    </row>
    <row r="73" spans="1:42">
      <c r="A73" s="870">
        <v>66</v>
      </c>
      <c r="B73" s="871" t="s">
        <v>156</v>
      </c>
      <c r="C73" s="974">
        <f>'2-1-13 SIS'!N72</f>
        <v>0</v>
      </c>
      <c r="D73" s="884">
        <f>'Table 3 Levels 1&amp;2'!AL73</f>
        <v>6370.8108195713585</v>
      </c>
      <c r="E73" s="923">
        <f t="shared" ref="E73:E76" si="63">C73*D73</f>
        <v>0</v>
      </c>
      <c r="F73" s="923">
        <f>'Table 4 Level 3'!P71</f>
        <v>730.06</v>
      </c>
      <c r="G73" s="923">
        <f t="shared" ref="G73:G76" si="64">C73*F73</f>
        <v>0</v>
      </c>
      <c r="H73" s="907">
        <f t="shared" ref="H73:H76" si="65">E73+G73</f>
        <v>0</v>
      </c>
      <c r="I73" s="1723">
        <f>+'[3]Oct midyear LFNO'!K72</f>
        <v>0</v>
      </c>
      <c r="J73" s="1723">
        <f>'[3]Feb midyear LFNO '!K72</f>
        <v>0</v>
      </c>
      <c r="K73" s="1547">
        <f t="shared" ref="K73:K76" si="66">+I73+J73</f>
        <v>0</v>
      </c>
      <c r="L73" s="1455">
        <f t="shared" si="60"/>
        <v>0</v>
      </c>
      <c r="M73" s="933">
        <f t="shared" ref="M73:M76" si="67">-(0.25%*L73)</f>
        <v>0</v>
      </c>
      <c r="N73" s="907">
        <f t="shared" ref="N73:N76" si="68">SUM(L73:M73)</f>
        <v>0</v>
      </c>
      <c r="O73" s="884">
        <v>0</v>
      </c>
      <c r="P73" s="907">
        <f t="shared" ref="P73:P76" si="69">SUM(N73:O73)</f>
        <v>0</v>
      </c>
      <c r="Q73" s="872">
        <f>'[4]Table 5C1E-LFNO'!M72+'[27]Table 5C1E-LFNO'!T72+('[26]Table 5C1E-LFNO'!T72*6)</f>
        <v>0</v>
      </c>
      <c r="R73" s="884">
        <f t="shared" ref="R73:R76" si="70">P73-Q73</f>
        <v>0</v>
      </c>
      <c r="S73" s="1520">
        <f t="shared" ref="S73:S76" si="71">ROUND(R73/4,0)</f>
        <v>0</v>
      </c>
      <c r="T73" s="884"/>
      <c r="U73" s="907">
        <f t="shared" si="61"/>
        <v>0</v>
      </c>
      <c r="V73" s="897">
        <f>'Table 5C1A-Madison Prep'!T73</f>
        <v>3524</v>
      </c>
      <c r="W73" s="874">
        <f t="shared" si="62"/>
        <v>0</v>
      </c>
      <c r="X73" s="1754">
        <f>+'[3]Oct midyear LFNO'!E72</f>
        <v>0</v>
      </c>
      <c r="Y73" s="1755">
        <f t="shared" ref="Y73:Y76" si="72">X73*V73</f>
        <v>0</v>
      </c>
      <c r="Z73" s="1754">
        <f>'[3]Feb midyear LFNO '!E72</f>
        <v>0</v>
      </c>
      <c r="AA73" s="1755">
        <f t="shared" ref="AA73:AA76" si="73">(V73*Z73)*0.5</f>
        <v>0</v>
      </c>
      <c r="AB73" s="1652">
        <f t="shared" ref="AB73:AB76" si="74">+Y73+AA73</f>
        <v>0</v>
      </c>
      <c r="AC73" s="1462">
        <f t="shared" ref="AC73:AC76" si="75">W73+AB73</f>
        <v>0</v>
      </c>
      <c r="AD73" s="936">
        <f t="shared" ref="AD73:AD76" si="76">-(0.25%*AC73)</f>
        <v>0</v>
      </c>
      <c r="AE73" s="874">
        <f t="shared" ref="AE73:AE76" si="77">SUM(AC73:AD73)</f>
        <v>0</v>
      </c>
      <c r="AF73" s="1829">
        <v>0</v>
      </c>
      <c r="AG73" s="874">
        <f t="shared" ref="AG73:AG76" si="78">SUM(AE73:AF73)</f>
        <v>0</v>
      </c>
      <c r="AH73" s="1755">
        <f>'[4]Table 5C1E-LFNO'!V72+'[27]Table 5C1E-LFNO'!AH72+('[26]Table 5C1E-LFNO'!AH72*6)</f>
        <v>0</v>
      </c>
      <c r="AI73" s="1755">
        <f t="shared" ref="AI73:AI76" si="79">AG73-AH73</f>
        <v>0</v>
      </c>
      <c r="AJ73" s="999">
        <f t="shared" ref="AJ73:AJ76" si="80">ROUND(AI73/4,0)</f>
        <v>0</v>
      </c>
      <c r="AK73" s="875">
        <f t="shared" ref="AK73:AK76" si="81">U73+AG73</f>
        <v>0</v>
      </c>
      <c r="AL73" s="875">
        <f t="shared" si="59"/>
        <v>0</v>
      </c>
      <c r="AN73" s="49">
        <f>-'[4]Table 5C1E-LFNO'!R72</f>
        <v>0</v>
      </c>
      <c r="AO73" s="49">
        <f t="shared" ref="AO73:AO76" si="82">AD73</f>
        <v>0</v>
      </c>
      <c r="AP73" s="49">
        <f t="shared" ref="AP73:AP76" si="83">SUM(AN73:AO73)</f>
        <v>0</v>
      </c>
    </row>
    <row r="74" spans="1:42">
      <c r="A74" s="876">
        <v>67</v>
      </c>
      <c r="B74" s="877" t="s">
        <v>32</v>
      </c>
      <c r="C74" s="972">
        <f>'2-1-13 SIS'!N73</f>
        <v>0</v>
      </c>
      <c r="D74" s="882">
        <f>'Table 3 Levels 1&amp;2'!AL74</f>
        <v>4951.6009932106244</v>
      </c>
      <c r="E74" s="921">
        <f t="shared" si="63"/>
        <v>0</v>
      </c>
      <c r="F74" s="921">
        <f>'Table 4 Level 3'!P72</f>
        <v>715.61</v>
      </c>
      <c r="G74" s="921">
        <f t="shared" si="64"/>
        <v>0</v>
      </c>
      <c r="H74" s="905">
        <f t="shared" si="65"/>
        <v>0</v>
      </c>
      <c r="I74" s="1746">
        <f>+'[3]Oct midyear LFNO'!K73</f>
        <v>0</v>
      </c>
      <c r="J74" s="1746">
        <f>'[3]Feb midyear LFNO '!K73</f>
        <v>0</v>
      </c>
      <c r="K74" s="1692">
        <f t="shared" si="66"/>
        <v>0</v>
      </c>
      <c r="L74" s="1453">
        <f t="shared" si="60"/>
        <v>0</v>
      </c>
      <c r="M74" s="931">
        <f t="shared" si="67"/>
        <v>0</v>
      </c>
      <c r="N74" s="905">
        <f t="shared" si="68"/>
        <v>0</v>
      </c>
      <c r="O74" s="882">
        <v>0</v>
      </c>
      <c r="P74" s="905">
        <f t="shared" si="69"/>
        <v>0</v>
      </c>
      <c r="Q74" s="872">
        <f>'[4]Table 5C1E-LFNO'!M73+'[27]Table 5C1E-LFNO'!T73+('[26]Table 5C1E-LFNO'!T73*6)</f>
        <v>0</v>
      </c>
      <c r="R74" s="1854">
        <f t="shared" si="70"/>
        <v>0</v>
      </c>
      <c r="S74" s="898">
        <f t="shared" si="71"/>
        <v>0</v>
      </c>
      <c r="T74" s="882"/>
      <c r="U74" s="905">
        <f t="shared" si="61"/>
        <v>0</v>
      </c>
      <c r="V74" s="897">
        <f>'Table 5C1A-Madison Prep'!T74</f>
        <v>5007</v>
      </c>
      <c r="W74" s="899">
        <f t="shared" si="62"/>
        <v>0</v>
      </c>
      <c r="X74" s="1777">
        <f>+'[3]Oct midyear LFNO'!E73</f>
        <v>0</v>
      </c>
      <c r="Y74" s="1778">
        <f t="shared" si="72"/>
        <v>0</v>
      </c>
      <c r="Z74" s="1758">
        <f>'[3]Feb midyear LFNO '!E73</f>
        <v>0</v>
      </c>
      <c r="AA74" s="1759">
        <f t="shared" si="73"/>
        <v>0</v>
      </c>
      <c r="AB74" s="1653">
        <f t="shared" si="74"/>
        <v>0</v>
      </c>
      <c r="AC74" s="1460">
        <f t="shared" si="75"/>
        <v>0</v>
      </c>
      <c r="AD74" s="937">
        <f t="shared" si="76"/>
        <v>0</v>
      </c>
      <c r="AE74" s="899">
        <f t="shared" si="77"/>
        <v>0</v>
      </c>
      <c r="AF74" s="1830">
        <v>0</v>
      </c>
      <c r="AG74" s="899">
        <f t="shared" si="78"/>
        <v>0</v>
      </c>
      <c r="AH74" s="1755">
        <f>'[4]Table 5C1E-LFNO'!V73+'[27]Table 5C1E-LFNO'!AH73+('[26]Table 5C1E-LFNO'!AH73*6)</f>
        <v>0</v>
      </c>
      <c r="AI74" s="1778">
        <f t="shared" si="79"/>
        <v>0</v>
      </c>
      <c r="AJ74" s="1555">
        <f t="shared" si="80"/>
        <v>0</v>
      </c>
      <c r="AK74" s="900">
        <f t="shared" si="81"/>
        <v>0</v>
      </c>
      <c r="AL74" s="900">
        <f t="shared" si="59"/>
        <v>0</v>
      </c>
      <c r="AN74" s="49">
        <f>-'[4]Table 5C1E-LFNO'!R73</f>
        <v>0</v>
      </c>
      <c r="AO74" s="49">
        <f t="shared" si="82"/>
        <v>0</v>
      </c>
      <c r="AP74" s="49">
        <f t="shared" si="83"/>
        <v>0</v>
      </c>
    </row>
    <row r="75" spans="1:42">
      <c r="A75" s="876">
        <v>68</v>
      </c>
      <c r="B75" s="877" t="s">
        <v>30</v>
      </c>
      <c r="C75" s="972">
        <f>'2-1-13 SIS'!N74</f>
        <v>0</v>
      </c>
      <c r="D75" s="882">
        <f>'Table 3 Levels 1&amp;2'!AL75</f>
        <v>6077.2398733698947</v>
      </c>
      <c r="E75" s="921">
        <f t="shared" si="63"/>
        <v>0</v>
      </c>
      <c r="F75" s="921">
        <f>'Table 4 Level 3'!P73</f>
        <v>798.7</v>
      </c>
      <c r="G75" s="921">
        <f t="shared" si="64"/>
        <v>0</v>
      </c>
      <c r="H75" s="905">
        <f t="shared" si="65"/>
        <v>0</v>
      </c>
      <c r="I75" s="1746">
        <f>+'[3]Oct midyear LFNO'!K74</f>
        <v>0</v>
      </c>
      <c r="J75" s="1746">
        <f>'[3]Feb midyear LFNO '!K74</f>
        <v>0</v>
      </c>
      <c r="K75" s="1692">
        <f t="shared" si="66"/>
        <v>0</v>
      </c>
      <c r="L75" s="1453">
        <f t="shared" si="60"/>
        <v>0</v>
      </c>
      <c r="M75" s="931">
        <f t="shared" si="67"/>
        <v>0</v>
      </c>
      <c r="N75" s="905">
        <f t="shared" si="68"/>
        <v>0</v>
      </c>
      <c r="O75" s="882">
        <v>0</v>
      </c>
      <c r="P75" s="905">
        <f t="shared" si="69"/>
        <v>0</v>
      </c>
      <c r="Q75" s="872">
        <f>'[4]Table 5C1E-LFNO'!M74+'[27]Table 5C1E-LFNO'!T74+('[26]Table 5C1E-LFNO'!T74*6)</f>
        <v>0</v>
      </c>
      <c r="R75" s="1854">
        <f t="shared" si="70"/>
        <v>0</v>
      </c>
      <c r="S75" s="898">
        <f t="shared" si="71"/>
        <v>0</v>
      </c>
      <c r="T75" s="882"/>
      <c r="U75" s="905">
        <f t="shared" si="61"/>
        <v>0</v>
      </c>
      <c r="V75" s="897">
        <f>'Table 5C1A-Madison Prep'!T75</f>
        <v>2927</v>
      </c>
      <c r="W75" s="899">
        <f t="shared" si="62"/>
        <v>0</v>
      </c>
      <c r="X75" s="1777">
        <f>+'[3]Oct midyear LFNO'!E74</f>
        <v>0</v>
      </c>
      <c r="Y75" s="1778">
        <f t="shared" si="72"/>
        <v>0</v>
      </c>
      <c r="Z75" s="1758">
        <f>'[3]Feb midyear LFNO '!E74</f>
        <v>0</v>
      </c>
      <c r="AA75" s="1759">
        <f t="shared" si="73"/>
        <v>0</v>
      </c>
      <c r="AB75" s="1653">
        <f t="shared" si="74"/>
        <v>0</v>
      </c>
      <c r="AC75" s="1460">
        <f t="shared" si="75"/>
        <v>0</v>
      </c>
      <c r="AD75" s="937">
        <f t="shared" si="76"/>
        <v>0</v>
      </c>
      <c r="AE75" s="899">
        <f t="shared" si="77"/>
        <v>0</v>
      </c>
      <c r="AF75" s="1830">
        <v>0</v>
      </c>
      <c r="AG75" s="899">
        <f t="shared" si="78"/>
        <v>0</v>
      </c>
      <c r="AH75" s="1755">
        <f>'[4]Table 5C1E-LFNO'!V74+'[27]Table 5C1E-LFNO'!AH74+('[26]Table 5C1E-LFNO'!AH74*6)</f>
        <v>0</v>
      </c>
      <c r="AI75" s="1778">
        <f t="shared" si="79"/>
        <v>0</v>
      </c>
      <c r="AJ75" s="1555">
        <f t="shared" si="80"/>
        <v>0</v>
      </c>
      <c r="AK75" s="900">
        <f t="shared" si="81"/>
        <v>0</v>
      </c>
      <c r="AL75" s="900">
        <f t="shared" si="59"/>
        <v>0</v>
      </c>
      <c r="AN75" s="49">
        <f>-'[4]Table 5C1E-LFNO'!R74</f>
        <v>0</v>
      </c>
      <c r="AO75" s="49">
        <f t="shared" si="82"/>
        <v>0</v>
      </c>
      <c r="AP75" s="49">
        <f t="shared" si="83"/>
        <v>0</v>
      </c>
    </row>
    <row r="76" spans="1:42">
      <c r="A76" s="885">
        <v>69</v>
      </c>
      <c r="B76" s="886" t="s">
        <v>205</v>
      </c>
      <c r="C76" s="975">
        <f>'2-1-13 SIS'!N75</f>
        <v>0</v>
      </c>
      <c r="D76" s="887">
        <f>'Table 3 Levels 1&amp;2'!AL76</f>
        <v>5585.8253106686579</v>
      </c>
      <c r="E76" s="924">
        <f t="shared" si="63"/>
        <v>0</v>
      </c>
      <c r="F76" s="924">
        <f>'Table 4 Level 3'!P74</f>
        <v>705.67</v>
      </c>
      <c r="G76" s="924">
        <f t="shared" si="64"/>
        <v>0</v>
      </c>
      <c r="H76" s="908">
        <f t="shared" si="65"/>
        <v>0</v>
      </c>
      <c r="I76" s="1742">
        <f>+'[3]Oct midyear LFNO'!K75</f>
        <v>0</v>
      </c>
      <c r="J76" s="1742">
        <f>'[3]Feb midyear LFNO '!K75</f>
        <v>0</v>
      </c>
      <c r="K76" s="1688">
        <f t="shared" si="66"/>
        <v>0</v>
      </c>
      <c r="L76" s="1456">
        <f t="shared" si="60"/>
        <v>0</v>
      </c>
      <c r="M76" s="934">
        <f t="shared" si="67"/>
        <v>0</v>
      </c>
      <c r="N76" s="908">
        <f t="shared" si="68"/>
        <v>0</v>
      </c>
      <c r="O76" s="887">
        <v>0</v>
      </c>
      <c r="P76" s="908">
        <f t="shared" si="69"/>
        <v>0</v>
      </c>
      <c r="Q76" s="872">
        <f>'[4]Table 5C1E-LFNO'!M75+'[27]Table 5C1E-LFNO'!T75+('[26]Table 5C1E-LFNO'!T75*6)</f>
        <v>0</v>
      </c>
      <c r="R76" s="1856">
        <f t="shared" si="70"/>
        <v>0</v>
      </c>
      <c r="S76" s="898">
        <f t="shared" si="71"/>
        <v>0</v>
      </c>
      <c r="T76" s="887"/>
      <c r="U76" s="908">
        <f t="shared" si="61"/>
        <v>0</v>
      </c>
      <c r="V76" s="897">
        <f>'Table 5C1A-Madison Prep'!T76</f>
        <v>3404</v>
      </c>
      <c r="W76" s="909">
        <f t="shared" si="62"/>
        <v>0</v>
      </c>
      <c r="X76" s="1857">
        <f>+'[3]Oct midyear LFNO'!E75</f>
        <v>0</v>
      </c>
      <c r="Y76" s="1858">
        <f t="shared" si="72"/>
        <v>0</v>
      </c>
      <c r="Z76" s="1766">
        <f>'[3]Feb midyear LFNO '!E75</f>
        <v>0</v>
      </c>
      <c r="AA76" s="1767">
        <f t="shared" si="73"/>
        <v>0</v>
      </c>
      <c r="AB76" s="1655">
        <f t="shared" si="74"/>
        <v>0</v>
      </c>
      <c r="AC76" s="1439">
        <f t="shared" si="75"/>
        <v>0</v>
      </c>
      <c r="AD76" s="939">
        <f t="shared" si="76"/>
        <v>0</v>
      </c>
      <c r="AE76" s="909">
        <f t="shared" si="77"/>
        <v>0</v>
      </c>
      <c r="AF76" s="1832">
        <v>0</v>
      </c>
      <c r="AG76" s="909">
        <f t="shared" si="78"/>
        <v>0</v>
      </c>
      <c r="AH76" s="1755">
        <f>'[4]Table 5C1E-LFNO'!V75+'[27]Table 5C1E-LFNO'!AH75+('[26]Table 5C1E-LFNO'!AH75*6)</f>
        <v>0</v>
      </c>
      <c r="AI76" s="1782">
        <f t="shared" si="79"/>
        <v>0</v>
      </c>
      <c r="AJ76" s="1555">
        <f t="shared" si="80"/>
        <v>0</v>
      </c>
      <c r="AK76" s="910">
        <f t="shared" si="81"/>
        <v>0</v>
      </c>
      <c r="AL76" s="910">
        <f t="shared" si="59"/>
        <v>0</v>
      </c>
      <c r="AN76" s="49">
        <f>-'[4]Table 5C1E-LFNO'!R75</f>
        <v>0</v>
      </c>
      <c r="AO76" s="49">
        <f t="shared" si="82"/>
        <v>0</v>
      </c>
      <c r="AP76" s="49">
        <f t="shared" si="83"/>
        <v>0</v>
      </c>
    </row>
    <row r="77" spans="1:42" ht="13.5" thickBot="1">
      <c r="A77" s="888"/>
      <c r="B77" s="889" t="s">
        <v>157</v>
      </c>
      <c r="C77" s="890">
        <f>SUM(C8:C76)</f>
        <v>202</v>
      </c>
      <c r="D77" s="891"/>
      <c r="E77" s="925">
        <f>SUM(E8:E76)</f>
        <v>698549.49523055239</v>
      </c>
      <c r="F77" s="925">
        <f>'Table 4 Level 3'!P75</f>
        <v>704.49059912051428</v>
      </c>
      <c r="G77" s="925">
        <f t="shared" ref="G77:R77" si="84">SUM(G8:G76)</f>
        <v>155153.98000000001</v>
      </c>
      <c r="H77" s="892">
        <f t="shared" si="84"/>
        <v>853703.47523055237</v>
      </c>
      <c r="I77" s="1748">
        <f t="shared" ref="I77:L77" si="85">SUM(I8:I76)</f>
        <v>436655.01154996268</v>
      </c>
      <c r="J77" s="1748">
        <f t="shared" si="85"/>
        <v>6331.6787588101888</v>
      </c>
      <c r="K77" s="1694">
        <f t="shared" si="85"/>
        <v>442986.69030877284</v>
      </c>
      <c r="L77" s="1449">
        <f t="shared" si="85"/>
        <v>1296690.1655393254</v>
      </c>
      <c r="M77" s="935">
        <f t="shared" si="84"/>
        <v>-3241.7254138483131</v>
      </c>
      <c r="N77" s="892">
        <f t="shared" si="84"/>
        <v>1293448.4401254768</v>
      </c>
      <c r="O77" s="891">
        <f t="shared" si="84"/>
        <v>0</v>
      </c>
      <c r="P77" s="892">
        <f t="shared" si="84"/>
        <v>1293448.4401254768</v>
      </c>
      <c r="Q77" s="891">
        <f t="shared" si="84"/>
        <v>826673.94235439948</v>
      </c>
      <c r="R77" s="891">
        <f t="shared" si="84"/>
        <v>466774.49777107767</v>
      </c>
      <c r="S77" s="892">
        <f>SUM(S8:S76)</f>
        <v>116693</v>
      </c>
      <c r="T77" s="891">
        <f>SUM(T8:T76)</f>
        <v>118000</v>
      </c>
      <c r="U77" s="892">
        <f>SUM(U8:U76)</f>
        <v>1411448.4401254768</v>
      </c>
      <c r="V77" s="911">
        <f>'Table 5C1A-Madison Prep'!T77</f>
        <v>4626</v>
      </c>
      <c r="W77" s="893">
        <f t="shared" ref="W77:AL77" si="86">SUM(W8:W76)</f>
        <v>1119218</v>
      </c>
      <c r="X77" s="1783">
        <f t="shared" si="86"/>
        <v>103</v>
      </c>
      <c r="Y77" s="1784">
        <f t="shared" si="86"/>
        <v>569350</v>
      </c>
      <c r="Z77" s="1770">
        <f t="shared" si="86"/>
        <v>3</v>
      </c>
      <c r="AA77" s="1771">
        <f t="shared" si="86"/>
        <v>8105</v>
      </c>
      <c r="AB77" s="1665">
        <f t="shared" si="86"/>
        <v>577455</v>
      </c>
      <c r="AC77" s="1458">
        <f t="shared" si="86"/>
        <v>1696673</v>
      </c>
      <c r="AD77" s="940">
        <f t="shared" si="86"/>
        <v>-4241.6824999999999</v>
      </c>
      <c r="AE77" s="893">
        <f t="shared" si="86"/>
        <v>1692431.3175000001</v>
      </c>
      <c r="AF77" s="1850">
        <f t="shared" si="86"/>
        <v>0</v>
      </c>
      <c r="AG77" s="893">
        <f t="shared" si="86"/>
        <v>1692431.3175000001</v>
      </c>
      <c r="AH77" s="1828">
        <f t="shared" si="86"/>
        <v>1078077.0041363637</v>
      </c>
      <c r="AI77" s="1828">
        <f t="shared" si="86"/>
        <v>614354.31336363649</v>
      </c>
      <c r="AJ77" s="1000">
        <f t="shared" si="86"/>
        <v>153590</v>
      </c>
      <c r="AK77" s="894">
        <f t="shared" si="86"/>
        <v>3103879.7576254769</v>
      </c>
      <c r="AL77" s="894">
        <f t="shared" si="86"/>
        <v>270283</v>
      </c>
      <c r="AN77" s="49">
        <f t="shared" ref="AN77:AO77" si="87">SUM(AN8:AN76)</f>
        <v>2779.9550000000004</v>
      </c>
      <c r="AO77" s="49">
        <f t="shared" si="87"/>
        <v>-4241.6824999999999</v>
      </c>
      <c r="AP77" s="49">
        <f>SUM(AP8:AP76)</f>
        <v>-1461.7274999999997</v>
      </c>
    </row>
    <row r="78" spans="1:42" ht="9" customHeight="1" thickTop="1"/>
    <row r="79" spans="1:42" hidden="1"/>
    <row r="80" spans="1:42" hidden="1">
      <c r="M80" s="1464" t="s">
        <v>951</v>
      </c>
      <c r="N80" s="49">
        <f>-'[4]Table 5C1E-LFNO'!$I$76</f>
        <v>2134.2586880763815</v>
      </c>
    </row>
    <row r="81" spans="13:14" hidden="1">
      <c r="M81" s="1464" t="s">
        <v>952</v>
      </c>
      <c r="N81" s="49">
        <f>M77</f>
        <v>-3241.7254138483131</v>
      </c>
    </row>
    <row r="82" spans="13:14" hidden="1">
      <c r="M82" s="1464" t="s">
        <v>953</v>
      </c>
      <c r="N82" s="49">
        <f>SUM(N80:N81)</f>
        <v>-1107.4667257719316</v>
      </c>
    </row>
    <row r="83" spans="13:14" hidden="1"/>
  </sheetData>
  <mergeCells count="30">
    <mergeCell ref="AK2:AK5"/>
    <mergeCell ref="AL2:AL5"/>
    <mergeCell ref="C4:C5"/>
    <mergeCell ref="D4:D5"/>
    <mergeCell ref="E4:E5"/>
    <mergeCell ref="F4:F5"/>
    <mergeCell ref="G4:G5"/>
    <mergeCell ref="AE4:AE5"/>
    <mergeCell ref="AF4:AF5"/>
    <mergeCell ref="AG4:AG5"/>
    <mergeCell ref="H4:H5"/>
    <mergeCell ref="N4:N5"/>
    <mergeCell ref="O4:O5"/>
    <mergeCell ref="T4:T5"/>
    <mergeCell ref="U4:U5"/>
    <mergeCell ref="P4:P5"/>
    <mergeCell ref="S4:S5"/>
    <mergeCell ref="V4:V5"/>
    <mergeCell ref="A2:B5"/>
    <mergeCell ref="V2:AJ2"/>
    <mergeCell ref="K4:K5"/>
    <mergeCell ref="L4:L5"/>
    <mergeCell ref="I4:I5"/>
    <mergeCell ref="J4:J5"/>
    <mergeCell ref="X4:X5"/>
    <mergeCell ref="Y4:Y5"/>
    <mergeCell ref="AC4:AC5"/>
    <mergeCell ref="I3:K3"/>
    <mergeCell ref="X3:AB3"/>
    <mergeCell ref="C2:U2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5C1-E: FY2013-14 MFP Budget Letter (March 2014) 
Lycee Francais de la Nouvella Orleans</oddHeader>
    <oddFooter>&amp;R&amp;P</oddFooter>
  </headerFooter>
  <colBreaks count="2" manualBreakCount="2">
    <brk id="12" max="1048575" man="1"/>
    <brk id="21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4"/>
  <sheetViews>
    <sheetView view="pageBreakPreview" zoomScale="80" zoomScaleNormal="100" zoomScaleSheetLayoutView="80" workbookViewId="0">
      <pane xSplit="2" ySplit="7" topLeftCell="C8" activePane="bottomRight" state="frozen"/>
      <selection activeCell="AL6" sqref="AL6"/>
      <selection pane="topRight" activeCell="AL6" sqref="AL6"/>
      <selection pane="bottomLeft" activeCell="AL6" sqref="AL6"/>
      <selection pane="bottomRight"/>
    </sheetView>
  </sheetViews>
  <sheetFormatPr defaultRowHeight="12.75"/>
  <cols>
    <col min="1" max="1" width="4.28515625" customWidth="1"/>
    <col min="2" max="2" width="17.85546875" customWidth="1"/>
    <col min="3" max="3" width="13.7109375" customWidth="1"/>
    <col min="4" max="4" width="14" customWidth="1"/>
    <col min="5" max="5" width="10.7109375" customWidth="1"/>
    <col min="6" max="6" width="13" customWidth="1"/>
    <col min="7" max="7" width="13.42578125" customWidth="1"/>
    <col min="8" max="8" width="12.85546875" customWidth="1"/>
    <col min="9" max="9" width="12.5703125" style="1464" customWidth="1"/>
    <col min="10" max="10" width="13.42578125" style="1464" bestFit="1" customWidth="1"/>
    <col min="11" max="11" width="12.5703125" style="1464" customWidth="1"/>
    <col min="12" max="12" width="15.140625" style="1464" customWidth="1"/>
    <col min="13" max="13" width="11.7109375" customWidth="1"/>
    <col min="14" max="14" width="13.140625" customWidth="1"/>
    <col min="15" max="15" width="13.42578125" bestFit="1" customWidth="1"/>
    <col min="16" max="16" width="14.7109375" customWidth="1"/>
    <col min="17" max="18" width="14" style="1464" customWidth="1"/>
    <col min="19" max="19" width="10.7109375" customWidth="1"/>
    <col min="20" max="20" width="11.5703125" customWidth="1"/>
    <col min="21" max="21" width="10.7109375" customWidth="1"/>
    <col min="22" max="26" width="12" style="1464" customWidth="1"/>
    <col min="27" max="27" width="13" style="1464" customWidth="1"/>
    <col min="28" max="28" width="12.5703125" customWidth="1"/>
    <col min="29" max="29" width="13" customWidth="1"/>
    <col min="30" max="30" width="13.28515625" customWidth="1"/>
    <col min="31" max="31" width="13" customWidth="1"/>
    <col min="32" max="33" width="13.140625" style="1464" customWidth="1"/>
    <col min="34" max="34" width="12" customWidth="1"/>
    <col min="35" max="35" width="11" customWidth="1"/>
    <col min="36" max="36" width="12.140625" customWidth="1"/>
    <col min="37" max="37" width="2.140625" customWidth="1"/>
    <col min="38" max="38" width="9.140625" style="49" hidden="1" customWidth="1"/>
    <col min="39" max="39" width="10.5703125" style="49" hidden="1" customWidth="1"/>
    <col min="40" max="40" width="9.140625" style="49" hidden="1" customWidth="1"/>
  </cols>
  <sheetData>
    <row r="1" spans="1:40">
      <c r="C1" s="271"/>
      <c r="D1" s="271"/>
      <c r="E1" s="271"/>
      <c r="F1" s="271"/>
      <c r="G1" s="271"/>
      <c r="H1" s="271"/>
      <c r="I1" s="1465"/>
      <c r="J1" s="1465"/>
      <c r="K1" s="1465"/>
      <c r="L1" s="1465"/>
      <c r="M1" s="271"/>
      <c r="N1" s="271"/>
      <c r="O1" s="271"/>
      <c r="P1" s="271"/>
      <c r="Q1" s="1465"/>
      <c r="R1" s="1465"/>
      <c r="S1" s="271"/>
    </row>
    <row r="2" spans="1:40" ht="45" customHeight="1">
      <c r="A2" s="2324" t="s">
        <v>441</v>
      </c>
      <c r="B2" s="2325"/>
      <c r="C2" s="2343" t="s">
        <v>440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20"/>
      <c r="W2" s="2320"/>
      <c r="X2" s="2320"/>
      <c r="Y2" s="2320"/>
      <c r="Z2" s="2320"/>
      <c r="AA2" s="2320"/>
      <c r="AB2" s="2318"/>
      <c r="AC2" s="2318"/>
      <c r="AD2" s="2318"/>
      <c r="AE2" s="2318"/>
      <c r="AF2" s="2320"/>
      <c r="AG2" s="2320"/>
      <c r="AH2" s="2321"/>
      <c r="AI2" s="2307" t="s">
        <v>542</v>
      </c>
      <c r="AJ2" s="2307" t="s">
        <v>527</v>
      </c>
    </row>
    <row r="3" spans="1:40" s="1464" customFormat="1" ht="22.9" customHeight="1">
      <c r="A3" s="2326"/>
      <c r="B3" s="2327"/>
      <c r="C3" s="1585"/>
      <c r="D3" s="1579"/>
      <c r="E3" s="1579"/>
      <c r="F3" s="1579"/>
      <c r="G3" s="1579"/>
      <c r="H3" s="1579"/>
      <c r="I3" s="2347" t="s">
        <v>772</v>
      </c>
      <c r="J3" s="2348"/>
      <c r="K3" s="2349"/>
      <c r="L3" s="1579"/>
      <c r="M3" s="1579"/>
      <c r="N3" s="1579"/>
      <c r="O3" s="1579"/>
      <c r="P3" s="1579"/>
      <c r="Q3" s="1579"/>
      <c r="R3" s="1579"/>
      <c r="S3" s="1580"/>
      <c r="T3" s="1584"/>
      <c r="U3" s="1582"/>
      <c r="V3" s="2376" t="s">
        <v>772</v>
      </c>
      <c r="W3" s="2377"/>
      <c r="X3" s="2377"/>
      <c r="Y3" s="2377"/>
      <c r="Z3" s="2378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  <c r="AL3" s="49"/>
      <c r="AM3" s="49"/>
      <c r="AN3" s="49"/>
    </row>
    <row r="4" spans="1:40" ht="135" customHeight="1">
      <c r="A4" s="2328"/>
      <c r="B4" s="2327"/>
      <c r="C4" s="2311" t="s">
        <v>825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35" t="s">
        <v>784</v>
      </c>
      <c r="J4" s="2335" t="s">
        <v>785</v>
      </c>
      <c r="K4" s="2335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75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75" t="s">
        <v>808</v>
      </c>
      <c r="AC4" s="2314" t="s">
        <v>805</v>
      </c>
      <c r="AD4" s="2314" t="s">
        <v>794</v>
      </c>
      <c r="AE4" s="2314" t="s">
        <v>806</v>
      </c>
      <c r="AF4" s="1578" t="s">
        <v>807</v>
      </c>
      <c r="AG4" s="1578" t="s">
        <v>795</v>
      </c>
      <c r="AH4" s="1575" t="s">
        <v>540</v>
      </c>
      <c r="AI4" s="2309"/>
      <c r="AJ4" s="2309"/>
    </row>
    <row r="5" spans="1:40" ht="22.15" customHeight="1">
      <c r="A5" s="2329"/>
      <c r="B5" s="2330"/>
      <c r="C5" s="231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76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576"/>
      <c r="AG5" s="1576"/>
      <c r="AH5" s="1576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H6" si="1">E6+1</f>
        <v>4</v>
      </c>
      <c r="G6" s="869">
        <f t="shared" si="1"/>
        <v>5</v>
      </c>
      <c r="H6" s="869">
        <f t="shared" si="1"/>
        <v>6</v>
      </c>
      <c r="I6" s="869">
        <f t="shared" ref="I6" si="2">H6+1</f>
        <v>7</v>
      </c>
      <c r="J6" s="869">
        <f t="shared" ref="J6" si="3">I6+1</f>
        <v>8</v>
      </c>
      <c r="K6" s="869">
        <f t="shared" ref="K6" si="4">J6+1</f>
        <v>9</v>
      </c>
      <c r="L6" s="869">
        <f t="shared" ref="L6" si="5">K6+1</f>
        <v>10</v>
      </c>
      <c r="M6" s="869">
        <f t="shared" ref="M6" si="6">L6+1</f>
        <v>11</v>
      </c>
      <c r="N6" s="869">
        <f t="shared" ref="N6" si="7">M6+1</f>
        <v>12</v>
      </c>
      <c r="O6" s="869">
        <f t="shared" ref="O6" si="8">N6+1</f>
        <v>13</v>
      </c>
      <c r="P6" s="869">
        <f t="shared" ref="P6" si="9">O6+1</f>
        <v>14</v>
      </c>
      <c r="Q6" s="869">
        <f t="shared" ref="Q6" si="10">P6+1</f>
        <v>15</v>
      </c>
      <c r="R6" s="869">
        <f t="shared" ref="R6" si="11">Q6+1</f>
        <v>16</v>
      </c>
      <c r="S6" s="869">
        <f t="shared" ref="S6" si="12">R6+1</f>
        <v>17</v>
      </c>
      <c r="T6" s="869">
        <f t="shared" ref="T6" si="13">S6+1</f>
        <v>18</v>
      </c>
      <c r="U6" s="869">
        <f t="shared" ref="U6" si="14">T6+1</f>
        <v>19</v>
      </c>
      <c r="V6" s="869">
        <f t="shared" ref="V6" si="15">U6+1</f>
        <v>20</v>
      </c>
      <c r="W6" s="869">
        <f t="shared" ref="W6" si="16">V6+1</f>
        <v>21</v>
      </c>
      <c r="X6" s="869">
        <f t="shared" ref="X6" si="17">W6+1</f>
        <v>22</v>
      </c>
      <c r="Y6" s="869">
        <f t="shared" ref="Y6" si="18">X6+1</f>
        <v>23</v>
      </c>
      <c r="Z6" s="869">
        <f t="shared" ref="Z6" si="19">Y6+1</f>
        <v>24</v>
      </c>
      <c r="AA6" s="869">
        <f t="shared" ref="AA6:AB6" si="20">Z6+1</f>
        <v>25</v>
      </c>
      <c r="AB6" s="869">
        <f t="shared" si="20"/>
        <v>26</v>
      </c>
      <c r="AC6" s="869">
        <f t="shared" ref="AC6" si="21">AB6+1</f>
        <v>27</v>
      </c>
      <c r="AD6" s="869">
        <f t="shared" ref="AD6" si="22">AC6+1</f>
        <v>28</v>
      </c>
      <c r="AE6" s="869">
        <f t="shared" ref="AE6" si="23">AD6+1</f>
        <v>29</v>
      </c>
      <c r="AF6" s="869">
        <f t="shared" ref="AF6" si="24">AE6+1</f>
        <v>30</v>
      </c>
      <c r="AG6" s="869">
        <f t="shared" ref="AG6" si="25">AF6+1</f>
        <v>31</v>
      </c>
      <c r="AH6" s="869">
        <f t="shared" ref="AH6" si="26">AG6+1</f>
        <v>32</v>
      </c>
      <c r="AI6" s="869">
        <f t="shared" ref="AI6" si="27">AH6+1</f>
        <v>33</v>
      </c>
      <c r="AJ6" s="869">
        <f t="shared" ref="AJ6" si="28">AI6+1</f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535"/>
      <c r="J7" s="1535"/>
      <c r="K7" s="1535"/>
      <c r="L7" s="1535"/>
      <c r="M7" s="896"/>
      <c r="N7" s="896"/>
      <c r="O7" s="896"/>
      <c r="P7" s="896"/>
      <c r="Q7" s="1535"/>
      <c r="R7" s="1535"/>
      <c r="S7" s="896"/>
      <c r="T7" s="896"/>
      <c r="U7" s="896"/>
      <c r="V7" s="1535"/>
      <c r="W7" s="1535"/>
      <c r="X7" s="1535"/>
      <c r="Y7" s="1535"/>
      <c r="Z7" s="1535"/>
      <c r="AA7" s="1535"/>
      <c r="AB7" s="896"/>
      <c r="AC7" s="896"/>
      <c r="AD7" s="896"/>
      <c r="AE7" s="896"/>
      <c r="AF7" s="1535"/>
      <c r="AG7" s="1535"/>
      <c r="AH7" s="896"/>
      <c r="AI7" s="896"/>
      <c r="AJ7" s="896"/>
      <c r="AL7" s="2041" t="s">
        <v>945</v>
      </c>
      <c r="AM7" s="2038" t="s">
        <v>946</v>
      </c>
      <c r="AN7" s="2038" t="s">
        <v>947</v>
      </c>
    </row>
    <row r="8" spans="1:40" ht="13.15" customHeight="1">
      <c r="A8" s="870">
        <v>1</v>
      </c>
      <c r="B8" s="871" t="s">
        <v>92</v>
      </c>
      <c r="C8" s="971">
        <f>'2-1-13 SIS'!M7</f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Lake Charles Chtr'!K7</f>
        <v>0</v>
      </c>
      <c r="J8" s="1718">
        <f>'[3]Feb midyear Lake Charles Ch'!K7</f>
        <v>0</v>
      </c>
      <c r="K8" s="1542">
        <f>+I8+J8</f>
        <v>0</v>
      </c>
      <c r="L8" s="1520">
        <f>+H8+K8</f>
        <v>0</v>
      </c>
      <c r="M8" s="928">
        <f>-(0.25%*L8)</f>
        <v>0</v>
      </c>
      <c r="N8" s="873">
        <f>SUM(L8:M8)</f>
        <v>0</v>
      </c>
      <c r="O8" s="872">
        <v>0</v>
      </c>
      <c r="P8" s="998">
        <f>SUM(N8:O8)</f>
        <v>0</v>
      </c>
      <c r="Q8" s="1718">
        <f>+'[4]Table 5C1F-Lake Charles Charter'!M7*8</f>
        <v>0</v>
      </c>
      <c r="R8" s="1718">
        <f>+P8-Q8</f>
        <v>0</v>
      </c>
      <c r="S8" s="998">
        <f>ROUND(R8/4,0)</f>
        <v>0</v>
      </c>
      <c r="T8" s="1802">
        <f>'Table 5C1A-Madison Prep'!T8</f>
        <v>2180</v>
      </c>
      <c r="U8" s="999">
        <f>C8*T8</f>
        <v>0</v>
      </c>
      <c r="V8" s="1754">
        <f>+'[3]Oct midyear Lake Charles Chtr'!E7</f>
        <v>0</v>
      </c>
      <c r="W8" s="1755">
        <f>+T8*V8</f>
        <v>0</v>
      </c>
      <c r="X8" s="1754">
        <f>'[3]Feb midyear Lake Charles Ch'!E7</f>
        <v>0</v>
      </c>
      <c r="Y8" s="1755">
        <f>(T8*X8)*0.5</f>
        <v>0</v>
      </c>
      <c r="Z8" s="1652">
        <f>+W8+Y8</f>
        <v>0</v>
      </c>
      <c r="AA8" s="1521">
        <f>+U8+Z8</f>
        <v>0</v>
      </c>
      <c r="AB8" s="936">
        <f>-(0.25%*AA8)</f>
        <v>0</v>
      </c>
      <c r="AC8" s="874">
        <f>SUM(AA8:AB8)</f>
        <v>0</v>
      </c>
      <c r="AD8" s="1829">
        <v>0</v>
      </c>
      <c r="AE8" s="874">
        <f>SUM(AC8:AD8)</f>
        <v>0</v>
      </c>
      <c r="AF8" s="1829">
        <f>+'[4]Table 5C1F-Lake Charles Charter'!T7*8</f>
        <v>0</v>
      </c>
      <c r="AG8" s="1829">
        <f>+AE8-AF8</f>
        <v>0</v>
      </c>
      <c r="AH8" s="874">
        <f>ROUND(AG8/4,0)</f>
        <v>0</v>
      </c>
      <c r="AI8" s="875">
        <f t="shared" ref="AI8:AI39" si="29">P8+AE8</f>
        <v>0</v>
      </c>
      <c r="AJ8" s="875">
        <f>S8+AH8</f>
        <v>0</v>
      </c>
      <c r="AL8" s="49">
        <f>-'[4]Table 5C1F-Lake Charles Charter'!P7</f>
        <v>0</v>
      </c>
      <c r="AM8" s="49">
        <f>AB8</f>
        <v>0</v>
      </c>
      <c r="AN8" s="49">
        <f>SUM(AL8:AM8)</f>
        <v>0</v>
      </c>
    </row>
    <row r="9" spans="1:40" ht="13.15" customHeight="1">
      <c r="A9" s="876">
        <v>2</v>
      </c>
      <c r="B9" s="877" t="s">
        <v>93</v>
      </c>
      <c r="C9" s="969">
        <f>'2-1-13 SIS'!M8</f>
        <v>0</v>
      </c>
      <c r="D9" s="878">
        <f>'Table 3 Levels 1&amp;2'!AL9</f>
        <v>6182.4313545138375</v>
      </c>
      <c r="E9" s="919">
        <f t="shared" ref="E9:E72" si="30">C9*D9</f>
        <v>0</v>
      </c>
      <c r="F9" s="919">
        <f>'Table 4 Level 3'!P7</f>
        <v>842.32</v>
      </c>
      <c r="G9" s="919">
        <f t="shared" ref="G9:G72" si="31">C9*F9</f>
        <v>0</v>
      </c>
      <c r="H9" s="898">
        <f t="shared" ref="H9:H72" si="32">E9+G9</f>
        <v>0</v>
      </c>
      <c r="I9" s="1732">
        <f>+'[3]Oct midyear Lake Charles Chtr'!K8</f>
        <v>0</v>
      </c>
      <c r="J9" s="1732">
        <f>'[3]Feb midyear Lake Charles Ch'!K8</f>
        <v>0</v>
      </c>
      <c r="K9" s="1543">
        <f t="shared" ref="K9:K72" si="33">+I9+J9</f>
        <v>0</v>
      </c>
      <c r="L9" s="1485">
        <f t="shared" ref="L9:L72" si="34">+H9+K9</f>
        <v>0</v>
      </c>
      <c r="M9" s="929">
        <f t="shared" ref="M9:M72" si="35">-(0.25%*L9)</f>
        <v>0</v>
      </c>
      <c r="N9" s="898">
        <f t="shared" ref="N9:N72" si="36">SUM(L9:M9)</f>
        <v>0</v>
      </c>
      <c r="O9" s="878">
        <v>0</v>
      </c>
      <c r="P9" s="1550">
        <f t="shared" ref="P9:P72" si="37">SUM(N9:O9)</f>
        <v>0</v>
      </c>
      <c r="Q9" s="1719">
        <f>+'[4]Table 5C1F-Lake Charles Charter'!M8*8</f>
        <v>0</v>
      </c>
      <c r="R9" s="1732">
        <f t="shared" ref="R9:R72" si="38">+P9-Q9</f>
        <v>0</v>
      </c>
      <c r="S9" s="1550">
        <f t="shared" ref="S9:S72" si="39">ROUND(R9/4,0)</f>
        <v>0</v>
      </c>
      <c r="T9" s="1802">
        <f>'Table 5C1A-Madison Prep'!T9</f>
        <v>2759</v>
      </c>
      <c r="U9" s="1555">
        <f t="shared" ref="U9:U72" si="40">C9*T9</f>
        <v>0</v>
      </c>
      <c r="V9" s="1758">
        <f>+'[3]Oct midyear Lake Charles Chtr'!E8</f>
        <v>0</v>
      </c>
      <c r="W9" s="1759">
        <f t="shared" ref="W9:W72" si="41">+T9*V9</f>
        <v>0</v>
      </c>
      <c r="X9" s="1758">
        <f>'[3]Feb midyear Lake Charles Ch'!E8</f>
        <v>0</v>
      </c>
      <c r="Y9" s="1759">
        <f t="shared" ref="Y9:Y72" si="42">(T9*X9)*0.5</f>
        <v>0</v>
      </c>
      <c r="Z9" s="1653">
        <f t="shared" ref="Z9:Z72" si="43">+W9+Y9</f>
        <v>0</v>
      </c>
      <c r="AA9" s="1486">
        <f t="shared" ref="AA9:AA72" si="44">+U9+Z9</f>
        <v>0</v>
      </c>
      <c r="AB9" s="937">
        <f t="shared" ref="AB9:AB72" si="45">-(0.25%*AA9)</f>
        <v>0</v>
      </c>
      <c r="AC9" s="899">
        <f t="shared" ref="AC9:AC72" si="46">SUM(AA9:AB9)</f>
        <v>0</v>
      </c>
      <c r="AD9" s="1830">
        <v>0</v>
      </c>
      <c r="AE9" s="899">
        <f t="shared" ref="AE9:AE72" si="47">SUM(AC9:AD9)</f>
        <v>0</v>
      </c>
      <c r="AF9" s="1834">
        <f>+'[4]Table 5C1F-Lake Charles Charter'!T8*8</f>
        <v>0</v>
      </c>
      <c r="AG9" s="1834">
        <f t="shared" ref="AG9:AG72" si="48">+AE9-AF9</f>
        <v>0</v>
      </c>
      <c r="AH9" s="899">
        <f t="shared" ref="AH9:AH72" si="49">ROUND(AG9/4,0)</f>
        <v>0</v>
      </c>
      <c r="AI9" s="900">
        <f t="shared" si="29"/>
        <v>0</v>
      </c>
      <c r="AJ9" s="900">
        <f t="shared" ref="AJ9:AJ72" si="50">S9+AH9</f>
        <v>0</v>
      </c>
      <c r="AL9" s="49">
        <f>-'[4]Table 5C1F-Lake Charles Charter'!P8</f>
        <v>0</v>
      </c>
      <c r="AM9" s="49">
        <f t="shared" ref="AM9:AM72" si="51">AB9</f>
        <v>0</v>
      </c>
      <c r="AN9" s="49">
        <f t="shared" ref="AN9:AN72" si="52">SUM(AL9:AM9)</f>
        <v>0</v>
      </c>
    </row>
    <row r="10" spans="1:40" ht="13.15" customHeight="1">
      <c r="A10" s="876">
        <v>3</v>
      </c>
      <c r="B10" s="877" t="s">
        <v>94</v>
      </c>
      <c r="C10" s="969">
        <f>'2-1-13 SIS'!M9</f>
        <v>0</v>
      </c>
      <c r="D10" s="878">
        <f>'Table 3 Levels 1&amp;2'!AL10</f>
        <v>4206.710737685361</v>
      </c>
      <c r="E10" s="919">
        <f t="shared" si="30"/>
        <v>0</v>
      </c>
      <c r="F10" s="919">
        <f>'Table 4 Level 3'!P8</f>
        <v>596.84</v>
      </c>
      <c r="G10" s="919">
        <f t="shared" si="31"/>
        <v>0</v>
      </c>
      <c r="H10" s="898">
        <f t="shared" si="32"/>
        <v>0</v>
      </c>
      <c r="I10" s="1732">
        <f>+'[3]Oct midyear Lake Charles Chtr'!K9</f>
        <v>0</v>
      </c>
      <c r="J10" s="1732">
        <f>'[3]Feb midyear Lake Charles Ch'!K9</f>
        <v>0</v>
      </c>
      <c r="K10" s="1543">
        <f t="shared" si="33"/>
        <v>0</v>
      </c>
      <c r="L10" s="1485">
        <f t="shared" si="34"/>
        <v>0</v>
      </c>
      <c r="M10" s="929">
        <f t="shared" si="35"/>
        <v>0</v>
      </c>
      <c r="N10" s="898">
        <f t="shared" si="36"/>
        <v>0</v>
      </c>
      <c r="O10" s="878">
        <v>0</v>
      </c>
      <c r="P10" s="1550">
        <f t="shared" si="37"/>
        <v>0</v>
      </c>
      <c r="Q10" s="1719">
        <f>+'[4]Table 5C1F-Lake Charles Charter'!M9*8</f>
        <v>0</v>
      </c>
      <c r="R10" s="1732">
        <f t="shared" si="38"/>
        <v>0</v>
      </c>
      <c r="S10" s="1550">
        <f t="shared" si="39"/>
        <v>0</v>
      </c>
      <c r="T10" s="1802">
        <f>'Table 5C1A-Madison Prep'!T10</f>
        <v>5538</v>
      </c>
      <c r="U10" s="1555">
        <f t="shared" si="40"/>
        <v>0</v>
      </c>
      <c r="V10" s="1758">
        <f>+'[3]Oct midyear Lake Charles Chtr'!E9</f>
        <v>0</v>
      </c>
      <c r="W10" s="1759">
        <f t="shared" si="41"/>
        <v>0</v>
      </c>
      <c r="X10" s="1758">
        <f>'[3]Feb midyear Lake Charles Ch'!E9</f>
        <v>0</v>
      </c>
      <c r="Y10" s="1759">
        <f t="shared" si="42"/>
        <v>0</v>
      </c>
      <c r="Z10" s="1653">
        <f t="shared" si="43"/>
        <v>0</v>
      </c>
      <c r="AA10" s="1486">
        <f t="shared" si="44"/>
        <v>0</v>
      </c>
      <c r="AB10" s="937">
        <f t="shared" si="45"/>
        <v>0</v>
      </c>
      <c r="AC10" s="899">
        <f t="shared" si="46"/>
        <v>0</v>
      </c>
      <c r="AD10" s="1830">
        <v>0</v>
      </c>
      <c r="AE10" s="899">
        <f t="shared" si="47"/>
        <v>0</v>
      </c>
      <c r="AF10" s="1834">
        <f>+'[4]Table 5C1F-Lake Charles Charter'!T9*8</f>
        <v>0</v>
      </c>
      <c r="AG10" s="1834">
        <f t="shared" si="48"/>
        <v>0</v>
      </c>
      <c r="AH10" s="899">
        <f t="shared" si="49"/>
        <v>0</v>
      </c>
      <c r="AI10" s="900">
        <f t="shared" si="29"/>
        <v>0</v>
      </c>
      <c r="AJ10" s="900">
        <f t="shared" si="50"/>
        <v>0</v>
      </c>
      <c r="AL10" s="49">
        <f>-'[4]Table 5C1F-Lake Charles Charter'!P9</f>
        <v>0</v>
      </c>
      <c r="AM10" s="49">
        <f t="shared" si="51"/>
        <v>0</v>
      </c>
      <c r="AN10" s="49">
        <f t="shared" si="52"/>
        <v>0</v>
      </c>
    </row>
    <row r="11" spans="1:40" ht="13.15" customHeight="1">
      <c r="A11" s="876">
        <v>4</v>
      </c>
      <c r="B11" s="877" t="s">
        <v>95</v>
      </c>
      <c r="C11" s="969">
        <f>'2-1-13 SIS'!M10</f>
        <v>0</v>
      </c>
      <c r="D11" s="878">
        <f>'Table 3 Levels 1&amp;2'!AL11</f>
        <v>5987.4993535453223</v>
      </c>
      <c r="E11" s="919">
        <f t="shared" si="30"/>
        <v>0</v>
      </c>
      <c r="F11" s="919">
        <f>'Table 4 Level 3'!P9</f>
        <v>585.76</v>
      </c>
      <c r="G11" s="919">
        <f t="shared" si="31"/>
        <v>0</v>
      </c>
      <c r="H11" s="898">
        <f t="shared" si="32"/>
        <v>0</v>
      </c>
      <c r="I11" s="1732">
        <f>+'[3]Oct midyear Lake Charles Chtr'!K10</f>
        <v>0</v>
      </c>
      <c r="J11" s="1732">
        <f>'[3]Feb midyear Lake Charles Ch'!K10</f>
        <v>0</v>
      </c>
      <c r="K11" s="1543">
        <f t="shared" si="33"/>
        <v>0</v>
      </c>
      <c r="L11" s="1485">
        <f t="shared" si="34"/>
        <v>0</v>
      </c>
      <c r="M11" s="929">
        <f t="shared" si="35"/>
        <v>0</v>
      </c>
      <c r="N11" s="898">
        <f t="shared" si="36"/>
        <v>0</v>
      </c>
      <c r="O11" s="878">
        <v>0</v>
      </c>
      <c r="P11" s="1550">
        <f t="shared" si="37"/>
        <v>0</v>
      </c>
      <c r="Q11" s="1719">
        <f>+'[4]Table 5C1F-Lake Charles Charter'!M10*8</f>
        <v>0</v>
      </c>
      <c r="R11" s="1732">
        <f t="shared" si="38"/>
        <v>0</v>
      </c>
      <c r="S11" s="1550">
        <f t="shared" si="39"/>
        <v>0</v>
      </c>
      <c r="T11" s="1802">
        <f>'Table 5C1A-Madison Prep'!T11</f>
        <v>3507</v>
      </c>
      <c r="U11" s="1555">
        <f t="shared" si="40"/>
        <v>0</v>
      </c>
      <c r="V11" s="1758">
        <f>+'[3]Oct midyear Lake Charles Chtr'!E10</f>
        <v>0</v>
      </c>
      <c r="W11" s="1759">
        <f t="shared" si="41"/>
        <v>0</v>
      </c>
      <c r="X11" s="1758">
        <f>'[3]Feb midyear Lake Charles Ch'!E10</f>
        <v>0</v>
      </c>
      <c r="Y11" s="1759">
        <f t="shared" si="42"/>
        <v>0</v>
      </c>
      <c r="Z11" s="1653">
        <f t="shared" si="43"/>
        <v>0</v>
      </c>
      <c r="AA11" s="1486">
        <f t="shared" si="44"/>
        <v>0</v>
      </c>
      <c r="AB11" s="937">
        <f t="shared" si="45"/>
        <v>0</v>
      </c>
      <c r="AC11" s="899">
        <f t="shared" si="46"/>
        <v>0</v>
      </c>
      <c r="AD11" s="1830">
        <v>0</v>
      </c>
      <c r="AE11" s="899">
        <f t="shared" si="47"/>
        <v>0</v>
      </c>
      <c r="AF11" s="1834">
        <f>+'[4]Table 5C1F-Lake Charles Charter'!T10*8</f>
        <v>0</v>
      </c>
      <c r="AG11" s="1834">
        <f t="shared" si="48"/>
        <v>0</v>
      </c>
      <c r="AH11" s="899">
        <f t="shared" si="49"/>
        <v>0</v>
      </c>
      <c r="AI11" s="900">
        <f t="shared" si="29"/>
        <v>0</v>
      </c>
      <c r="AJ11" s="900">
        <f t="shared" si="50"/>
        <v>0</v>
      </c>
      <c r="AL11" s="49">
        <f>-'[4]Table 5C1F-Lake Charles Charter'!P10</f>
        <v>0</v>
      </c>
      <c r="AM11" s="49">
        <f t="shared" si="51"/>
        <v>0</v>
      </c>
      <c r="AN11" s="49">
        <f t="shared" si="52"/>
        <v>0</v>
      </c>
    </row>
    <row r="12" spans="1:40" ht="13.15" customHeight="1">
      <c r="A12" s="879">
        <v>5</v>
      </c>
      <c r="B12" s="880" t="s">
        <v>96</v>
      </c>
      <c r="C12" s="970">
        <f>'2-1-13 SIS'!M11</f>
        <v>0</v>
      </c>
      <c r="D12" s="881">
        <f>'Table 3 Levels 1&amp;2'!AL12</f>
        <v>4986.8166927080074</v>
      </c>
      <c r="E12" s="920">
        <f t="shared" si="30"/>
        <v>0</v>
      </c>
      <c r="F12" s="920">
        <f>'Table 4 Level 3'!P10</f>
        <v>555.91</v>
      </c>
      <c r="G12" s="920">
        <f t="shared" si="31"/>
        <v>0</v>
      </c>
      <c r="H12" s="901">
        <f t="shared" si="32"/>
        <v>0</v>
      </c>
      <c r="I12" s="1733">
        <f>+'[3]Oct midyear Lake Charles Chtr'!K11</f>
        <v>0</v>
      </c>
      <c r="J12" s="1733">
        <f>'[3]Feb midyear Lake Charles Ch'!K11</f>
        <v>0</v>
      </c>
      <c r="K12" s="1544">
        <f t="shared" si="33"/>
        <v>0</v>
      </c>
      <c r="L12" s="1487">
        <f t="shared" si="34"/>
        <v>0</v>
      </c>
      <c r="M12" s="930">
        <f t="shared" si="35"/>
        <v>0</v>
      </c>
      <c r="N12" s="901">
        <f t="shared" si="36"/>
        <v>0</v>
      </c>
      <c r="O12" s="881">
        <v>0</v>
      </c>
      <c r="P12" s="1551">
        <f t="shared" si="37"/>
        <v>0</v>
      </c>
      <c r="Q12" s="1720">
        <f>+'[4]Table 5C1F-Lake Charles Charter'!M11*8</f>
        <v>0</v>
      </c>
      <c r="R12" s="1733">
        <f t="shared" si="38"/>
        <v>0</v>
      </c>
      <c r="S12" s="1551">
        <f t="shared" si="39"/>
        <v>0</v>
      </c>
      <c r="T12" s="1807">
        <f>'Table 5C1A-Madison Prep'!T12</f>
        <v>2086</v>
      </c>
      <c r="U12" s="1556">
        <f t="shared" si="40"/>
        <v>0</v>
      </c>
      <c r="V12" s="1762">
        <f>+'[3]Oct midyear Lake Charles Chtr'!E11</f>
        <v>0</v>
      </c>
      <c r="W12" s="1763">
        <f t="shared" si="41"/>
        <v>0</v>
      </c>
      <c r="X12" s="1762">
        <f>'[3]Feb midyear Lake Charles Ch'!E11</f>
        <v>0</v>
      </c>
      <c r="Y12" s="1763">
        <f t="shared" si="42"/>
        <v>0</v>
      </c>
      <c r="Z12" s="1654">
        <f t="shared" si="43"/>
        <v>0</v>
      </c>
      <c r="AA12" s="1488">
        <f t="shared" si="44"/>
        <v>0</v>
      </c>
      <c r="AB12" s="938">
        <f t="shared" si="45"/>
        <v>0</v>
      </c>
      <c r="AC12" s="903">
        <f t="shared" si="46"/>
        <v>0</v>
      </c>
      <c r="AD12" s="1831">
        <v>0</v>
      </c>
      <c r="AE12" s="903">
        <f t="shared" si="47"/>
        <v>0</v>
      </c>
      <c r="AF12" s="1835">
        <f>+'[4]Table 5C1F-Lake Charles Charter'!T11*8</f>
        <v>0</v>
      </c>
      <c r="AG12" s="1835">
        <f t="shared" si="48"/>
        <v>0</v>
      </c>
      <c r="AH12" s="903">
        <f t="shared" si="49"/>
        <v>0</v>
      </c>
      <c r="AI12" s="904">
        <f t="shared" si="29"/>
        <v>0</v>
      </c>
      <c r="AJ12" s="904">
        <f t="shared" si="50"/>
        <v>0</v>
      </c>
      <c r="AL12" s="49">
        <f>-'[4]Table 5C1F-Lake Charles Charter'!P11</f>
        <v>0</v>
      </c>
      <c r="AM12" s="49">
        <f t="shared" si="51"/>
        <v>0</v>
      </c>
      <c r="AN12" s="49">
        <f t="shared" si="52"/>
        <v>0</v>
      </c>
    </row>
    <row r="13" spans="1:40" ht="13.15" customHeight="1">
      <c r="A13" s="870">
        <v>6</v>
      </c>
      <c r="B13" s="871" t="s">
        <v>97</v>
      </c>
      <c r="C13" s="971">
        <f>'2-1-13 SIS'!M12</f>
        <v>0</v>
      </c>
      <c r="D13" s="872">
        <f>'Table 3 Levels 1&amp;2'!AL13</f>
        <v>5412.7883404260592</v>
      </c>
      <c r="E13" s="918">
        <f t="shared" si="30"/>
        <v>0</v>
      </c>
      <c r="F13" s="918">
        <f>'Table 4 Level 3'!P11</f>
        <v>545.4799999999999</v>
      </c>
      <c r="G13" s="918">
        <f t="shared" si="31"/>
        <v>0</v>
      </c>
      <c r="H13" s="873">
        <f t="shared" si="32"/>
        <v>0</v>
      </c>
      <c r="I13" s="1718">
        <f>+'[3]Oct midyear Lake Charles Chtr'!K12</f>
        <v>0</v>
      </c>
      <c r="J13" s="1718">
        <f>'[3]Feb midyear Lake Charles Ch'!K12</f>
        <v>0</v>
      </c>
      <c r="K13" s="1542">
        <f t="shared" si="33"/>
        <v>0</v>
      </c>
      <c r="L13" s="1520">
        <f t="shared" si="34"/>
        <v>0</v>
      </c>
      <c r="M13" s="928">
        <f t="shared" si="35"/>
        <v>0</v>
      </c>
      <c r="N13" s="873">
        <f t="shared" si="36"/>
        <v>0</v>
      </c>
      <c r="O13" s="872">
        <v>0</v>
      </c>
      <c r="P13" s="998">
        <f t="shared" si="37"/>
        <v>0</v>
      </c>
      <c r="Q13" s="1718">
        <f>+'[4]Table 5C1F-Lake Charles Charter'!M12*8</f>
        <v>0</v>
      </c>
      <c r="R13" s="1718">
        <f t="shared" si="38"/>
        <v>0</v>
      </c>
      <c r="S13" s="998">
        <f t="shared" si="39"/>
        <v>0</v>
      </c>
      <c r="T13" s="1802">
        <f>'Table 5C1A-Madison Prep'!T13</f>
        <v>3683</v>
      </c>
      <c r="U13" s="999">
        <f t="shared" si="40"/>
        <v>0</v>
      </c>
      <c r="V13" s="1754">
        <f>+'[3]Oct midyear Lake Charles Chtr'!E12</f>
        <v>0</v>
      </c>
      <c r="W13" s="1755">
        <f t="shared" si="41"/>
        <v>0</v>
      </c>
      <c r="X13" s="1754">
        <f>'[3]Feb midyear Lake Charles Ch'!E12</f>
        <v>0</v>
      </c>
      <c r="Y13" s="1755">
        <f t="shared" si="42"/>
        <v>0</v>
      </c>
      <c r="Z13" s="1652">
        <f t="shared" si="43"/>
        <v>0</v>
      </c>
      <c r="AA13" s="1521">
        <f t="shared" si="44"/>
        <v>0</v>
      </c>
      <c r="AB13" s="936">
        <f t="shared" si="45"/>
        <v>0</v>
      </c>
      <c r="AC13" s="874">
        <f t="shared" si="46"/>
        <v>0</v>
      </c>
      <c r="AD13" s="1829">
        <v>0</v>
      </c>
      <c r="AE13" s="874">
        <f t="shared" si="47"/>
        <v>0</v>
      </c>
      <c r="AF13" s="1829">
        <f>+'[4]Table 5C1F-Lake Charles Charter'!T12*8</f>
        <v>0</v>
      </c>
      <c r="AG13" s="1829">
        <f t="shared" si="48"/>
        <v>0</v>
      </c>
      <c r="AH13" s="874">
        <f t="shared" si="49"/>
        <v>0</v>
      </c>
      <c r="AI13" s="875">
        <f t="shared" si="29"/>
        <v>0</v>
      </c>
      <c r="AJ13" s="875">
        <f t="shared" si="50"/>
        <v>0</v>
      </c>
      <c r="AL13" s="49">
        <f>-'[4]Table 5C1F-Lake Charles Charter'!P12</f>
        <v>0</v>
      </c>
      <c r="AM13" s="49">
        <f t="shared" si="51"/>
        <v>0</v>
      </c>
      <c r="AN13" s="49">
        <f t="shared" si="52"/>
        <v>0</v>
      </c>
    </row>
    <row r="14" spans="1:40">
      <c r="A14" s="876">
        <v>7</v>
      </c>
      <c r="B14" s="877" t="s">
        <v>98</v>
      </c>
      <c r="C14" s="969">
        <f>'2-1-13 SIS'!M13</f>
        <v>0</v>
      </c>
      <c r="D14" s="878">
        <f>'Table 3 Levels 1&amp;2'!AL14</f>
        <v>1766.1023604176123</v>
      </c>
      <c r="E14" s="919">
        <f t="shared" si="30"/>
        <v>0</v>
      </c>
      <c r="F14" s="919">
        <f>'Table 4 Level 3'!P12</f>
        <v>756.91999999999985</v>
      </c>
      <c r="G14" s="919">
        <f t="shared" si="31"/>
        <v>0</v>
      </c>
      <c r="H14" s="898">
        <f t="shared" si="32"/>
        <v>0</v>
      </c>
      <c r="I14" s="1732">
        <f>+'[3]Oct midyear Lake Charles Chtr'!K13</f>
        <v>0</v>
      </c>
      <c r="J14" s="1732">
        <f>'[3]Feb midyear Lake Charles Ch'!K13</f>
        <v>0</v>
      </c>
      <c r="K14" s="1543">
        <f t="shared" si="33"/>
        <v>0</v>
      </c>
      <c r="L14" s="1485">
        <f t="shared" si="34"/>
        <v>0</v>
      </c>
      <c r="M14" s="929">
        <f t="shared" si="35"/>
        <v>0</v>
      </c>
      <c r="N14" s="898">
        <f t="shared" si="36"/>
        <v>0</v>
      </c>
      <c r="O14" s="878">
        <v>0</v>
      </c>
      <c r="P14" s="1550">
        <f t="shared" si="37"/>
        <v>0</v>
      </c>
      <c r="Q14" s="1719">
        <f>+'[4]Table 5C1F-Lake Charles Charter'!M13*8</f>
        <v>0</v>
      </c>
      <c r="R14" s="1732">
        <f t="shared" si="38"/>
        <v>0</v>
      </c>
      <c r="S14" s="1550">
        <f t="shared" si="39"/>
        <v>0</v>
      </c>
      <c r="T14" s="1802">
        <f>'Table 5C1A-Madison Prep'!T14</f>
        <v>11801</v>
      </c>
      <c r="U14" s="1555">
        <f t="shared" si="40"/>
        <v>0</v>
      </c>
      <c r="V14" s="1758">
        <f>+'[3]Oct midyear Lake Charles Chtr'!E13</f>
        <v>0</v>
      </c>
      <c r="W14" s="1759">
        <f t="shared" si="41"/>
        <v>0</v>
      </c>
      <c r="X14" s="1758">
        <f>'[3]Feb midyear Lake Charles Ch'!E13</f>
        <v>0</v>
      </c>
      <c r="Y14" s="1759">
        <f t="shared" si="42"/>
        <v>0</v>
      </c>
      <c r="Z14" s="1653">
        <f t="shared" si="43"/>
        <v>0</v>
      </c>
      <c r="AA14" s="1486">
        <f t="shared" si="44"/>
        <v>0</v>
      </c>
      <c r="AB14" s="937">
        <f t="shared" si="45"/>
        <v>0</v>
      </c>
      <c r="AC14" s="899">
        <f t="shared" si="46"/>
        <v>0</v>
      </c>
      <c r="AD14" s="1830">
        <v>0</v>
      </c>
      <c r="AE14" s="899">
        <f t="shared" si="47"/>
        <v>0</v>
      </c>
      <c r="AF14" s="1834">
        <f>+'[4]Table 5C1F-Lake Charles Charter'!T13*8</f>
        <v>0</v>
      </c>
      <c r="AG14" s="1834">
        <f t="shared" si="48"/>
        <v>0</v>
      </c>
      <c r="AH14" s="899">
        <f t="shared" si="49"/>
        <v>0</v>
      </c>
      <c r="AI14" s="900">
        <f t="shared" si="29"/>
        <v>0</v>
      </c>
      <c r="AJ14" s="900">
        <f t="shared" si="50"/>
        <v>0</v>
      </c>
      <c r="AL14" s="49">
        <f>-'[4]Table 5C1F-Lake Charles Charter'!P13</f>
        <v>0</v>
      </c>
      <c r="AM14" s="49">
        <f t="shared" si="51"/>
        <v>0</v>
      </c>
      <c r="AN14" s="49">
        <f t="shared" si="52"/>
        <v>0</v>
      </c>
    </row>
    <row r="15" spans="1:40">
      <c r="A15" s="876">
        <v>8</v>
      </c>
      <c r="B15" s="877" t="s">
        <v>99</v>
      </c>
      <c r="C15" s="969">
        <f>'2-1-13 SIS'!M14</f>
        <v>0</v>
      </c>
      <c r="D15" s="878">
        <f>'Table 3 Levels 1&amp;2'!AL15</f>
        <v>4289.5073606712331</v>
      </c>
      <c r="E15" s="919">
        <f t="shared" si="30"/>
        <v>0</v>
      </c>
      <c r="F15" s="919">
        <f>'Table 4 Level 3'!P13</f>
        <v>725.76</v>
      </c>
      <c r="G15" s="919">
        <f t="shared" si="31"/>
        <v>0</v>
      </c>
      <c r="H15" s="898">
        <f t="shared" si="32"/>
        <v>0</v>
      </c>
      <c r="I15" s="1732">
        <f>+'[3]Oct midyear Lake Charles Chtr'!K14</f>
        <v>0</v>
      </c>
      <c r="J15" s="1732">
        <f>'[3]Feb midyear Lake Charles Ch'!K14</f>
        <v>0</v>
      </c>
      <c r="K15" s="1543">
        <f t="shared" si="33"/>
        <v>0</v>
      </c>
      <c r="L15" s="1485">
        <f t="shared" si="34"/>
        <v>0</v>
      </c>
      <c r="M15" s="929">
        <f t="shared" si="35"/>
        <v>0</v>
      </c>
      <c r="N15" s="898">
        <f t="shared" si="36"/>
        <v>0</v>
      </c>
      <c r="O15" s="878">
        <v>0</v>
      </c>
      <c r="P15" s="1550">
        <f t="shared" si="37"/>
        <v>0</v>
      </c>
      <c r="Q15" s="1719">
        <f>+'[4]Table 5C1F-Lake Charles Charter'!M14*8</f>
        <v>0</v>
      </c>
      <c r="R15" s="1732">
        <f t="shared" si="38"/>
        <v>0</v>
      </c>
      <c r="S15" s="1550">
        <f t="shared" si="39"/>
        <v>0</v>
      </c>
      <c r="T15" s="1802">
        <f>'Table 5C1A-Madison Prep'!T15</f>
        <v>3988</v>
      </c>
      <c r="U15" s="1555">
        <f t="shared" si="40"/>
        <v>0</v>
      </c>
      <c r="V15" s="1758">
        <f>+'[3]Oct midyear Lake Charles Chtr'!E14</f>
        <v>0</v>
      </c>
      <c r="W15" s="1759">
        <f t="shared" si="41"/>
        <v>0</v>
      </c>
      <c r="X15" s="1758">
        <f>'[3]Feb midyear Lake Charles Ch'!E14</f>
        <v>0</v>
      </c>
      <c r="Y15" s="1759">
        <f t="shared" si="42"/>
        <v>0</v>
      </c>
      <c r="Z15" s="1653">
        <f t="shared" si="43"/>
        <v>0</v>
      </c>
      <c r="AA15" s="1486">
        <f t="shared" si="44"/>
        <v>0</v>
      </c>
      <c r="AB15" s="937">
        <f t="shared" si="45"/>
        <v>0</v>
      </c>
      <c r="AC15" s="899">
        <f t="shared" si="46"/>
        <v>0</v>
      </c>
      <c r="AD15" s="1830">
        <v>0</v>
      </c>
      <c r="AE15" s="899">
        <f t="shared" si="47"/>
        <v>0</v>
      </c>
      <c r="AF15" s="1834">
        <f>+'[4]Table 5C1F-Lake Charles Charter'!T14*8</f>
        <v>0</v>
      </c>
      <c r="AG15" s="1834">
        <f t="shared" si="48"/>
        <v>0</v>
      </c>
      <c r="AH15" s="899">
        <f t="shared" si="49"/>
        <v>0</v>
      </c>
      <c r="AI15" s="900">
        <f t="shared" si="29"/>
        <v>0</v>
      </c>
      <c r="AJ15" s="900">
        <f t="shared" si="50"/>
        <v>0</v>
      </c>
      <c r="AL15" s="49">
        <f>-'[4]Table 5C1F-Lake Charles Charter'!P14</f>
        <v>0</v>
      </c>
      <c r="AM15" s="49">
        <f t="shared" si="51"/>
        <v>0</v>
      </c>
      <c r="AN15" s="49">
        <f t="shared" si="52"/>
        <v>0</v>
      </c>
    </row>
    <row r="16" spans="1:40">
      <c r="A16" s="876">
        <v>9</v>
      </c>
      <c r="B16" s="877" t="s">
        <v>100</v>
      </c>
      <c r="C16" s="969">
        <f>'2-1-13 SIS'!M15</f>
        <v>0</v>
      </c>
      <c r="D16" s="878">
        <f>'Table 3 Levels 1&amp;2'!AL16</f>
        <v>4395.6154516889328</v>
      </c>
      <c r="E16" s="919">
        <f t="shared" si="30"/>
        <v>0</v>
      </c>
      <c r="F16" s="919">
        <f>'Table 4 Level 3'!P14</f>
        <v>744.76</v>
      </c>
      <c r="G16" s="919">
        <f t="shared" si="31"/>
        <v>0</v>
      </c>
      <c r="H16" s="898">
        <f t="shared" si="32"/>
        <v>0</v>
      </c>
      <c r="I16" s="1732">
        <f>+'[3]Oct midyear Lake Charles Chtr'!K15</f>
        <v>0</v>
      </c>
      <c r="J16" s="1732">
        <f>'[3]Feb midyear Lake Charles Ch'!K15</f>
        <v>0</v>
      </c>
      <c r="K16" s="1543">
        <f t="shared" si="33"/>
        <v>0</v>
      </c>
      <c r="L16" s="1485">
        <f t="shared" si="34"/>
        <v>0</v>
      </c>
      <c r="M16" s="929">
        <f t="shared" si="35"/>
        <v>0</v>
      </c>
      <c r="N16" s="898">
        <f t="shared" si="36"/>
        <v>0</v>
      </c>
      <c r="O16" s="878">
        <v>0</v>
      </c>
      <c r="P16" s="1550">
        <f t="shared" si="37"/>
        <v>0</v>
      </c>
      <c r="Q16" s="1719">
        <f>+'[4]Table 5C1F-Lake Charles Charter'!M15*8</f>
        <v>0</v>
      </c>
      <c r="R16" s="1732">
        <f t="shared" si="38"/>
        <v>0</v>
      </c>
      <c r="S16" s="1550">
        <f t="shared" si="39"/>
        <v>0</v>
      </c>
      <c r="T16" s="1802">
        <f>'Table 5C1A-Madison Prep'!T16</f>
        <v>4677</v>
      </c>
      <c r="U16" s="1555">
        <f t="shared" si="40"/>
        <v>0</v>
      </c>
      <c r="V16" s="1758">
        <f>+'[3]Oct midyear Lake Charles Chtr'!E15</f>
        <v>0</v>
      </c>
      <c r="W16" s="1759">
        <f t="shared" si="41"/>
        <v>0</v>
      </c>
      <c r="X16" s="1758">
        <f>'[3]Feb midyear Lake Charles Ch'!E15</f>
        <v>0</v>
      </c>
      <c r="Y16" s="1759">
        <f t="shared" si="42"/>
        <v>0</v>
      </c>
      <c r="Z16" s="1653">
        <f t="shared" si="43"/>
        <v>0</v>
      </c>
      <c r="AA16" s="1486">
        <f t="shared" si="44"/>
        <v>0</v>
      </c>
      <c r="AB16" s="937">
        <f t="shared" si="45"/>
        <v>0</v>
      </c>
      <c r="AC16" s="899">
        <f t="shared" si="46"/>
        <v>0</v>
      </c>
      <c r="AD16" s="1830">
        <v>0</v>
      </c>
      <c r="AE16" s="899">
        <f t="shared" si="47"/>
        <v>0</v>
      </c>
      <c r="AF16" s="1834">
        <f>+'[4]Table 5C1F-Lake Charles Charter'!T15*8</f>
        <v>0</v>
      </c>
      <c r="AG16" s="1834">
        <f t="shared" si="48"/>
        <v>0</v>
      </c>
      <c r="AH16" s="899">
        <f t="shared" si="49"/>
        <v>0</v>
      </c>
      <c r="AI16" s="900">
        <f t="shared" si="29"/>
        <v>0</v>
      </c>
      <c r="AJ16" s="900">
        <f t="shared" si="50"/>
        <v>0</v>
      </c>
      <c r="AL16" s="49">
        <f>-'[4]Table 5C1F-Lake Charles Charter'!P15</f>
        <v>0</v>
      </c>
      <c r="AM16" s="49">
        <f t="shared" si="51"/>
        <v>0</v>
      </c>
      <c r="AN16" s="49">
        <f t="shared" si="52"/>
        <v>0</v>
      </c>
    </row>
    <row r="17" spans="1:40">
      <c r="A17" s="879">
        <v>10</v>
      </c>
      <c r="B17" s="880" t="s">
        <v>101</v>
      </c>
      <c r="C17" s="970">
        <f>'2-1-13 SIS'!M16</f>
        <v>755</v>
      </c>
      <c r="D17" s="881">
        <f>'Table 3 Levels 1&amp;2'!AL17</f>
        <v>4253.5980618992444</v>
      </c>
      <c r="E17" s="920">
        <f t="shared" si="30"/>
        <v>3211466.5367339295</v>
      </c>
      <c r="F17" s="920">
        <f>'Table 4 Level 3'!P15</f>
        <v>608.04000000000008</v>
      </c>
      <c r="G17" s="920">
        <f t="shared" si="31"/>
        <v>459070.20000000007</v>
      </c>
      <c r="H17" s="901">
        <f t="shared" si="32"/>
        <v>3670536.7367339297</v>
      </c>
      <c r="I17" s="1733">
        <f>+'[3]Oct midyear Lake Charles Chtr'!K16</f>
        <v>568811.65324221156</v>
      </c>
      <c r="J17" s="1733">
        <f>'[3]Feb midyear Lake Charles Ch'!K16</f>
        <v>-17015.733216647357</v>
      </c>
      <c r="K17" s="1544">
        <f t="shared" si="33"/>
        <v>551795.92002556415</v>
      </c>
      <c r="L17" s="1487">
        <f t="shared" si="34"/>
        <v>4222332.656759494</v>
      </c>
      <c r="M17" s="930">
        <f t="shared" si="35"/>
        <v>-10555.831641898736</v>
      </c>
      <c r="N17" s="901">
        <f t="shared" si="36"/>
        <v>4211776.8251175955</v>
      </c>
      <c r="O17" s="881">
        <v>0</v>
      </c>
      <c r="P17" s="1551">
        <f t="shared" si="37"/>
        <v>4211776.8251175955</v>
      </c>
      <c r="Q17" s="1720">
        <f>+'[4]Table 5C1F-Lake Charles Charter'!M16*8</f>
        <v>2440906.9299280634</v>
      </c>
      <c r="R17" s="1733">
        <f t="shared" si="38"/>
        <v>1770869.8951895321</v>
      </c>
      <c r="S17" s="1551">
        <f t="shared" si="39"/>
        <v>442717</v>
      </c>
      <c r="T17" s="1807">
        <f>'Table 5C1A-Madison Prep'!T17</f>
        <v>4502</v>
      </c>
      <c r="U17" s="1556">
        <f t="shared" si="40"/>
        <v>3399010</v>
      </c>
      <c r="V17" s="1762">
        <f>+'[3]Oct midyear Lake Charles Chtr'!E16</f>
        <v>117</v>
      </c>
      <c r="W17" s="1763">
        <f t="shared" si="41"/>
        <v>526734</v>
      </c>
      <c r="X17" s="1762">
        <f>'[3]Feb midyear Lake Charles Ch'!E16</f>
        <v>-7</v>
      </c>
      <c r="Y17" s="1763">
        <f t="shared" si="42"/>
        <v>-15757</v>
      </c>
      <c r="Z17" s="1654">
        <f t="shared" si="43"/>
        <v>510977</v>
      </c>
      <c r="AA17" s="1488">
        <f t="shared" si="44"/>
        <v>3909987</v>
      </c>
      <c r="AB17" s="938">
        <f t="shared" si="45"/>
        <v>-9774.9675000000007</v>
      </c>
      <c r="AC17" s="903">
        <f t="shared" si="46"/>
        <v>3900212.0325000002</v>
      </c>
      <c r="AD17" s="1831">
        <v>0</v>
      </c>
      <c r="AE17" s="903">
        <f t="shared" si="47"/>
        <v>3900212.0325000002</v>
      </c>
      <c r="AF17" s="1835">
        <f>+'[4]Table 5C1F-Lake Charles Charter'!T16*8</f>
        <v>2253312.6</v>
      </c>
      <c r="AG17" s="1835">
        <f t="shared" si="48"/>
        <v>1646899.4325000001</v>
      </c>
      <c r="AH17" s="903">
        <f t="shared" si="49"/>
        <v>411725</v>
      </c>
      <c r="AI17" s="904">
        <f t="shared" si="29"/>
        <v>8111988.8576175962</v>
      </c>
      <c r="AJ17" s="904">
        <f t="shared" si="50"/>
        <v>854442</v>
      </c>
      <c r="AL17" s="49">
        <f>-'[4]Table 5C1F-Lake Charles Charter'!P16</f>
        <v>8471.1</v>
      </c>
      <c r="AM17" s="49">
        <f t="shared" si="51"/>
        <v>-9774.9675000000007</v>
      </c>
      <c r="AN17" s="49">
        <f t="shared" si="52"/>
        <v>-1303.8675000000003</v>
      </c>
    </row>
    <row r="18" spans="1:40">
      <c r="A18" s="870">
        <v>11</v>
      </c>
      <c r="B18" s="871" t="s">
        <v>102</v>
      </c>
      <c r="C18" s="971">
        <f>'2-1-13 SIS'!M17</f>
        <v>0</v>
      </c>
      <c r="D18" s="872">
        <f>'Table 3 Levels 1&amp;2'!AL18</f>
        <v>6852.9138435383502</v>
      </c>
      <c r="E18" s="918">
        <f t="shared" si="30"/>
        <v>0</v>
      </c>
      <c r="F18" s="918">
        <f>'Table 4 Level 3'!P16</f>
        <v>706.55</v>
      </c>
      <c r="G18" s="918">
        <f t="shared" si="31"/>
        <v>0</v>
      </c>
      <c r="H18" s="873">
        <f t="shared" si="32"/>
        <v>0</v>
      </c>
      <c r="I18" s="1718">
        <f>+'[3]Oct midyear Lake Charles Chtr'!K17</f>
        <v>0</v>
      </c>
      <c r="J18" s="1718">
        <f>'[3]Feb midyear Lake Charles Ch'!K17</f>
        <v>0</v>
      </c>
      <c r="K18" s="1542">
        <f t="shared" si="33"/>
        <v>0</v>
      </c>
      <c r="L18" s="1520">
        <f t="shared" si="34"/>
        <v>0</v>
      </c>
      <c r="M18" s="928">
        <f t="shared" si="35"/>
        <v>0</v>
      </c>
      <c r="N18" s="873">
        <f t="shared" si="36"/>
        <v>0</v>
      </c>
      <c r="O18" s="872">
        <v>0</v>
      </c>
      <c r="P18" s="998">
        <f t="shared" si="37"/>
        <v>0</v>
      </c>
      <c r="Q18" s="1718">
        <f>+'[4]Table 5C1F-Lake Charles Charter'!M17*8</f>
        <v>0</v>
      </c>
      <c r="R18" s="1718">
        <f t="shared" si="38"/>
        <v>0</v>
      </c>
      <c r="S18" s="998">
        <f t="shared" si="39"/>
        <v>0</v>
      </c>
      <c r="T18" s="1802">
        <f>'Table 5C1A-Madison Prep'!T18</f>
        <v>3776</v>
      </c>
      <c r="U18" s="999">
        <f t="shared" si="40"/>
        <v>0</v>
      </c>
      <c r="V18" s="1754">
        <f>+'[3]Oct midyear Lake Charles Chtr'!E17</f>
        <v>0</v>
      </c>
      <c r="W18" s="1755">
        <f t="shared" si="41"/>
        <v>0</v>
      </c>
      <c r="X18" s="1754">
        <f>'[3]Feb midyear Lake Charles Ch'!E17</f>
        <v>0</v>
      </c>
      <c r="Y18" s="1755">
        <f t="shared" si="42"/>
        <v>0</v>
      </c>
      <c r="Z18" s="1652">
        <f t="shared" si="43"/>
        <v>0</v>
      </c>
      <c r="AA18" s="1521">
        <f t="shared" si="44"/>
        <v>0</v>
      </c>
      <c r="AB18" s="936">
        <f t="shared" si="45"/>
        <v>0</v>
      </c>
      <c r="AC18" s="874">
        <f t="shared" si="46"/>
        <v>0</v>
      </c>
      <c r="AD18" s="1829">
        <v>0</v>
      </c>
      <c r="AE18" s="874">
        <f t="shared" si="47"/>
        <v>0</v>
      </c>
      <c r="AF18" s="1829">
        <f>+'[4]Table 5C1F-Lake Charles Charter'!T17*8</f>
        <v>0</v>
      </c>
      <c r="AG18" s="1829">
        <f t="shared" si="48"/>
        <v>0</v>
      </c>
      <c r="AH18" s="874">
        <f t="shared" si="49"/>
        <v>0</v>
      </c>
      <c r="AI18" s="875">
        <f t="shared" si="29"/>
        <v>0</v>
      </c>
      <c r="AJ18" s="875">
        <f t="shared" si="50"/>
        <v>0</v>
      </c>
      <c r="AL18" s="49">
        <f>-'[4]Table 5C1F-Lake Charles Charter'!P17</f>
        <v>0</v>
      </c>
      <c r="AM18" s="49">
        <f t="shared" si="51"/>
        <v>0</v>
      </c>
      <c r="AN18" s="49">
        <f t="shared" si="52"/>
        <v>0</v>
      </c>
    </row>
    <row r="19" spans="1:40">
      <c r="A19" s="876">
        <v>12</v>
      </c>
      <c r="B19" s="877" t="s">
        <v>103</v>
      </c>
      <c r="C19" s="969">
        <f>'2-1-13 SIS'!M18</f>
        <v>0</v>
      </c>
      <c r="D19" s="878">
        <f>'Table 3 Levels 1&amp;2'!AL19</f>
        <v>1733.9056059356967</v>
      </c>
      <c r="E19" s="919">
        <f t="shared" si="30"/>
        <v>0</v>
      </c>
      <c r="F19" s="919">
        <f>'Table 4 Level 3'!P17</f>
        <v>1063.31</v>
      </c>
      <c r="G19" s="919">
        <f t="shared" si="31"/>
        <v>0</v>
      </c>
      <c r="H19" s="898">
        <f t="shared" si="32"/>
        <v>0</v>
      </c>
      <c r="I19" s="1732">
        <f>+'[3]Oct midyear Lake Charles Chtr'!K18</f>
        <v>0</v>
      </c>
      <c r="J19" s="1732">
        <f>'[3]Feb midyear Lake Charles Ch'!K18</f>
        <v>0</v>
      </c>
      <c r="K19" s="1543">
        <f t="shared" si="33"/>
        <v>0</v>
      </c>
      <c r="L19" s="1485">
        <f t="shared" si="34"/>
        <v>0</v>
      </c>
      <c r="M19" s="929">
        <f t="shared" si="35"/>
        <v>0</v>
      </c>
      <c r="N19" s="898">
        <f t="shared" si="36"/>
        <v>0</v>
      </c>
      <c r="O19" s="878">
        <v>0</v>
      </c>
      <c r="P19" s="1550">
        <f t="shared" si="37"/>
        <v>0</v>
      </c>
      <c r="Q19" s="1719">
        <f>+'[4]Table 5C1F-Lake Charles Charter'!M18*8</f>
        <v>0</v>
      </c>
      <c r="R19" s="1732">
        <f t="shared" si="38"/>
        <v>0</v>
      </c>
      <c r="S19" s="1550">
        <f t="shared" si="39"/>
        <v>0</v>
      </c>
      <c r="T19" s="1802">
        <f>'Table 5C1A-Madison Prep'!T19</f>
        <v>13312</v>
      </c>
      <c r="U19" s="1555">
        <f t="shared" si="40"/>
        <v>0</v>
      </c>
      <c r="V19" s="1758">
        <f>+'[3]Oct midyear Lake Charles Chtr'!E18</f>
        <v>0</v>
      </c>
      <c r="W19" s="1759">
        <f t="shared" si="41"/>
        <v>0</v>
      </c>
      <c r="X19" s="1758">
        <f>'[3]Feb midyear Lake Charles Ch'!E18</f>
        <v>0</v>
      </c>
      <c r="Y19" s="1759">
        <f t="shared" si="42"/>
        <v>0</v>
      </c>
      <c r="Z19" s="1653">
        <f t="shared" si="43"/>
        <v>0</v>
      </c>
      <c r="AA19" s="1486">
        <f t="shared" si="44"/>
        <v>0</v>
      </c>
      <c r="AB19" s="937">
        <f t="shared" si="45"/>
        <v>0</v>
      </c>
      <c r="AC19" s="899">
        <f t="shared" si="46"/>
        <v>0</v>
      </c>
      <c r="AD19" s="1830">
        <v>0</v>
      </c>
      <c r="AE19" s="899">
        <f t="shared" si="47"/>
        <v>0</v>
      </c>
      <c r="AF19" s="1834">
        <f>+'[4]Table 5C1F-Lake Charles Charter'!T18*8</f>
        <v>0</v>
      </c>
      <c r="AG19" s="1834">
        <f t="shared" si="48"/>
        <v>0</v>
      </c>
      <c r="AH19" s="899">
        <f t="shared" si="49"/>
        <v>0</v>
      </c>
      <c r="AI19" s="900">
        <f t="shared" si="29"/>
        <v>0</v>
      </c>
      <c r="AJ19" s="900">
        <f t="shared" si="50"/>
        <v>0</v>
      </c>
      <c r="AL19" s="49">
        <f>-'[4]Table 5C1F-Lake Charles Charter'!P18</f>
        <v>0</v>
      </c>
      <c r="AM19" s="49">
        <f t="shared" si="51"/>
        <v>0</v>
      </c>
      <c r="AN19" s="49">
        <f t="shared" si="52"/>
        <v>0</v>
      </c>
    </row>
    <row r="20" spans="1:40">
      <c r="A20" s="876">
        <v>13</v>
      </c>
      <c r="B20" s="877" t="s">
        <v>104</v>
      </c>
      <c r="C20" s="969">
        <f>'2-1-13 SIS'!M19</f>
        <v>0</v>
      </c>
      <c r="D20" s="878">
        <f>'Table 3 Levels 1&amp;2'!AL20</f>
        <v>6254.1238637730876</v>
      </c>
      <c r="E20" s="919">
        <f t="shared" si="30"/>
        <v>0</v>
      </c>
      <c r="F20" s="919">
        <f>'Table 4 Level 3'!P18</f>
        <v>749.43000000000006</v>
      </c>
      <c r="G20" s="919">
        <f t="shared" si="31"/>
        <v>0</v>
      </c>
      <c r="H20" s="898">
        <f t="shared" si="32"/>
        <v>0</v>
      </c>
      <c r="I20" s="1732">
        <f>+'[3]Oct midyear Lake Charles Chtr'!K19</f>
        <v>0</v>
      </c>
      <c r="J20" s="1732">
        <f>'[3]Feb midyear Lake Charles Ch'!K19</f>
        <v>0</v>
      </c>
      <c r="K20" s="1543">
        <f t="shared" si="33"/>
        <v>0</v>
      </c>
      <c r="L20" s="1485">
        <f t="shared" si="34"/>
        <v>0</v>
      </c>
      <c r="M20" s="929">
        <f t="shared" si="35"/>
        <v>0</v>
      </c>
      <c r="N20" s="898">
        <f t="shared" si="36"/>
        <v>0</v>
      </c>
      <c r="O20" s="878">
        <v>0</v>
      </c>
      <c r="P20" s="1550">
        <f t="shared" si="37"/>
        <v>0</v>
      </c>
      <c r="Q20" s="1719">
        <f>+'[4]Table 5C1F-Lake Charles Charter'!M19*8</f>
        <v>0</v>
      </c>
      <c r="R20" s="1732">
        <f t="shared" si="38"/>
        <v>0</v>
      </c>
      <c r="S20" s="1550">
        <f t="shared" si="39"/>
        <v>0</v>
      </c>
      <c r="T20" s="1802">
        <f>'Table 5C1A-Madison Prep'!T20</f>
        <v>2671</v>
      </c>
      <c r="U20" s="1555">
        <f t="shared" si="40"/>
        <v>0</v>
      </c>
      <c r="V20" s="1758">
        <f>+'[3]Oct midyear Lake Charles Chtr'!E19</f>
        <v>0</v>
      </c>
      <c r="W20" s="1759">
        <f t="shared" si="41"/>
        <v>0</v>
      </c>
      <c r="X20" s="1758">
        <f>'[3]Feb midyear Lake Charles Ch'!E19</f>
        <v>0</v>
      </c>
      <c r="Y20" s="1759">
        <f t="shared" si="42"/>
        <v>0</v>
      </c>
      <c r="Z20" s="1653">
        <f t="shared" si="43"/>
        <v>0</v>
      </c>
      <c r="AA20" s="1486">
        <f t="shared" si="44"/>
        <v>0</v>
      </c>
      <c r="AB20" s="937">
        <f t="shared" si="45"/>
        <v>0</v>
      </c>
      <c r="AC20" s="899">
        <f t="shared" si="46"/>
        <v>0</v>
      </c>
      <c r="AD20" s="1830">
        <v>0</v>
      </c>
      <c r="AE20" s="899">
        <f t="shared" si="47"/>
        <v>0</v>
      </c>
      <c r="AF20" s="1834">
        <f>+'[4]Table 5C1F-Lake Charles Charter'!T19*8</f>
        <v>0</v>
      </c>
      <c r="AG20" s="1834">
        <f t="shared" si="48"/>
        <v>0</v>
      </c>
      <c r="AH20" s="899">
        <f t="shared" si="49"/>
        <v>0</v>
      </c>
      <c r="AI20" s="900">
        <f t="shared" si="29"/>
        <v>0</v>
      </c>
      <c r="AJ20" s="900">
        <f t="shared" si="50"/>
        <v>0</v>
      </c>
      <c r="AL20" s="49">
        <f>-'[4]Table 5C1F-Lake Charles Charter'!P19</f>
        <v>0</v>
      </c>
      <c r="AM20" s="49">
        <f t="shared" si="51"/>
        <v>0</v>
      </c>
      <c r="AN20" s="49">
        <f t="shared" si="52"/>
        <v>0</v>
      </c>
    </row>
    <row r="21" spans="1:40">
      <c r="A21" s="876">
        <v>14</v>
      </c>
      <c r="B21" s="877" t="s">
        <v>105</v>
      </c>
      <c r="C21" s="969">
        <f>'2-1-13 SIS'!M20</f>
        <v>0</v>
      </c>
      <c r="D21" s="878">
        <f>'Table 3 Levels 1&amp;2'!AL21</f>
        <v>5377.9187438545459</v>
      </c>
      <c r="E21" s="919">
        <f t="shared" si="30"/>
        <v>0</v>
      </c>
      <c r="F21" s="919">
        <f>'Table 4 Level 3'!P19</f>
        <v>809.9799999999999</v>
      </c>
      <c r="G21" s="919">
        <f t="shared" si="31"/>
        <v>0</v>
      </c>
      <c r="H21" s="898">
        <f t="shared" si="32"/>
        <v>0</v>
      </c>
      <c r="I21" s="1732">
        <f>+'[3]Oct midyear Lake Charles Chtr'!K20</f>
        <v>0</v>
      </c>
      <c r="J21" s="1732">
        <f>'[3]Feb midyear Lake Charles Ch'!K20</f>
        <v>0</v>
      </c>
      <c r="K21" s="1543">
        <f t="shared" si="33"/>
        <v>0</v>
      </c>
      <c r="L21" s="1485">
        <f t="shared" si="34"/>
        <v>0</v>
      </c>
      <c r="M21" s="929">
        <f t="shared" si="35"/>
        <v>0</v>
      </c>
      <c r="N21" s="898">
        <f t="shared" si="36"/>
        <v>0</v>
      </c>
      <c r="O21" s="878">
        <v>0</v>
      </c>
      <c r="P21" s="1550">
        <f t="shared" si="37"/>
        <v>0</v>
      </c>
      <c r="Q21" s="1719">
        <f>+'[4]Table 5C1F-Lake Charles Charter'!M20*8</f>
        <v>0</v>
      </c>
      <c r="R21" s="1732">
        <f t="shared" si="38"/>
        <v>0</v>
      </c>
      <c r="S21" s="1550">
        <f t="shared" si="39"/>
        <v>0</v>
      </c>
      <c r="T21" s="1802">
        <f>'Table 5C1A-Madison Prep'!T21</f>
        <v>4439</v>
      </c>
      <c r="U21" s="1555">
        <f t="shared" si="40"/>
        <v>0</v>
      </c>
      <c r="V21" s="1758">
        <f>+'[3]Oct midyear Lake Charles Chtr'!E20</f>
        <v>0</v>
      </c>
      <c r="W21" s="1759">
        <f t="shared" si="41"/>
        <v>0</v>
      </c>
      <c r="X21" s="1758">
        <f>'[3]Feb midyear Lake Charles Ch'!E20</f>
        <v>0</v>
      </c>
      <c r="Y21" s="1759">
        <f t="shared" si="42"/>
        <v>0</v>
      </c>
      <c r="Z21" s="1653">
        <f t="shared" si="43"/>
        <v>0</v>
      </c>
      <c r="AA21" s="1486">
        <f t="shared" si="44"/>
        <v>0</v>
      </c>
      <c r="AB21" s="937">
        <f t="shared" si="45"/>
        <v>0</v>
      </c>
      <c r="AC21" s="899">
        <f t="shared" si="46"/>
        <v>0</v>
      </c>
      <c r="AD21" s="1830">
        <v>0</v>
      </c>
      <c r="AE21" s="899">
        <f t="shared" si="47"/>
        <v>0</v>
      </c>
      <c r="AF21" s="1834">
        <f>+'[4]Table 5C1F-Lake Charles Charter'!T20*8</f>
        <v>0</v>
      </c>
      <c r="AG21" s="1834">
        <f t="shared" si="48"/>
        <v>0</v>
      </c>
      <c r="AH21" s="899">
        <f t="shared" si="49"/>
        <v>0</v>
      </c>
      <c r="AI21" s="900">
        <f t="shared" si="29"/>
        <v>0</v>
      </c>
      <c r="AJ21" s="900">
        <f t="shared" si="50"/>
        <v>0</v>
      </c>
      <c r="AL21" s="49">
        <f>-'[4]Table 5C1F-Lake Charles Charter'!P20</f>
        <v>0</v>
      </c>
      <c r="AM21" s="49">
        <f t="shared" si="51"/>
        <v>0</v>
      </c>
      <c r="AN21" s="49">
        <f t="shared" si="52"/>
        <v>0</v>
      </c>
    </row>
    <row r="22" spans="1:40">
      <c r="A22" s="879">
        <v>15</v>
      </c>
      <c r="B22" s="880" t="s">
        <v>106</v>
      </c>
      <c r="C22" s="970">
        <f>'2-1-13 SIS'!M21</f>
        <v>0</v>
      </c>
      <c r="D22" s="881">
        <f>'Table 3 Levels 1&amp;2'!AL22</f>
        <v>5527.7651197617861</v>
      </c>
      <c r="E22" s="920">
        <f t="shared" si="30"/>
        <v>0</v>
      </c>
      <c r="F22" s="920">
        <f>'Table 4 Level 3'!P20</f>
        <v>553.79999999999995</v>
      </c>
      <c r="G22" s="920">
        <f t="shared" si="31"/>
        <v>0</v>
      </c>
      <c r="H22" s="901">
        <f t="shared" si="32"/>
        <v>0</v>
      </c>
      <c r="I22" s="1733">
        <f>+'[3]Oct midyear Lake Charles Chtr'!K21</f>
        <v>0</v>
      </c>
      <c r="J22" s="1733">
        <f>'[3]Feb midyear Lake Charles Ch'!K21</f>
        <v>0</v>
      </c>
      <c r="K22" s="1544">
        <f t="shared" si="33"/>
        <v>0</v>
      </c>
      <c r="L22" s="1487">
        <f t="shared" si="34"/>
        <v>0</v>
      </c>
      <c r="M22" s="930">
        <f t="shared" si="35"/>
        <v>0</v>
      </c>
      <c r="N22" s="901">
        <f t="shared" si="36"/>
        <v>0</v>
      </c>
      <c r="O22" s="881">
        <v>0</v>
      </c>
      <c r="P22" s="1551">
        <f t="shared" si="37"/>
        <v>0</v>
      </c>
      <c r="Q22" s="1720">
        <f>+'[4]Table 5C1F-Lake Charles Charter'!M21*8</f>
        <v>0</v>
      </c>
      <c r="R22" s="1733">
        <f t="shared" si="38"/>
        <v>0</v>
      </c>
      <c r="S22" s="1551">
        <f t="shared" si="39"/>
        <v>0</v>
      </c>
      <c r="T22" s="1807">
        <f>'Table 5C1A-Madison Prep'!T22</f>
        <v>2800</v>
      </c>
      <c r="U22" s="1556">
        <f t="shared" si="40"/>
        <v>0</v>
      </c>
      <c r="V22" s="1762">
        <f>+'[3]Oct midyear Lake Charles Chtr'!E21</f>
        <v>0</v>
      </c>
      <c r="W22" s="1763">
        <f t="shared" si="41"/>
        <v>0</v>
      </c>
      <c r="X22" s="1762">
        <f>'[3]Feb midyear Lake Charles Ch'!E21</f>
        <v>0</v>
      </c>
      <c r="Y22" s="1763">
        <f t="shared" si="42"/>
        <v>0</v>
      </c>
      <c r="Z22" s="1654">
        <f t="shared" si="43"/>
        <v>0</v>
      </c>
      <c r="AA22" s="1488">
        <f t="shared" si="44"/>
        <v>0</v>
      </c>
      <c r="AB22" s="938">
        <f t="shared" si="45"/>
        <v>0</v>
      </c>
      <c r="AC22" s="903">
        <f t="shared" si="46"/>
        <v>0</v>
      </c>
      <c r="AD22" s="1831">
        <v>0</v>
      </c>
      <c r="AE22" s="903">
        <f t="shared" si="47"/>
        <v>0</v>
      </c>
      <c r="AF22" s="1835">
        <f>+'[4]Table 5C1F-Lake Charles Charter'!T21*8</f>
        <v>0</v>
      </c>
      <c r="AG22" s="1835">
        <f t="shared" si="48"/>
        <v>0</v>
      </c>
      <c r="AH22" s="903">
        <f t="shared" si="49"/>
        <v>0</v>
      </c>
      <c r="AI22" s="904">
        <f t="shared" si="29"/>
        <v>0</v>
      </c>
      <c r="AJ22" s="904">
        <f t="shared" si="50"/>
        <v>0</v>
      </c>
      <c r="AL22" s="49">
        <f>-'[4]Table 5C1F-Lake Charles Charter'!P21</f>
        <v>0</v>
      </c>
      <c r="AM22" s="49">
        <f t="shared" si="51"/>
        <v>0</v>
      </c>
      <c r="AN22" s="49">
        <f t="shared" si="52"/>
        <v>0</v>
      </c>
    </row>
    <row r="23" spans="1:40">
      <c r="A23" s="870">
        <v>16</v>
      </c>
      <c r="B23" s="871" t="s">
        <v>107</v>
      </c>
      <c r="C23" s="971">
        <f>'2-1-13 SIS'!M22</f>
        <v>0</v>
      </c>
      <c r="D23" s="872">
        <f>'Table 3 Levels 1&amp;2'!AL23</f>
        <v>1530.3678845377474</v>
      </c>
      <c r="E23" s="918">
        <f t="shared" si="30"/>
        <v>0</v>
      </c>
      <c r="F23" s="918">
        <f>'Table 4 Level 3'!P21</f>
        <v>686.73</v>
      </c>
      <c r="G23" s="918">
        <f t="shared" si="31"/>
        <v>0</v>
      </c>
      <c r="H23" s="873">
        <f t="shared" si="32"/>
        <v>0</v>
      </c>
      <c r="I23" s="1718">
        <f>+'[3]Oct midyear Lake Charles Chtr'!K22</f>
        <v>0</v>
      </c>
      <c r="J23" s="1718">
        <f>'[3]Feb midyear Lake Charles Ch'!K22</f>
        <v>0</v>
      </c>
      <c r="K23" s="1542">
        <f t="shared" si="33"/>
        <v>0</v>
      </c>
      <c r="L23" s="1520">
        <f t="shared" si="34"/>
        <v>0</v>
      </c>
      <c r="M23" s="928">
        <f t="shared" si="35"/>
        <v>0</v>
      </c>
      <c r="N23" s="873">
        <f t="shared" si="36"/>
        <v>0</v>
      </c>
      <c r="O23" s="872">
        <v>0</v>
      </c>
      <c r="P23" s="998">
        <f t="shared" si="37"/>
        <v>0</v>
      </c>
      <c r="Q23" s="1718">
        <f>+'[4]Table 5C1F-Lake Charles Charter'!M22*8</f>
        <v>0</v>
      </c>
      <c r="R23" s="1718">
        <f t="shared" si="38"/>
        <v>0</v>
      </c>
      <c r="S23" s="998">
        <f t="shared" si="39"/>
        <v>0</v>
      </c>
      <c r="T23" s="1802">
        <f>'Table 5C1A-Madison Prep'!T23</f>
        <v>12312</v>
      </c>
      <c r="U23" s="999">
        <f t="shared" si="40"/>
        <v>0</v>
      </c>
      <c r="V23" s="1754">
        <f>+'[3]Oct midyear Lake Charles Chtr'!E22</f>
        <v>0</v>
      </c>
      <c r="W23" s="1755">
        <f t="shared" si="41"/>
        <v>0</v>
      </c>
      <c r="X23" s="1754">
        <f>'[3]Feb midyear Lake Charles Ch'!E22</f>
        <v>0</v>
      </c>
      <c r="Y23" s="1755">
        <f t="shared" si="42"/>
        <v>0</v>
      </c>
      <c r="Z23" s="1652">
        <f t="shared" si="43"/>
        <v>0</v>
      </c>
      <c r="AA23" s="1521">
        <f t="shared" si="44"/>
        <v>0</v>
      </c>
      <c r="AB23" s="936">
        <f t="shared" si="45"/>
        <v>0</v>
      </c>
      <c r="AC23" s="874">
        <f t="shared" si="46"/>
        <v>0</v>
      </c>
      <c r="AD23" s="1829">
        <v>0</v>
      </c>
      <c r="AE23" s="874">
        <f t="shared" si="47"/>
        <v>0</v>
      </c>
      <c r="AF23" s="1829">
        <f>+'[4]Table 5C1F-Lake Charles Charter'!T22*8</f>
        <v>0</v>
      </c>
      <c r="AG23" s="1829">
        <f t="shared" si="48"/>
        <v>0</v>
      </c>
      <c r="AH23" s="874">
        <f t="shared" si="49"/>
        <v>0</v>
      </c>
      <c r="AI23" s="875">
        <f t="shared" si="29"/>
        <v>0</v>
      </c>
      <c r="AJ23" s="875">
        <f t="shared" si="50"/>
        <v>0</v>
      </c>
      <c r="AL23" s="49">
        <f>-'[4]Table 5C1F-Lake Charles Charter'!P22</f>
        <v>0</v>
      </c>
      <c r="AM23" s="49">
        <f t="shared" si="51"/>
        <v>0</v>
      </c>
      <c r="AN23" s="49">
        <f t="shared" si="52"/>
        <v>0</v>
      </c>
    </row>
    <row r="24" spans="1:40">
      <c r="A24" s="876">
        <v>17</v>
      </c>
      <c r="B24" s="877" t="s">
        <v>108</v>
      </c>
      <c r="C24" s="969">
        <f>'2-1-13 SIS'!M23</f>
        <v>0</v>
      </c>
      <c r="D24" s="878">
        <f>'Table 3 Levels 1&amp;2'!AL24</f>
        <v>3313.0666313017805</v>
      </c>
      <c r="E24" s="919">
        <f t="shared" si="30"/>
        <v>0</v>
      </c>
      <c r="F24" s="919">
        <f>'Table 5B2_RSD_LA'!F7</f>
        <v>801.47762416806802</v>
      </c>
      <c r="G24" s="919">
        <f t="shared" si="31"/>
        <v>0</v>
      </c>
      <c r="H24" s="898">
        <f t="shared" si="32"/>
        <v>0</v>
      </c>
      <c r="I24" s="1732">
        <f>+'[3]Oct midyear Lake Charles Chtr'!K23</f>
        <v>0</v>
      </c>
      <c r="J24" s="1732">
        <f>'[3]Feb midyear Lake Charles Ch'!K23</f>
        <v>0</v>
      </c>
      <c r="K24" s="1543">
        <f t="shared" si="33"/>
        <v>0</v>
      </c>
      <c r="L24" s="1485">
        <f t="shared" si="34"/>
        <v>0</v>
      </c>
      <c r="M24" s="929">
        <f t="shared" si="35"/>
        <v>0</v>
      </c>
      <c r="N24" s="898">
        <f t="shared" si="36"/>
        <v>0</v>
      </c>
      <c r="O24" s="878">
        <v>0</v>
      </c>
      <c r="P24" s="1550">
        <f t="shared" si="37"/>
        <v>0</v>
      </c>
      <c r="Q24" s="1719">
        <f>+'[4]Table 5C1F-Lake Charles Charter'!M23*8</f>
        <v>0</v>
      </c>
      <c r="R24" s="1732">
        <f t="shared" si="38"/>
        <v>0</v>
      </c>
      <c r="S24" s="1550">
        <f t="shared" si="39"/>
        <v>0</v>
      </c>
      <c r="T24" s="1802">
        <f>'Table 5C1A-Madison Prep'!T24</f>
        <v>6866</v>
      </c>
      <c r="U24" s="1555">
        <f t="shared" si="40"/>
        <v>0</v>
      </c>
      <c r="V24" s="1758">
        <f>+'[3]Oct midyear Lake Charles Chtr'!E23</f>
        <v>0</v>
      </c>
      <c r="W24" s="1759">
        <f t="shared" si="41"/>
        <v>0</v>
      </c>
      <c r="X24" s="1758">
        <f>'[3]Feb midyear Lake Charles Ch'!E23</f>
        <v>0</v>
      </c>
      <c r="Y24" s="1759">
        <f t="shared" si="42"/>
        <v>0</v>
      </c>
      <c r="Z24" s="1653">
        <f t="shared" si="43"/>
        <v>0</v>
      </c>
      <c r="AA24" s="1486">
        <f t="shared" si="44"/>
        <v>0</v>
      </c>
      <c r="AB24" s="937">
        <f t="shared" si="45"/>
        <v>0</v>
      </c>
      <c r="AC24" s="899">
        <f t="shared" si="46"/>
        <v>0</v>
      </c>
      <c r="AD24" s="1830">
        <v>0</v>
      </c>
      <c r="AE24" s="899">
        <f t="shared" si="47"/>
        <v>0</v>
      </c>
      <c r="AF24" s="1834">
        <f>+'[4]Table 5C1F-Lake Charles Charter'!T23*8</f>
        <v>0</v>
      </c>
      <c r="AG24" s="1834">
        <f t="shared" si="48"/>
        <v>0</v>
      </c>
      <c r="AH24" s="899">
        <f t="shared" si="49"/>
        <v>0</v>
      </c>
      <c r="AI24" s="900">
        <f t="shared" si="29"/>
        <v>0</v>
      </c>
      <c r="AJ24" s="900">
        <f t="shared" si="50"/>
        <v>0</v>
      </c>
      <c r="AL24" s="49">
        <f>-'[4]Table 5C1F-Lake Charles Charter'!P23</f>
        <v>0</v>
      </c>
      <c r="AM24" s="49">
        <f t="shared" si="51"/>
        <v>0</v>
      </c>
      <c r="AN24" s="49">
        <f t="shared" si="52"/>
        <v>0</v>
      </c>
    </row>
    <row r="25" spans="1:40">
      <c r="A25" s="876">
        <v>18</v>
      </c>
      <c r="B25" s="877" t="s">
        <v>109</v>
      </c>
      <c r="C25" s="969">
        <f>'2-1-13 SIS'!M24</f>
        <v>0</v>
      </c>
      <c r="D25" s="878">
        <f>'Table 3 Levels 1&amp;2'!AL25</f>
        <v>5989.1351892854573</v>
      </c>
      <c r="E25" s="919">
        <f t="shared" si="30"/>
        <v>0</v>
      </c>
      <c r="F25" s="919">
        <f>'Table 4 Level 3'!P23</f>
        <v>845.94999999999993</v>
      </c>
      <c r="G25" s="919">
        <f t="shared" si="31"/>
        <v>0</v>
      </c>
      <c r="H25" s="898">
        <f t="shared" si="32"/>
        <v>0</v>
      </c>
      <c r="I25" s="1732">
        <f>+'[3]Oct midyear Lake Charles Chtr'!K24</f>
        <v>0</v>
      </c>
      <c r="J25" s="1732">
        <f>'[3]Feb midyear Lake Charles Ch'!K24</f>
        <v>0</v>
      </c>
      <c r="K25" s="1543">
        <f t="shared" si="33"/>
        <v>0</v>
      </c>
      <c r="L25" s="1485">
        <f t="shared" si="34"/>
        <v>0</v>
      </c>
      <c r="M25" s="929">
        <f t="shared" si="35"/>
        <v>0</v>
      </c>
      <c r="N25" s="898">
        <f t="shared" si="36"/>
        <v>0</v>
      </c>
      <c r="O25" s="878">
        <v>0</v>
      </c>
      <c r="P25" s="1550">
        <f t="shared" si="37"/>
        <v>0</v>
      </c>
      <c r="Q25" s="1719">
        <f>+'[4]Table 5C1F-Lake Charles Charter'!M24*8</f>
        <v>0</v>
      </c>
      <c r="R25" s="1732">
        <f t="shared" si="38"/>
        <v>0</v>
      </c>
      <c r="S25" s="1550">
        <f t="shared" si="39"/>
        <v>0</v>
      </c>
      <c r="T25" s="1802">
        <f>'Table 5C1A-Madison Prep'!T25</f>
        <v>3071</v>
      </c>
      <c r="U25" s="1555">
        <f t="shared" si="40"/>
        <v>0</v>
      </c>
      <c r="V25" s="1758">
        <f>+'[3]Oct midyear Lake Charles Chtr'!E24</f>
        <v>0</v>
      </c>
      <c r="W25" s="1759">
        <f t="shared" si="41"/>
        <v>0</v>
      </c>
      <c r="X25" s="1758">
        <f>'[3]Feb midyear Lake Charles Ch'!E24</f>
        <v>0</v>
      </c>
      <c r="Y25" s="1759">
        <f t="shared" si="42"/>
        <v>0</v>
      </c>
      <c r="Z25" s="1653">
        <f t="shared" si="43"/>
        <v>0</v>
      </c>
      <c r="AA25" s="1486">
        <f t="shared" si="44"/>
        <v>0</v>
      </c>
      <c r="AB25" s="937">
        <f t="shared" si="45"/>
        <v>0</v>
      </c>
      <c r="AC25" s="899">
        <f t="shared" si="46"/>
        <v>0</v>
      </c>
      <c r="AD25" s="1830">
        <v>0</v>
      </c>
      <c r="AE25" s="899">
        <f t="shared" si="47"/>
        <v>0</v>
      </c>
      <c r="AF25" s="1834">
        <f>+'[4]Table 5C1F-Lake Charles Charter'!T24*8</f>
        <v>0</v>
      </c>
      <c r="AG25" s="1834">
        <f t="shared" si="48"/>
        <v>0</v>
      </c>
      <c r="AH25" s="899">
        <f t="shared" si="49"/>
        <v>0</v>
      </c>
      <c r="AI25" s="900">
        <f t="shared" si="29"/>
        <v>0</v>
      </c>
      <c r="AJ25" s="900">
        <f t="shared" si="50"/>
        <v>0</v>
      </c>
      <c r="AL25" s="49">
        <f>-'[4]Table 5C1F-Lake Charles Charter'!P24</f>
        <v>0</v>
      </c>
      <c r="AM25" s="49">
        <f t="shared" si="51"/>
        <v>0</v>
      </c>
      <c r="AN25" s="49">
        <f t="shared" si="52"/>
        <v>0</v>
      </c>
    </row>
    <row r="26" spans="1:40">
      <c r="A26" s="876">
        <v>19</v>
      </c>
      <c r="B26" s="877" t="s">
        <v>110</v>
      </c>
      <c r="C26" s="969">
        <f>'2-1-13 SIS'!M25</f>
        <v>0</v>
      </c>
      <c r="D26" s="878">
        <f>'Table 3 Levels 1&amp;2'!AL26</f>
        <v>5315.8913399708035</v>
      </c>
      <c r="E26" s="919">
        <f t="shared" si="30"/>
        <v>0</v>
      </c>
      <c r="F26" s="919">
        <f>'Table 4 Level 3'!P24</f>
        <v>905.43</v>
      </c>
      <c r="G26" s="919">
        <f t="shared" si="31"/>
        <v>0</v>
      </c>
      <c r="H26" s="898">
        <f t="shared" si="32"/>
        <v>0</v>
      </c>
      <c r="I26" s="1732">
        <f>+'[3]Oct midyear Lake Charles Chtr'!K25</f>
        <v>0</v>
      </c>
      <c r="J26" s="1732">
        <f>'[3]Feb midyear Lake Charles Ch'!K25</f>
        <v>0</v>
      </c>
      <c r="K26" s="1543">
        <f t="shared" si="33"/>
        <v>0</v>
      </c>
      <c r="L26" s="1485">
        <f t="shared" si="34"/>
        <v>0</v>
      </c>
      <c r="M26" s="929">
        <f t="shared" si="35"/>
        <v>0</v>
      </c>
      <c r="N26" s="898">
        <f t="shared" si="36"/>
        <v>0</v>
      </c>
      <c r="O26" s="878">
        <v>0</v>
      </c>
      <c r="P26" s="1550">
        <f t="shared" si="37"/>
        <v>0</v>
      </c>
      <c r="Q26" s="1719">
        <f>+'[4]Table 5C1F-Lake Charles Charter'!M25*8</f>
        <v>0</v>
      </c>
      <c r="R26" s="1732">
        <f t="shared" si="38"/>
        <v>0</v>
      </c>
      <c r="S26" s="1550">
        <f t="shared" si="39"/>
        <v>0</v>
      </c>
      <c r="T26" s="1802">
        <f>'Table 5C1A-Madison Prep'!T26</f>
        <v>2566</v>
      </c>
      <c r="U26" s="1555">
        <f t="shared" si="40"/>
        <v>0</v>
      </c>
      <c r="V26" s="1758">
        <f>+'[3]Oct midyear Lake Charles Chtr'!E25</f>
        <v>0</v>
      </c>
      <c r="W26" s="1759">
        <f t="shared" si="41"/>
        <v>0</v>
      </c>
      <c r="X26" s="1758">
        <f>'[3]Feb midyear Lake Charles Ch'!E25</f>
        <v>0</v>
      </c>
      <c r="Y26" s="1759">
        <f t="shared" si="42"/>
        <v>0</v>
      </c>
      <c r="Z26" s="1653">
        <f t="shared" si="43"/>
        <v>0</v>
      </c>
      <c r="AA26" s="1486">
        <f t="shared" si="44"/>
        <v>0</v>
      </c>
      <c r="AB26" s="937">
        <f t="shared" si="45"/>
        <v>0</v>
      </c>
      <c r="AC26" s="899">
        <f t="shared" si="46"/>
        <v>0</v>
      </c>
      <c r="AD26" s="1830">
        <v>0</v>
      </c>
      <c r="AE26" s="899">
        <f t="shared" si="47"/>
        <v>0</v>
      </c>
      <c r="AF26" s="1834">
        <f>+'[4]Table 5C1F-Lake Charles Charter'!T25*8</f>
        <v>0</v>
      </c>
      <c r="AG26" s="1834">
        <f t="shared" si="48"/>
        <v>0</v>
      </c>
      <c r="AH26" s="899">
        <f t="shared" si="49"/>
        <v>0</v>
      </c>
      <c r="AI26" s="900">
        <f t="shared" si="29"/>
        <v>0</v>
      </c>
      <c r="AJ26" s="900">
        <f t="shared" si="50"/>
        <v>0</v>
      </c>
      <c r="AL26" s="49">
        <f>-'[4]Table 5C1F-Lake Charles Charter'!P25</f>
        <v>0</v>
      </c>
      <c r="AM26" s="49">
        <f t="shared" si="51"/>
        <v>0</v>
      </c>
      <c r="AN26" s="49">
        <f t="shared" si="52"/>
        <v>0</v>
      </c>
    </row>
    <row r="27" spans="1:40">
      <c r="A27" s="879">
        <v>20</v>
      </c>
      <c r="B27" s="880" t="s">
        <v>111</v>
      </c>
      <c r="C27" s="970">
        <f>'2-1-13 SIS'!M26</f>
        <v>0</v>
      </c>
      <c r="D27" s="881">
        <f>'Table 3 Levels 1&amp;2'!AL27</f>
        <v>5420.2042919205833</v>
      </c>
      <c r="E27" s="920">
        <f t="shared" si="30"/>
        <v>0</v>
      </c>
      <c r="F27" s="920">
        <f>'Table 4 Level 3'!P25</f>
        <v>586.16999999999996</v>
      </c>
      <c r="G27" s="920">
        <f t="shared" si="31"/>
        <v>0</v>
      </c>
      <c r="H27" s="901">
        <f t="shared" si="32"/>
        <v>0</v>
      </c>
      <c r="I27" s="1733">
        <f>+'[3]Oct midyear Lake Charles Chtr'!K26</f>
        <v>0</v>
      </c>
      <c r="J27" s="1733">
        <f>'[3]Feb midyear Lake Charles Ch'!K26</f>
        <v>0</v>
      </c>
      <c r="K27" s="1544">
        <f t="shared" si="33"/>
        <v>0</v>
      </c>
      <c r="L27" s="1487">
        <f t="shared" si="34"/>
        <v>0</v>
      </c>
      <c r="M27" s="930">
        <f t="shared" si="35"/>
        <v>0</v>
      </c>
      <c r="N27" s="901">
        <f t="shared" si="36"/>
        <v>0</v>
      </c>
      <c r="O27" s="881">
        <v>0</v>
      </c>
      <c r="P27" s="1551">
        <f t="shared" si="37"/>
        <v>0</v>
      </c>
      <c r="Q27" s="1720">
        <f>+'[4]Table 5C1F-Lake Charles Charter'!M26*8</f>
        <v>0</v>
      </c>
      <c r="R27" s="1733">
        <f t="shared" si="38"/>
        <v>0</v>
      </c>
      <c r="S27" s="1551">
        <f t="shared" si="39"/>
        <v>0</v>
      </c>
      <c r="T27" s="1807">
        <f>'Table 5C1A-Madison Prep'!T27</f>
        <v>2621</v>
      </c>
      <c r="U27" s="1556">
        <f t="shared" si="40"/>
        <v>0</v>
      </c>
      <c r="V27" s="1762">
        <f>+'[3]Oct midyear Lake Charles Chtr'!E26</f>
        <v>0</v>
      </c>
      <c r="W27" s="1763">
        <f t="shared" si="41"/>
        <v>0</v>
      </c>
      <c r="X27" s="1762">
        <f>'[3]Feb midyear Lake Charles Ch'!E26</f>
        <v>0</v>
      </c>
      <c r="Y27" s="1763">
        <f t="shared" si="42"/>
        <v>0</v>
      </c>
      <c r="Z27" s="1654">
        <f t="shared" si="43"/>
        <v>0</v>
      </c>
      <c r="AA27" s="1488">
        <f t="shared" si="44"/>
        <v>0</v>
      </c>
      <c r="AB27" s="938">
        <f t="shared" si="45"/>
        <v>0</v>
      </c>
      <c r="AC27" s="903">
        <f t="shared" si="46"/>
        <v>0</v>
      </c>
      <c r="AD27" s="1831">
        <v>0</v>
      </c>
      <c r="AE27" s="903">
        <f t="shared" si="47"/>
        <v>0</v>
      </c>
      <c r="AF27" s="1835">
        <f>+'[4]Table 5C1F-Lake Charles Charter'!T26*8</f>
        <v>0</v>
      </c>
      <c r="AG27" s="1835">
        <f t="shared" si="48"/>
        <v>0</v>
      </c>
      <c r="AH27" s="903">
        <f t="shared" si="49"/>
        <v>0</v>
      </c>
      <c r="AI27" s="904">
        <f t="shared" si="29"/>
        <v>0</v>
      </c>
      <c r="AJ27" s="904">
        <f t="shared" si="50"/>
        <v>0</v>
      </c>
      <c r="AL27" s="49">
        <f>-'[4]Table 5C1F-Lake Charles Charter'!P26</f>
        <v>0</v>
      </c>
      <c r="AM27" s="49">
        <f t="shared" si="51"/>
        <v>0</v>
      </c>
      <c r="AN27" s="49">
        <f t="shared" si="52"/>
        <v>0</v>
      </c>
    </row>
    <row r="28" spans="1:40">
      <c r="A28" s="870">
        <v>21</v>
      </c>
      <c r="B28" s="871" t="s">
        <v>112</v>
      </c>
      <c r="C28" s="971">
        <f>'2-1-13 SIS'!M27</f>
        <v>0</v>
      </c>
      <c r="D28" s="872">
        <f>'Table 3 Levels 1&amp;2'!AL28</f>
        <v>5724.5404916279067</v>
      </c>
      <c r="E28" s="918">
        <f t="shared" si="30"/>
        <v>0</v>
      </c>
      <c r="F28" s="918">
        <f>'Table 4 Level 3'!P26</f>
        <v>610.35</v>
      </c>
      <c r="G28" s="918">
        <f t="shared" si="31"/>
        <v>0</v>
      </c>
      <c r="H28" s="873">
        <f t="shared" si="32"/>
        <v>0</v>
      </c>
      <c r="I28" s="1718">
        <f>+'[3]Oct midyear Lake Charles Chtr'!K27</f>
        <v>0</v>
      </c>
      <c r="J28" s="1718">
        <f>'[3]Feb midyear Lake Charles Ch'!K27</f>
        <v>0</v>
      </c>
      <c r="K28" s="1542">
        <f t="shared" si="33"/>
        <v>0</v>
      </c>
      <c r="L28" s="1520">
        <f t="shared" si="34"/>
        <v>0</v>
      </c>
      <c r="M28" s="928">
        <f t="shared" si="35"/>
        <v>0</v>
      </c>
      <c r="N28" s="873">
        <f t="shared" si="36"/>
        <v>0</v>
      </c>
      <c r="O28" s="872">
        <v>0</v>
      </c>
      <c r="P28" s="998">
        <f t="shared" si="37"/>
        <v>0</v>
      </c>
      <c r="Q28" s="1718">
        <f>+'[4]Table 5C1F-Lake Charles Charter'!M27*8</f>
        <v>0</v>
      </c>
      <c r="R28" s="1718">
        <f t="shared" si="38"/>
        <v>0</v>
      </c>
      <c r="S28" s="998">
        <f t="shared" si="39"/>
        <v>0</v>
      </c>
      <c r="T28" s="1802">
        <f>'Table 5C1A-Madison Prep'!T28</f>
        <v>2445</v>
      </c>
      <c r="U28" s="999">
        <f t="shared" si="40"/>
        <v>0</v>
      </c>
      <c r="V28" s="1754">
        <f>+'[3]Oct midyear Lake Charles Chtr'!E27</f>
        <v>0</v>
      </c>
      <c r="W28" s="1755">
        <f t="shared" si="41"/>
        <v>0</v>
      </c>
      <c r="X28" s="1754">
        <f>'[3]Feb midyear Lake Charles Ch'!E27</f>
        <v>0</v>
      </c>
      <c r="Y28" s="1755">
        <f t="shared" si="42"/>
        <v>0</v>
      </c>
      <c r="Z28" s="1652">
        <f t="shared" si="43"/>
        <v>0</v>
      </c>
      <c r="AA28" s="1521">
        <f t="shared" si="44"/>
        <v>0</v>
      </c>
      <c r="AB28" s="936">
        <f t="shared" si="45"/>
        <v>0</v>
      </c>
      <c r="AC28" s="874">
        <f t="shared" si="46"/>
        <v>0</v>
      </c>
      <c r="AD28" s="1829">
        <v>0</v>
      </c>
      <c r="AE28" s="874">
        <f t="shared" si="47"/>
        <v>0</v>
      </c>
      <c r="AF28" s="1829">
        <f>+'[4]Table 5C1F-Lake Charles Charter'!T27*8</f>
        <v>0</v>
      </c>
      <c r="AG28" s="1829">
        <f t="shared" si="48"/>
        <v>0</v>
      </c>
      <c r="AH28" s="874">
        <f t="shared" si="49"/>
        <v>0</v>
      </c>
      <c r="AI28" s="875">
        <f t="shared" si="29"/>
        <v>0</v>
      </c>
      <c r="AJ28" s="875">
        <f t="shared" si="50"/>
        <v>0</v>
      </c>
      <c r="AL28" s="49">
        <f>-'[4]Table 5C1F-Lake Charles Charter'!P27</f>
        <v>0</v>
      </c>
      <c r="AM28" s="49">
        <f t="shared" si="51"/>
        <v>0</v>
      </c>
      <c r="AN28" s="49">
        <f t="shared" si="52"/>
        <v>0</v>
      </c>
    </row>
    <row r="29" spans="1:40">
      <c r="A29" s="876">
        <v>22</v>
      </c>
      <c r="B29" s="877" t="s">
        <v>113</v>
      </c>
      <c r="C29" s="969">
        <f>'2-1-13 SIS'!M28</f>
        <v>0</v>
      </c>
      <c r="D29" s="878">
        <f>'Table 3 Levels 1&amp;2'!AL29</f>
        <v>6203.2933768722742</v>
      </c>
      <c r="E29" s="919">
        <f t="shared" si="30"/>
        <v>0</v>
      </c>
      <c r="F29" s="919">
        <f>'Table 4 Level 3'!P27</f>
        <v>496.36</v>
      </c>
      <c r="G29" s="919">
        <f t="shared" si="31"/>
        <v>0</v>
      </c>
      <c r="H29" s="898">
        <f t="shared" si="32"/>
        <v>0</v>
      </c>
      <c r="I29" s="1732">
        <f>+'[3]Oct midyear Lake Charles Chtr'!K28</f>
        <v>0</v>
      </c>
      <c r="J29" s="1732">
        <f>'[3]Feb midyear Lake Charles Ch'!K28</f>
        <v>0</v>
      </c>
      <c r="K29" s="1543">
        <f t="shared" si="33"/>
        <v>0</v>
      </c>
      <c r="L29" s="1485">
        <f t="shared" si="34"/>
        <v>0</v>
      </c>
      <c r="M29" s="929">
        <f t="shared" si="35"/>
        <v>0</v>
      </c>
      <c r="N29" s="898">
        <f t="shared" si="36"/>
        <v>0</v>
      </c>
      <c r="O29" s="878">
        <v>0</v>
      </c>
      <c r="P29" s="1550">
        <f t="shared" si="37"/>
        <v>0</v>
      </c>
      <c r="Q29" s="1719">
        <f>+'[4]Table 5C1F-Lake Charles Charter'!M28*8</f>
        <v>0</v>
      </c>
      <c r="R29" s="1732">
        <f t="shared" si="38"/>
        <v>0</v>
      </c>
      <c r="S29" s="1550">
        <f t="shared" si="39"/>
        <v>0</v>
      </c>
      <c r="T29" s="1802">
        <f>'Table 5C1A-Madison Prep'!T29</f>
        <v>1519</v>
      </c>
      <c r="U29" s="1555">
        <f t="shared" si="40"/>
        <v>0</v>
      </c>
      <c r="V29" s="1758">
        <f>+'[3]Oct midyear Lake Charles Chtr'!E28</f>
        <v>0</v>
      </c>
      <c r="W29" s="1759">
        <f t="shared" si="41"/>
        <v>0</v>
      </c>
      <c r="X29" s="1758">
        <f>'[3]Feb midyear Lake Charles Ch'!E28</f>
        <v>0</v>
      </c>
      <c r="Y29" s="1759">
        <f t="shared" si="42"/>
        <v>0</v>
      </c>
      <c r="Z29" s="1653">
        <f t="shared" si="43"/>
        <v>0</v>
      </c>
      <c r="AA29" s="1486">
        <f t="shared" si="44"/>
        <v>0</v>
      </c>
      <c r="AB29" s="937">
        <f t="shared" si="45"/>
        <v>0</v>
      </c>
      <c r="AC29" s="899">
        <f t="shared" si="46"/>
        <v>0</v>
      </c>
      <c r="AD29" s="1830">
        <v>0</v>
      </c>
      <c r="AE29" s="899">
        <f t="shared" si="47"/>
        <v>0</v>
      </c>
      <c r="AF29" s="1834">
        <f>+'[4]Table 5C1F-Lake Charles Charter'!T28*8</f>
        <v>0</v>
      </c>
      <c r="AG29" s="1834">
        <f t="shared" si="48"/>
        <v>0</v>
      </c>
      <c r="AH29" s="899">
        <f t="shared" si="49"/>
        <v>0</v>
      </c>
      <c r="AI29" s="900">
        <f t="shared" si="29"/>
        <v>0</v>
      </c>
      <c r="AJ29" s="900">
        <f t="shared" si="50"/>
        <v>0</v>
      </c>
      <c r="AL29" s="49">
        <f>-'[4]Table 5C1F-Lake Charles Charter'!P28</f>
        <v>0</v>
      </c>
      <c r="AM29" s="49">
        <f t="shared" si="51"/>
        <v>0</v>
      </c>
      <c r="AN29" s="49">
        <f t="shared" si="52"/>
        <v>0</v>
      </c>
    </row>
    <row r="30" spans="1:40">
      <c r="A30" s="876">
        <v>23</v>
      </c>
      <c r="B30" s="877" t="s">
        <v>114</v>
      </c>
      <c r="C30" s="969">
        <f>'2-1-13 SIS'!M29</f>
        <v>0</v>
      </c>
      <c r="D30" s="878">
        <f>'Table 3 Levels 1&amp;2'!AL30</f>
        <v>4846.0802490067681</v>
      </c>
      <c r="E30" s="919">
        <f t="shared" si="30"/>
        <v>0</v>
      </c>
      <c r="F30" s="919">
        <f>'Table 4 Level 3'!P28</f>
        <v>688.58</v>
      </c>
      <c r="G30" s="919">
        <f t="shared" si="31"/>
        <v>0</v>
      </c>
      <c r="H30" s="898">
        <f t="shared" si="32"/>
        <v>0</v>
      </c>
      <c r="I30" s="1732">
        <f>+'[3]Oct midyear Lake Charles Chtr'!K29</f>
        <v>0</v>
      </c>
      <c r="J30" s="1732">
        <f>'[3]Feb midyear Lake Charles Ch'!K29</f>
        <v>0</v>
      </c>
      <c r="K30" s="1543">
        <f t="shared" si="33"/>
        <v>0</v>
      </c>
      <c r="L30" s="1485">
        <f t="shared" si="34"/>
        <v>0</v>
      </c>
      <c r="M30" s="929">
        <f t="shared" si="35"/>
        <v>0</v>
      </c>
      <c r="N30" s="898">
        <f t="shared" si="36"/>
        <v>0</v>
      </c>
      <c r="O30" s="878">
        <v>0</v>
      </c>
      <c r="P30" s="1550">
        <f t="shared" si="37"/>
        <v>0</v>
      </c>
      <c r="Q30" s="1719">
        <f>+'[4]Table 5C1F-Lake Charles Charter'!M29*8</f>
        <v>0</v>
      </c>
      <c r="R30" s="1732">
        <f t="shared" si="38"/>
        <v>0</v>
      </c>
      <c r="S30" s="1550">
        <f t="shared" si="39"/>
        <v>0</v>
      </c>
      <c r="T30" s="1802">
        <f>'Table 5C1A-Madison Prep'!T30</f>
        <v>3365</v>
      </c>
      <c r="U30" s="1555">
        <f t="shared" si="40"/>
        <v>0</v>
      </c>
      <c r="V30" s="1758">
        <f>+'[3]Oct midyear Lake Charles Chtr'!E29</f>
        <v>0</v>
      </c>
      <c r="W30" s="1759">
        <f t="shared" si="41"/>
        <v>0</v>
      </c>
      <c r="X30" s="1758">
        <f>'[3]Feb midyear Lake Charles Ch'!E29</f>
        <v>0</v>
      </c>
      <c r="Y30" s="1759">
        <f t="shared" si="42"/>
        <v>0</v>
      </c>
      <c r="Z30" s="1653">
        <f t="shared" si="43"/>
        <v>0</v>
      </c>
      <c r="AA30" s="1486">
        <f t="shared" si="44"/>
        <v>0</v>
      </c>
      <c r="AB30" s="937">
        <f t="shared" si="45"/>
        <v>0</v>
      </c>
      <c r="AC30" s="899">
        <f t="shared" si="46"/>
        <v>0</v>
      </c>
      <c r="AD30" s="1830">
        <v>0</v>
      </c>
      <c r="AE30" s="899">
        <f t="shared" si="47"/>
        <v>0</v>
      </c>
      <c r="AF30" s="1834">
        <f>+'[4]Table 5C1F-Lake Charles Charter'!T29*8</f>
        <v>0</v>
      </c>
      <c r="AG30" s="1834">
        <f t="shared" si="48"/>
        <v>0</v>
      </c>
      <c r="AH30" s="899">
        <f t="shared" si="49"/>
        <v>0</v>
      </c>
      <c r="AI30" s="900">
        <f t="shared" si="29"/>
        <v>0</v>
      </c>
      <c r="AJ30" s="900">
        <f t="shared" si="50"/>
        <v>0</v>
      </c>
      <c r="AL30" s="49">
        <f>-'[4]Table 5C1F-Lake Charles Charter'!P29</f>
        <v>0</v>
      </c>
      <c r="AM30" s="49">
        <f t="shared" si="51"/>
        <v>0</v>
      </c>
      <c r="AN30" s="49">
        <f t="shared" si="52"/>
        <v>0</v>
      </c>
    </row>
    <row r="31" spans="1:40">
      <c r="A31" s="876">
        <v>24</v>
      </c>
      <c r="B31" s="877" t="s">
        <v>115</v>
      </c>
      <c r="C31" s="969">
        <f>'2-1-13 SIS'!M30</f>
        <v>0</v>
      </c>
      <c r="D31" s="878">
        <f>'Table 3 Levels 1&amp;2'!AL31</f>
        <v>2764.1216755319151</v>
      </c>
      <c r="E31" s="919">
        <f t="shared" si="30"/>
        <v>0</v>
      </c>
      <c r="F31" s="919">
        <f>'Table 4 Level 3'!P29</f>
        <v>854.24999999999989</v>
      </c>
      <c r="G31" s="919">
        <f t="shared" si="31"/>
        <v>0</v>
      </c>
      <c r="H31" s="898">
        <f t="shared" si="32"/>
        <v>0</v>
      </c>
      <c r="I31" s="1732">
        <f>+'[3]Oct midyear Lake Charles Chtr'!K30</f>
        <v>0</v>
      </c>
      <c r="J31" s="1732">
        <f>'[3]Feb midyear Lake Charles Ch'!K30</f>
        <v>0</v>
      </c>
      <c r="K31" s="1543">
        <f t="shared" si="33"/>
        <v>0</v>
      </c>
      <c r="L31" s="1485">
        <f t="shared" si="34"/>
        <v>0</v>
      </c>
      <c r="M31" s="929">
        <f t="shared" si="35"/>
        <v>0</v>
      </c>
      <c r="N31" s="898">
        <f t="shared" si="36"/>
        <v>0</v>
      </c>
      <c r="O31" s="878">
        <v>0</v>
      </c>
      <c r="P31" s="1550">
        <f t="shared" si="37"/>
        <v>0</v>
      </c>
      <c r="Q31" s="1719">
        <f>+'[4]Table 5C1F-Lake Charles Charter'!M30*8</f>
        <v>0</v>
      </c>
      <c r="R31" s="1732">
        <f t="shared" si="38"/>
        <v>0</v>
      </c>
      <c r="S31" s="1550">
        <f t="shared" si="39"/>
        <v>0</v>
      </c>
      <c r="T31" s="1802">
        <f>'Table 5C1A-Madison Prep'!T31</f>
        <v>10907</v>
      </c>
      <c r="U31" s="1555">
        <f t="shared" si="40"/>
        <v>0</v>
      </c>
      <c r="V31" s="1758">
        <f>+'[3]Oct midyear Lake Charles Chtr'!E30</f>
        <v>0</v>
      </c>
      <c r="W31" s="1759">
        <f t="shared" si="41"/>
        <v>0</v>
      </c>
      <c r="X31" s="1758">
        <f>'[3]Feb midyear Lake Charles Ch'!E30</f>
        <v>0</v>
      </c>
      <c r="Y31" s="1759">
        <f t="shared" si="42"/>
        <v>0</v>
      </c>
      <c r="Z31" s="1653">
        <f t="shared" si="43"/>
        <v>0</v>
      </c>
      <c r="AA31" s="1486">
        <f t="shared" si="44"/>
        <v>0</v>
      </c>
      <c r="AB31" s="937">
        <f t="shared" si="45"/>
        <v>0</v>
      </c>
      <c r="AC31" s="899">
        <f t="shared" si="46"/>
        <v>0</v>
      </c>
      <c r="AD31" s="1830">
        <v>0</v>
      </c>
      <c r="AE31" s="899">
        <f t="shared" si="47"/>
        <v>0</v>
      </c>
      <c r="AF31" s="1834">
        <f>+'[4]Table 5C1F-Lake Charles Charter'!T30*8</f>
        <v>0</v>
      </c>
      <c r="AG31" s="1834">
        <f t="shared" si="48"/>
        <v>0</v>
      </c>
      <c r="AH31" s="899">
        <f t="shared" si="49"/>
        <v>0</v>
      </c>
      <c r="AI31" s="900">
        <f t="shared" si="29"/>
        <v>0</v>
      </c>
      <c r="AJ31" s="900">
        <f t="shared" si="50"/>
        <v>0</v>
      </c>
      <c r="AL31" s="49">
        <f>-'[4]Table 5C1F-Lake Charles Charter'!P30</f>
        <v>0</v>
      </c>
      <c r="AM31" s="49">
        <f t="shared" si="51"/>
        <v>0</v>
      </c>
      <c r="AN31" s="49">
        <f t="shared" si="52"/>
        <v>0</v>
      </c>
    </row>
    <row r="32" spans="1:40">
      <c r="A32" s="879">
        <v>25</v>
      </c>
      <c r="B32" s="880" t="s">
        <v>116</v>
      </c>
      <c r="C32" s="970">
        <f>'2-1-13 SIS'!M31</f>
        <v>0</v>
      </c>
      <c r="D32" s="881">
        <f>'Table 3 Levels 1&amp;2'!AL32</f>
        <v>3867.4480692053257</v>
      </c>
      <c r="E32" s="920">
        <f t="shared" si="30"/>
        <v>0</v>
      </c>
      <c r="F32" s="920">
        <f>'Table 4 Level 3'!P30</f>
        <v>653.73</v>
      </c>
      <c r="G32" s="920">
        <f t="shared" si="31"/>
        <v>0</v>
      </c>
      <c r="H32" s="901">
        <f t="shared" si="32"/>
        <v>0</v>
      </c>
      <c r="I32" s="1733">
        <f>+'[3]Oct midyear Lake Charles Chtr'!K31</f>
        <v>0</v>
      </c>
      <c r="J32" s="1733">
        <f>'[3]Feb midyear Lake Charles Ch'!K31</f>
        <v>0</v>
      </c>
      <c r="K32" s="1544">
        <f t="shared" si="33"/>
        <v>0</v>
      </c>
      <c r="L32" s="1487">
        <f t="shared" si="34"/>
        <v>0</v>
      </c>
      <c r="M32" s="930">
        <f t="shared" si="35"/>
        <v>0</v>
      </c>
      <c r="N32" s="901">
        <f t="shared" si="36"/>
        <v>0</v>
      </c>
      <c r="O32" s="881">
        <v>0</v>
      </c>
      <c r="P32" s="1551">
        <f t="shared" si="37"/>
        <v>0</v>
      </c>
      <c r="Q32" s="1720">
        <f>+'[4]Table 5C1F-Lake Charles Charter'!M31*8</f>
        <v>0</v>
      </c>
      <c r="R32" s="1733">
        <f t="shared" si="38"/>
        <v>0</v>
      </c>
      <c r="S32" s="1551">
        <f t="shared" si="39"/>
        <v>0</v>
      </c>
      <c r="T32" s="1807">
        <f>'Table 5C1A-Madison Prep'!T32</f>
        <v>5156</v>
      </c>
      <c r="U32" s="1556">
        <f t="shared" si="40"/>
        <v>0</v>
      </c>
      <c r="V32" s="1762">
        <f>+'[3]Oct midyear Lake Charles Chtr'!E31</f>
        <v>0</v>
      </c>
      <c r="W32" s="1763">
        <f t="shared" si="41"/>
        <v>0</v>
      </c>
      <c r="X32" s="1762">
        <f>'[3]Feb midyear Lake Charles Ch'!E31</f>
        <v>0</v>
      </c>
      <c r="Y32" s="1763">
        <f t="shared" si="42"/>
        <v>0</v>
      </c>
      <c r="Z32" s="1654">
        <f t="shared" si="43"/>
        <v>0</v>
      </c>
      <c r="AA32" s="1488">
        <f t="shared" si="44"/>
        <v>0</v>
      </c>
      <c r="AB32" s="938">
        <f t="shared" si="45"/>
        <v>0</v>
      </c>
      <c r="AC32" s="903">
        <f t="shared" si="46"/>
        <v>0</v>
      </c>
      <c r="AD32" s="1831">
        <v>0</v>
      </c>
      <c r="AE32" s="903">
        <f t="shared" si="47"/>
        <v>0</v>
      </c>
      <c r="AF32" s="1835">
        <f>+'[4]Table 5C1F-Lake Charles Charter'!T31*8</f>
        <v>0</v>
      </c>
      <c r="AG32" s="1835">
        <f t="shared" si="48"/>
        <v>0</v>
      </c>
      <c r="AH32" s="903">
        <f t="shared" si="49"/>
        <v>0</v>
      </c>
      <c r="AI32" s="904">
        <f t="shared" si="29"/>
        <v>0</v>
      </c>
      <c r="AJ32" s="904">
        <f t="shared" si="50"/>
        <v>0</v>
      </c>
      <c r="AL32" s="49">
        <f>-'[4]Table 5C1F-Lake Charles Charter'!P31</f>
        <v>0</v>
      </c>
      <c r="AM32" s="49">
        <f t="shared" si="51"/>
        <v>0</v>
      </c>
      <c r="AN32" s="49">
        <f t="shared" si="52"/>
        <v>0</v>
      </c>
    </row>
    <row r="33" spans="1:40">
      <c r="A33" s="870">
        <v>26</v>
      </c>
      <c r="B33" s="871" t="s">
        <v>117</v>
      </c>
      <c r="C33" s="971">
        <f>'2-1-13 SIS'!M32</f>
        <v>0</v>
      </c>
      <c r="D33" s="872">
        <f>'Table 3 Levels 1&amp;2'!AL33</f>
        <v>3293.481526790355</v>
      </c>
      <c r="E33" s="918">
        <f t="shared" si="30"/>
        <v>0</v>
      </c>
      <c r="F33" s="918">
        <f>'Table 4 Level 3'!P31</f>
        <v>836.83</v>
      </c>
      <c r="G33" s="918">
        <f t="shared" si="31"/>
        <v>0</v>
      </c>
      <c r="H33" s="873">
        <f t="shared" si="32"/>
        <v>0</v>
      </c>
      <c r="I33" s="1718">
        <f>+'[3]Oct midyear Lake Charles Chtr'!K32</f>
        <v>0</v>
      </c>
      <c r="J33" s="1718">
        <f>'[3]Feb midyear Lake Charles Ch'!K32</f>
        <v>0</v>
      </c>
      <c r="K33" s="1542">
        <f t="shared" si="33"/>
        <v>0</v>
      </c>
      <c r="L33" s="1520">
        <f t="shared" si="34"/>
        <v>0</v>
      </c>
      <c r="M33" s="928">
        <f t="shared" si="35"/>
        <v>0</v>
      </c>
      <c r="N33" s="873">
        <f t="shared" si="36"/>
        <v>0</v>
      </c>
      <c r="O33" s="872">
        <v>0</v>
      </c>
      <c r="P33" s="998">
        <f t="shared" si="37"/>
        <v>0</v>
      </c>
      <c r="Q33" s="1718">
        <f>+'[4]Table 5C1F-Lake Charles Charter'!M32*8</f>
        <v>0</v>
      </c>
      <c r="R33" s="1718">
        <f t="shared" si="38"/>
        <v>0</v>
      </c>
      <c r="S33" s="998">
        <f t="shared" si="39"/>
        <v>0</v>
      </c>
      <c r="T33" s="1802">
        <f>'Table 5C1A-Madison Prep'!T33</f>
        <v>5344</v>
      </c>
      <c r="U33" s="999">
        <f t="shared" si="40"/>
        <v>0</v>
      </c>
      <c r="V33" s="1754">
        <f>+'[3]Oct midyear Lake Charles Chtr'!E32</f>
        <v>0</v>
      </c>
      <c r="W33" s="1755">
        <f t="shared" si="41"/>
        <v>0</v>
      </c>
      <c r="X33" s="1754">
        <f>'[3]Feb midyear Lake Charles Ch'!E32</f>
        <v>0</v>
      </c>
      <c r="Y33" s="1755">
        <f t="shared" si="42"/>
        <v>0</v>
      </c>
      <c r="Z33" s="1652">
        <f t="shared" si="43"/>
        <v>0</v>
      </c>
      <c r="AA33" s="1521">
        <f t="shared" si="44"/>
        <v>0</v>
      </c>
      <c r="AB33" s="936">
        <f t="shared" si="45"/>
        <v>0</v>
      </c>
      <c r="AC33" s="874">
        <f t="shared" si="46"/>
        <v>0</v>
      </c>
      <c r="AD33" s="1829">
        <v>0</v>
      </c>
      <c r="AE33" s="874">
        <f t="shared" si="47"/>
        <v>0</v>
      </c>
      <c r="AF33" s="1829">
        <f>+'[4]Table 5C1F-Lake Charles Charter'!T32*8</f>
        <v>0</v>
      </c>
      <c r="AG33" s="1829">
        <f t="shared" si="48"/>
        <v>0</v>
      </c>
      <c r="AH33" s="874">
        <f t="shared" si="49"/>
        <v>0</v>
      </c>
      <c r="AI33" s="875">
        <f t="shared" si="29"/>
        <v>0</v>
      </c>
      <c r="AJ33" s="875">
        <f t="shared" si="50"/>
        <v>0</v>
      </c>
      <c r="AL33" s="49">
        <f>-'[4]Table 5C1F-Lake Charles Charter'!P32</f>
        <v>0</v>
      </c>
      <c r="AM33" s="49">
        <f t="shared" si="51"/>
        <v>0</v>
      </c>
      <c r="AN33" s="49">
        <f t="shared" si="52"/>
        <v>0</v>
      </c>
    </row>
    <row r="34" spans="1:40">
      <c r="A34" s="876">
        <v>27</v>
      </c>
      <c r="B34" s="877" t="s">
        <v>118</v>
      </c>
      <c r="C34" s="972">
        <f>'2-1-13 SIS'!M33</f>
        <v>0</v>
      </c>
      <c r="D34" s="882">
        <f>'Table 3 Levels 1&amp;2'!AL34</f>
        <v>5680.7727517381973</v>
      </c>
      <c r="E34" s="921">
        <f t="shared" si="30"/>
        <v>0</v>
      </c>
      <c r="F34" s="921">
        <f>'Table 4 Level 3'!P32</f>
        <v>693.06</v>
      </c>
      <c r="G34" s="921">
        <f t="shared" si="31"/>
        <v>0</v>
      </c>
      <c r="H34" s="905">
        <f t="shared" si="32"/>
        <v>0</v>
      </c>
      <c r="I34" s="1734">
        <f>+'[3]Oct midyear Lake Charles Chtr'!K33</f>
        <v>0</v>
      </c>
      <c r="J34" s="1734">
        <f>'[3]Feb midyear Lake Charles Ch'!K33</f>
        <v>0</v>
      </c>
      <c r="K34" s="1545">
        <f t="shared" si="33"/>
        <v>0</v>
      </c>
      <c r="L34" s="1489">
        <f t="shared" si="34"/>
        <v>0</v>
      </c>
      <c r="M34" s="931">
        <f t="shared" si="35"/>
        <v>0</v>
      </c>
      <c r="N34" s="905">
        <f t="shared" si="36"/>
        <v>0</v>
      </c>
      <c r="O34" s="882">
        <v>0</v>
      </c>
      <c r="P34" s="1552">
        <f t="shared" si="37"/>
        <v>0</v>
      </c>
      <c r="Q34" s="1721">
        <f>+'[4]Table 5C1F-Lake Charles Charter'!M33*8</f>
        <v>0</v>
      </c>
      <c r="R34" s="1734">
        <f t="shared" si="38"/>
        <v>0</v>
      </c>
      <c r="S34" s="1552">
        <f t="shared" si="39"/>
        <v>0</v>
      </c>
      <c r="T34" s="1802">
        <f>'Table 5C1A-Madison Prep'!T34</f>
        <v>3271</v>
      </c>
      <c r="U34" s="1555">
        <f t="shared" si="40"/>
        <v>0</v>
      </c>
      <c r="V34" s="1758">
        <f>+'[3]Oct midyear Lake Charles Chtr'!E33</f>
        <v>0</v>
      </c>
      <c r="W34" s="1759">
        <f t="shared" si="41"/>
        <v>0</v>
      </c>
      <c r="X34" s="1758">
        <f>'[3]Feb midyear Lake Charles Ch'!E33</f>
        <v>0</v>
      </c>
      <c r="Y34" s="1759">
        <f t="shared" si="42"/>
        <v>0</v>
      </c>
      <c r="Z34" s="1653">
        <f t="shared" si="43"/>
        <v>0</v>
      </c>
      <c r="AA34" s="1486">
        <f t="shared" si="44"/>
        <v>0</v>
      </c>
      <c r="AB34" s="937">
        <f t="shared" si="45"/>
        <v>0</v>
      </c>
      <c r="AC34" s="899">
        <f t="shared" si="46"/>
        <v>0</v>
      </c>
      <c r="AD34" s="1830">
        <v>0</v>
      </c>
      <c r="AE34" s="899">
        <f t="shared" si="47"/>
        <v>0</v>
      </c>
      <c r="AF34" s="1834">
        <f>+'[4]Table 5C1F-Lake Charles Charter'!T33*8</f>
        <v>0</v>
      </c>
      <c r="AG34" s="1834">
        <f t="shared" si="48"/>
        <v>0</v>
      </c>
      <c r="AH34" s="899">
        <f t="shared" si="49"/>
        <v>0</v>
      </c>
      <c r="AI34" s="900">
        <f t="shared" si="29"/>
        <v>0</v>
      </c>
      <c r="AJ34" s="900">
        <f t="shared" si="50"/>
        <v>0</v>
      </c>
      <c r="AL34" s="49">
        <f>-'[4]Table 5C1F-Lake Charles Charter'!P33</f>
        <v>0</v>
      </c>
      <c r="AM34" s="49">
        <f t="shared" si="51"/>
        <v>0</v>
      </c>
      <c r="AN34" s="49">
        <f t="shared" si="52"/>
        <v>0</v>
      </c>
    </row>
    <row r="35" spans="1:40">
      <c r="A35" s="876">
        <v>28</v>
      </c>
      <c r="B35" s="877" t="s">
        <v>119</v>
      </c>
      <c r="C35" s="972">
        <f>'2-1-13 SIS'!M34</f>
        <v>0</v>
      </c>
      <c r="D35" s="882">
        <f>'Table 3 Levels 1&amp;2'!AL35</f>
        <v>3163.1694438483169</v>
      </c>
      <c r="E35" s="921">
        <f t="shared" si="30"/>
        <v>0</v>
      </c>
      <c r="F35" s="921">
        <f>'Table 4 Level 3'!P33</f>
        <v>694.4</v>
      </c>
      <c r="G35" s="921">
        <f t="shared" si="31"/>
        <v>0</v>
      </c>
      <c r="H35" s="905">
        <f t="shared" si="32"/>
        <v>0</v>
      </c>
      <c r="I35" s="1734">
        <f>+'[3]Oct midyear Lake Charles Chtr'!K34</f>
        <v>0</v>
      </c>
      <c r="J35" s="1734">
        <f>'[3]Feb midyear Lake Charles Ch'!K34</f>
        <v>0</v>
      </c>
      <c r="K35" s="1545">
        <f t="shared" si="33"/>
        <v>0</v>
      </c>
      <c r="L35" s="1489">
        <f t="shared" si="34"/>
        <v>0</v>
      </c>
      <c r="M35" s="931">
        <f t="shared" si="35"/>
        <v>0</v>
      </c>
      <c r="N35" s="905">
        <f t="shared" si="36"/>
        <v>0</v>
      </c>
      <c r="O35" s="882">
        <v>0</v>
      </c>
      <c r="P35" s="1552">
        <f t="shared" si="37"/>
        <v>0</v>
      </c>
      <c r="Q35" s="1721">
        <f>+'[4]Table 5C1F-Lake Charles Charter'!M34*8</f>
        <v>0</v>
      </c>
      <c r="R35" s="1734">
        <f t="shared" si="38"/>
        <v>0</v>
      </c>
      <c r="S35" s="1552">
        <f t="shared" si="39"/>
        <v>0</v>
      </c>
      <c r="T35" s="1802">
        <f>'Table 5C1A-Madison Prep'!T35</f>
        <v>5647</v>
      </c>
      <c r="U35" s="1555">
        <f t="shared" si="40"/>
        <v>0</v>
      </c>
      <c r="V35" s="1758">
        <f>+'[3]Oct midyear Lake Charles Chtr'!E34</f>
        <v>0</v>
      </c>
      <c r="W35" s="1759">
        <f t="shared" si="41"/>
        <v>0</v>
      </c>
      <c r="X35" s="1758">
        <f>'[3]Feb midyear Lake Charles Ch'!E34</f>
        <v>0</v>
      </c>
      <c r="Y35" s="1759">
        <f t="shared" si="42"/>
        <v>0</v>
      </c>
      <c r="Z35" s="1653">
        <f t="shared" si="43"/>
        <v>0</v>
      </c>
      <c r="AA35" s="1486">
        <f t="shared" si="44"/>
        <v>0</v>
      </c>
      <c r="AB35" s="937">
        <f t="shared" si="45"/>
        <v>0</v>
      </c>
      <c r="AC35" s="899">
        <f t="shared" si="46"/>
        <v>0</v>
      </c>
      <c r="AD35" s="1830">
        <v>0</v>
      </c>
      <c r="AE35" s="899">
        <f t="shared" si="47"/>
        <v>0</v>
      </c>
      <c r="AF35" s="1834">
        <f>+'[4]Table 5C1F-Lake Charles Charter'!T34*8</f>
        <v>0</v>
      </c>
      <c r="AG35" s="1834">
        <f t="shared" si="48"/>
        <v>0</v>
      </c>
      <c r="AH35" s="899">
        <f t="shared" si="49"/>
        <v>0</v>
      </c>
      <c r="AI35" s="900">
        <f t="shared" si="29"/>
        <v>0</v>
      </c>
      <c r="AJ35" s="900">
        <f t="shared" si="50"/>
        <v>0</v>
      </c>
      <c r="AL35" s="49">
        <f>-'[4]Table 5C1F-Lake Charles Charter'!P34</f>
        <v>0</v>
      </c>
      <c r="AM35" s="49">
        <f t="shared" si="51"/>
        <v>0</v>
      </c>
      <c r="AN35" s="49">
        <f t="shared" si="52"/>
        <v>0</v>
      </c>
    </row>
    <row r="36" spans="1:40">
      <c r="A36" s="876">
        <v>29</v>
      </c>
      <c r="B36" s="877" t="s">
        <v>120</v>
      </c>
      <c r="C36" s="972">
        <f>'2-1-13 SIS'!M35</f>
        <v>0</v>
      </c>
      <c r="D36" s="882">
        <f>'Table 3 Levels 1&amp;2'!AL36</f>
        <v>3952.5586133052648</v>
      </c>
      <c r="E36" s="921">
        <f t="shared" si="30"/>
        <v>0</v>
      </c>
      <c r="F36" s="921">
        <f>'Table 4 Level 3'!P34</f>
        <v>754.94999999999993</v>
      </c>
      <c r="G36" s="921">
        <f t="shared" si="31"/>
        <v>0</v>
      </c>
      <c r="H36" s="905">
        <f t="shared" si="32"/>
        <v>0</v>
      </c>
      <c r="I36" s="1734">
        <f>+'[3]Oct midyear Lake Charles Chtr'!K35</f>
        <v>0</v>
      </c>
      <c r="J36" s="1734">
        <f>'[3]Feb midyear Lake Charles Ch'!K35</f>
        <v>0</v>
      </c>
      <c r="K36" s="1545">
        <f t="shared" si="33"/>
        <v>0</v>
      </c>
      <c r="L36" s="1489">
        <f t="shared" si="34"/>
        <v>0</v>
      </c>
      <c r="M36" s="931">
        <f t="shared" si="35"/>
        <v>0</v>
      </c>
      <c r="N36" s="905">
        <f t="shared" si="36"/>
        <v>0</v>
      </c>
      <c r="O36" s="882">
        <v>0</v>
      </c>
      <c r="P36" s="1552">
        <f t="shared" si="37"/>
        <v>0</v>
      </c>
      <c r="Q36" s="1721">
        <f>+'[4]Table 5C1F-Lake Charles Charter'!M35*8</f>
        <v>0</v>
      </c>
      <c r="R36" s="1734">
        <f t="shared" si="38"/>
        <v>0</v>
      </c>
      <c r="S36" s="1552">
        <f t="shared" si="39"/>
        <v>0</v>
      </c>
      <c r="T36" s="1802">
        <f>'Table 5C1A-Madison Prep'!T36</f>
        <v>4826</v>
      </c>
      <c r="U36" s="1555">
        <f t="shared" si="40"/>
        <v>0</v>
      </c>
      <c r="V36" s="1758">
        <f>+'[3]Oct midyear Lake Charles Chtr'!E35</f>
        <v>0</v>
      </c>
      <c r="W36" s="1759">
        <f t="shared" si="41"/>
        <v>0</v>
      </c>
      <c r="X36" s="1758">
        <f>'[3]Feb midyear Lake Charles Ch'!E35</f>
        <v>0</v>
      </c>
      <c r="Y36" s="1759">
        <f t="shared" si="42"/>
        <v>0</v>
      </c>
      <c r="Z36" s="1653">
        <f t="shared" si="43"/>
        <v>0</v>
      </c>
      <c r="AA36" s="1486">
        <f t="shared" si="44"/>
        <v>0</v>
      </c>
      <c r="AB36" s="937">
        <f t="shared" si="45"/>
        <v>0</v>
      </c>
      <c r="AC36" s="899">
        <f t="shared" si="46"/>
        <v>0</v>
      </c>
      <c r="AD36" s="1830">
        <v>0</v>
      </c>
      <c r="AE36" s="899">
        <f t="shared" si="47"/>
        <v>0</v>
      </c>
      <c r="AF36" s="1834">
        <f>+'[4]Table 5C1F-Lake Charles Charter'!T35*8</f>
        <v>0</v>
      </c>
      <c r="AG36" s="1834">
        <f t="shared" si="48"/>
        <v>0</v>
      </c>
      <c r="AH36" s="899">
        <f t="shared" si="49"/>
        <v>0</v>
      </c>
      <c r="AI36" s="900">
        <f t="shared" si="29"/>
        <v>0</v>
      </c>
      <c r="AJ36" s="900">
        <f t="shared" si="50"/>
        <v>0</v>
      </c>
      <c r="AL36" s="49">
        <f>-'[4]Table 5C1F-Lake Charles Charter'!P35</f>
        <v>0</v>
      </c>
      <c r="AM36" s="49">
        <f t="shared" si="51"/>
        <v>0</v>
      </c>
      <c r="AN36" s="49">
        <f t="shared" si="52"/>
        <v>0</v>
      </c>
    </row>
    <row r="37" spans="1:40">
      <c r="A37" s="879">
        <v>30</v>
      </c>
      <c r="B37" s="880" t="s">
        <v>121</v>
      </c>
      <c r="C37" s="973">
        <f>'2-1-13 SIS'!M36</f>
        <v>0</v>
      </c>
      <c r="D37" s="883">
        <f>'Table 3 Levels 1&amp;2'!AL37</f>
        <v>5648.6510465852989</v>
      </c>
      <c r="E37" s="922">
        <f t="shared" si="30"/>
        <v>0</v>
      </c>
      <c r="F37" s="922">
        <f>'Table 4 Level 3'!P35</f>
        <v>727.17</v>
      </c>
      <c r="G37" s="922">
        <f t="shared" si="31"/>
        <v>0</v>
      </c>
      <c r="H37" s="906">
        <f t="shared" si="32"/>
        <v>0</v>
      </c>
      <c r="I37" s="1735">
        <f>+'[3]Oct midyear Lake Charles Chtr'!K36</f>
        <v>0</v>
      </c>
      <c r="J37" s="1735">
        <f>'[3]Feb midyear Lake Charles Ch'!K36</f>
        <v>0</v>
      </c>
      <c r="K37" s="1546">
        <f t="shared" si="33"/>
        <v>0</v>
      </c>
      <c r="L37" s="1490">
        <f t="shared" si="34"/>
        <v>0</v>
      </c>
      <c r="M37" s="932">
        <f t="shared" si="35"/>
        <v>0</v>
      </c>
      <c r="N37" s="906">
        <f t="shared" si="36"/>
        <v>0</v>
      </c>
      <c r="O37" s="883">
        <v>0</v>
      </c>
      <c r="P37" s="1553">
        <f t="shared" si="37"/>
        <v>0</v>
      </c>
      <c r="Q37" s="1722">
        <f>+'[4]Table 5C1F-Lake Charles Charter'!M36*8</f>
        <v>0</v>
      </c>
      <c r="R37" s="1735">
        <f t="shared" si="38"/>
        <v>0</v>
      </c>
      <c r="S37" s="1553">
        <f t="shared" si="39"/>
        <v>0</v>
      </c>
      <c r="T37" s="1807">
        <f>'Table 5C1A-Madison Prep'!T37</f>
        <v>4193</v>
      </c>
      <c r="U37" s="1556">
        <f t="shared" si="40"/>
        <v>0</v>
      </c>
      <c r="V37" s="1762">
        <f>+'[3]Oct midyear Lake Charles Chtr'!E36</f>
        <v>0</v>
      </c>
      <c r="W37" s="1763">
        <f t="shared" si="41"/>
        <v>0</v>
      </c>
      <c r="X37" s="1762">
        <f>'[3]Feb midyear Lake Charles Ch'!E36</f>
        <v>0</v>
      </c>
      <c r="Y37" s="1763">
        <f t="shared" si="42"/>
        <v>0</v>
      </c>
      <c r="Z37" s="1654">
        <f t="shared" si="43"/>
        <v>0</v>
      </c>
      <c r="AA37" s="1488">
        <f t="shared" si="44"/>
        <v>0</v>
      </c>
      <c r="AB37" s="938">
        <f t="shared" si="45"/>
        <v>0</v>
      </c>
      <c r="AC37" s="903">
        <f t="shared" si="46"/>
        <v>0</v>
      </c>
      <c r="AD37" s="1831">
        <v>0</v>
      </c>
      <c r="AE37" s="903">
        <f t="shared" si="47"/>
        <v>0</v>
      </c>
      <c r="AF37" s="1835">
        <f>+'[4]Table 5C1F-Lake Charles Charter'!T36*8</f>
        <v>0</v>
      </c>
      <c r="AG37" s="1835">
        <f t="shared" si="48"/>
        <v>0</v>
      </c>
      <c r="AH37" s="903">
        <f t="shared" si="49"/>
        <v>0</v>
      </c>
      <c r="AI37" s="904">
        <f t="shared" si="29"/>
        <v>0</v>
      </c>
      <c r="AJ37" s="904">
        <f t="shared" si="50"/>
        <v>0</v>
      </c>
      <c r="AL37" s="49">
        <f>-'[4]Table 5C1F-Lake Charles Charter'!P36</f>
        <v>0</v>
      </c>
      <c r="AM37" s="49">
        <f t="shared" si="51"/>
        <v>0</v>
      </c>
      <c r="AN37" s="49">
        <f t="shared" si="52"/>
        <v>0</v>
      </c>
    </row>
    <row r="38" spans="1:40">
      <c r="A38" s="870">
        <v>31</v>
      </c>
      <c r="B38" s="871" t="s">
        <v>122</v>
      </c>
      <c r="C38" s="974">
        <f>'2-1-13 SIS'!M37</f>
        <v>0</v>
      </c>
      <c r="D38" s="884">
        <f>'Table 3 Levels 1&amp;2'!AL38</f>
        <v>4348.9307899232972</v>
      </c>
      <c r="E38" s="923">
        <f t="shared" si="30"/>
        <v>0</v>
      </c>
      <c r="F38" s="923">
        <f>'Table 4 Level 3'!P36</f>
        <v>620.83000000000004</v>
      </c>
      <c r="G38" s="923">
        <f t="shared" si="31"/>
        <v>0</v>
      </c>
      <c r="H38" s="907">
        <f t="shared" si="32"/>
        <v>0</v>
      </c>
      <c r="I38" s="1723">
        <f>+'[3]Oct midyear Lake Charles Chtr'!K37</f>
        <v>0</v>
      </c>
      <c r="J38" s="1723">
        <f>'[3]Feb midyear Lake Charles Ch'!K37</f>
        <v>0</v>
      </c>
      <c r="K38" s="1547">
        <f t="shared" si="33"/>
        <v>0</v>
      </c>
      <c r="L38" s="1491">
        <f t="shared" si="34"/>
        <v>0</v>
      </c>
      <c r="M38" s="933">
        <f t="shared" si="35"/>
        <v>0</v>
      </c>
      <c r="N38" s="907">
        <f t="shared" si="36"/>
        <v>0</v>
      </c>
      <c r="O38" s="884">
        <v>0</v>
      </c>
      <c r="P38" s="996">
        <f t="shared" si="37"/>
        <v>0</v>
      </c>
      <c r="Q38" s="1723">
        <f>+'[4]Table 5C1F-Lake Charles Charter'!M37*8</f>
        <v>0</v>
      </c>
      <c r="R38" s="1723">
        <f t="shared" si="38"/>
        <v>0</v>
      </c>
      <c r="S38" s="996">
        <f t="shared" si="39"/>
        <v>0</v>
      </c>
      <c r="T38" s="1802">
        <f>'Table 5C1A-Madison Prep'!T38</f>
        <v>4901</v>
      </c>
      <c r="U38" s="999">
        <f t="shared" si="40"/>
        <v>0</v>
      </c>
      <c r="V38" s="1754">
        <f>+'[3]Oct midyear Lake Charles Chtr'!E37</f>
        <v>0</v>
      </c>
      <c r="W38" s="1755">
        <f t="shared" si="41"/>
        <v>0</v>
      </c>
      <c r="X38" s="1754">
        <f>'[3]Feb midyear Lake Charles Ch'!E37</f>
        <v>0</v>
      </c>
      <c r="Y38" s="1755">
        <f t="shared" si="42"/>
        <v>0</v>
      </c>
      <c r="Z38" s="1652">
        <f t="shared" si="43"/>
        <v>0</v>
      </c>
      <c r="AA38" s="1521">
        <f t="shared" si="44"/>
        <v>0</v>
      </c>
      <c r="AB38" s="936">
        <f t="shared" si="45"/>
        <v>0</v>
      </c>
      <c r="AC38" s="874">
        <f t="shared" si="46"/>
        <v>0</v>
      </c>
      <c r="AD38" s="1829">
        <v>0</v>
      </c>
      <c r="AE38" s="874">
        <f t="shared" si="47"/>
        <v>0</v>
      </c>
      <c r="AF38" s="1829">
        <f>+'[4]Table 5C1F-Lake Charles Charter'!T37*8</f>
        <v>0</v>
      </c>
      <c r="AG38" s="1829">
        <f t="shared" si="48"/>
        <v>0</v>
      </c>
      <c r="AH38" s="874">
        <f t="shared" si="49"/>
        <v>0</v>
      </c>
      <c r="AI38" s="875">
        <f t="shared" si="29"/>
        <v>0</v>
      </c>
      <c r="AJ38" s="875">
        <f t="shared" si="50"/>
        <v>0</v>
      </c>
      <c r="AL38" s="49">
        <f>-'[4]Table 5C1F-Lake Charles Charter'!P37</f>
        <v>0</v>
      </c>
      <c r="AM38" s="49">
        <f t="shared" si="51"/>
        <v>0</v>
      </c>
      <c r="AN38" s="49">
        <f t="shared" si="52"/>
        <v>0</v>
      </c>
    </row>
    <row r="39" spans="1:40">
      <c r="A39" s="876">
        <v>32</v>
      </c>
      <c r="B39" s="877" t="s">
        <v>123</v>
      </c>
      <c r="C39" s="972">
        <f>'2-1-13 SIS'!M38</f>
        <v>0</v>
      </c>
      <c r="D39" s="882">
        <f>'Table 3 Levels 1&amp;2'!AL39</f>
        <v>5531.5157655456787</v>
      </c>
      <c r="E39" s="921">
        <f t="shared" si="30"/>
        <v>0</v>
      </c>
      <c r="F39" s="921">
        <f>'Table 4 Level 3'!P37</f>
        <v>559.77</v>
      </c>
      <c r="G39" s="921">
        <f t="shared" si="31"/>
        <v>0</v>
      </c>
      <c r="H39" s="905">
        <f t="shared" si="32"/>
        <v>0</v>
      </c>
      <c r="I39" s="1734">
        <f>+'[3]Oct midyear Lake Charles Chtr'!K38</f>
        <v>0</v>
      </c>
      <c r="J39" s="1734">
        <f>'[3]Feb midyear Lake Charles Ch'!K38</f>
        <v>0</v>
      </c>
      <c r="K39" s="1545">
        <f t="shared" si="33"/>
        <v>0</v>
      </c>
      <c r="L39" s="1489">
        <f t="shared" si="34"/>
        <v>0</v>
      </c>
      <c r="M39" s="931">
        <f t="shared" si="35"/>
        <v>0</v>
      </c>
      <c r="N39" s="905">
        <f t="shared" si="36"/>
        <v>0</v>
      </c>
      <c r="O39" s="882">
        <v>0</v>
      </c>
      <c r="P39" s="1552">
        <f t="shared" si="37"/>
        <v>0</v>
      </c>
      <c r="Q39" s="1721">
        <f>+'[4]Table 5C1F-Lake Charles Charter'!M38*8</f>
        <v>0</v>
      </c>
      <c r="R39" s="1734">
        <f t="shared" si="38"/>
        <v>0</v>
      </c>
      <c r="S39" s="1552">
        <f t="shared" si="39"/>
        <v>0</v>
      </c>
      <c r="T39" s="1802">
        <f>'Table 5C1A-Madison Prep'!T39</f>
        <v>2074</v>
      </c>
      <c r="U39" s="1555">
        <f t="shared" si="40"/>
        <v>0</v>
      </c>
      <c r="V39" s="1758">
        <f>+'[3]Oct midyear Lake Charles Chtr'!E38</f>
        <v>0</v>
      </c>
      <c r="W39" s="1759">
        <f t="shared" si="41"/>
        <v>0</v>
      </c>
      <c r="X39" s="1758">
        <f>'[3]Feb midyear Lake Charles Ch'!E38</f>
        <v>0</v>
      </c>
      <c r="Y39" s="1759">
        <f t="shared" si="42"/>
        <v>0</v>
      </c>
      <c r="Z39" s="1653">
        <f t="shared" si="43"/>
        <v>0</v>
      </c>
      <c r="AA39" s="1486">
        <f t="shared" si="44"/>
        <v>0</v>
      </c>
      <c r="AB39" s="937">
        <f t="shared" si="45"/>
        <v>0</v>
      </c>
      <c r="AC39" s="899">
        <f t="shared" si="46"/>
        <v>0</v>
      </c>
      <c r="AD39" s="1830">
        <v>0</v>
      </c>
      <c r="AE39" s="899">
        <f t="shared" si="47"/>
        <v>0</v>
      </c>
      <c r="AF39" s="1834">
        <f>+'[4]Table 5C1F-Lake Charles Charter'!T38*8</f>
        <v>0</v>
      </c>
      <c r="AG39" s="1834">
        <f t="shared" si="48"/>
        <v>0</v>
      </c>
      <c r="AH39" s="899">
        <f t="shared" si="49"/>
        <v>0</v>
      </c>
      <c r="AI39" s="900">
        <f t="shared" si="29"/>
        <v>0</v>
      </c>
      <c r="AJ39" s="900">
        <f t="shared" si="50"/>
        <v>0</v>
      </c>
      <c r="AL39" s="49">
        <f>-'[4]Table 5C1F-Lake Charles Charter'!P38</f>
        <v>0</v>
      </c>
      <c r="AM39" s="49">
        <f t="shared" si="51"/>
        <v>0</v>
      </c>
      <c r="AN39" s="49">
        <f t="shared" si="52"/>
        <v>0</v>
      </c>
    </row>
    <row r="40" spans="1:40">
      <c r="A40" s="876">
        <v>33</v>
      </c>
      <c r="B40" s="877" t="s">
        <v>124</v>
      </c>
      <c r="C40" s="972">
        <f>'2-1-13 SIS'!M39</f>
        <v>0</v>
      </c>
      <c r="D40" s="882">
        <f>'Table 3 Levels 1&amp;2'!AL40</f>
        <v>5329.5444226517857</v>
      </c>
      <c r="E40" s="921">
        <f t="shared" si="30"/>
        <v>0</v>
      </c>
      <c r="F40" s="921">
        <f>'Table 4 Level 3'!P38</f>
        <v>655.31000000000006</v>
      </c>
      <c r="G40" s="921">
        <f t="shared" si="31"/>
        <v>0</v>
      </c>
      <c r="H40" s="905">
        <f t="shared" si="32"/>
        <v>0</v>
      </c>
      <c r="I40" s="1734">
        <f>+'[3]Oct midyear Lake Charles Chtr'!K39</f>
        <v>0</v>
      </c>
      <c r="J40" s="1734">
        <f>'[3]Feb midyear Lake Charles Ch'!K39</f>
        <v>0</v>
      </c>
      <c r="K40" s="1545">
        <f t="shared" si="33"/>
        <v>0</v>
      </c>
      <c r="L40" s="1489">
        <f t="shared" si="34"/>
        <v>0</v>
      </c>
      <c r="M40" s="931">
        <f t="shared" si="35"/>
        <v>0</v>
      </c>
      <c r="N40" s="905">
        <f t="shared" si="36"/>
        <v>0</v>
      </c>
      <c r="O40" s="882">
        <v>0</v>
      </c>
      <c r="P40" s="1552">
        <f t="shared" si="37"/>
        <v>0</v>
      </c>
      <c r="Q40" s="1721">
        <f>+'[4]Table 5C1F-Lake Charles Charter'!M39*8</f>
        <v>0</v>
      </c>
      <c r="R40" s="1734">
        <f t="shared" si="38"/>
        <v>0</v>
      </c>
      <c r="S40" s="1552">
        <f t="shared" si="39"/>
        <v>0</v>
      </c>
      <c r="T40" s="1802">
        <f>'Table 5C1A-Madison Prep'!T40</f>
        <v>3501</v>
      </c>
      <c r="U40" s="1555">
        <f t="shared" si="40"/>
        <v>0</v>
      </c>
      <c r="V40" s="1758">
        <f>+'[3]Oct midyear Lake Charles Chtr'!E39</f>
        <v>0</v>
      </c>
      <c r="W40" s="1759">
        <f t="shared" si="41"/>
        <v>0</v>
      </c>
      <c r="X40" s="1758">
        <f>'[3]Feb midyear Lake Charles Ch'!E39</f>
        <v>0</v>
      </c>
      <c r="Y40" s="1759">
        <f t="shared" si="42"/>
        <v>0</v>
      </c>
      <c r="Z40" s="1653">
        <f t="shared" si="43"/>
        <v>0</v>
      </c>
      <c r="AA40" s="1486">
        <f t="shared" si="44"/>
        <v>0</v>
      </c>
      <c r="AB40" s="937">
        <f t="shared" si="45"/>
        <v>0</v>
      </c>
      <c r="AC40" s="899">
        <f t="shared" si="46"/>
        <v>0</v>
      </c>
      <c r="AD40" s="1830">
        <v>0</v>
      </c>
      <c r="AE40" s="899">
        <f t="shared" si="47"/>
        <v>0</v>
      </c>
      <c r="AF40" s="1834">
        <f>+'[4]Table 5C1F-Lake Charles Charter'!T39*8</f>
        <v>0</v>
      </c>
      <c r="AG40" s="1834">
        <f t="shared" si="48"/>
        <v>0</v>
      </c>
      <c r="AH40" s="899">
        <f t="shared" si="49"/>
        <v>0</v>
      </c>
      <c r="AI40" s="900">
        <f t="shared" ref="AI40:AI76" si="53">P40+AE40</f>
        <v>0</v>
      </c>
      <c r="AJ40" s="900">
        <f t="shared" si="50"/>
        <v>0</v>
      </c>
      <c r="AL40" s="49">
        <f>-'[4]Table 5C1F-Lake Charles Charter'!P39</f>
        <v>0</v>
      </c>
      <c r="AM40" s="49">
        <f t="shared" si="51"/>
        <v>0</v>
      </c>
      <c r="AN40" s="49">
        <f t="shared" si="52"/>
        <v>0</v>
      </c>
    </row>
    <row r="41" spans="1:40">
      <c r="A41" s="876">
        <v>34</v>
      </c>
      <c r="B41" s="877" t="s">
        <v>125</v>
      </c>
      <c r="C41" s="972">
        <f>'2-1-13 SIS'!M40</f>
        <v>0</v>
      </c>
      <c r="D41" s="882">
        <f>'Table 3 Levels 1&amp;2'!AL41</f>
        <v>6003.632932007491</v>
      </c>
      <c r="E41" s="921">
        <f t="shared" si="30"/>
        <v>0</v>
      </c>
      <c r="F41" s="921">
        <f>'Table 4 Level 3'!P39</f>
        <v>644.11000000000013</v>
      </c>
      <c r="G41" s="921">
        <f t="shared" si="31"/>
        <v>0</v>
      </c>
      <c r="H41" s="905">
        <f t="shared" si="32"/>
        <v>0</v>
      </c>
      <c r="I41" s="1734">
        <f>+'[3]Oct midyear Lake Charles Chtr'!K40</f>
        <v>0</v>
      </c>
      <c r="J41" s="1734">
        <f>'[3]Feb midyear Lake Charles Ch'!K40</f>
        <v>0</v>
      </c>
      <c r="K41" s="1545">
        <f t="shared" si="33"/>
        <v>0</v>
      </c>
      <c r="L41" s="1489">
        <f t="shared" si="34"/>
        <v>0</v>
      </c>
      <c r="M41" s="931">
        <f t="shared" si="35"/>
        <v>0</v>
      </c>
      <c r="N41" s="905">
        <f t="shared" si="36"/>
        <v>0</v>
      </c>
      <c r="O41" s="882">
        <v>0</v>
      </c>
      <c r="P41" s="1552">
        <f t="shared" si="37"/>
        <v>0</v>
      </c>
      <c r="Q41" s="1721">
        <f>+'[4]Table 5C1F-Lake Charles Charter'!M40*8</f>
        <v>0</v>
      </c>
      <c r="R41" s="1734">
        <f t="shared" si="38"/>
        <v>0</v>
      </c>
      <c r="S41" s="1552">
        <f t="shared" si="39"/>
        <v>0</v>
      </c>
      <c r="T41" s="1802">
        <f>'Table 5C1A-Madison Prep'!T41</f>
        <v>2772</v>
      </c>
      <c r="U41" s="1555">
        <f t="shared" si="40"/>
        <v>0</v>
      </c>
      <c r="V41" s="1758">
        <f>+'[3]Oct midyear Lake Charles Chtr'!E40</f>
        <v>0</v>
      </c>
      <c r="W41" s="1759">
        <f t="shared" si="41"/>
        <v>0</v>
      </c>
      <c r="X41" s="1758">
        <f>'[3]Feb midyear Lake Charles Ch'!E40</f>
        <v>0</v>
      </c>
      <c r="Y41" s="1759">
        <f t="shared" si="42"/>
        <v>0</v>
      </c>
      <c r="Z41" s="1653">
        <f t="shared" si="43"/>
        <v>0</v>
      </c>
      <c r="AA41" s="1486">
        <f t="shared" si="44"/>
        <v>0</v>
      </c>
      <c r="AB41" s="937">
        <f t="shared" si="45"/>
        <v>0</v>
      </c>
      <c r="AC41" s="899">
        <f t="shared" si="46"/>
        <v>0</v>
      </c>
      <c r="AD41" s="1830">
        <v>0</v>
      </c>
      <c r="AE41" s="899">
        <f t="shared" si="47"/>
        <v>0</v>
      </c>
      <c r="AF41" s="1834">
        <f>+'[4]Table 5C1F-Lake Charles Charter'!T40*8</f>
        <v>0</v>
      </c>
      <c r="AG41" s="1834">
        <f t="shared" si="48"/>
        <v>0</v>
      </c>
      <c r="AH41" s="899">
        <f t="shared" si="49"/>
        <v>0</v>
      </c>
      <c r="AI41" s="900">
        <f t="shared" si="53"/>
        <v>0</v>
      </c>
      <c r="AJ41" s="900">
        <f t="shared" si="50"/>
        <v>0</v>
      </c>
      <c r="AL41" s="49">
        <f>-'[4]Table 5C1F-Lake Charles Charter'!P40</f>
        <v>0</v>
      </c>
      <c r="AM41" s="49">
        <f t="shared" si="51"/>
        <v>0</v>
      </c>
      <c r="AN41" s="49">
        <f t="shared" si="52"/>
        <v>0</v>
      </c>
    </row>
    <row r="42" spans="1:40">
      <c r="A42" s="879">
        <v>35</v>
      </c>
      <c r="B42" s="880" t="s">
        <v>126</v>
      </c>
      <c r="C42" s="973">
        <f>'2-1-13 SIS'!M41</f>
        <v>0</v>
      </c>
      <c r="D42" s="883">
        <f>'Table 3 Levels 1&amp;2'!AL42</f>
        <v>4607.1606416222867</v>
      </c>
      <c r="E42" s="922">
        <f t="shared" si="30"/>
        <v>0</v>
      </c>
      <c r="F42" s="922">
        <f>'Table 4 Level 3'!P40</f>
        <v>537.96</v>
      </c>
      <c r="G42" s="922">
        <f t="shared" si="31"/>
        <v>0</v>
      </c>
      <c r="H42" s="906">
        <f t="shared" si="32"/>
        <v>0</v>
      </c>
      <c r="I42" s="1735">
        <f>+'[3]Oct midyear Lake Charles Chtr'!K41</f>
        <v>0</v>
      </c>
      <c r="J42" s="1735">
        <f>'[3]Feb midyear Lake Charles Ch'!K41</f>
        <v>0</v>
      </c>
      <c r="K42" s="1546">
        <f t="shared" si="33"/>
        <v>0</v>
      </c>
      <c r="L42" s="1490">
        <f t="shared" si="34"/>
        <v>0</v>
      </c>
      <c r="M42" s="932">
        <f t="shared" si="35"/>
        <v>0</v>
      </c>
      <c r="N42" s="906">
        <f t="shared" si="36"/>
        <v>0</v>
      </c>
      <c r="O42" s="883">
        <v>0</v>
      </c>
      <c r="P42" s="1553">
        <f t="shared" si="37"/>
        <v>0</v>
      </c>
      <c r="Q42" s="1722">
        <f>+'[4]Table 5C1F-Lake Charles Charter'!M41*8</f>
        <v>0</v>
      </c>
      <c r="R42" s="1735">
        <f t="shared" si="38"/>
        <v>0</v>
      </c>
      <c r="S42" s="1553">
        <f t="shared" si="39"/>
        <v>0</v>
      </c>
      <c r="T42" s="1807">
        <f>'Table 5C1A-Madison Prep'!T42</f>
        <v>3140</v>
      </c>
      <c r="U42" s="1556">
        <f t="shared" si="40"/>
        <v>0</v>
      </c>
      <c r="V42" s="1762">
        <f>+'[3]Oct midyear Lake Charles Chtr'!E41</f>
        <v>0</v>
      </c>
      <c r="W42" s="1763">
        <f t="shared" si="41"/>
        <v>0</v>
      </c>
      <c r="X42" s="1762">
        <f>'[3]Feb midyear Lake Charles Ch'!E41</f>
        <v>0</v>
      </c>
      <c r="Y42" s="1763">
        <f t="shared" si="42"/>
        <v>0</v>
      </c>
      <c r="Z42" s="1654">
        <f t="shared" si="43"/>
        <v>0</v>
      </c>
      <c r="AA42" s="1488">
        <f t="shared" si="44"/>
        <v>0</v>
      </c>
      <c r="AB42" s="938">
        <f t="shared" si="45"/>
        <v>0</v>
      </c>
      <c r="AC42" s="903">
        <f t="shared" si="46"/>
        <v>0</v>
      </c>
      <c r="AD42" s="1831">
        <v>0</v>
      </c>
      <c r="AE42" s="903">
        <f t="shared" si="47"/>
        <v>0</v>
      </c>
      <c r="AF42" s="1835">
        <f>+'[4]Table 5C1F-Lake Charles Charter'!T41*8</f>
        <v>0</v>
      </c>
      <c r="AG42" s="1835">
        <f t="shared" si="48"/>
        <v>0</v>
      </c>
      <c r="AH42" s="903">
        <f t="shared" si="49"/>
        <v>0</v>
      </c>
      <c r="AI42" s="904">
        <f t="shared" si="53"/>
        <v>0</v>
      </c>
      <c r="AJ42" s="904">
        <f t="shared" si="50"/>
        <v>0</v>
      </c>
      <c r="AL42" s="49">
        <f>-'[4]Table 5C1F-Lake Charles Charter'!P41</f>
        <v>0</v>
      </c>
      <c r="AM42" s="49">
        <f t="shared" si="51"/>
        <v>0</v>
      </c>
      <c r="AN42" s="49">
        <f t="shared" si="52"/>
        <v>0</v>
      </c>
    </row>
    <row r="43" spans="1:40">
      <c r="A43" s="870">
        <v>36</v>
      </c>
      <c r="B43" s="871" t="s">
        <v>127</v>
      </c>
      <c r="C43" s="974">
        <f>'2-1-13 SIS'!M42</f>
        <v>0</v>
      </c>
      <c r="D43" s="884">
        <f>'Table 3 Levels 1&amp;2'!AL43</f>
        <v>3520.4894337711748</v>
      </c>
      <c r="E43" s="923">
        <f t="shared" si="30"/>
        <v>0</v>
      </c>
      <c r="F43" s="923">
        <f>'Table 5B1_RSD_Orleans'!F78</f>
        <v>746.0335616438357</v>
      </c>
      <c r="G43" s="923">
        <f t="shared" si="31"/>
        <v>0</v>
      </c>
      <c r="H43" s="907">
        <f t="shared" si="32"/>
        <v>0</v>
      </c>
      <c r="I43" s="1723">
        <f>+'[3]Oct midyear Lake Charles Chtr'!K42</f>
        <v>0</v>
      </c>
      <c r="J43" s="1723">
        <f>'[3]Feb midyear Lake Charles Ch'!K42</f>
        <v>0</v>
      </c>
      <c r="K43" s="1547">
        <f t="shared" si="33"/>
        <v>0</v>
      </c>
      <c r="L43" s="1491">
        <f t="shared" si="34"/>
        <v>0</v>
      </c>
      <c r="M43" s="933">
        <f t="shared" si="35"/>
        <v>0</v>
      </c>
      <c r="N43" s="907">
        <f t="shared" si="36"/>
        <v>0</v>
      </c>
      <c r="O43" s="884">
        <v>0</v>
      </c>
      <c r="P43" s="996">
        <f t="shared" si="37"/>
        <v>0</v>
      </c>
      <c r="Q43" s="1723">
        <f>+'[4]Table 5C1F-Lake Charles Charter'!M42*8</f>
        <v>0</v>
      </c>
      <c r="R43" s="1723">
        <f t="shared" si="38"/>
        <v>0</v>
      </c>
      <c r="S43" s="996">
        <f t="shared" si="39"/>
        <v>0</v>
      </c>
      <c r="T43" s="1802">
        <f>'Table 5C1A-Madison Prep'!T43</f>
        <v>5433</v>
      </c>
      <c r="U43" s="999">
        <f t="shared" si="40"/>
        <v>0</v>
      </c>
      <c r="V43" s="1754">
        <f>+'[3]Oct midyear Lake Charles Chtr'!E42</f>
        <v>0</v>
      </c>
      <c r="W43" s="1755">
        <f t="shared" si="41"/>
        <v>0</v>
      </c>
      <c r="X43" s="1754">
        <f>'[3]Feb midyear Lake Charles Ch'!E42</f>
        <v>0</v>
      </c>
      <c r="Y43" s="1755">
        <f t="shared" si="42"/>
        <v>0</v>
      </c>
      <c r="Z43" s="1652">
        <f t="shared" si="43"/>
        <v>0</v>
      </c>
      <c r="AA43" s="1521">
        <f t="shared" si="44"/>
        <v>0</v>
      </c>
      <c r="AB43" s="936">
        <f t="shared" si="45"/>
        <v>0</v>
      </c>
      <c r="AC43" s="874">
        <f t="shared" si="46"/>
        <v>0</v>
      </c>
      <c r="AD43" s="1829">
        <v>0</v>
      </c>
      <c r="AE43" s="874">
        <f t="shared" si="47"/>
        <v>0</v>
      </c>
      <c r="AF43" s="1829">
        <f>+'[4]Table 5C1F-Lake Charles Charter'!T42*8</f>
        <v>0</v>
      </c>
      <c r="AG43" s="1829">
        <f t="shared" si="48"/>
        <v>0</v>
      </c>
      <c r="AH43" s="874">
        <f t="shared" si="49"/>
        <v>0</v>
      </c>
      <c r="AI43" s="875">
        <f t="shared" si="53"/>
        <v>0</v>
      </c>
      <c r="AJ43" s="875">
        <f t="shared" si="50"/>
        <v>0</v>
      </c>
      <c r="AL43" s="49">
        <f>-'[4]Table 5C1F-Lake Charles Charter'!P42</f>
        <v>0</v>
      </c>
      <c r="AM43" s="49">
        <f t="shared" si="51"/>
        <v>0</v>
      </c>
      <c r="AN43" s="49">
        <f t="shared" si="52"/>
        <v>0</v>
      </c>
    </row>
    <row r="44" spans="1:40">
      <c r="A44" s="876">
        <v>37</v>
      </c>
      <c r="B44" s="877" t="s">
        <v>128</v>
      </c>
      <c r="C44" s="972">
        <f>'2-1-13 SIS'!M43</f>
        <v>0</v>
      </c>
      <c r="D44" s="882">
        <f>'Table 3 Levels 1&amp;2'!AL44</f>
        <v>5503.7595641818853</v>
      </c>
      <c r="E44" s="921">
        <f t="shared" si="30"/>
        <v>0</v>
      </c>
      <c r="F44" s="921">
        <f>'Table 4 Level 3'!P42</f>
        <v>653.61</v>
      </c>
      <c r="G44" s="921">
        <f t="shared" si="31"/>
        <v>0</v>
      </c>
      <c r="H44" s="905">
        <f t="shared" si="32"/>
        <v>0</v>
      </c>
      <c r="I44" s="1734">
        <f>+'[3]Oct midyear Lake Charles Chtr'!K43</f>
        <v>0</v>
      </c>
      <c r="J44" s="1734">
        <f>'[3]Feb midyear Lake Charles Ch'!K43</f>
        <v>0</v>
      </c>
      <c r="K44" s="1545">
        <f t="shared" si="33"/>
        <v>0</v>
      </c>
      <c r="L44" s="1489">
        <f t="shared" si="34"/>
        <v>0</v>
      </c>
      <c r="M44" s="931">
        <f t="shared" si="35"/>
        <v>0</v>
      </c>
      <c r="N44" s="905">
        <f t="shared" si="36"/>
        <v>0</v>
      </c>
      <c r="O44" s="882">
        <v>0</v>
      </c>
      <c r="P44" s="1552">
        <f t="shared" si="37"/>
        <v>0</v>
      </c>
      <c r="Q44" s="1721">
        <f>+'[4]Table 5C1F-Lake Charles Charter'!M43*8</f>
        <v>0</v>
      </c>
      <c r="R44" s="1734">
        <f t="shared" si="38"/>
        <v>0</v>
      </c>
      <c r="S44" s="1552">
        <f t="shared" si="39"/>
        <v>0</v>
      </c>
      <c r="T44" s="1802">
        <f>'Table 5C1A-Madison Prep'!T44</f>
        <v>3310</v>
      </c>
      <c r="U44" s="1555">
        <f t="shared" si="40"/>
        <v>0</v>
      </c>
      <c r="V44" s="1758">
        <f>+'[3]Oct midyear Lake Charles Chtr'!E43</f>
        <v>0</v>
      </c>
      <c r="W44" s="1759">
        <f t="shared" si="41"/>
        <v>0</v>
      </c>
      <c r="X44" s="1758">
        <f>'[3]Feb midyear Lake Charles Ch'!E43</f>
        <v>0</v>
      </c>
      <c r="Y44" s="1759">
        <f t="shared" si="42"/>
        <v>0</v>
      </c>
      <c r="Z44" s="1653">
        <f t="shared" si="43"/>
        <v>0</v>
      </c>
      <c r="AA44" s="1486">
        <f t="shared" si="44"/>
        <v>0</v>
      </c>
      <c r="AB44" s="937">
        <f t="shared" si="45"/>
        <v>0</v>
      </c>
      <c r="AC44" s="899">
        <f t="shared" si="46"/>
        <v>0</v>
      </c>
      <c r="AD44" s="1830">
        <v>0</v>
      </c>
      <c r="AE44" s="899">
        <f t="shared" si="47"/>
        <v>0</v>
      </c>
      <c r="AF44" s="1834">
        <f>+'[4]Table 5C1F-Lake Charles Charter'!T43*8</f>
        <v>0</v>
      </c>
      <c r="AG44" s="1834">
        <f t="shared" si="48"/>
        <v>0</v>
      </c>
      <c r="AH44" s="899">
        <f t="shared" si="49"/>
        <v>0</v>
      </c>
      <c r="AI44" s="900">
        <f t="shared" si="53"/>
        <v>0</v>
      </c>
      <c r="AJ44" s="900">
        <f t="shared" si="50"/>
        <v>0</v>
      </c>
      <c r="AL44" s="49">
        <f>-'[4]Table 5C1F-Lake Charles Charter'!P43</f>
        <v>0</v>
      </c>
      <c r="AM44" s="49">
        <f t="shared" si="51"/>
        <v>0</v>
      </c>
      <c r="AN44" s="49">
        <f t="shared" si="52"/>
        <v>0</v>
      </c>
    </row>
    <row r="45" spans="1:40">
      <c r="A45" s="876">
        <v>38</v>
      </c>
      <c r="B45" s="877" t="s">
        <v>129</v>
      </c>
      <c r="C45" s="972">
        <f>'2-1-13 SIS'!M44</f>
        <v>0</v>
      </c>
      <c r="D45" s="882">
        <f>'Table 3 Levels 1&amp;2'!AL45</f>
        <v>2192.7545275590551</v>
      </c>
      <c r="E45" s="921">
        <f t="shared" si="30"/>
        <v>0</v>
      </c>
      <c r="F45" s="921">
        <f>'Table 4 Level 3'!P43</f>
        <v>829.92000000000007</v>
      </c>
      <c r="G45" s="921">
        <f t="shared" si="31"/>
        <v>0</v>
      </c>
      <c r="H45" s="905">
        <f t="shared" si="32"/>
        <v>0</v>
      </c>
      <c r="I45" s="1734">
        <f>+'[3]Oct midyear Lake Charles Chtr'!K44</f>
        <v>0</v>
      </c>
      <c r="J45" s="1734">
        <f>'[3]Feb midyear Lake Charles Ch'!K44</f>
        <v>0</v>
      </c>
      <c r="K45" s="1545">
        <f t="shared" si="33"/>
        <v>0</v>
      </c>
      <c r="L45" s="1489">
        <f t="shared" si="34"/>
        <v>0</v>
      </c>
      <c r="M45" s="931">
        <f t="shared" si="35"/>
        <v>0</v>
      </c>
      <c r="N45" s="905">
        <f t="shared" si="36"/>
        <v>0</v>
      </c>
      <c r="O45" s="882">
        <v>0</v>
      </c>
      <c r="P45" s="1552">
        <f t="shared" si="37"/>
        <v>0</v>
      </c>
      <c r="Q45" s="1721">
        <f>+'[4]Table 5C1F-Lake Charles Charter'!M44*8</f>
        <v>0</v>
      </c>
      <c r="R45" s="1734">
        <f t="shared" si="38"/>
        <v>0</v>
      </c>
      <c r="S45" s="1552">
        <f t="shared" si="39"/>
        <v>0</v>
      </c>
      <c r="T45" s="1802">
        <f>'Table 5C1A-Madison Prep'!T45</f>
        <v>12521</v>
      </c>
      <c r="U45" s="1555">
        <f t="shared" si="40"/>
        <v>0</v>
      </c>
      <c r="V45" s="1758">
        <f>+'[3]Oct midyear Lake Charles Chtr'!E44</f>
        <v>0</v>
      </c>
      <c r="W45" s="1759">
        <f t="shared" si="41"/>
        <v>0</v>
      </c>
      <c r="X45" s="1758">
        <f>'[3]Feb midyear Lake Charles Ch'!E44</f>
        <v>0</v>
      </c>
      <c r="Y45" s="1759">
        <f t="shared" si="42"/>
        <v>0</v>
      </c>
      <c r="Z45" s="1653">
        <f t="shared" si="43"/>
        <v>0</v>
      </c>
      <c r="AA45" s="1486">
        <f t="shared" si="44"/>
        <v>0</v>
      </c>
      <c r="AB45" s="937">
        <f t="shared" si="45"/>
        <v>0</v>
      </c>
      <c r="AC45" s="899">
        <f t="shared" si="46"/>
        <v>0</v>
      </c>
      <c r="AD45" s="1830">
        <v>0</v>
      </c>
      <c r="AE45" s="899">
        <f t="shared" si="47"/>
        <v>0</v>
      </c>
      <c r="AF45" s="1834">
        <f>+'[4]Table 5C1F-Lake Charles Charter'!T44*8</f>
        <v>0</v>
      </c>
      <c r="AG45" s="1834">
        <f t="shared" si="48"/>
        <v>0</v>
      </c>
      <c r="AH45" s="899">
        <f t="shared" si="49"/>
        <v>0</v>
      </c>
      <c r="AI45" s="900">
        <f t="shared" si="53"/>
        <v>0</v>
      </c>
      <c r="AJ45" s="900">
        <f t="shared" si="50"/>
        <v>0</v>
      </c>
      <c r="AL45" s="49">
        <f>-'[4]Table 5C1F-Lake Charles Charter'!P44</f>
        <v>0</v>
      </c>
      <c r="AM45" s="49">
        <f t="shared" si="51"/>
        <v>0</v>
      </c>
      <c r="AN45" s="49">
        <f t="shared" si="52"/>
        <v>0</v>
      </c>
    </row>
    <row r="46" spans="1:40">
      <c r="A46" s="876">
        <v>39</v>
      </c>
      <c r="B46" s="877" t="s">
        <v>130</v>
      </c>
      <c r="C46" s="972">
        <f>'2-1-13 SIS'!M45</f>
        <v>0</v>
      </c>
      <c r="D46" s="882">
        <f>'Table 3 Levels 1&amp;2'!AL46</f>
        <v>3639.9942778062696</v>
      </c>
      <c r="E46" s="921">
        <f t="shared" si="30"/>
        <v>0</v>
      </c>
      <c r="F46" s="921">
        <f>'Table 5B2_RSD_LA'!F21</f>
        <v>779.65573042776441</v>
      </c>
      <c r="G46" s="921">
        <f t="shared" si="31"/>
        <v>0</v>
      </c>
      <c r="H46" s="905">
        <f t="shared" si="32"/>
        <v>0</v>
      </c>
      <c r="I46" s="1734">
        <f>+'[3]Oct midyear Lake Charles Chtr'!K45</f>
        <v>0</v>
      </c>
      <c r="J46" s="1734">
        <f>'[3]Feb midyear Lake Charles Ch'!K45</f>
        <v>0</v>
      </c>
      <c r="K46" s="1545">
        <f t="shared" si="33"/>
        <v>0</v>
      </c>
      <c r="L46" s="1489">
        <f t="shared" si="34"/>
        <v>0</v>
      </c>
      <c r="M46" s="931">
        <f t="shared" si="35"/>
        <v>0</v>
      </c>
      <c r="N46" s="905">
        <f t="shared" si="36"/>
        <v>0</v>
      </c>
      <c r="O46" s="882">
        <v>0</v>
      </c>
      <c r="P46" s="1552">
        <f t="shared" si="37"/>
        <v>0</v>
      </c>
      <c r="Q46" s="1721">
        <f>+'[4]Table 5C1F-Lake Charles Charter'!M45*8</f>
        <v>0</v>
      </c>
      <c r="R46" s="1734">
        <f t="shared" si="38"/>
        <v>0</v>
      </c>
      <c r="S46" s="1552">
        <f t="shared" si="39"/>
        <v>0</v>
      </c>
      <c r="T46" s="1802">
        <f>'Table 5C1A-Madison Prep'!T46</f>
        <v>4436</v>
      </c>
      <c r="U46" s="1555">
        <f t="shared" si="40"/>
        <v>0</v>
      </c>
      <c r="V46" s="1758">
        <f>+'[3]Oct midyear Lake Charles Chtr'!E45</f>
        <v>0</v>
      </c>
      <c r="W46" s="1759">
        <f t="shared" si="41"/>
        <v>0</v>
      </c>
      <c r="X46" s="1758">
        <f>'[3]Feb midyear Lake Charles Ch'!E45</f>
        <v>0</v>
      </c>
      <c r="Y46" s="1759">
        <f t="shared" si="42"/>
        <v>0</v>
      </c>
      <c r="Z46" s="1653">
        <f t="shared" si="43"/>
        <v>0</v>
      </c>
      <c r="AA46" s="1486">
        <f t="shared" si="44"/>
        <v>0</v>
      </c>
      <c r="AB46" s="937">
        <f t="shared" si="45"/>
        <v>0</v>
      </c>
      <c r="AC46" s="899">
        <f t="shared" si="46"/>
        <v>0</v>
      </c>
      <c r="AD46" s="1830">
        <v>0</v>
      </c>
      <c r="AE46" s="899">
        <f t="shared" si="47"/>
        <v>0</v>
      </c>
      <c r="AF46" s="1834">
        <f>+'[4]Table 5C1F-Lake Charles Charter'!T45*8</f>
        <v>0</v>
      </c>
      <c r="AG46" s="1834">
        <f t="shared" si="48"/>
        <v>0</v>
      </c>
      <c r="AH46" s="899">
        <f t="shared" si="49"/>
        <v>0</v>
      </c>
      <c r="AI46" s="900">
        <f t="shared" si="53"/>
        <v>0</v>
      </c>
      <c r="AJ46" s="900">
        <f t="shared" si="50"/>
        <v>0</v>
      </c>
      <c r="AL46" s="49">
        <f>-'[4]Table 5C1F-Lake Charles Charter'!P45</f>
        <v>0</v>
      </c>
      <c r="AM46" s="49">
        <f t="shared" si="51"/>
        <v>0</v>
      </c>
      <c r="AN46" s="49">
        <f t="shared" si="52"/>
        <v>0</v>
      </c>
    </row>
    <row r="47" spans="1:40">
      <c r="A47" s="879">
        <v>40</v>
      </c>
      <c r="B47" s="880" t="s">
        <v>131</v>
      </c>
      <c r="C47" s="973">
        <f>'2-1-13 SIS'!M46</f>
        <v>0</v>
      </c>
      <c r="D47" s="883">
        <f>'Table 3 Levels 1&amp;2'!AL47</f>
        <v>4928.4974462701202</v>
      </c>
      <c r="E47" s="922">
        <f t="shared" si="30"/>
        <v>0</v>
      </c>
      <c r="F47" s="922">
        <f>'Table 4 Level 3'!P45</f>
        <v>700.2700000000001</v>
      </c>
      <c r="G47" s="922">
        <f t="shared" si="31"/>
        <v>0</v>
      </c>
      <c r="H47" s="906">
        <f t="shared" si="32"/>
        <v>0</v>
      </c>
      <c r="I47" s="1735">
        <f>+'[3]Oct midyear Lake Charles Chtr'!K46</f>
        <v>0</v>
      </c>
      <c r="J47" s="1735">
        <f>'[3]Feb midyear Lake Charles Ch'!K46</f>
        <v>0</v>
      </c>
      <c r="K47" s="1546">
        <f t="shared" si="33"/>
        <v>0</v>
      </c>
      <c r="L47" s="1490">
        <f t="shared" si="34"/>
        <v>0</v>
      </c>
      <c r="M47" s="932">
        <f t="shared" si="35"/>
        <v>0</v>
      </c>
      <c r="N47" s="906">
        <f t="shared" si="36"/>
        <v>0</v>
      </c>
      <c r="O47" s="883">
        <v>0</v>
      </c>
      <c r="P47" s="1553">
        <f t="shared" si="37"/>
        <v>0</v>
      </c>
      <c r="Q47" s="1722">
        <f>+'[4]Table 5C1F-Lake Charles Charter'!M46*8</f>
        <v>0</v>
      </c>
      <c r="R47" s="1735">
        <f t="shared" si="38"/>
        <v>0</v>
      </c>
      <c r="S47" s="1553">
        <f t="shared" si="39"/>
        <v>0</v>
      </c>
      <c r="T47" s="1807">
        <f>'Table 5C1A-Madison Prep'!T47</f>
        <v>3019</v>
      </c>
      <c r="U47" s="1556">
        <f t="shared" si="40"/>
        <v>0</v>
      </c>
      <c r="V47" s="1762">
        <f>+'[3]Oct midyear Lake Charles Chtr'!E46</f>
        <v>0</v>
      </c>
      <c r="W47" s="1763">
        <f t="shared" si="41"/>
        <v>0</v>
      </c>
      <c r="X47" s="1762">
        <f>'[3]Feb midyear Lake Charles Ch'!E46</f>
        <v>0</v>
      </c>
      <c r="Y47" s="1763">
        <f t="shared" si="42"/>
        <v>0</v>
      </c>
      <c r="Z47" s="1654">
        <f t="shared" si="43"/>
        <v>0</v>
      </c>
      <c r="AA47" s="1488">
        <f t="shared" si="44"/>
        <v>0</v>
      </c>
      <c r="AB47" s="938">
        <f t="shared" si="45"/>
        <v>0</v>
      </c>
      <c r="AC47" s="903">
        <f t="shared" si="46"/>
        <v>0</v>
      </c>
      <c r="AD47" s="1831">
        <v>0</v>
      </c>
      <c r="AE47" s="903">
        <f t="shared" si="47"/>
        <v>0</v>
      </c>
      <c r="AF47" s="1835">
        <f>+'[4]Table 5C1F-Lake Charles Charter'!T46*8</f>
        <v>0</v>
      </c>
      <c r="AG47" s="1835">
        <f t="shared" si="48"/>
        <v>0</v>
      </c>
      <c r="AH47" s="903">
        <f t="shared" si="49"/>
        <v>0</v>
      </c>
      <c r="AI47" s="904">
        <f t="shared" si="53"/>
        <v>0</v>
      </c>
      <c r="AJ47" s="904">
        <f t="shared" si="50"/>
        <v>0</v>
      </c>
      <c r="AL47" s="49">
        <f>-'[4]Table 5C1F-Lake Charles Charter'!P46</f>
        <v>0</v>
      </c>
      <c r="AM47" s="49">
        <f t="shared" si="51"/>
        <v>0</v>
      </c>
      <c r="AN47" s="49">
        <f t="shared" si="52"/>
        <v>0</v>
      </c>
    </row>
    <row r="48" spans="1:40">
      <c r="A48" s="870">
        <v>41</v>
      </c>
      <c r="B48" s="871" t="s">
        <v>132</v>
      </c>
      <c r="C48" s="974">
        <f>'2-1-13 SIS'!M47</f>
        <v>0</v>
      </c>
      <c r="D48" s="884">
        <f>'Table 3 Levels 1&amp;2'!AL48</f>
        <v>1615.6013465627216</v>
      </c>
      <c r="E48" s="923">
        <f t="shared" si="30"/>
        <v>0</v>
      </c>
      <c r="F48" s="923">
        <f>'Table 4 Level 3'!P46</f>
        <v>886.22</v>
      </c>
      <c r="G48" s="923">
        <f t="shared" si="31"/>
        <v>0</v>
      </c>
      <c r="H48" s="907">
        <f t="shared" si="32"/>
        <v>0</v>
      </c>
      <c r="I48" s="1723">
        <f>+'[3]Oct midyear Lake Charles Chtr'!K47</f>
        <v>0</v>
      </c>
      <c r="J48" s="1723">
        <f>'[3]Feb midyear Lake Charles Ch'!K47</f>
        <v>0</v>
      </c>
      <c r="K48" s="1547">
        <f t="shared" si="33"/>
        <v>0</v>
      </c>
      <c r="L48" s="1491">
        <f t="shared" si="34"/>
        <v>0</v>
      </c>
      <c r="M48" s="933">
        <f t="shared" si="35"/>
        <v>0</v>
      </c>
      <c r="N48" s="907">
        <f t="shared" si="36"/>
        <v>0</v>
      </c>
      <c r="O48" s="884">
        <v>0</v>
      </c>
      <c r="P48" s="996">
        <f t="shared" si="37"/>
        <v>0</v>
      </c>
      <c r="Q48" s="1723">
        <f>+'[4]Table 5C1F-Lake Charles Charter'!M47*8</f>
        <v>0</v>
      </c>
      <c r="R48" s="1723">
        <f t="shared" si="38"/>
        <v>0</v>
      </c>
      <c r="S48" s="996">
        <f t="shared" si="39"/>
        <v>0</v>
      </c>
      <c r="T48" s="1802">
        <f>'Table 5C1A-Madison Prep'!T48</f>
        <v>8964</v>
      </c>
      <c r="U48" s="999">
        <f t="shared" si="40"/>
        <v>0</v>
      </c>
      <c r="V48" s="1754">
        <f>+'[3]Oct midyear Lake Charles Chtr'!E47</f>
        <v>0</v>
      </c>
      <c r="W48" s="1755">
        <f t="shared" si="41"/>
        <v>0</v>
      </c>
      <c r="X48" s="1754">
        <f>'[3]Feb midyear Lake Charles Ch'!E47</f>
        <v>0</v>
      </c>
      <c r="Y48" s="1755">
        <f t="shared" si="42"/>
        <v>0</v>
      </c>
      <c r="Z48" s="1652">
        <f t="shared" si="43"/>
        <v>0</v>
      </c>
      <c r="AA48" s="1521">
        <f t="shared" si="44"/>
        <v>0</v>
      </c>
      <c r="AB48" s="936">
        <f t="shared" si="45"/>
        <v>0</v>
      </c>
      <c r="AC48" s="874">
        <f t="shared" si="46"/>
        <v>0</v>
      </c>
      <c r="AD48" s="1829">
        <v>0</v>
      </c>
      <c r="AE48" s="874">
        <f t="shared" si="47"/>
        <v>0</v>
      </c>
      <c r="AF48" s="1829">
        <f>+'[4]Table 5C1F-Lake Charles Charter'!T47*8</f>
        <v>0</v>
      </c>
      <c r="AG48" s="1829">
        <f t="shared" si="48"/>
        <v>0</v>
      </c>
      <c r="AH48" s="874">
        <f t="shared" si="49"/>
        <v>0</v>
      </c>
      <c r="AI48" s="875">
        <f t="shared" si="53"/>
        <v>0</v>
      </c>
      <c r="AJ48" s="875">
        <f t="shared" si="50"/>
        <v>0</v>
      </c>
      <c r="AL48" s="49">
        <f>-'[4]Table 5C1F-Lake Charles Charter'!P47</f>
        <v>0</v>
      </c>
      <c r="AM48" s="49">
        <f t="shared" si="51"/>
        <v>0</v>
      </c>
      <c r="AN48" s="49">
        <f t="shared" si="52"/>
        <v>0</v>
      </c>
    </row>
    <row r="49" spans="1:40">
      <c r="A49" s="876">
        <v>42</v>
      </c>
      <c r="B49" s="877" t="s">
        <v>133</v>
      </c>
      <c r="C49" s="972">
        <f>'2-1-13 SIS'!M48</f>
        <v>0</v>
      </c>
      <c r="D49" s="882">
        <f>'Table 3 Levels 1&amp;2'!AL49</f>
        <v>5087.4730460987803</v>
      </c>
      <c r="E49" s="921">
        <f t="shared" si="30"/>
        <v>0</v>
      </c>
      <c r="F49" s="921">
        <f>'Table 4 Level 3'!P47</f>
        <v>534.28</v>
      </c>
      <c r="G49" s="921">
        <f t="shared" si="31"/>
        <v>0</v>
      </c>
      <c r="H49" s="905">
        <f t="shared" si="32"/>
        <v>0</v>
      </c>
      <c r="I49" s="1734">
        <f>+'[3]Oct midyear Lake Charles Chtr'!K48</f>
        <v>0</v>
      </c>
      <c r="J49" s="1734">
        <f>'[3]Feb midyear Lake Charles Ch'!K48</f>
        <v>0</v>
      </c>
      <c r="K49" s="1545">
        <f t="shared" si="33"/>
        <v>0</v>
      </c>
      <c r="L49" s="1489">
        <f t="shared" si="34"/>
        <v>0</v>
      </c>
      <c r="M49" s="931">
        <f t="shared" si="35"/>
        <v>0</v>
      </c>
      <c r="N49" s="905">
        <f t="shared" si="36"/>
        <v>0</v>
      </c>
      <c r="O49" s="882">
        <v>0</v>
      </c>
      <c r="P49" s="1552">
        <f t="shared" si="37"/>
        <v>0</v>
      </c>
      <c r="Q49" s="1721">
        <f>+'[4]Table 5C1F-Lake Charles Charter'!M48*8</f>
        <v>0</v>
      </c>
      <c r="R49" s="1734">
        <f t="shared" si="38"/>
        <v>0</v>
      </c>
      <c r="S49" s="1552">
        <f t="shared" si="39"/>
        <v>0</v>
      </c>
      <c r="T49" s="1802">
        <f>'Table 5C1A-Madison Prep'!T49</f>
        <v>3535</v>
      </c>
      <c r="U49" s="1555">
        <f t="shared" si="40"/>
        <v>0</v>
      </c>
      <c r="V49" s="1758">
        <f>+'[3]Oct midyear Lake Charles Chtr'!E48</f>
        <v>0</v>
      </c>
      <c r="W49" s="1759">
        <f t="shared" si="41"/>
        <v>0</v>
      </c>
      <c r="X49" s="1758">
        <f>'[3]Feb midyear Lake Charles Ch'!E48</f>
        <v>0</v>
      </c>
      <c r="Y49" s="1759">
        <f t="shared" si="42"/>
        <v>0</v>
      </c>
      <c r="Z49" s="1653">
        <f t="shared" si="43"/>
        <v>0</v>
      </c>
      <c r="AA49" s="1486">
        <f t="shared" si="44"/>
        <v>0</v>
      </c>
      <c r="AB49" s="937">
        <f t="shared" si="45"/>
        <v>0</v>
      </c>
      <c r="AC49" s="899">
        <f t="shared" si="46"/>
        <v>0</v>
      </c>
      <c r="AD49" s="1830">
        <v>0</v>
      </c>
      <c r="AE49" s="899">
        <f t="shared" si="47"/>
        <v>0</v>
      </c>
      <c r="AF49" s="1834">
        <f>+'[4]Table 5C1F-Lake Charles Charter'!T48*8</f>
        <v>0</v>
      </c>
      <c r="AG49" s="1834">
        <f t="shared" si="48"/>
        <v>0</v>
      </c>
      <c r="AH49" s="899">
        <f t="shared" si="49"/>
        <v>0</v>
      </c>
      <c r="AI49" s="900">
        <f t="shared" si="53"/>
        <v>0</v>
      </c>
      <c r="AJ49" s="900">
        <f t="shared" si="50"/>
        <v>0</v>
      </c>
      <c r="AL49" s="49">
        <f>-'[4]Table 5C1F-Lake Charles Charter'!P48</f>
        <v>0</v>
      </c>
      <c r="AM49" s="49">
        <f t="shared" si="51"/>
        <v>0</v>
      </c>
      <c r="AN49" s="49">
        <f t="shared" si="52"/>
        <v>0</v>
      </c>
    </row>
    <row r="50" spans="1:40">
      <c r="A50" s="876">
        <v>43</v>
      </c>
      <c r="B50" s="877" t="s">
        <v>134</v>
      </c>
      <c r="C50" s="972">
        <f>'2-1-13 SIS'!M49</f>
        <v>0</v>
      </c>
      <c r="D50" s="882">
        <f>'Table 3 Levels 1&amp;2'!AL50</f>
        <v>4717.8414352725031</v>
      </c>
      <c r="E50" s="921">
        <f t="shared" si="30"/>
        <v>0</v>
      </c>
      <c r="F50" s="921">
        <f>'Table 4 Level 3'!P48</f>
        <v>574.6099999999999</v>
      </c>
      <c r="G50" s="921">
        <f t="shared" si="31"/>
        <v>0</v>
      </c>
      <c r="H50" s="905">
        <f t="shared" si="32"/>
        <v>0</v>
      </c>
      <c r="I50" s="1734">
        <f>+'[3]Oct midyear Lake Charles Chtr'!K49</f>
        <v>0</v>
      </c>
      <c r="J50" s="1734">
        <f>'[3]Feb midyear Lake Charles Ch'!K49</f>
        <v>0</v>
      </c>
      <c r="K50" s="1545">
        <f t="shared" si="33"/>
        <v>0</v>
      </c>
      <c r="L50" s="1489">
        <f t="shared" si="34"/>
        <v>0</v>
      </c>
      <c r="M50" s="931">
        <f t="shared" si="35"/>
        <v>0</v>
      </c>
      <c r="N50" s="905">
        <f t="shared" si="36"/>
        <v>0</v>
      </c>
      <c r="O50" s="882">
        <v>0</v>
      </c>
      <c r="P50" s="1552">
        <f t="shared" si="37"/>
        <v>0</v>
      </c>
      <c r="Q50" s="1721">
        <f>+'[4]Table 5C1F-Lake Charles Charter'!M49*8</f>
        <v>0</v>
      </c>
      <c r="R50" s="1734">
        <f t="shared" si="38"/>
        <v>0</v>
      </c>
      <c r="S50" s="1552">
        <f t="shared" si="39"/>
        <v>0</v>
      </c>
      <c r="T50" s="1802">
        <f>'Table 5C1A-Madison Prep'!T50</f>
        <v>3593</v>
      </c>
      <c r="U50" s="1555">
        <f t="shared" si="40"/>
        <v>0</v>
      </c>
      <c r="V50" s="1758">
        <f>+'[3]Oct midyear Lake Charles Chtr'!E49</f>
        <v>0</v>
      </c>
      <c r="W50" s="1759">
        <f t="shared" si="41"/>
        <v>0</v>
      </c>
      <c r="X50" s="1758">
        <f>'[3]Feb midyear Lake Charles Ch'!E49</f>
        <v>0</v>
      </c>
      <c r="Y50" s="1759">
        <f t="shared" si="42"/>
        <v>0</v>
      </c>
      <c r="Z50" s="1653">
        <f t="shared" si="43"/>
        <v>0</v>
      </c>
      <c r="AA50" s="1486">
        <f t="shared" si="44"/>
        <v>0</v>
      </c>
      <c r="AB50" s="937">
        <f t="shared" si="45"/>
        <v>0</v>
      </c>
      <c r="AC50" s="899">
        <f t="shared" si="46"/>
        <v>0</v>
      </c>
      <c r="AD50" s="1830">
        <v>0</v>
      </c>
      <c r="AE50" s="899">
        <f t="shared" si="47"/>
        <v>0</v>
      </c>
      <c r="AF50" s="1834">
        <f>+'[4]Table 5C1F-Lake Charles Charter'!T49*8</f>
        <v>0</v>
      </c>
      <c r="AG50" s="1834">
        <f t="shared" si="48"/>
        <v>0</v>
      </c>
      <c r="AH50" s="899">
        <f t="shared" si="49"/>
        <v>0</v>
      </c>
      <c r="AI50" s="900">
        <f t="shared" si="53"/>
        <v>0</v>
      </c>
      <c r="AJ50" s="900">
        <f t="shared" si="50"/>
        <v>0</v>
      </c>
      <c r="AL50" s="49">
        <f>-'[4]Table 5C1F-Lake Charles Charter'!P49</f>
        <v>0</v>
      </c>
      <c r="AM50" s="49">
        <f t="shared" si="51"/>
        <v>0</v>
      </c>
      <c r="AN50" s="49">
        <f t="shared" si="52"/>
        <v>0</v>
      </c>
    </row>
    <row r="51" spans="1:40">
      <c r="A51" s="876">
        <v>44</v>
      </c>
      <c r="B51" s="877" t="s">
        <v>135</v>
      </c>
      <c r="C51" s="972">
        <f>'2-1-13 SIS'!M50</f>
        <v>0</v>
      </c>
      <c r="D51" s="882">
        <f>'Table 3 Levels 1&amp;2'!AL51</f>
        <v>4696.6221228259064</v>
      </c>
      <c r="E51" s="921">
        <f t="shared" si="30"/>
        <v>0</v>
      </c>
      <c r="F51" s="921">
        <f>'Table 4 Level 3'!P49</f>
        <v>663.16000000000008</v>
      </c>
      <c r="G51" s="921">
        <f t="shared" si="31"/>
        <v>0</v>
      </c>
      <c r="H51" s="905">
        <f t="shared" si="32"/>
        <v>0</v>
      </c>
      <c r="I51" s="1734">
        <f>+'[3]Oct midyear Lake Charles Chtr'!K50</f>
        <v>0</v>
      </c>
      <c r="J51" s="1734">
        <f>'[3]Feb midyear Lake Charles Ch'!K50</f>
        <v>0</v>
      </c>
      <c r="K51" s="1545">
        <f t="shared" si="33"/>
        <v>0</v>
      </c>
      <c r="L51" s="1489">
        <f t="shared" si="34"/>
        <v>0</v>
      </c>
      <c r="M51" s="931">
        <f t="shared" si="35"/>
        <v>0</v>
      </c>
      <c r="N51" s="905">
        <f t="shared" si="36"/>
        <v>0</v>
      </c>
      <c r="O51" s="882">
        <v>0</v>
      </c>
      <c r="P51" s="1552">
        <f t="shared" si="37"/>
        <v>0</v>
      </c>
      <c r="Q51" s="1721">
        <f>+'[4]Table 5C1F-Lake Charles Charter'!M50*8</f>
        <v>0</v>
      </c>
      <c r="R51" s="1734">
        <f t="shared" si="38"/>
        <v>0</v>
      </c>
      <c r="S51" s="1552">
        <f t="shared" si="39"/>
        <v>0</v>
      </c>
      <c r="T51" s="1802">
        <f>'Table 5C1A-Madison Prep'!T51</f>
        <v>4323</v>
      </c>
      <c r="U51" s="1555">
        <f t="shared" si="40"/>
        <v>0</v>
      </c>
      <c r="V51" s="1758">
        <f>+'[3]Oct midyear Lake Charles Chtr'!E50</f>
        <v>0</v>
      </c>
      <c r="W51" s="1759">
        <f t="shared" si="41"/>
        <v>0</v>
      </c>
      <c r="X51" s="1758">
        <f>'[3]Feb midyear Lake Charles Ch'!E50</f>
        <v>0</v>
      </c>
      <c r="Y51" s="1759">
        <f t="shared" si="42"/>
        <v>0</v>
      </c>
      <c r="Z51" s="1653">
        <f t="shared" si="43"/>
        <v>0</v>
      </c>
      <c r="AA51" s="1486">
        <f t="shared" si="44"/>
        <v>0</v>
      </c>
      <c r="AB51" s="937">
        <f t="shared" si="45"/>
        <v>0</v>
      </c>
      <c r="AC51" s="899">
        <f t="shared" si="46"/>
        <v>0</v>
      </c>
      <c r="AD51" s="1830">
        <v>0</v>
      </c>
      <c r="AE51" s="899">
        <f t="shared" si="47"/>
        <v>0</v>
      </c>
      <c r="AF51" s="1834">
        <f>+'[4]Table 5C1F-Lake Charles Charter'!T50*8</f>
        <v>0</v>
      </c>
      <c r="AG51" s="1834">
        <f t="shared" si="48"/>
        <v>0</v>
      </c>
      <c r="AH51" s="899">
        <f t="shared" si="49"/>
        <v>0</v>
      </c>
      <c r="AI51" s="900">
        <f t="shared" si="53"/>
        <v>0</v>
      </c>
      <c r="AJ51" s="900">
        <f t="shared" si="50"/>
        <v>0</v>
      </c>
      <c r="AL51" s="49">
        <f>-'[4]Table 5C1F-Lake Charles Charter'!P50</f>
        <v>0</v>
      </c>
      <c r="AM51" s="49">
        <f t="shared" si="51"/>
        <v>0</v>
      </c>
      <c r="AN51" s="49">
        <f t="shared" si="52"/>
        <v>0</v>
      </c>
    </row>
    <row r="52" spans="1:40">
      <c r="A52" s="879">
        <v>45</v>
      </c>
      <c r="B52" s="880" t="s">
        <v>136</v>
      </c>
      <c r="C52" s="973">
        <f>'2-1-13 SIS'!M51</f>
        <v>0</v>
      </c>
      <c r="D52" s="883">
        <f>'Table 3 Levels 1&amp;2'!AL52</f>
        <v>2192.4914538932262</v>
      </c>
      <c r="E52" s="922">
        <f t="shared" si="30"/>
        <v>0</v>
      </c>
      <c r="F52" s="922">
        <f>'Table 4 Level 3'!P50</f>
        <v>753.96000000000015</v>
      </c>
      <c r="G52" s="922">
        <f t="shared" si="31"/>
        <v>0</v>
      </c>
      <c r="H52" s="906">
        <f t="shared" si="32"/>
        <v>0</v>
      </c>
      <c r="I52" s="1735">
        <f>+'[3]Oct midyear Lake Charles Chtr'!K51</f>
        <v>0</v>
      </c>
      <c r="J52" s="1735">
        <f>'[3]Feb midyear Lake Charles Ch'!K51</f>
        <v>0</v>
      </c>
      <c r="K52" s="1546">
        <f t="shared" si="33"/>
        <v>0</v>
      </c>
      <c r="L52" s="1490">
        <f t="shared" si="34"/>
        <v>0</v>
      </c>
      <c r="M52" s="932">
        <f t="shared" si="35"/>
        <v>0</v>
      </c>
      <c r="N52" s="906">
        <f t="shared" si="36"/>
        <v>0</v>
      </c>
      <c r="O52" s="883">
        <v>0</v>
      </c>
      <c r="P52" s="1553">
        <f t="shared" si="37"/>
        <v>0</v>
      </c>
      <c r="Q52" s="1722">
        <f>+'[4]Table 5C1F-Lake Charles Charter'!M51*8</f>
        <v>0</v>
      </c>
      <c r="R52" s="1735">
        <f t="shared" si="38"/>
        <v>0</v>
      </c>
      <c r="S52" s="1553">
        <f t="shared" si="39"/>
        <v>0</v>
      </c>
      <c r="T52" s="1807">
        <f>'Table 5C1A-Madison Prep'!T52</f>
        <v>12792</v>
      </c>
      <c r="U52" s="1556">
        <f t="shared" si="40"/>
        <v>0</v>
      </c>
      <c r="V52" s="1762">
        <f>+'[3]Oct midyear Lake Charles Chtr'!E51</f>
        <v>0</v>
      </c>
      <c r="W52" s="1763">
        <f t="shared" si="41"/>
        <v>0</v>
      </c>
      <c r="X52" s="1762">
        <f>'[3]Feb midyear Lake Charles Ch'!E51</f>
        <v>0</v>
      </c>
      <c r="Y52" s="1763">
        <f t="shared" si="42"/>
        <v>0</v>
      </c>
      <c r="Z52" s="1654">
        <f t="shared" si="43"/>
        <v>0</v>
      </c>
      <c r="AA52" s="1488">
        <f t="shared" si="44"/>
        <v>0</v>
      </c>
      <c r="AB52" s="938">
        <f t="shared" si="45"/>
        <v>0</v>
      </c>
      <c r="AC52" s="903">
        <f t="shared" si="46"/>
        <v>0</v>
      </c>
      <c r="AD52" s="1831">
        <v>0</v>
      </c>
      <c r="AE52" s="903">
        <f t="shared" si="47"/>
        <v>0</v>
      </c>
      <c r="AF52" s="1835">
        <f>+'[4]Table 5C1F-Lake Charles Charter'!T51*8</f>
        <v>0</v>
      </c>
      <c r="AG52" s="1835">
        <f t="shared" si="48"/>
        <v>0</v>
      </c>
      <c r="AH52" s="903">
        <f t="shared" si="49"/>
        <v>0</v>
      </c>
      <c r="AI52" s="904">
        <f t="shared" si="53"/>
        <v>0</v>
      </c>
      <c r="AJ52" s="904">
        <f t="shared" si="50"/>
        <v>0</v>
      </c>
      <c r="AL52" s="49">
        <f>-'[4]Table 5C1F-Lake Charles Charter'!P51</f>
        <v>0</v>
      </c>
      <c r="AM52" s="49">
        <f t="shared" si="51"/>
        <v>0</v>
      </c>
      <c r="AN52" s="49">
        <f t="shared" si="52"/>
        <v>0</v>
      </c>
    </row>
    <row r="53" spans="1:40">
      <c r="A53" s="870">
        <v>46</v>
      </c>
      <c r="B53" s="871" t="s">
        <v>137</v>
      </c>
      <c r="C53" s="974">
        <f>'2-1-13 SIS'!M52</f>
        <v>0</v>
      </c>
      <c r="D53" s="884">
        <f>'Table 3 Levels 1&amp;2'!AL53</f>
        <v>5644.6599115241634</v>
      </c>
      <c r="E53" s="923">
        <f t="shared" si="30"/>
        <v>0</v>
      </c>
      <c r="F53" s="923">
        <f>'Table 4 Level 3'!P51</f>
        <v>728.06</v>
      </c>
      <c r="G53" s="923">
        <f t="shared" si="31"/>
        <v>0</v>
      </c>
      <c r="H53" s="907">
        <f t="shared" si="32"/>
        <v>0</v>
      </c>
      <c r="I53" s="1723">
        <f>+'[3]Oct midyear Lake Charles Chtr'!K52</f>
        <v>0</v>
      </c>
      <c r="J53" s="1723">
        <f>'[3]Feb midyear Lake Charles Ch'!K52</f>
        <v>0</v>
      </c>
      <c r="K53" s="1547">
        <f t="shared" si="33"/>
        <v>0</v>
      </c>
      <c r="L53" s="1491">
        <f t="shared" si="34"/>
        <v>0</v>
      </c>
      <c r="M53" s="933">
        <f t="shared" si="35"/>
        <v>0</v>
      </c>
      <c r="N53" s="907">
        <f t="shared" si="36"/>
        <v>0</v>
      </c>
      <c r="O53" s="884">
        <v>0</v>
      </c>
      <c r="P53" s="996">
        <f t="shared" si="37"/>
        <v>0</v>
      </c>
      <c r="Q53" s="1723">
        <f>+'[4]Table 5C1F-Lake Charles Charter'!M52*8</f>
        <v>0</v>
      </c>
      <c r="R53" s="1723">
        <f t="shared" si="38"/>
        <v>0</v>
      </c>
      <c r="S53" s="996">
        <f t="shared" si="39"/>
        <v>0</v>
      </c>
      <c r="T53" s="1802">
        <f>'Table 5C1A-Madison Prep'!T53</f>
        <v>2423</v>
      </c>
      <c r="U53" s="999">
        <f t="shared" si="40"/>
        <v>0</v>
      </c>
      <c r="V53" s="1754">
        <f>+'[3]Oct midyear Lake Charles Chtr'!E52</f>
        <v>0</v>
      </c>
      <c r="W53" s="1755">
        <f t="shared" si="41"/>
        <v>0</v>
      </c>
      <c r="X53" s="1754">
        <f>'[3]Feb midyear Lake Charles Ch'!E52</f>
        <v>0</v>
      </c>
      <c r="Y53" s="1755">
        <f t="shared" si="42"/>
        <v>0</v>
      </c>
      <c r="Z53" s="1652">
        <f t="shared" si="43"/>
        <v>0</v>
      </c>
      <c r="AA53" s="1521">
        <f t="shared" si="44"/>
        <v>0</v>
      </c>
      <c r="AB53" s="936">
        <f t="shared" si="45"/>
        <v>0</v>
      </c>
      <c r="AC53" s="874">
        <f t="shared" si="46"/>
        <v>0</v>
      </c>
      <c r="AD53" s="1829">
        <v>0</v>
      </c>
      <c r="AE53" s="874">
        <f t="shared" si="47"/>
        <v>0</v>
      </c>
      <c r="AF53" s="1829">
        <f>+'[4]Table 5C1F-Lake Charles Charter'!T52*8</f>
        <v>0</v>
      </c>
      <c r="AG53" s="1829">
        <f t="shared" si="48"/>
        <v>0</v>
      </c>
      <c r="AH53" s="874">
        <f t="shared" si="49"/>
        <v>0</v>
      </c>
      <c r="AI53" s="875">
        <f t="shared" si="53"/>
        <v>0</v>
      </c>
      <c r="AJ53" s="875">
        <f t="shared" si="50"/>
        <v>0</v>
      </c>
      <c r="AL53" s="49">
        <f>-'[4]Table 5C1F-Lake Charles Charter'!P52</f>
        <v>0</v>
      </c>
      <c r="AM53" s="49">
        <f t="shared" si="51"/>
        <v>0</v>
      </c>
      <c r="AN53" s="49">
        <f t="shared" si="52"/>
        <v>0</v>
      </c>
    </row>
    <row r="54" spans="1:40">
      <c r="A54" s="876">
        <v>47</v>
      </c>
      <c r="B54" s="877" t="s">
        <v>138</v>
      </c>
      <c r="C54" s="972">
        <f>'2-1-13 SIS'!M53</f>
        <v>0</v>
      </c>
      <c r="D54" s="882">
        <f>'Table 3 Levels 1&amp;2'!AL54</f>
        <v>2731.2444076222037</v>
      </c>
      <c r="E54" s="921">
        <f t="shared" si="30"/>
        <v>0</v>
      </c>
      <c r="F54" s="921">
        <f>'Table 4 Level 3'!P52</f>
        <v>910.76</v>
      </c>
      <c r="G54" s="921">
        <f t="shared" si="31"/>
        <v>0</v>
      </c>
      <c r="H54" s="905">
        <f t="shared" si="32"/>
        <v>0</v>
      </c>
      <c r="I54" s="1734">
        <f>+'[3]Oct midyear Lake Charles Chtr'!K53</f>
        <v>0</v>
      </c>
      <c r="J54" s="1734">
        <f>'[3]Feb midyear Lake Charles Ch'!K53</f>
        <v>0</v>
      </c>
      <c r="K54" s="1545">
        <f t="shared" si="33"/>
        <v>0</v>
      </c>
      <c r="L54" s="1489">
        <f t="shared" si="34"/>
        <v>0</v>
      </c>
      <c r="M54" s="931">
        <f t="shared" si="35"/>
        <v>0</v>
      </c>
      <c r="N54" s="905">
        <f t="shared" si="36"/>
        <v>0</v>
      </c>
      <c r="O54" s="882">
        <v>0</v>
      </c>
      <c r="P54" s="1552">
        <f t="shared" si="37"/>
        <v>0</v>
      </c>
      <c r="Q54" s="1721">
        <f>+'[4]Table 5C1F-Lake Charles Charter'!M53*8</f>
        <v>0</v>
      </c>
      <c r="R54" s="1734">
        <f t="shared" si="38"/>
        <v>0</v>
      </c>
      <c r="S54" s="1552">
        <f t="shared" si="39"/>
        <v>0</v>
      </c>
      <c r="T54" s="1802">
        <f>'Table 5C1A-Madison Prep'!T54</f>
        <v>12963</v>
      </c>
      <c r="U54" s="1555">
        <f t="shared" si="40"/>
        <v>0</v>
      </c>
      <c r="V54" s="1758">
        <f>+'[3]Oct midyear Lake Charles Chtr'!E53</f>
        <v>0</v>
      </c>
      <c r="W54" s="1759">
        <f t="shared" si="41"/>
        <v>0</v>
      </c>
      <c r="X54" s="1758">
        <f>'[3]Feb midyear Lake Charles Ch'!E53</f>
        <v>0</v>
      </c>
      <c r="Y54" s="1759">
        <f t="shared" si="42"/>
        <v>0</v>
      </c>
      <c r="Z54" s="1653">
        <f t="shared" si="43"/>
        <v>0</v>
      </c>
      <c r="AA54" s="1486">
        <f t="shared" si="44"/>
        <v>0</v>
      </c>
      <c r="AB54" s="937">
        <f t="shared" si="45"/>
        <v>0</v>
      </c>
      <c r="AC54" s="899">
        <f t="shared" si="46"/>
        <v>0</v>
      </c>
      <c r="AD54" s="1830">
        <v>0</v>
      </c>
      <c r="AE54" s="899">
        <f t="shared" si="47"/>
        <v>0</v>
      </c>
      <c r="AF54" s="1834">
        <f>+'[4]Table 5C1F-Lake Charles Charter'!T53*8</f>
        <v>0</v>
      </c>
      <c r="AG54" s="1834">
        <f t="shared" si="48"/>
        <v>0</v>
      </c>
      <c r="AH54" s="899">
        <f t="shared" si="49"/>
        <v>0</v>
      </c>
      <c r="AI54" s="900">
        <f t="shared" si="53"/>
        <v>0</v>
      </c>
      <c r="AJ54" s="900">
        <f t="shared" si="50"/>
        <v>0</v>
      </c>
      <c r="AL54" s="49">
        <f>-'[4]Table 5C1F-Lake Charles Charter'!P53</f>
        <v>0</v>
      </c>
      <c r="AM54" s="49">
        <f t="shared" si="51"/>
        <v>0</v>
      </c>
      <c r="AN54" s="49">
        <f t="shared" si="52"/>
        <v>0</v>
      </c>
    </row>
    <row r="55" spans="1:40">
      <c r="A55" s="876">
        <v>48</v>
      </c>
      <c r="B55" s="877" t="s">
        <v>195</v>
      </c>
      <c r="C55" s="972">
        <f>'2-1-13 SIS'!M54</f>
        <v>0</v>
      </c>
      <c r="D55" s="882">
        <f>'Table 3 Levels 1&amp;2'!AL55</f>
        <v>4272.723323083942</v>
      </c>
      <c r="E55" s="921">
        <f t="shared" si="30"/>
        <v>0</v>
      </c>
      <c r="F55" s="921">
        <f>'Table 4 Level 3'!P53</f>
        <v>871.07</v>
      </c>
      <c r="G55" s="921">
        <f t="shared" si="31"/>
        <v>0</v>
      </c>
      <c r="H55" s="905">
        <f t="shared" si="32"/>
        <v>0</v>
      </c>
      <c r="I55" s="1734">
        <f>+'[3]Oct midyear Lake Charles Chtr'!K54</f>
        <v>0</v>
      </c>
      <c r="J55" s="1734">
        <f>'[3]Feb midyear Lake Charles Ch'!K54</f>
        <v>0</v>
      </c>
      <c r="K55" s="1545">
        <f t="shared" si="33"/>
        <v>0</v>
      </c>
      <c r="L55" s="1489">
        <f t="shared" si="34"/>
        <v>0</v>
      </c>
      <c r="M55" s="931">
        <f t="shared" si="35"/>
        <v>0</v>
      </c>
      <c r="N55" s="905">
        <f t="shared" si="36"/>
        <v>0</v>
      </c>
      <c r="O55" s="882">
        <v>0</v>
      </c>
      <c r="P55" s="1552">
        <f t="shared" si="37"/>
        <v>0</v>
      </c>
      <c r="Q55" s="1721">
        <f>+'[4]Table 5C1F-Lake Charles Charter'!M54*8</f>
        <v>0</v>
      </c>
      <c r="R55" s="1734">
        <f t="shared" si="38"/>
        <v>0</v>
      </c>
      <c r="S55" s="1552">
        <f t="shared" si="39"/>
        <v>0</v>
      </c>
      <c r="T55" s="1802">
        <f>'Table 5C1A-Madison Prep'!T55</f>
        <v>6585</v>
      </c>
      <c r="U55" s="1555">
        <f t="shared" si="40"/>
        <v>0</v>
      </c>
      <c r="V55" s="1758">
        <f>+'[3]Oct midyear Lake Charles Chtr'!E54</f>
        <v>0</v>
      </c>
      <c r="W55" s="1759">
        <f t="shared" si="41"/>
        <v>0</v>
      </c>
      <c r="X55" s="1758">
        <f>'[3]Feb midyear Lake Charles Ch'!E54</f>
        <v>0</v>
      </c>
      <c r="Y55" s="1759">
        <f t="shared" si="42"/>
        <v>0</v>
      </c>
      <c r="Z55" s="1653">
        <f t="shared" si="43"/>
        <v>0</v>
      </c>
      <c r="AA55" s="1486">
        <f t="shared" si="44"/>
        <v>0</v>
      </c>
      <c r="AB55" s="937">
        <f t="shared" si="45"/>
        <v>0</v>
      </c>
      <c r="AC55" s="899">
        <f t="shared" si="46"/>
        <v>0</v>
      </c>
      <c r="AD55" s="1830">
        <v>0</v>
      </c>
      <c r="AE55" s="899">
        <f t="shared" si="47"/>
        <v>0</v>
      </c>
      <c r="AF55" s="1834">
        <f>+'[4]Table 5C1F-Lake Charles Charter'!T54*8</f>
        <v>0</v>
      </c>
      <c r="AG55" s="1834">
        <f t="shared" si="48"/>
        <v>0</v>
      </c>
      <c r="AH55" s="899">
        <f t="shared" si="49"/>
        <v>0</v>
      </c>
      <c r="AI55" s="900">
        <f t="shared" si="53"/>
        <v>0</v>
      </c>
      <c r="AJ55" s="900">
        <f t="shared" si="50"/>
        <v>0</v>
      </c>
      <c r="AL55" s="49">
        <f>-'[4]Table 5C1F-Lake Charles Charter'!P54</f>
        <v>0</v>
      </c>
      <c r="AM55" s="49">
        <f t="shared" si="51"/>
        <v>0</v>
      </c>
      <c r="AN55" s="49">
        <f t="shared" si="52"/>
        <v>0</v>
      </c>
    </row>
    <row r="56" spans="1:40">
      <c r="A56" s="876">
        <v>49</v>
      </c>
      <c r="B56" s="877" t="s">
        <v>139</v>
      </c>
      <c r="C56" s="972">
        <f>'2-1-13 SIS'!M55</f>
        <v>0</v>
      </c>
      <c r="D56" s="882">
        <f>'Table 3 Levels 1&amp;2'!AL56</f>
        <v>4836.7092570332552</v>
      </c>
      <c r="E56" s="921">
        <f t="shared" si="30"/>
        <v>0</v>
      </c>
      <c r="F56" s="921">
        <f>'Table 4 Level 3'!P54</f>
        <v>574.43999999999994</v>
      </c>
      <c r="G56" s="921">
        <f t="shared" si="31"/>
        <v>0</v>
      </c>
      <c r="H56" s="905">
        <f t="shared" si="32"/>
        <v>0</v>
      </c>
      <c r="I56" s="1734">
        <f>+'[3]Oct midyear Lake Charles Chtr'!K55</f>
        <v>0</v>
      </c>
      <c r="J56" s="1734">
        <f>'[3]Feb midyear Lake Charles Ch'!K55</f>
        <v>0</v>
      </c>
      <c r="K56" s="1545">
        <f t="shared" si="33"/>
        <v>0</v>
      </c>
      <c r="L56" s="1489">
        <f t="shared" si="34"/>
        <v>0</v>
      </c>
      <c r="M56" s="931">
        <f t="shared" si="35"/>
        <v>0</v>
      </c>
      <c r="N56" s="905">
        <f t="shared" si="36"/>
        <v>0</v>
      </c>
      <c r="O56" s="882">
        <v>0</v>
      </c>
      <c r="P56" s="1552">
        <f t="shared" si="37"/>
        <v>0</v>
      </c>
      <c r="Q56" s="1721">
        <f>+'[4]Table 5C1F-Lake Charles Charter'!M55*8</f>
        <v>0</v>
      </c>
      <c r="R56" s="1734">
        <f t="shared" si="38"/>
        <v>0</v>
      </c>
      <c r="S56" s="1552">
        <f t="shared" si="39"/>
        <v>0</v>
      </c>
      <c r="T56" s="1802">
        <f>'Table 5C1A-Madison Prep'!T56</f>
        <v>2402</v>
      </c>
      <c r="U56" s="1555">
        <f t="shared" si="40"/>
        <v>0</v>
      </c>
      <c r="V56" s="1758">
        <f>+'[3]Oct midyear Lake Charles Chtr'!E55</f>
        <v>0</v>
      </c>
      <c r="W56" s="1759">
        <f t="shared" si="41"/>
        <v>0</v>
      </c>
      <c r="X56" s="1758">
        <f>'[3]Feb midyear Lake Charles Ch'!E55</f>
        <v>0</v>
      </c>
      <c r="Y56" s="1759">
        <f t="shared" si="42"/>
        <v>0</v>
      </c>
      <c r="Z56" s="1653">
        <f t="shared" si="43"/>
        <v>0</v>
      </c>
      <c r="AA56" s="1486">
        <f t="shared" si="44"/>
        <v>0</v>
      </c>
      <c r="AB56" s="937">
        <f t="shared" si="45"/>
        <v>0</v>
      </c>
      <c r="AC56" s="899">
        <f t="shared" si="46"/>
        <v>0</v>
      </c>
      <c r="AD56" s="1830">
        <v>0</v>
      </c>
      <c r="AE56" s="899">
        <f t="shared" si="47"/>
        <v>0</v>
      </c>
      <c r="AF56" s="1834">
        <f>+'[4]Table 5C1F-Lake Charles Charter'!T55*8</f>
        <v>0</v>
      </c>
      <c r="AG56" s="1834">
        <f t="shared" si="48"/>
        <v>0</v>
      </c>
      <c r="AH56" s="899">
        <f t="shared" si="49"/>
        <v>0</v>
      </c>
      <c r="AI56" s="900">
        <f t="shared" si="53"/>
        <v>0</v>
      </c>
      <c r="AJ56" s="900">
        <f t="shared" si="50"/>
        <v>0</v>
      </c>
      <c r="AL56" s="49">
        <f>-'[4]Table 5C1F-Lake Charles Charter'!P55</f>
        <v>0</v>
      </c>
      <c r="AM56" s="49">
        <f t="shared" si="51"/>
        <v>0</v>
      </c>
      <c r="AN56" s="49">
        <f t="shared" si="52"/>
        <v>0</v>
      </c>
    </row>
    <row r="57" spans="1:40">
      <c r="A57" s="879">
        <v>50</v>
      </c>
      <c r="B57" s="880" t="s">
        <v>140</v>
      </c>
      <c r="C57" s="973">
        <f>'2-1-13 SIS'!M56</f>
        <v>0</v>
      </c>
      <c r="D57" s="883">
        <f>'Table 3 Levels 1&amp;2'!AL57</f>
        <v>5032.6862895017111</v>
      </c>
      <c r="E57" s="922">
        <f t="shared" si="30"/>
        <v>0</v>
      </c>
      <c r="F57" s="922">
        <f>'Table 4 Level 3'!P55</f>
        <v>634.46</v>
      </c>
      <c r="G57" s="922">
        <f t="shared" si="31"/>
        <v>0</v>
      </c>
      <c r="H57" s="906">
        <f t="shared" si="32"/>
        <v>0</v>
      </c>
      <c r="I57" s="1735">
        <f>+'[3]Oct midyear Lake Charles Chtr'!K56</f>
        <v>0</v>
      </c>
      <c r="J57" s="1735">
        <f>'[3]Feb midyear Lake Charles Ch'!K56</f>
        <v>0</v>
      </c>
      <c r="K57" s="1546">
        <f t="shared" si="33"/>
        <v>0</v>
      </c>
      <c r="L57" s="1490">
        <f t="shared" si="34"/>
        <v>0</v>
      </c>
      <c r="M57" s="932">
        <f t="shared" si="35"/>
        <v>0</v>
      </c>
      <c r="N57" s="906">
        <f t="shared" si="36"/>
        <v>0</v>
      </c>
      <c r="O57" s="883">
        <v>0</v>
      </c>
      <c r="P57" s="1553">
        <f t="shared" si="37"/>
        <v>0</v>
      </c>
      <c r="Q57" s="1722">
        <f>+'[4]Table 5C1F-Lake Charles Charter'!M56*8</f>
        <v>0</v>
      </c>
      <c r="R57" s="1735">
        <f t="shared" si="38"/>
        <v>0</v>
      </c>
      <c r="S57" s="1553">
        <f t="shared" si="39"/>
        <v>0</v>
      </c>
      <c r="T57" s="1807">
        <f>'Table 5C1A-Madison Prep'!T57</f>
        <v>3143</v>
      </c>
      <c r="U57" s="1556">
        <f t="shared" si="40"/>
        <v>0</v>
      </c>
      <c r="V57" s="1762">
        <f>+'[3]Oct midyear Lake Charles Chtr'!E56</f>
        <v>0</v>
      </c>
      <c r="W57" s="1763">
        <f t="shared" si="41"/>
        <v>0</v>
      </c>
      <c r="X57" s="1762">
        <f>'[3]Feb midyear Lake Charles Ch'!E56</f>
        <v>0</v>
      </c>
      <c r="Y57" s="1763">
        <f t="shared" si="42"/>
        <v>0</v>
      </c>
      <c r="Z57" s="1654">
        <f t="shared" si="43"/>
        <v>0</v>
      </c>
      <c r="AA57" s="1488">
        <f t="shared" si="44"/>
        <v>0</v>
      </c>
      <c r="AB57" s="938">
        <f t="shared" si="45"/>
        <v>0</v>
      </c>
      <c r="AC57" s="903">
        <f t="shared" si="46"/>
        <v>0</v>
      </c>
      <c r="AD57" s="1831">
        <v>0</v>
      </c>
      <c r="AE57" s="903">
        <f t="shared" si="47"/>
        <v>0</v>
      </c>
      <c r="AF57" s="1835">
        <f>+'[4]Table 5C1F-Lake Charles Charter'!T56*8</f>
        <v>0</v>
      </c>
      <c r="AG57" s="1835">
        <f t="shared" si="48"/>
        <v>0</v>
      </c>
      <c r="AH57" s="903">
        <f t="shared" si="49"/>
        <v>0</v>
      </c>
      <c r="AI57" s="904">
        <f t="shared" si="53"/>
        <v>0</v>
      </c>
      <c r="AJ57" s="904">
        <f t="shared" si="50"/>
        <v>0</v>
      </c>
      <c r="AL57" s="49">
        <f>-'[4]Table 5C1F-Lake Charles Charter'!P56</f>
        <v>0</v>
      </c>
      <c r="AM57" s="49">
        <f t="shared" si="51"/>
        <v>0</v>
      </c>
      <c r="AN57" s="49">
        <f t="shared" si="52"/>
        <v>0</v>
      </c>
    </row>
    <row r="58" spans="1:40">
      <c r="A58" s="870">
        <v>51</v>
      </c>
      <c r="B58" s="871" t="s">
        <v>141</v>
      </c>
      <c r="C58" s="974">
        <f>'2-1-13 SIS'!M57</f>
        <v>0</v>
      </c>
      <c r="D58" s="884">
        <f>'Table 3 Levels 1&amp;2'!AL58</f>
        <v>4246.0339872793602</v>
      </c>
      <c r="E58" s="923">
        <f t="shared" si="30"/>
        <v>0</v>
      </c>
      <c r="F58" s="923">
        <f>'Table 4 Level 3'!P56</f>
        <v>706.66</v>
      </c>
      <c r="G58" s="923">
        <f t="shared" si="31"/>
        <v>0</v>
      </c>
      <c r="H58" s="907">
        <f t="shared" si="32"/>
        <v>0</v>
      </c>
      <c r="I58" s="1723">
        <f>+'[3]Oct midyear Lake Charles Chtr'!K57</f>
        <v>0</v>
      </c>
      <c r="J58" s="1723">
        <f>'[3]Feb midyear Lake Charles Ch'!K57</f>
        <v>0</v>
      </c>
      <c r="K58" s="1547">
        <f t="shared" si="33"/>
        <v>0</v>
      </c>
      <c r="L58" s="1491">
        <f t="shared" si="34"/>
        <v>0</v>
      </c>
      <c r="M58" s="933">
        <f t="shared" si="35"/>
        <v>0</v>
      </c>
      <c r="N58" s="907">
        <f t="shared" si="36"/>
        <v>0</v>
      </c>
      <c r="O58" s="884">
        <v>0</v>
      </c>
      <c r="P58" s="996">
        <f t="shared" si="37"/>
        <v>0</v>
      </c>
      <c r="Q58" s="1723">
        <f>+'[4]Table 5C1F-Lake Charles Charter'!M57*8</f>
        <v>0</v>
      </c>
      <c r="R58" s="1723">
        <f t="shared" si="38"/>
        <v>0</v>
      </c>
      <c r="S58" s="996">
        <f t="shared" si="39"/>
        <v>0</v>
      </c>
      <c r="T58" s="1802">
        <f>'Table 5C1A-Madison Prep'!T58</f>
        <v>4370</v>
      </c>
      <c r="U58" s="999">
        <f t="shared" si="40"/>
        <v>0</v>
      </c>
      <c r="V58" s="1754">
        <f>+'[3]Oct midyear Lake Charles Chtr'!E57</f>
        <v>0</v>
      </c>
      <c r="W58" s="1755">
        <f t="shared" si="41"/>
        <v>0</v>
      </c>
      <c r="X58" s="1754">
        <f>'[3]Feb midyear Lake Charles Ch'!E57</f>
        <v>0</v>
      </c>
      <c r="Y58" s="1755">
        <f t="shared" si="42"/>
        <v>0</v>
      </c>
      <c r="Z58" s="1652">
        <f t="shared" si="43"/>
        <v>0</v>
      </c>
      <c r="AA58" s="1521">
        <f t="shared" si="44"/>
        <v>0</v>
      </c>
      <c r="AB58" s="936">
        <f t="shared" si="45"/>
        <v>0</v>
      </c>
      <c r="AC58" s="874">
        <f t="shared" si="46"/>
        <v>0</v>
      </c>
      <c r="AD58" s="1829">
        <v>0</v>
      </c>
      <c r="AE58" s="874">
        <f t="shared" si="47"/>
        <v>0</v>
      </c>
      <c r="AF58" s="1829">
        <f>+'[4]Table 5C1F-Lake Charles Charter'!T57*8</f>
        <v>0</v>
      </c>
      <c r="AG58" s="1829">
        <f t="shared" si="48"/>
        <v>0</v>
      </c>
      <c r="AH58" s="874">
        <f t="shared" si="49"/>
        <v>0</v>
      </c>
      <c r="AI58" s="875">
        <f t="shared" si="53"/>
        <v>0</v>
      </c>
      <c r="AJ58" s="875">
        <f t="shared" si="50"/>
        <v>0</v>
      </c>
      <c r="AL58" s="49">
        <f>-'[4]Table 5C1F-Lake Charles Charter'!P57</f>
        <v>0</v>
      </c>
      <c r="AM58" s="49">
        <f t="shared" si="51"/>
        <v>0</v>
      </c>
      <c r="AN58" s="49">
        <f t="shared" si="52"/>
        <v>0</v>
      </c>
    </row>
    <row r="59" spans="1:40">
      <c r="A59" s="876">
        <v>52</v>
      </c>
      <c r="B59" s="877" t="s">
        <v>142</v>
      </c>
      <c r="C59" s="972">
        <f>'2-1-13 SIS'!M58</f>
        <v>0</v>
      </c>
      <c r="D59" s="882">
        <f>'Table 3 Levels 1&amp;2'!AL59</f>
        <v>5013.4438050113249</v>
      </c>
      <c r="E59" s="921">
        <f t="shared" si="30"/>
        <v>0</v>
      </c>
      <c r="F59" s="921">
        <f>'Table 4 Level 3'!P57</f>
        <v>658.37</v>
      </c>
      <c r="G59" s="921">
        <f t="shared" si="31"/>
        <v>0</v>
      </c>
      <c r="H59" s="905">
        <f t="shared" si="32"/>
        <v>0</v>
      </c>
      <c r="I59" s="1734">
        <f>+'[3]Oct midyear Lake Charles Chtr'!K58</f>
        <v>0</v>
      </c>
      <c r="J59" s="1734">
        <f>'[3]Feb midyear Lake Charles Ch'!K58</f>
        <v>0</v>
      </c>
      <c r="K59" s="1545">
        <f t="shared" si="33"/>
        <v>0</v>
      </c>
      <c r="L59" s="1489">
        <f t="shared" si="34"/>
        <v>0</v>
      </c>
      <c r="M59" s="931">
        <f t="shared" si="35"/>
        <v>0</v>
      </c>
      <c r="N59" s="905">
        <f t="shared" si="36"/>
        <v>0</v>
      </c>
      <c r="O59" s="882">
        <v>0</v>
      </c>
      <c r="P59" s="1552">
        <f t="shared" si="37"/>
        <v>0</v>
      </c>
      <c r="Q59" s="1721">
        <f>+'[4]Table 5C1F-Lake Charles Charter'!M58*8</f>
        <v>0</v>
      </c>
      <c r="R59" s="1734">
        <f t="shared" si="38"/>
        <v>0</v>
      </c>
      <c r="S59" s="1552">
        <f t="shared" si="39"/>
        <v>0</v>
      </c>
      <c r="T59" s="1802">
        <f>'Table 5C1A-Madison Prep'!T59</f>
        <v>5143</v>
      </c>
      <c r="U59" s="1555">
        <f t="shared" si="40"/>
        <v>0</v>
      </c>
      <c r="V59" s="1758">
        <f>+'[3]Oct midyear Lake Charles Chtr'!E58</f>
        <v>0</v>
      </c>
      <c r="W59" s="1759">
        <f t="shared" si="41"/>
        <v>0</v>
      </c>
      <c r="X59" s="1758">
        <f>'[3]Feb midyear Lake Charles Ch'!E58</f>
        <v>0</v>
      </c>
      <c r="Y59" s="1759">
        <f t="shared" si="42"/>
        <v>0</v>
      </c>
      <c r="Z59" s="1653">
        <f t="shared" si="43"/>
        <v>0</v>
      </c>
      <c r="AA59" s="1486">
        <f t="shared" si="44"/>
        <v>0</v>
      </c>
      <c r="AB59" s="937">
        <f t="shared" si="45"/>
        <v>0</v>
      </c>
      <c r="AC59" s="899">
        <f t="shared" si="46"/>
        <v>0</v>
      </c>
      <c r="AD59" s="1830">
        <v>0</v>
      </c>
      <c r="AE59" s="899">
        <f t="shared" si="47"/>
        <v>0</v>
      </c>
      <c r="AF59" s="1834">
        <f>+'[4]Table 5C1F-Lake Charles Charter'!T58*8</f>
        <v>0</v>
      </c>
      <c r="AG59" s="1834">
        <f t="shared" si="48"/>
        <v>0</v>
      </c>
      <c r="AH59" s="899">
        <f t="shared" si="49"/>
        <v>0</v>
      </c>
      <c r="AI59" s="900">
        <f t="shared" si="53"/>
        <v>0</v>
      </c>
      <c r="AJ59" s="900">
        <f t="shared" si="50"/>
        <v>0</v>
      </c>
      <c r="AL59" s="49">
        <f>-'[4]Table 5C1F-Lake Charles Charter'!P58</f>
        <v>0</v>
      </c>
      <c r="AM59" s="49">
        <f t="shared" si="51"/>
        <v>0</v>
      </c>
      <c r="AN59" s="49">
        <f t="shared" si="52"/>
        <v>0</v>
      </c>
    </row>
    <row r="60" spans="1:40">
      <c r="A60" s="876">
        <v>53</v>
      </c>
      <c r="B60" s="877" t="s">
        <v>143</v>
      </c>
      <c r="C60" s="972">
        <f>'2-1-13 SIS'!M59</f>
        <v>0</v>
      </c>
      <c r="D60" s="882">
        <f>'Table 3 Levels 1&amp;2'!AL60</f>
        <v>4775.5877635581091</v>
      </c>
      <c r="E60" s="921">
        <f t="shared" si="30"/>
        <v>0</v>
      </c>
      <c r="F60" s="921">
        <f>'Table 4 Level 3'!P58</f>
        <v>689.74</v>
      </c>
      <c r="G60" s="921">
        <f t="shared" si="31"/>
        <v>0</v>
      </c>
      <c r="H60" s="905">
        <f t="shared" si="32"/>
        <v>0</v>
      </c>
      <c r="I60" s="1734">
        <f>+'[3]Oct midyear Lake Charles Chtr'!K59</f>
        <v>0</v>
      </c>
      <c r="J60" s="1734">
        <f>'[3]Feb midyear Lake Charles Ch'!K59</f>
        <v>0</v>
      </c>
      <c r="K60" s="1545">
        <f t="shared" si="33"/>
        <v>0</v>
      </c>
      <c r="L60" s="1489">
        <f t="shared" si="34"/>
        <v>0</v>
      </c>
      <c r="M60" s="931">
        <f t="shared" si="35"/>
        <v>0</v>
      </c>
      <c r="N60" s="905">
        <f t="shared" si="36"/>
        <v>0</v>
      </c>
      <c r="O60" s="882">
        <v>0</v>
      </c>
      <c r="P60" s="1552">
        <f t="shared" si="37"/>
        <v>0</v>
      </c>
      <c r="Q60" s="1721">
        <f>+'[4]Table 5C1F-Lake Charles Charter'!M59*8</f>
        <v>0</v>
      </c>
      <c r="R60" s="1734">
        <f t="shared" si="38"/>
        <v>0</v>
      </c>
      <c r="S60" s="1552">
        <f t="shared" si="39"/>
        <v>0</v>
      </c>
      <c r="T60" s="1802">
        <f>'Table 5C1A-Madison Prep'!T60</f>
        <v>2109</v>
      </c>
      <c r="U60" s="1555">
        <f t="shared" si="40"/>
        <v>0</v>
      </c>
      <c r="V60" s="1758">
        <f>+'[3]Oct midyear Lake Charles Chtr'!E59</f>
        <v>0</v>
      </c>
      <c r="W60" s="1759">
        <f t="shared" si="41"/>
        <v>0</v>
      </c>
      <c r="X60" s="1758">
        <f>'[3]Feb midyear Lake Charles Ch'!E59</f>
        <v>0</v>
      </c>
      <c r="Y60" s="1759">
        <f t="shared" si="42"/>
        <v>0</v>
      </c>
      <c r="Z60" s="1653">
        <f t="shared" si="43"/>
        <v>0</v>
      </c>
      <c r="AA60" s="1486">
        <f t="shared" si="44"/>
        <v>0</v>
      </c>
      <c r="AB60" s="937">
        <f t="shared" si="45"/>
        <v>0</v>
      </c>
      <c r="AC60" s="899">
        <f t="shared" si="46"/>
        <v>0</v>
      </c>
      <c r="AD60" s="1830">
        <v>0</v>
      </c>
      <c r="AE60" s="899">
        <f t="shared" si="47"/>
        <v>0</v>
      </c>
      <c r="AF60" s="1834">
        <f>+'[4]Table 5C1F-Lake Charles Charter'!T59*8</f>
        <v>0</v>
      </c>
      <c r="AG60" s="1834">
        <f t="shared" si="48"/>
        <v>0</v>
      </c>
      <c r="AH60" s="899">
        <f t="shared" si="49"/>
        <v>0</v>
      </c>
      <c r="AI60" s="900">
        <f t="shared" si="53"/>
        <v>0</v>
      </c>
      <c r="AJ60" s="900">
        <f t="shared" si="50"/>
        <v>0</v>
      </c>
      <c r="AL60" s="49">
        <f>-'[4]Table 5C1F-Lake Charles Charter'!P59</f>
        <v>0</v>
      </c>
      <c r="AM60" s="49">
        <f t="shared" si="51"/>
        <v>0</v>
      </c>
      <c r="AN60" s="49">
        <f t="shared" si="52"/>
        <v>0</v>
      </c>
    </row>
    <row r="61" spans="1:40">
      <c r="A61" s="876">
        <v>54</v>
      </c>
      <c r="B61" s="877" t="s">
        <v>144</v>
      </c>
      <c r="C61" s="972">
        <f>'2-1-13 SIS'!M60</f>
        <v>0</v>
      </c>
      <c r="D61" s="882">
        <f>'Table 3 Levels 1&amp;2'!AL61</f>
        <v>5951.8009386275662</v>
      </c>
      <c r="E61" s="921">
        <f t="shared" si="30"/>
        <v>0</v>
      </c>
      <c r="F61" s="921">
        <f>'Table 4 Level 3'!P59</f>
        <v>951.45</v>
      </c>
      <c r="G61" s="921">
        <f t="shared" si="31"/>
        <v>0</v>
      </c>
      <c r="H61" s="905">
        <f t="shared" si="32"/>
        <v>0</v>
      </c>
      <c r="I61" s="1734">
        <f>+'[3]Oct midyear Lake Charles Chtr'!K60</f>
        <v>0</v>
      </c>
      <c r="J61" s="1734">
        <f>'[3]Feb midyear Lake Charles Ch'!K60</f>
        <v>0</v>
      </c>
      <c r="K61" s="1545">
        <f t="shared" si="33"/>
        <v>0</v>
      </c>
      <c r="L61" s="1489">
        <f t="shared" si="34"/>
        <v>0</v>
      </c>
      <c r="M61" s="931">
        <f t="shared" si="35"/>
        <v>0</v>
      </c>
      <c r="N61" s="905">
        <f t="shared" si="36"/>
        <v>0</v>
      </c>
      <c r="O61" s="882">
        <v>0</v>
      </c>
      <c r="P61" s="1552">
        <f t="shared" si="37"/>
        <v>0</v>
      </c>
      <c r="Q61" s="1721">
        <f>+'[4]Table 5C1F-Lake Charles Charter'!M60*8</f>
        <v>0</v>
      </c>
      <c r="R61" s="1734">
        <f t="shared" si="38"/>
        <v>0</v>
      </c>
      <c r="S61" s="1552">
        <f t="shared" si="39"/>
        <v>0</v>
      </c>
      <c r="T61" s="1802">
        <f>'Table 5C1A-Madison Prep'!T61</f>
        <v>3760</v>
      </c>
      <c r="U61" s="1555">
        <f t="shared" si="40"/>
        <v>0</v>
      </c>
      <c r="V61" s="1758">
        <f>+'[3]Oct midyear Lake Charles Chtr'!E60</f>
        <v>0</v>
      </c>
      <c r="W61" s="1759">
        <f t="shared" si="41"/>
        <v>0</v>
      </c>
      <c r="X61" s="1758">
        <f>'[3]Feb midyear Lake Charles Ch'!E60</f>
        <v>0</v>
      </c>
      <c r="Y61" s="1759">
        <f t="shared" si="42"/>
        <v>0</v>
      </c>
      <c r="Z61" s="1653">
        <f t="shared" si="43"/>
        <v>0</v>
      </c>
      <c r="AA61" s="1486">
        <f t="shared" si="44"/>
        <v>0</v>
      </c>
      <c r="AB61" s="937">
        <f t="shared" si="45"/>
        <v>0</v>
      </c>
      <c r="AC61" s="899">
        <f t="shared" si="46"/>
        <v>0</v>
      </c>
      <c r="AD61" s="1830">
        <v>0</v>
      </c>
      <c r="AE61" s="899">
        <f t="shared" si="47"/>
        <v>0</v>
      </c>
      <c r="AF61" s="1834">
        <f>+'[4]Table 5C1F-Lake Charles Charter'!T60*8</f>
        <v>0</v>
      </c>
      <c r="AG61" s="1834">
        <f t="shared" si="48"/>
        <v>0</v>
      </c>
      <c r="AH61" s="899">
        <f t="shared" si="49"/>
        <v>0</v>
      </c>
      <c r="AI61" s="900">
        <f t="shared" si="53"/>
        <v>0</v>
      </c>
      <c r="AJ61" s="900">
        <f t="shared" si="50"/>
        <v>0</v>
      </c>
      <c r="AL61" s="49">
        <f>-'[4]Table 5C1F-Lake Charles Charter'!P60</f>
        <v>0</v>
      </c>
      <c r="AM61" s="49">
        <f t="shared" si="51"/>
        <v>0</v>
      </c>
      <c r="AN61" s="49">
        <f t="shared" si="52"/>
        <v>0</v>
      </c>
    </row>
    <row r="62" spans="1:40">
      <c r="A62" s="879">
        <v>55</v>
      </c>
      <c r="B62" s="880" t="s">
        <v>145</v>
      </c>
      <c r="C62" s="973">
        <f>'2-1-13 SIS'!M61</f>
        <v>0</v>
      </c>
      <c r="D62" s="883">
        <f>'Table 3 Levels 1&amp;2'!AL62</f>
        <v>4171.0434735233157</v>
      </c>
      <c r="E62" s="922">
        <f t="shared" si="30"/>
        <v>0</v>
      </c>
      <c r="F62" s="922">
        <f>'Table 4 Level 3'!P60</f>
        <v>795.14</v>
      </c>
      <c r="G62" s="922">
        <f t="shared" si="31"/>
        <v>0</v>
      </c>
      <c r="H62" s="906">
        <f t="shared" si="32"/>
        <v>0</v>
      </c>
      <c r="I62" s="1735">
        <f>+'[3]Oct midyear Lake Charles Chtr'!K61</f>
        <v>0</v>
      </c>
      <c r="J62" s="1735">
        <f>'[3]Feb midyear Lake Charles Ch'!K61</f>
        <v>0</v>
      </c>
      <c r="K62" s="1546">
        <f t="shared" si="33"/>
        <v>0</v>
      </c>
      <c r="L62" s="1490">
        <f t="shared" si="34"/>
        <v>0</v>
      </c>
      <c r="M62" s="932">
        <f t="shared" si="35"/>
        <v>0</v>
      </c>
      <c r="N62" s="906">
        <f t="shared" si="36"/>
        <v>0</v>
      </c>
      <c r="O62" s="883">
        <v>0</v>
      </c>
      <c r="P62" s="1553">
        <f t="shared" si="37"/>
        <v>0</v>
      </c>
      <c r="Q62" s="1722">
        <f>+'[4]Table 5C1F-Lake Charles Charter'!M61*8</f>
        <v>0</v>
      </c>
      <c r="R62" s="1735">
        <f t="shared" si="38"/>
        <v>0</v>
      </c>
      <c r="S62" s="1553">
        <f t="shared" si="39"/>
        <v>0</v>
      </c>
      <c r="T62" s="1807">
        <f>'Table 5C1A-Madison Prep'!T62</f>
        <v>3359</v>
      </c>
      <c r="U62" s="1556">
        <f t="shared" si="40"/>
        <v>0</v>
      </c>
      <c r="V62" s="1762">
        <f>+'[3]Oct midyear Lake Charles Chtr'!E61</f>
        <v>0</v>
      </c>
      <c r="W62" s="1763">
        <f t="shared" si="41"/>
        <v>0</v>
      </c>
      <c r="X62" s="1762">
        <f>'[3]Feb midyear Lake Charles Ch'!E61</f>
        <v>0</v>
      </c>
      <c r="Y62" s="1763">
        <f t="shared" si="42"/>
        <v>0</v>
      </c>
      <c r="Z62" s="1654">
        <f t="shared" si="43"/>
        <v>0</v>
      </c>
      <c r="AA62" s="1488">
        <f t="shared" si="44"/>
        <v>0</v>
      </c>
      <c r="AB62" s="938">
        <f t="shared" si="45"/>
        <v>0</v>
      </c>
      <c r="AC62" s="903">
        <f t="shared" si="46"/>
        <v>0</v>
      </c>
      <c r="AD62" s="1831">
        <v>0</v>
      </c>
      <c r="AE62" s="903">
        <f t="shared" si="47"/>
        <v>0</v>
      </c>
      <c r="AF62" s="1835">
        <f>+'[4]Table 5C1F-Lake Charles Charter'!T61*8</f>
        <v>0</v>
      </c>
      <c r="AG62" s="1835">
        <f t="shared" si="48"/>
        <v>0</v>
      </c>
      <c r="AH62" s="903">
        <f t="shared" si="49"/>
        <v>0</v>
      </c>
      <c r="AI62" s="904">
        <f t="shared" si="53"/>
        <v>0</v>
      </c>
      <c r="AJ62" s="904">
        <f t="shared" si="50"/>
        <v>0</v>
      </c>
      <c r="AL62" s="49">
        <f>-'[4]Table 5C1F-Lake Charles Charter'!P61</f>
        <v>0</v>
      </c>
      <c r="AM62" s="49">
        <f t="shared" si="51"/>
        <v>0</v>
      </c>
      <c r="AN62" s="49">
        <f t="shared" si="52"/>
        <v>0</v>
      </c>
    </row>
    <row r="63" spans="1:40">
      <c r="A63" s="870">
        <v>56</v>
      </c>
      <c r="B63" s="871" t="s">
        <v>146</v>
      </c>
      <c r="C63" s="974">
        <f>'2-1-13 SIS'!M62</f>
        <v>0</v>
      </c>
      <c r="D63" s="884">
        <f>'Table 3 Levels 1&amp;2'!AL63</f>
        <v>4968.593189672727</v>
      </c>
      <c r="E63" s="923">
        <f t="shared" si="30"/>
        <v>0</v>
      </c>
      <c r="F63" s="923">
        <f>'Table 4 Level 3'!P61</f>
        <v>614.66000000000008</v>
      </c>
      <c r="G63" s="923">
        <f t="shared" si="31"/>
        <v>0</v>
      </c>
      <c r="H63" s="907">
        <f t="shared" si="32"/>
        <v>0</v>
      </c>
      <c r="I63" s="1723">
        <f>+'[3]Oct midyear Lake Charles Chtr'!K62</f>
        <v>0</v>
      </c>
      <c r="J63" s="1723">
        <f>'[3]Feb midyear Lake Charles Ch'!K62</f>
        <v>0</v>
      </c>
      <c r="K63" s="1547">
        <f t="shared" si="33"/>
        <v>0</v>
      </c>
      <c r="L63" s="1491">
        <f t="shared" si="34"/>
        <v>0</v>
      </c>
      <c r="M63" s="933">
        <f t="shared" si="35"/>
        <v>0</v>
      </c>
      <c r="N63" s="907">
        <f t="shared" si="36"/>
        <v>0</v>
      </c>
      <c r="O63" s="884">
        <v>0</v>
      </c>
      <c r="P63" s="996">
        <f t="shared" si="37"/>
        <v>0</v>
      </c>
      <c r="Q63" s="1723">
        <f>+'[4]Table 5C1F-Lake Charles Charter'!M62*8</f>
        <v>0</v>
      </c>
      <c r="R63" s="1723">
        <f t="shared" si="38"/>
        <v>0</v>
      </c>
      <c r="S63" s="996">
        <f t="shared" si="39"/>
        <v>0</v>
      </c>
      <c r="T63" s="1802">
        <f>'Table 5C1A-Madison Prep'!T63</f>
        <v>2853</v>
      </c>
      <c r="U63" s="999">
        <f t="shared" si="40"/>
        <v>0</v>
      </c>
      <c r="V63" s="1754">
        <f>+'[3]Oct midyear Lake Charles Chtr'!E62</f>
        <v>0</v>
      </c>
      <c r="W63" s="1755">
        <f t="shared" si="41"/>
        <v>0</v>
      </c>
      <c r="X63" s="1754">
        <f>'[3]Feb midyear Lake Charles Ch'!E62</f>
        <v>0</v>
      </c>
      <c r="Y63" s="1755">
        <f t="shared" si="42"/>
        <v>0</v>
      </c>
      <c r="Z63" s="1652">
        <f t="shared" si="43"/>
        <v>0</v>
      </c>
      <c r="AA63" s="1521">
        <f t="shared" si="44"/>
        <v>0</v>
      </c>
      <c r="AB63" s="936">
        <f t="shared" si="45"/>
        <v>0</v>
      </c>
      <c r="AC63" s="874">
        <f t="shared" si="46"/>
        <v>0</v>
      </c>
      <c r="AD63" s="1829">
        <v>0</v>
      </c>
      <c r="AE63" s="874">
        <f t="shared" si="47"/>
        <v>0</v>
      </c>
      <c r="AF63" s="1829">
        <f>+'[4]Table 5C1F-Lake Charles Charter'!T62*8</f>
        <v>0</v>
      </c>
      <c r="AG63" s="1829">
        <f t="shared" si="48"/>
        <v>0</v>
      </c>
      <c r="AH63" s="874">
        <f t="shared" si="49"/>
        <v>0</v>
      </c>
      <c r="AI63" s="875">
        <f t="shared" si="53"/>
        <v>0</v>
      </c>
      <c r="AJ63" s="875">
        <f t="shared" si="50"/>
        <v>0</v>
      </c>
      <c r="AL63" s="49">
        <f>-'[4]Table 5C1F-Lake Charles Charter'!P62</f>
        <v>0</v>
      </c>
      <c r="AM63" s="49">
        <f t="shared" si="51"/>
        <v>0</v>
      </c>
      <c r="AN63" s="49">
        <f t="shared" si="52"/>
        <v>0</v>
      </c>
    </row>
    <row r="64" spans="1:40">
      <c r="A64" s="876">
        <v>57</v>
      </c>
      <c r="B64" s="877" t="s">
        <v>147</v>
      </c>
      <c r="C64" s="972">
        <f>'2-1-13 SIS'!M63</f>
        <v>0</v>
      </c>
      <c r="D64" s="882">
        <f>'Table 3 Levels 1&amp;2'!AL64</f>
        <v>4485.7073020218859</v>
      </c>
      <c r="E64" s="921">
        <f t="shared" si="30"/>
        <v>0</v>
      </c>
      <c r="F64" s="921">
        <f>'Table 4 Level 3'!P62</f>
        <v>764.51</v>
      </c>
      <c r="G64" s="921">
        <f t="shared" si="31"/>
        <v>0</v>
      </c>
      <c r="H64" s="905">
        <f t="shared" si="32"/>
        <v>0</v>
      </c>
      <c r="I64" s="1734">
        <f>+'[3]Oct midyear Lake Charles Chtr'!K63</f>
        <v>0</v>
      </c>
      <c r="J64" s="1734">
        <f>'[3]Feb midyear Lake Charles Ch'!K63</f>
        <v>0</v>
      </c>
      <c r="K64" s="1545">
        <f t="shared" si="33"/>
        <v>0</v>
      </c>
      <c r="L64" s="1489">
        <f t="shared" si="34"/>
        <v>0</v>
      </c>
      <c r="M64" s="931">
        <f t="shared" si="35"/>
        <v>0</v>
      </c>
      <c r="N64" s="905">
        <f t="shared" si="36"/>
        <v>0</v>
      </c>
      <c r="O64" s="882">
        <v>0</v>
      </c>
      <c r="P64" s="1552">
        <f t="shared" si="37"/>
        <v>0</v>
      </c>
      <c r="Q64" s="1721">
        <f>+'[4]Table 5C1F-Lake Charles Charter'!M63*8</f>
        <v>0</v>
      </c>
      <c r="R64" s="1734">
        <f t="shared" si="38"/>
        <v>0</v>
      </c>
      <c r="S64" s="1552">
        <f t="shared" si="39"/>
        <v>0</v>
      </c>
      <c r="T64" s="1802">
        <f>'Table 5C1A-Madison Prep'!T64</f>
        <v>3178</v>
      </c>
      <c r="U64" s="1555">
        <f t="shared" si="40"/>
        <v>0</v>
      </c>
      <c r="V64" s="1758">
        <f>+'[3]Oct midyear Lake Charles Chtr'!E63</f>
        <v>0</v>
      </c>
      <c r="W64" s="1759">
        <f t="shared" si="41"/>
        <v>0</v>
      </c>
      <c r="X64" s="1758">
        <f>'[3]Feb midyear Lake Charles Ch'!E63</f>
        <v>0</v>
      </c>
      <c r="Y64" s="1759">
        <f t="shared" si="42"/>
        <v>0</v>
      </c>
      <c r="Z64" s="1653">
        <f t="shared" si="43"/>
        <v>0</v>
      </c>
      <c r="AA64" s="1486">
        <f t="shared" si="44"/>
        <v>0</v>
      </c>
      <c r="AB64" s="937">
        <f t="shared" si="45"/>
        <v>0</v>
      </c>
      <c r="AC64" s="899">
        <f t="shared" si="46"/>
        <v>0</v>
      </c>
      <c r="AD64" s="1830">
        <v>0</v>
      </c>
      <c r="AE64" s="899">
        <f t="shared" si="47"/>
        <v>0</v>
      </c>
      <c r="AF64" s="1834">
        <f>+'[4]Table 5C1F-Lake Charles Charter'!T63*8</f>
        <v>0</v>
      </c>
      <c r="AG64" s="1834">
        <f t="shared" si="48"/>
        <v>0</v>
      </c>
      <c r="AH64" s="899">
        <f t="shared" si="49"/>
        <v>0</v>
      </c>
      <c r="AI64" s="900">
        <f t="shared" si="53"/>
        <v>0</v>
      </c>
      <c r="AJ64" s="900">
        <f t="shared" si="50"/>
        <v>0</v>
      </c>
      <c r="AL64" s="49">
        <f>-'[4]Table 5C1F-Lake Charles Charter'!P63</f>
        <v>0</v>
      </c>
      <c r="AM64" s="49">
        <f t="shared" si="51"/>
        <v>0</v>
      </c>
      <c r="AN64" s="49">
        <f t="shared" si="52"/>
        <v>0</v>
      </c>
    </row>
    <row r="65" spans="1:40">
      <c r="A65" s="876">
        <v>58</v>
      </c>
      <c r="B65" s="877" t="s">
        <v>148</v>
      </c>
      <c r="C65" s="972">
        <f>'2-1-13 SIS'!M64</f>
        <v>0</v>
      </c>
      <c r="D65" s="882">
        <f>'Table 3 Levels 1&amp;2'!AL65</f>
        <v>5457.8662803476354</v>
      </c>
      <c r="E65" s="921">
        <f t="shared" si="30"/>
        <v>0</v>
      </c>
      <c r="F65" s="921">
        <f>'Table 4 Level 3'!P63</f>
        <v>697.04</v>
      </c>
      <c r="G65" s="921">
        <f t="shared" si="31"/>
        <v>0</v>
      </c>
      <c r="H65" s="905">
        <f t="shared" si="32"/>
        <v>0</v>
      </c>
      <c r="I65" s="1734">
        <f>+'[3]Oct midyear Lake Charles Chtr'!K64</f>
        <v>0</v>
      </c>
      <c r="J65" s="1734">
        <f>'[3]Feb midyear Lake Charles Ch'!K64</f>
        <v>0</v>
      </c>
      <c r="K65" s="1545">
        <f t="shared" si="33"/>
        <v>0</v>
      </c>
      <c r="L65" s="1489">
        <f t="shared" si="34"/>
        <v>0</v>
      </c>
      <c r="M65" s="931">
        <f t="shared" si="35"/>
        <v>0</v>
      </c>
      <c r="N65" s="905">
        <f t="shared" si="36"/>
        <v>0</v>
      </c>
      <c r="O65" s="882">
        <v>0</v>
      </c>
      <c r="P65" s="1552">
        <f t="shared" si="37"/>
        <v>0</v>
      </c>
      <c r="Q65" s="1721">
        <f>+'[4]Table 5C1F-Lake Charles Charter'!M64*8</f>
        <v>0</v>
      </c>
      <c r="R65" s="1734">
        <f t="shared" si="38"/>
        <v>0</v>
      </c>
      <c r="S65" s="1552">
        <f t="shared" si="39"/>
        <v>0</v>
      </c>
      <c r="T65" s="1802">
        <f>'Table 5C1A-Madison Prep'!T65</f>
        <v>2127</v>
      </c>
      <c r="U65" s="1555">
        <f t="shared" si="40"/>
        <v>0</v>
      </c>
      <c r="V65" s="1758">
        <f>+'[3]Oct midyear Lake Charles Chtr'!E64</f>
        <v>0</v>
      </c>
      <c r="W65" s="1759">
        <f t="shared" si="41"/>
        <v>0</v>
      </c>
      <c r="X65" s="1758">
        <f>'[3]Feb midyear Lake Charles Ch'!E64</f>
        <v>0</v>
      </c>
      <c r="Y65" s="1759">
        <f t="shared" si="42"/>
        <v>0</v>
      </c>
      <c r="Z65" s="1653">
        <f t="shared" si="43"/>
        <v>0</v>
      </c>
      <c r="AA65" s="1486">
        <f t="shared" si="44"/>
        <v>0</v>
      </c>
      <c r="AB65" s="937">
        <f t="shared" si="45"/>
        <v>0</v>
      </c>
      <c r="AC65" s="899">
        <f t="shared" si="46"/>
        <v>0</v>
      </c>
      <c r="AD65" s="1830">
        <v>0</v>
      </c>
      <c r="AE65" s="899">
        <f t="shared" si="47"/>
        <v>0</v>
      </c>
      <c r="AF65" s="1834">
        <f>+'[4]Table 5C1F-Lake Charles Charter'!T64*8</f>
        <v>0</v>
      </c>
      <c r="AG65" s="1834">
        <f t="shared" si="48"/>
        <v>0</v>
      </c>
      <c r="AH65" s="899">
        <f t="shared" si="49"/>
        <v>0</v>
      </c>
      <c r="AI65" s="900">
        <f t="shared" si="53"/>
        <v>0</v>
      </c>
      <c r="AJ65" s="900">
        <f t="shared" si="50"/>
        <v>0</v>
      </c>
      <c r="AL65" s="49">
        <f>-'[4]Table 5C1F-Lake Charles Charter'!P64</f>
        <v>0</v>
      </c>
      <c r="AM65" s="49">
        <f t="shared" si="51"/>
        <v>0</v>
      </c>
      <c r="AN65" s="49">
        <f t="shared" si="52"/>
        <v>0</v>
      </c>
    </row>
    <row r="66" spans="1:40">
      <c r="A66" s="876">
        <v>59</v>
      </c>
      <c r="B66" s="877" t="s">
        <v>149</v>
      </c>
      <c r="C66" s="972">
        <f>'2-1-13 SIS'!M65</f>
        <v>0</v>
      </c>
      <c r="D66" s="882">
        <f>'Table 3 Levels 1&amp;2'!AL66</f>
        <v>6274.2786338006481</v>
      </c>
      <c r="E66" s="921">
        <f t="shared" si="30"/>
        <v>0</v>
      </c>
      <c r="F66" s="921">
        <f>'Table 4 Level 3'!P64</f>
        <v>689.52</v>
      </c>
      <c r="G66" s="921">
        <f t="shared" si="31"/>
        <v>0</v>
      </c>
      <c r="H66" s="905">
        <f t="shared" si="32"/>
        <v>0</v>
      </c>
      <c r="I66" s="1734">
        <f>+'[3]Oct midyear Lake Charles Chtr'!K65</f>
        <v>0</v>
      </c>
      <c r="J66" s="1734">
        <f>'[3]Feb midyear Lake Charles Ch'!K65</f>
        <v>0</v>
      </c>
      <c r="K66" s="1545">
        <f t="shared" si="33"/>
        <v>0</v>
      </c>
      <c r="L66" s="1489">
        <f t="shared" si="34"/>
        <v>0</v>
      </c>
      <c r="M66" s="931">
        <f t="shared" si="35"/>
        <v>0</v>
      </c>
      <c r="N66" s="905">
        <f t="shared" si="36"/>
        <v>0</v>
      </c>
      <c r="O66" s="882">
        <v>0</v>
      </c>
      <c r="P66" s="1552">
        <f t="shared" si="37"/>
        <v>0</v>
      </c>
      <c r="Q66" s="1721">
        <f>+'[4]Table 5C1F-Lake Charles Charter'!M65*8</f>
        <v>0</v>
      </c>
      <c r="R66" s="1734">
        <f t="shared" si="38"/>
        <v>0</v>
      </c>
      <c r="S66" s="1552">
        <f t="shared" si="39"/>
        <v>0</v>
      </c>
      <c r="T66" s="1802">
        <f>'Table 5C1A-Madison Prep'!T66</f>
        <v>1729</v>
      </c>
      <c r="U66" s="1555">
        <f t="shared" si="40"/>
        <v>0</v>
      </c>
      <c r="V66" s="1758">
        <f>+'[3]Oct midyear Lake Charles Chtr'!E65</f>
        <v>0</v>
      </c>
      <c r="W66" s="1759">
        <f t="shared" si="41"/>
        <v>0</v>
      </c>
      <c r="X66" s="1758">
        <f>'[3]Feb midyear Lake Charles Ch'!E65</f>
        <v>0</v>
      </c>
      <c r="Y66" s="1759">
        <f t="shared" si="42"/>
        <v>0</v>
      </c>
      <c r="Z66" s="1653">
        <f t="shared" si="43"/>
        <v>0</v>
      </c>
      <c r="AA66" s="1486">
        <f t="shared" si="44"/>
        <v>0</v>
      </c>
      <c r="AB66" s="937">
        <f t="shared" si="45"/>
        <v>0</v>
      </c>
      <c r="AC66" s="899">
        <f t="shared" si="46"/>
        <v>0</v>
      </c>
      <c r="AD66" s="1830">
        <v>0</v>
      </c>
      <c r="AE66" s="899">
        <f t="shared" si="47"/>
        <v>0</v>
      </c>
      <c r="AF66" s="1834">
        <f>+'[4]Table 5C1F-Lake Charles Charter'!T65*8</f>
        <v>0</v>
      </c>
      <c r="AG66" s="1834">
        <f t="shared" si="48"/>
        <v>0</v>
      </c>
      <c r="AH66" s="899">
        <f t="shared" si="49"/>
        <v>0</v>
      </c>
      <c r="AI66" s="900">
        <f t="shared" si="53"/>
        <v>0</v>
      </c>
      <c r="AJ66" s="900">
        <f t="shared" si="50"/>
        <v>0</v>
      </c>
      <c r="AL66" s="49">
        <f>-'[4]Table 5C1F-Lake Charles Charter'!P65</f>
        <v>0</v>
      </c>
      <c r="AM66" s="49">
        <f t="shared" si="51"/>
        <v>0</v>
      </c>
      <c r="AN66" s="49">
        <f t="shared" si="52"/>
        <v>0</v>
      </c>
    </row>
    <row r="67" spans="1:40">
      <c r="A67" s="879">
        <v>60</v>
      </c>
      <c r="B67" s="880" t="s">
        <v>150</v>
      </c>
      <c r="C67" s="973">
        <f>'2-1-13 SIS'!M66</f>
        <v>0</v>
      </c>
      <c r="D67" s="883">
        <f>'Table 3 Levels 1&amp;2'!AL67</f>
        <v>4940.9166775610411</v>
      </c>
      <c r="E67" s="922">
        <f t="shared" si="30"/>
        <v>0</v>
      </c>
      <c r="F67" s="922">
        <f>'Table 4 Level 3'!P65</f>
        <v>594.04</v>
      </c>
      <c r="G67" s="922">
        <f t="shared" si="31"/>
        <v>0</v>
      </c>
      <c r="H67" s="906">
        <f t="shared" si="32"/>
        <v>0</v>
      </c>
      <c r="I67" s="1735">
        <f>+'[3]Oct midyear Lake Charles Chtr'!K66</f>
        <v>0</v>
      </c>
      <c r="J67" s="1735">
        <f>'[3]Feb midyear Lake Charles Ch'!K66</f>
        <v>0</v>
      </c>
      <c r="K67" s="1546">
        <f t="shared" si="33"/>
        <v>0</v>
      </c>
      <c r="L67" s="1490">
        <f t="shared" si="34"/>
        <v>0</v>
      </c>
      <c r="M67" s="932">
        <f t="shared" si="35"/>
        <v>0</v>
      </c>
      <c r="N67" s="906">
        <f t="shared" si="36"/>
        <v>0</v>
      </c>
      <c r="O67" s="883">
        <v>0</v>
      </c>
      <c r="P67" s="1553">
        <f t="shared" si="37"/>
        <v>0</v>
      </c>
      <c r="Q67" s="1722">
        <f>+'[4]Table 5C1F-Lake Charles Charter'!M66*8</f>
        <v>0</v>
      </c>
      <c r="R67" s="1735">
        <f t="shared" si="38"/>
        <v>0</v>
      </c>
      <c r="S67" s="1553">
        <f t="shared" si="39"/>
        <v>0</v>
      </c>
      <c r="T67" s="1807">
        <f>'Table 5C1A-Madison Prep'!T67</f>
        <v>3801</v>
      </c>
      <c r="U67" s="1556">
        <f t="shared" si="40"/>
        <v>0</v>
      </c>
      <c r="V67" s="1762">
        <f>+'[3]Oct midyear Lake Charles Chtr'!E66</f>
        <v>0</v>
      </c>
      <c r="W67" s="1763">
        <f t="shared" si="41"/>
        <v>0</v>
      </c>
      <c r="X67" s="1762">
        <f>'[3]Feb midyear Lake Charles Ch'!E66</f>
        <v>0</v>
      </c>
      <c r="Y67" s="1763">
        <f t="shared" si="42"/>
        <v>0</v>
      </c>
      <c r="Z67" s="1654">
        <f t="shared" si="43"/>
        <v>0</v>
      </c>
      <c r="AA67" s="1488">
        <f t="shared" si="44"/>
        <v>0</v>
      </c>
      <c r="AB67" s="938">
        <f t="shared" si="45"/>
        <v>0</v>
      </c>
      <c r="AC67" s="903">
        <f t="shared" si="46"/>
        <v>0</v>
      </c>
      <c r="AD67" s="1831">
        <v>0</v>
      </c>
      <c r="AE67" s="903">
        <f t="shared" si="47"/>
        <v>0</v>
      </c>
      <c r="AF67" s="1835">
        <f>+'[4]Table 5C1F-Lake Charles Charter'!T66*8</f>
        <v>0</v>
      </c>
      <c r="AG67" s="1835">
        <f t="shared" si="48"/>
        <v>0</v>
      </c>
      <c r="AH67" s="903">
        <f t="shared" si="49"/>
        <v>0</v>
      </c>
      <c r="AI67" s="904">
        <f t="shared" si="53"/>
        <v>0</v>
      </c>
      <c r="AJ67" s="904">
        <f t="shared" si="50"/>
        <v>0</v>
      </c>
      <c r="AL67" s="49">
        <f>-'[4]Table 5C1F-Lake Charles Charter'!P66</f>
        <v>0</v>
      </c>
      <c r="AM67" s="49">
        <f t="shared" si="51"/>
        <v>0</v>
      </c>
      <c r="AN67" s="49">
        <f t="shared" si="52"/>
        <v>0</v>
      </c>
    </row>
    <row r="68" spans="1:40">
      <c r="A68" s="870">
        <v>61</v>
      </c>
      <c r="B68" s="871" t="s">
        <v>151</v>
      </c>
      <c r="C68" s="974">
        <f>'2-1-13 SIS'!M67</f>
        <v>0</v>
      </c>
      <c r="D68" s="884">
        <f>'Table 3 Levels 1&amp;2'!AL68</f>
        <v>2908.0344869339228</v>
      </c>
      <c r="E68" s="923">
        <f t="shared" si="30"/>
        <v>0</v>
      </c>
      <c r="F68" s="923">
        <f>'Table 4 Level 3'!P66</f>
        <v>833.70999999999992</v>
      </c>
      <c r="G68" s="923">
        <f t="shared" si="31"/>
        <v>0</v>
      </c>
      <c r="H68" s="907">
        <f t="shared" si="32"/>
        <v>0</v>
      </c>
      <c r="I68" s="1723">
        <f>+'[3]Oct midyear Lake Charles Chtr'!K67</f>
        <v>0</v>
      </c>
      <c r="J68" s="1723">
        <f>'[3]Feb midyear Lake Charles Ch'!K67</f>
        <v>0</v>
      </c>
      <c r="K68" s="1547">
        <f t="shared" si="33"/>
        <v>0</v>
      </c>
      <c r="L68" s="1491">
        <f t="shared" si="34"/>
        <v>0</v>
      </c>
      <c r="M68" s="933">
        <f t="shared" si="35"/>
        <v>0</v>
      </c>
      <c r="N68" s="907">
        <f t="shared" si="36"/>
        <v>0</v>
      </c>
      <c r="O68" s="884">
        <v>0</v>
      </c>
      <c r="P68" s="996">
        <f t="shared" si="37"/>
        <v>0</v>
      </c>
      <c r="Q68" s="1723">
        <f>+'[4]Table 5C1F-Lake Charles Charter'!M67*8</f>
        <v>0</v>
      </c>
      <c r="R68" s="1723">
        <f t="shared" si="38"/>
        <v>0</v>
      </c>
      <c r="S68" s="996">
        <f t="shared" si="39"/>
        <v>0</v>
      </c>
      <c r="T68" s="1802">
        <f>'Table 5C1A-Madison Prep'!T68</f>
        <v>6597</v>
      </c>
      <c r="U68" s="999">
        <f t="shared" si="40"/>
        <v>0</v>
      </c>
      <c r="V68" s="1754">
        <f>+'[3]Oct midyear Lake Charles Chtr'!E67</f>
        <v>0</v>
      </c>
      <c r="W68" s="1755">
        <f t="shared" si="41"/>
        <v>0</v>
      </c>
      <c r="X68" s="1754">
        <f>'[3]Feb midyear Lake Charles Ch'!E67</f>
        <v>0</v>
      </c>
      <c r="Y68" s="1755">
        <f t="shared" si="42"/>
        <v>0</v>
      </c>
      <c r="Z68" s="1652">
        <f t="shared" si="43"/>
        <v>0</v>
      </c>
      <c r="AA68" s="1521">
        <f t="shared" si="44"/>
        <v>0</v>
      </c>
      <c r="AB68" s="936">
        <f t="shared" si="45"/>
        <v>0</v>
      </c>
      <c r="AC68" s="874">
        <f t="shared" si="46"/>
        <v>0</v>
      </c>
      <c r="AD68" s="1829">
        <v>0</v>
      </c>
      <c r="AE68" s="874">
        <f t="shared" si="47"/>
        <v>0</v>
      </c>
      <c r="AF68" s="1829">
        <f>+'[4]Table 5C1F-Lake Charles Charter'!T67*8</f>
        <v>0</v>
      </c>
      <c r="AG68" s="1829">
        <f t="shared" si="48"/>
        <v>0</v>
      </c>
      <c r="AH68" s="874">
        <f t="shared" si="49"/>
        <v>0</v>
      </c>
      <c r="AI68" s="875">
        <f t="shared" si="53"/>
        <v>0</v>
      </c>
      <c r="AJ68" s="875">
        <f t="shared" si="50"/>
        <v>0</v>
      </c>
      <c r="AL68" s="49">
        <f>-'[4]Table 5C1F-Lake Charles Charter'!P67</f>
        <v>0</v>
      </c>
      <c r="AM68" s="49">
        <f t="shared" si="51"/>
        <v>0</v>
      </c>
      <c r="AN68" s="49">
        <f t="shared" si="52"/>
        <v>0</v>
      </c>
    </row>
    <row r="69" spans="1:40">
      <c r="A69" s="876">
        <v>62</v>
      </c>
      <c r="B69" s="877" t="s">
        <v>152</v>
      </c>
      <c r="C69" s="972">
        <f>'2-1-13 SIS'!M68</f>
        <v>0</v>
      </c>
      <c r="D69" s="882">
        <f>'Table 3 Levels 1&amp;2'!AL69</f>
        <v>5652.1730736722093</v>
      </c>
      <c r="E69" s="921">
        <f t="shared" si="30"/>
        <v>0</v>
      </c>
      <c r="F69" s="921">
        <f>'Table 4 Level 3'!P67</f>
        <v>516.08000000000004</v>
      </c>
      <c r="G69" s="921">
        <f t="shared" si="31"/>
        <v>0</v>
      </c>
      <c r="H69" s="905">
        <f t="shared" si="32"/>
        <v>0</v>
      </c>
      <c r="I69" s="1734">
        <f>+'[3]Oct midyear Lake Charles Chtr'!K68</f>
        <v>0</v>
      </c>
      <c r="J69" s="1734">
        <f>'[3]Feb midyear Lake Charles Ch'!K68</f>
        <v>0</v>
      </c>
      <c r="K69" s="1545">
        <f t="shared" si="33"/>
        <v>0</v>
      </c>
      <c r="L69" s="1489">
        <f t="shared" si="34"/>
        <v>0</v>
      </c>
      <c r="M69" s="931">
        <f t="shared" si="35"/>
        <v>0</v>
      </c>
      <c r="N69" s="905">
        <f t="shared" si="36"/>
        <v>0</v>
      </c>
      <c r="O69" s="882">
        <v>0</v>
      </c>
      <c r="P69" s="1552">
        <f t="shared" si="37"/>
        <v>0</v>
      </c>
      <c r="Q69" s="1721">
        <f>+'[4]Table 5C1F-Lake Charles Charter'!M68*8</f>
        <v>0</v>
      </c>
      <c r="R69" s="1734">
        <f t="shared" si="38"/>
        <v>0</v>
      </c>
      <c r="S69" s="1552">
        <f t="shared" si="39"/>
        <v>0</v>
      </c>
      <c r="T69" s="1802">
        <f>'Table 5C1A-Madison Prep'!T69</f>
        <v>1998</v>
      </c>
      <c r="U69" s="1555">
        <f t="shared" si="40"/>
        <v>0</v>
      </c>
      <c r="V69" s="1758">
        <f>+'[3]Oct midyear Lake Charles Chtr'!E68</f>
        <v>0</v>
      </c>
      <c r="W69" s="1759">
        <f t="shared" si="41"/>
        <v>0</v>
      </c>
      <c r="X69" s="1758">
        <f>'[3]Feb midyear Lake Charles Ch'!E68</f>
        <v>0</v>
      </c>
      <c r="Y69" s="1759">
        <f t="shared" si="42"/>
        <v>0</v>
      </c>
      <c r="Z69" s="1653">
        <f t="shared" si="43"/>
        <v>0</v>
      </c>
      <c r="AA69" s="1486">
        <f t="shared" si="44"/>
        <v>0</v>
      </c>
      <c r="AB69" s="937">
        <f t="shared" si="45"/>
        <v>0</v>
      </c>
      <c r="AC69" s="899">
        <f t="shared" si="46"/>
        <v>0</v>
      </c>
      <c r="AD69" s="1830">
        <v>0</v>
      </c>
      <c r="AE69" s="899">
        <f t="shared" si="47"/>
        <v>0</v>
      </c>
      <c r="AF69" s="1834">
        <f>+'[4]Table 5C1F-Lake Charles Charter'!T68*8</f>
        <v>0</v>
      </c>
      <c r="AG69" s="1834">
        <f t="shared" si="48"/>
        <v>0</v>
      </c>
      <c r="AH69" s="899">
        <f t="shared" si="49"/>
        <v>0</v>
      </c>
      <c r="AI69" s="900">
        <f t="shared" si="53"/>
        <v>0</v>
      </c>
      <c r="AJ69" s="900">
        <f t="shared" si="50"/>
        <v>0</v>
      </c>
      <c r="AL69" s="49">
        <f>-'[4]Table 5C1F-Lake Charles Charter'!P68</f>
        <v>0</v>
      </c>
      <c r="AM69" s="49">
        <f t="shared" si="51"/>
        <v>0</v>
      </c>
      <c r="AN69" s="49">
        <f t="shared" si="52"/>
        <v>0</v>
      </c>
    </row>
    <row r="70" spans="1:40">
      <c r="A70" s="876">
        <v>63</v>
      </c>
      <c r="B70" s="877" t="s">
        <v>153</v>
      </c>
      <c r="C70" s="972">
        <f>'2-1-13 SIS'!M69</f>
        <v>0</v>
      </c>
      <c r="D70" s="882">
        <f>'Table 3 Levels 1&amp;2'!AL70</f>
        <v>4362.300753810403</v>
      </c>
      <c r="E70" s="921">
        <f t="shared" si="30"/>
        <v>0</v>
      </c>
      <c r="F70" s="921">
        <f>'Table 4 Level 3'!P68</f>
        <v>756.79</v>
      </c>
      <c r="G70" s="921">
        <f t="shared" si="31"/>
        <v>0</v>
      </c>
      <c r="H70" s="905">
        <f t="shared" si="32"/>
        <v>0</v>
      </c>
      <c r="I70" s="1734">
        <f>+'[3]Oct midyear Lake Charles Chtr'!K69</f>
        <v>0</v>
      </c>
      <c r="J70" s="1734">
        <f>'[3]Feb midyear Lake Charles Ch'!K69</f>
        <v>0</v>
      </c>
      <c r="K70" s="1545">
        <f t="shared" si="33"/>
        <v>0</v>
      </c>
      <c r="L70" s="1489">
        <f t="shared" si="34"/>
        <v>0</v>
      </c>
      <c r="M70" s="931">
        <f t="shared" si="35"/>
        <v>0</v>
      </c>
      <c r="N70" s="905">
        <f t="shared" si="36"/>
        <v>0</v>
      </c>
      <c r="O70" s="882">
        <v>0</v>
      </c>
      <c r="P70" s="1552">
        <f t="shared" si="37"/>
        <v>0</v>
      </c>
      <c r="Q70" s="1721">
        <f>+'[4]Table 5C1F-Lake Charles Charter'!M69*8</f>
        <v>0</v>
      </c>
      <c r="R70" s="1734">
        <f t="shared" si="38"/>
        <v>0</v>
      </c>
      <c r="S70" s="1552">
        <f t="shared" si="39"/>
        <v>0</v>
      </c>
      <c r="T70" s="1802">
        <f>'Table 5C1A-Madison Prep'!T70</f>
        <v>7391</v>
      </c>
      <c r="U70" s="1555">
        <f t="shared" si="40"/>
        <v>0</v>
      </c>
      <c r="V70" s="1758">
        <f>+'[3]Oct midyear Lake Charles Chtr'!E69</f>
        <v>0</v>
      </c>
      <c r="W70" s="1759">
        <f t="shared" si="41"/>
        <v>0</v>
      </c>
      <c r="X70" s="1758">
        <f>'[3]Feb midyear Lake Charles Ch'!E69</f>
        <v>0</v>
      </c>
      <c r="Y70" s="1759">
        <f t="shared" si="42"/>
        <v>0</v>
      </c>
      <c r="Z70" s="1653">
        <f t="shared" si="43"/>
        <v>0</v>
      </c>
      <c r="AA70" s="1486">
        <f t="shared" si="44"/>
        <v>0</v>
      </c>
      <c r="AB70" s="937">
        <f t="shared" si="45"/>
        <v>0</v>
      </c>
      <c r="AC70" s="899">
        <f t="shared" si="46"/>
        <v>0</v>
      </c>
      <c r="AD70" s="1830">
        <v>0</v>
      </c>
      <c r="AE70" s="899">
        <f t="shared" si="47"/>
        <v>0</v>
      </c>
      <c r="AF70" s="1834">
        <f>+'[4]Table 5C1F-Lake Charles Charter'!T69*8</f>
        <v>0</v>
      </c>
      <c r="AG70" s="1834">
        <f t="shared" si="48"/>
        <v>0</v>
      </c>
      <c r="AH70" s="899">
        <f t="shared" si="49"/>
        <v>0</v>
      </c>
      <c r="AI70" s="900">
        <f t="shared" si="53"/>
        <v>0</v>
      </c>
      <c r="AJ70" s="900">
        <f t="shared" si="50"/>
        <v>0</v>
      </c>
      <c r="AL70" s="49">
        <f>-'[4]Table 5C1F-Lake Charles Charter'!P69</f>
        <v>0</v>
      </c>
      <c r="AM70" s="49">
        <f t="shared" si="51"/>
        <v>0</v>
      </c>
      <c r="AN70" s="49">
        <f t="shared" si="52"/>
        <v>0</v>
      </c>
    </row>
    <row r="71" spans="1:40">
      <c r="A71" s="876">
        <v>64</v>
      </c>
      <c r="B71" s="877" t="s">
        <v>154</v>
      </c>
      <c r="C71" s="972">
        <f>'2-1-13 SIS'!M70</f>
        <v>0</v>
      </c>
      <c r="D71" s="882">
        <f>'Table 3 Levels 1&amp;2'!AL71</f>
        <v>5960.2049072003338</v>
      </c>
      <c r="E71" s="921">
        <f t="shared" si="30"/>
        <v>0</v>
      </c>
      <c r="F71" s="921">
        <f>'Table 4 Level 3'!P69</f>
        <v>592.66</v>
      </c>
      <c r="G71" s="921">
        <f t="shared" si="31"/>
        <v>0</v>
      </c>
      <c r="H71" s="905">
        <f t="shared" si="32"/>
        <v>0</v>
      </c>
      <c r="I71" s="1734">
        <f>+'[3]Oct midyear Lake Charles Chtr'!K70</f>
        <v>0</v>
      </c>
      <c r="J71" s="1734">
        <f>'[3]Feb midyear Lake Charles Ch'!K70</f>
        <v>0</v>
      </c>
      <c r="K71" s="1545">
        <f t="shared" si="33"/>
        <v>0</v>
      </c>
      <c r="L71" s="1489">
        <f t="shared" si="34"/>
        <v>0</v>
      </c>
      <c r="M71" s="931">
        <f t="shared" si="35"/>
        <v>0</v>
      </c>
      <c r="N71" s="905">
        <f t="shared" si="36"/>
        <v>0</v>
      </c>
      <c r="O71" s="882">
        <v>0</v>
      </c>
      <c r="P71" s="1552">
        <f t="shared" si="37"/>
        <v>0</v>
      </c>
      <c r="Q71" s="1721">
        <f>+'[4]Table 5C1F-Lake Charles Charter'!M70*8</f>
        <v>0</v>
      </c>
      <c r="R71" s="1734">
        <f t="shared" si="38"/>
        <v>0</v>
      </c>
      <c r="S71" s="1552">
        <f t="shared" si="39"/>
        <v>0</v>
      </c>
      <c r="T71" s="1802">
        <f>'Table 5C1A-Madison Prep'!T71</f>
        <v>2902</v>
      </c>
      <c r="U71" s="1555">
        <f t="shared" si="40"/>
        <v>0</v>
      </c>
      <c r="V71" s="1758">
        <f>+'[3]Oct midyear Lake Charles Chtr'!E70</f>
        <v>0</v>
      </c>
      <c r="W71" s="1759">
        <f t="shared" si="41"/>
        <v>0</v>
      </c>
      <c r="X71" s="1758">
        <f>'[3]Feb midyear Lake Charles Ch'!E70</f>
        <v>0</v>
      </c>
      <c r="Y71" s="1759">
        <f t="shared" si="42"/>
        <v>0</v>
      </c>
      <c r="Z71" s="1653">
        <f t="shared" si="43"/>
        <v>0</v>
      </c>
      <c r="AA71" s="1486">
        <f t="shared" si="44"/>
        <v>0</v>
      </c>
      <c r="AB71" s="937">
        <f t="shared" si="45"/>
        <v>0</v>
      </c>
      <c r="AC71" s="899">
        <f t="shared" si="46"/>
        <v>0</v>
      </c>
      <c r="AD71" s="1830">
        <v>0</v>
      </c>
      <c r="AE71" s="899">
        <f t="shared" si="47"/>
        <v>0</v>
      </c>
      <c r="AF71" s="1834">
        <f>+'[4]Table 5C1F-Lake Charles Charter'!T70*8</f>
        <v>0</v>
      </c>
      <c r="AG71" s="1834">
        <f t="shared" si="48"/>
        <v>0</v>
      </c>
      <c r="AH71" s="899">
        <f t="shared" si="49"/>
        <v>0</v>
      </c>
      <c r="AI71" s="900">
        <f t="shared" si="53"/>
        <v>0</v>
      </c>
      <c r="AJ71" s="900">
        <f t="shared" si="50"/>
        <v>0</v>
      </c>
      <c r="AL71" s="49">
        <f>-'[4]Table 5C1F-Lake Charles Charter'!P70</f>
        <v>0</v>
      </c>
      <c r="AM71" s="49">
        <f t="shared" si="51"/>
        <v>0</v>
      </c>
      <c r="AN71" s="49">
        <f t="shared" si="52"/>
        <v>0</v>
      </c>
    </row>
    <row r="72" spans="1:40">
      <c r="A72" s="879">
        <v>65</v>
      </c>
      <c r="B72" s="880" t="s">
        <v>155</v>
      </c>
      <c r="C72" s="973">
        <f>'2-1-13 SIS'!M71</f>
        <v>0</v>
      </c>
      <c r="D72" s="883">
        <f>'Table 3 Levels 1&amp;2'!AL72</f>
        <v>4579.2772303106676</v>
      </c>
      <c r="E72" s="922">
        <f t="shared" si="30"/>
        <v>0</v>
      </c>
      <c r="F72" s="922">
        <f>'Table 4 Level 3'!P70</f>
        <v>829.12</v>
      </c>
      <c r="G72" s="922">
        <f t="shared" si="31"/>
        <v>0</v>
      </c>
      <c r="H72" s="906">
        <f t="shared" si="32"/>
        <v>0</v>
      </c>
      <c r="I72" s="1735">
        <f>+'[3]Oct midyear Lake Charles Chtr'!K71</f>
        <v>0</v>
      </c>
      <c r="J72" s="1735">
        <f>'[3]Feb midyear Lake Charles Ch'!K71</f>
        <v>0</v>
      </c>
      <c r="K72" s="1546">
        <f t="shared" si="33"/>
        <v>0</v>
      </c>
      <c r="L72" s="1490">
        <f t="shared" si="34"/>
        <v>0</v>
      </c>
      <c r="M72" s="932">
        <f t="shared" si="35"/>
        <v>0</v>
      </c>
      <c r="N72" s="906">
        <f t="shared" si="36"/>
        <v>0</v>
      </c>
      <c r="O72" s="883">
        <v>0</v>
      </c>
      <c r="P72" s="1553">
        <f t="shared" si="37"/>
        <v>0</v>
      </c>
      <c r="Q72" s="1722">
        <f>+'[4]Table 5C1F-Lake Charles Charter'!M71*8</f>
        <v>0</v>
      </c>
      <c r="R72" s="1735">
        <f t="shared" si="38"/>
        <v>0</v>
      </c>
      <c r="S72" s="1553">
        <f t="shared" si="39"/>
        <v>0</v>
      </c>
      <c r="T72" s="1807">
        <f>'Table 5C1A-Madison Prep'!T72</f>
        <v>4823</v>
      </c>
      <c r="U72" s="1556">
        <f t="shared" si="40"/>
        <v>0</v>
      </c>
      <c r="V72" s="1762">
        <f>+'[3]Oct midyear Lake Charles Chtr'!E71</f>
        <v>0</v>
      </c>
      <c r="W72" s="1763">
        <f t="shared" si="41"/>
        <v>0</v>
      </c>
      <c r="X72" s="1762">
        <f>'[3]Feb midyear Lake Charles Ch'!E71</f>
        <v>0</v>
      </c>
      <c r="Y72" s="1763">
        <f t="shared" si="42"/>
        <v>0</v>
      </c>
      <c r="Z72" s="1654">
        <f t="shared" si="43"/>
        <v>0</v>
      </c>
      <c r="AA72" s="1488">
        <f t="shared" si="44"/>
        <v>0</v>
      </c>
      <c r="AB72" s="938">
        <f t="shared" si="45"/>
        <v>0</v>
      </c>
      <c r="AC72" s="903">
        <f t="shared" si="46"/>
        <v>0</v>
      </c>
      <c r="AD72" s="1831">
        <v>0</v>
      </c>
      <c r="AE72" s="903">
        <f t="shared" si="47"/>
        <v>0</v>
      </c>
      <c r="AF72" s="1835">
        <f>+'[4]Table 5C1F-Lake Charles Charter'!T71*8</f>
        <v>0</v>
      </c>
      <c r="AG72" s="1835">
        <f t="shared" si="48"/>
        <v>0</v>
      </c>
      <c r="AH72" s="903">
        <f t="shared" si="49"/>
        <v>0</v>
      </c>
      <c r="AI72" s="904">
        <f t="shared" si="53"/>
        <v>0</v>
      </c>
      <c r="AJ72" s="904">
        <f t="shared" si="50"/>
        <v>0</v>
      </c>
      <c r="AL72" s="49">
        <f>-'[4]Table 5C1F-Lake Charles Charter'!P71</f>
        <v>0</v>
      </c>
      <c r="AM72" s="49">
        <f t="shared" si="51"/>
        <v>0</v>
      </c>
      <c r="AN72" s="49">
        <f t="shared" si="52"/>
        <v>0</v>
      </c>
    </row>
    <row r="73" spans="1:40">
      <c r="A73" s="870">
        <v>66</v>
      </c>
      <c r="B73" s="871" t="s">
        <v>156</v>
      </c>
      <c r="C73" s="974">
        <f>'2-1-13 SIS'!M72</f>
        <v>0</v>
      </c>
      <c r="D73" s="884">
        <f>'Table 3 Levels 1&amp;2'!AL73</f>
        <v>6370.8108195713585</v>
      </c>
      <c r="E73" s="923">
        <f t="shared" ref="E73:E76" si="54">C73*D73</f>
        <v>0</v>
      </c>
      <c r="F73" s="923">
        <f>'Table 4 Level 3'!P71</f>
        <v>730.06</v>
      </c>
      <c r="G73" s="923">
        <f t="shared" ref="G73:G76" si="55">C73*F73</f>
        <v>0</v>
      </c>
      <c r="H73" s="907">
        <f t="shared" ref="H73:H76" si="56">E73+G73</f>
        <v>0</v>
      </c>
      <c r="I73" s="1723">
        <f>+'[3]Oct midyear Lake Charles Chtr'!K72</f>
        <v>0</v>
      </c>
      <c r="J73" s="1723">
        <f>'[3]Feb midyear Lake Charles Ch'!K72</f>
        <v>0</v>
      </c>
      <c r="K73" s="1547">
        <f t="shared" ref="K73:K76" si="57">+I73+J73</f>
        <v>0</v>
      </c>
      <c r="L73" s="1491">
        <f t="shared" ref="L73:L76" si="58">+H73+K73</f>
        <v>0</v>
      </c>
      <c r="M73" s="933">
        <f t="shared" ref="M73:M76" si="59">-(0.25%*L73)</f>
        <v>0</v>
      </c>
      <c r="N73" s="907">
        <f t="shared" ref="N73:N76" si="60">SUM(L73:M73)</f>
        <v>0</v>
      </c>
      <c r="O73" s="884">
        <v>0</v>
      </c>
      <c r="P73" s="996">
        <f t="shared" ref="P73:P76" si="61">SUM(N73:O73)</f>
        <v>0</v>
      </c>
      <c r="Q73" s="1723">
        <f>+'[4]Table 5C1F-Lake Charles Charter'!M72*8</f>
        <v>0</v>
      </c>
      <c r="R73" s="1723">
        <f t="shared" ref="R73:R76" si="62">+P73-Q73</f>
        <v>0</v>
      </c>
      <c r="S73" s="996">
        <f t="shared" ref="S73:S76" si="63">ROUND(R73/4,0)</f>
        <v>0</v>
      </c>
      <c r="T73" s="1802">
        <f>'Table 5C1A-Madison Prep'!T73</f>
        <v>3524</v>
      </c>
      <c r="U73" s="999">
        <f t="shared" ref="U73:U76" si="64">C73*T73</f>
        <v>0</v>
      </c>
      <c r="V73" s="1754">
        <f>+'[3]Oct midyear Lake Charles Chtr'!E72</f>
        <v>0</v>
      </c>
      <c r="W73" s="1755">
        <f t="shared" ref="W73:W76" si="65">+T73*V73</f>
        <v>0</v>
      </c>
      <c r="X73" s="1754">
        <f>'[3]Feb midyear Lake Charles Ch'!E72</f>
        <v>0</v>
      </c>
      <c r="Y73" s="1755">
        <f t="shared" ref="Y73:Y76" si="66">(T73*X73)*0.5</f>
        <v>0</v>
      </c>
      <c r="Z73" s="1652">
        <f t="shared" ref="Z73:Z76" si="67">+W73+Y73</f>
        <v>0</v>
      </c>
      <c r="AA73" s="1521">
        <f t="shared" ref="AA73:AA76" si="68">+U73+Z73</f>
        <v>0</v>
      </c>
      <c r="AB73" s="936">
        <f t="shared" ref="AB73:AB76" si="69">-(0.25%*AA73)</f>
        <v>0</v>
      </c>
      <c r="AC73" s="874">
        <f t="shared" ref="AC73:AC76" si="70">SUM(AA73:AB73)</f>
        <v>0</v>
      </c>
      <c r="AD73" s="1829">
        <v>0</v>
      </c>
      <c r="AE73" s="874">
        <f t="shared" ref="AE73:AE76" si="71">SUM(AC73:AD73)</f>
        <v>0</v>
      </c>
      <c r="AF73" s="1829">
        <f>+'[4]Table 5C1F-Lake Charles Charter'!T72*8</f>
        <v>0</v>
      </c>
      <c r="AG73" s="1829">
        <f t="shared" ref="AG73:AG76" si="72">+AE73-AF73</f>
        <v>0</v>
      </c>
      <c r="AH73" s="874">
        <f t="shared" ref="AH73:AH76" si="73">ROUND(AG73/4,0)</f>
        <v>0</v>
      </c>
      <c r="AI73" s="875">
        <f t="shared" si="53"/>
        <v>0</v>
      </c>
      <c r="AJ73" s="875">
        <f t="shared" ref="AJ73:AJ76" si="74">S73+AH73</f>
        <v>0</v>
      </c>
      <c r="AL73" s="49">
        <f>-'[4]Table 5C1F-Lake Charles Charter'!P72</f>
        <v>0</v>
      </c>
      <c r="AM73" s="49">
        <f t="shared" ref="AM73:AM76" si="75">AB73</f>
        <v>0</v>
      </c>
      <c r="AN73" s="49">
        <f t="shared" ref="AN73:AN76" si="76">SUM(AL73:AM73)</f>
        <v>0</v>
      </c>
    </row>
    <row r="74" spans="1:40">
      <c r="A74" s="876">
        <v>67</v>
      </c>
      <c r="B74" s="877" t="s">
        <v>32</v>
      </c>
      <c r="C74" s="972">
        <f>'2-1-13 SIS'!M73</f>
        <v>0</v>
      </c>
      <c r="D74" s="882">
        <f>'Table 3 Levels 1&amp;2'!AL74</f>
        <v>4951.6009932106244</v>
      </c>
      <c r="E74" s="921">
        <f t="shared" si="54"/>
        <v>0</v>
      </c>
      <c r="F74" s="921">
        <f>'Table 4 Level 3'!P72</f>
        <v>715.61</v>
      </c>
      <c r="G74" s="921">
        <f t="shared" si="55"/>
        <v>0</v>
      </c>
      <c r="H74" s="905">
        <f t="shared" si="56"/>
        <v>0</v>
      </c>
      <c r="I74" s="1734">
        <f>+'[3]Oct midyear Lake Charles Chtr'!K73</f>
        <v>0</v>
      </c>
      <c r="J74" s="1734">
        <f>'[3]Feb midyear Lake Charles Ch'!K73</f>
        <v>0</v>
      </c>
      <c r="K74" s="1545">
        <f t="shared" si="57"/>
        <v>0</v>
      </c>
      <c r="L74" s="1489">
        <f t="shared" si="58"/>
        <v>0</v>
      </c>
      <c r="M74" s="931">
        <f t="shared" si="59"/>
        <v>0</v>
      </c>
      <c r="N74" s="905">
        <f t="shared" si="60"/>
        <v>0</v>
      </c>
      <c r="O74" s="882">
        <v>0</v>
      </c>
      <c r="P74" s="1552">
        <f t="shared" si="61"/>
        <v>0</v>
      </c>
      <c r="Q74" s="1721">
        <f>+'[4]Table 5C1F-Lake Charles Charter'!M73*8</f>
        <v>0</v>
      </c>
      <c r="R74" s="1734">
        <f t="shared" si="62"/>
        <v>0</v>
      </c>
      <c r="S74" s="1552">
        <f t="shared" si="63"/>
        <v>0</v>
      </c>
      <c r="T74" s="1802">
        <f>'Table 5C1A-Madison Prep'!T74</f>
        <v>5007</v>
      </c>
      <c r="U74" s="1555">
        <f t="shared" si="64"/>
        <v>0</v>
      </c>
      <c r="V74" s="1758">
        <f>+'[3]Oct midyear Lake Charles Chtr'!E73</f>
        <v>0</v>
      </c>
      <c r="W74" s="1759">
        <f t="shared" si="65"/>
        <v>0</v>
      </c>
      <c r="X74" s="1758">
        <f>'[3]Feb midyear Lake Charles Ch'!E73</f>
        <v>0</v>
      </c>
      <c r="Y74" s="1759">
        <f t="shared" si="66"/>
        <v>0</v>
      </c>
      <c r="Z74" s="1653">
        <f t="shared" si="67"/>
        <v>0</v>
      </c>
      <c r="AA74" s="1486">
        <f t="shared" si="68"/>
        <v>0</v>
      </c>
      <c r="AB74" s="937">
        <f t="shared" si="69"/>
        <v>0</v>
      </c>
      <c r="AC74" s="899">
        <f t="shared" si="70"/>
        <v>0</v>
      </c>
      <c r="AD74" s="1830">
        <v>0</v>
      </c>
      <c r="AE74" s="899">
        <f t="shared" si="71"/>
        <v>0</v>
      </c>
      <c r="AF74" s="1834">
        <f>+'[4]Table 5C1F-Lake Charles Charter'!T73*8</f>
        <v>0</v>
      </c>
      <c r="AG74" s="1834">
        <f t="shared" si="72"/>
        <v>0</v>
      </c>
      <c r="AH74" s="899">
        <f t="shared" si="73"/>
        <v>0</v>
      </c>
      <c r="AI74" s="900">
        <f t="shared" si="53"/>
        <v>0</v>
      </c>
      <c r="AJ74" s="900">
        <f t="shared" si="74"/>
        <v>0</v>
      </c>
      <c r="AL74" s="49">
        <f>-'[4]Table 5C1F-Lake Charles Charter'!P73</f>
        <v>0</v>
      </c>
      <c r="AM74" s="49">
        <f t="shared" si="75"/>
        <v>0</v>
      </c>
      <c r="AN74" s="49">
        <f t="shared" si="76"/>
        <v>0</v>
      </c>
    </row>
    <row r="75" spans="1:40">
      <c r="A75" s="876">
        <v>68</v>
      </c>
      <c r="B75" s="877" t="s">
        <v>30</v>
      </c>
      <c r="C75" s="972">
        <f>'2-1-13 SIS'!M74</f>
        <v>0</v>
      </c>
      <c r="D75" s="882">
        <f>'Table 3 Levels 1&amp;2'!AL75</f>
        <v>6077.2398733698947</v>
      </c>
      <c r="E75" s="921">
        <f t="shared" si="54"/>
        <v>0</v>
      </c>
      <c r="F75" s="921">
        <f>'Table 4 Level 3'!P73</f>
        <v>798.7</v>
      </c>
      <c r="G75" s="921">
        <f t="shared" si="55"/>
        <v>0</v>
      </c>
      <c r="H75" s="905">
        <f t="shared" si="56"/>
        <v>0</v>
      </c>
      <c r="I75" s="1734">
        <f>+'[3]Oct midyear Lake Charles Chtr'!K74</f>
        <v>0</v>
      </c>
      <c r="J75" s="1734">
        <f>'[3]Feb midyear Lake Charles Ch'!K74</f>
        <v>0</v>
      </c>
      <c r="K75" s="1545">
        <f t="shared" si="57"/>
        <v>0</v>
      </c>
      <c r="L75" s="1489">
        <f t="shared" si="58"/>
        <v>0</v>
      </c>
      <c r="M75" s="931">
        <f t="shared" si="59"/>
        <v>0</v>
      </c>
      <c r="N75" s="905">
        <f t="shared" si="60"/>
        <v>0</v>
      </c>
      <c r="O75" s="882">
        <v>0</v>
      </c>
      <c r="P75" s="1552">
        <f t="shared" si="61"/>
        <v>0</v>
      </c>
      <c r="Q75" s="1721">
        <f>+'[4]Table 5C1F-Lake Charles Charter'!M74*8</f>
        <v>0</v>
      </c>
      <c r="R75" s="1734">
        <f t="shared" si="62"/>
        <v>0</v>
      </c>
      <c r="S75" s="1552">
        <f t="shared" si="63"/>
        <v>0</v>
      </c>
      <c r="T75" s="1802">
        <f>'Table 5C1A-Madison Prep'!T75</f>
        <v>2927</v>
      </c>
      <c r="U75" s="1555">
        <f t="shared" si="64"/>
        <v>0</v>
      </c>
      <c r="V75" s="1758">
        <f>+'[3]Oct midyear Lake Charles Chtr'!E74</f>
        <v>0</v>
      </c>
      <c r="W75" s="1759">
        <f t="shared" si="65"/>
        <v>0</v>
      </c>
      <c r="X75" s="1758">
        <f>'[3]Feb midyear Lake Charles Ch'!E74</f>
        <v>0</v>
      </c>
      <c r="Y75" s="1759">
        <f t="shared" si="66"/>
        <v>0</v>
      </c>
      <c r="Z75" s="1653">
        <f t="shared" si="67"/>
        <v>0</v>
      </c>
      <c r="AA75" s="1486">
        <f t="shared" si="68"/>
        <v>0</v>
      </c>
      <c r="AB75" s="937">
        <f t="shared" si="69"/>
        <v>0</v>
      </c>
      <c r="AC75" s="899">
        <f t="shared" si="70"/>
        <v>0</v>
      </c>
      <c r="AD75" s="1830">
        <v>0</v>
      </c>
      <c r="AE75" s="899">
        <f t="shared" si="71"/>
        <v>0</v>
      </c>
      <c r="AF75" s="1834">
        <f>+'[4]Table 5C1F-Lake Charles Charter'!T74*8</f>
        <v>0</v>
      </c>
      <c r="AG75" s="1834">
        <f t="shared" si="72"/>
        <v>0</v>
      </c>
      <c r="AH75" s="899">
        <f t="shared" si="73"/>
        <v>0</v>
      </c>
      <c r="AI75" s="900">
        <f t="shared" si="53"/>
        <v>0</v>
      </c>
      <c r="AJ75" s="900">
        <f t="shared" si="74"/>
        <v>0</v>
      </c>
      <c r="AL75" s="49">
        <f>-'[4]Table 5C1F-Lake Charles Charter'!P74</f>
        <v>0</v>
      </c>
      <c r="AM75" s="49">
        <f t="shared" si="75"/>
        <v>0</v>
      </c>
      <c r="AN75" s="49">
        <f t="shared" si="76"/>
        <v>0</v>
      </c>
    </row>
    <row r="76" spans="1:40">
      <c r="A76" s="885">
        <v>69</v>
      </c>
      <c r="B76" s="886" t="s">
        <v>205</v>
      </c>
      <c r="C76" s="975">
        <f>'2-1-13 SIS'!M75</f>
        <v>0</v>
      </c>
      <c r="D76" s="887">
        <f>'Table 3 Levels 1&amp;2'!AL76</f>
        <v>5585.8253106686579</v>
      </c>
      <c r="E76" s="924">
        <f t="shared" si="54"/>
        <v>0</v>
      </c>
      <c r="F76" s="924">
        <f>'Table 4 Level 3'!P74</f>
        <v>705.67</v>
      </c>
      <c r="G76" s="924">
        <f t="shared" si="55"/>
        <v>0</v>
      </c>
      <c r="H76" s="908">
        <f t="shared" si="56"/>
        <v>0</v>
      </c>
      <c r="I76" s="1736">
        <f>+'[3]Oct midyear Lake Charles Chtr'!K75</f>
        <v>0</v>
      </c>
      <c r="J76" s="1736">
        <f>'[3]Feb midyear Lake Charles Ch'!K75</f>
        <v>0</v>
      </c>
      <c r="K76" s="1548">
        <f t="shared" si="57"/>
        <v>0</v>
      </c>
      <c r="L76" s="1492">
        <f t="shared" si="58"/>
        <v>0</v>
      </c>
      <c r="M76" s="934">
        <f t="shared" si="59"/>
        <v>0</v>
      </c>
      <c r="N76" s="908">
        <f t="shared" si="60"/>
        <v>0</v>
      </c>
      <c r="O76" s="887">
        <v>0</v>
      </c>
      <c r="P76" s="1554">
        <f t="shared" si="61"/>
        <v>0</v>
      </c>
      <c r="Q76" s="1724">
        <f>+'[4]Table 5C1F-Lake Charles Charter'!M75*8</f>
        <v>0</v>
      </c>
      <c r="R76" s="1736">
        <f t="shared" si="62"/>
        <v>0</v>
      </c>
      <c r="S76" s="1554">
        <f t="shared" si="63"/>
        <v>0</v>
      </c>
      <c r="T76" s="1802">
        <f>'Table 5C1A-Madison Prep'!T76</f>
        <v>3404</v>
      </c>
      <c r="U76" s="1557">
        <f t="shared" si="64"/>
        <v>0</v>
      </c>
      <c r="V76" s="1766">
        <f>+'[3]Oct midyear Lake Charles Chtr'!E75</f>
        <v>0</v>
      </c>
      <c r="W76" s="1767">
        <f t="shared" si="65"/>
        <v>0</v>
      </c>
      <c r="X76" s="1766">
        <f>'[3]Feb midyear Lake Charles Ch'!E75</f>
        <v>0</v>
      </c>
      <c r="Y76" s="1767">
        <f t="shared" si="66"/>
        <v>0</v>
      </c>
      <c r="Z76" s="1655">
        <f t="shared" si="67"/>
        <v>0</v>
      </c>
      <c r="AA76" s="1493">
        <f t="shared" si="68"/>
        <v>0</v>
      </c>
      <c r="AB76" s="939">
        <f t="shared" si="69"/>
        <v>0</v>
      </c>
      <c r="AC76" s="909">
        <f t="shared" si="70"/>
        <v>0</v>
      </c>
      <c r="AD76" s="1832">
        <v>0</v>
      </c>
      <c r="AE76" s="909">
        <f t="shared" si="71"/>
        <v>0</v>
      </c>
      <c r="AF76" s="1836">
        <f>+'[4]Table 5C1F-Lake Charles Charter'!T75*8</f>
        <v>0</v>
      </c>
      <c r="AG76" s="1836">
        <f t="shared" si="72"/>
        <v>0</v>
      </c>
      <c r="AH76" s="909">
        <f t="shared" si="73"/>
        <v>0</v>
      </c>
      <c r="AI76" s="910">
        <f t="shared" si="53"/>
        <v>0</v>
      </c>
      <c r="AJ76" s="910">
        <f t="shared" si="74"/>
        <v>0</v>
      </c>
      <c r="AL76" s="49">
        <f>-'[4]Table 5C1F-Lake Charles Charter'!P75</f>
        <v>0</v>
      </c>
      <c r="AM76" s="49">
        <f t="shared" si="75"/>
        <v>0</v>
      </c>
      <c r="AN76" s="49">
        <f t="shared" si="76"/>
        <v>0</v>
      </c>
    </row>
    <row r="77" spans="1:40" ht="13.5" thickBot="1">
      <c r="A77" s="888"/>
      <c r="B77" s="889" t="s">
        <v>157</v>
      </c>
      <c r="C77" s="890">
        <f>SUM(C8:C76)</f>
        <v>755</v>
      </c>
      <c r="D77" s="891"/>
      <c r="E77" s="925">
        <f>SUM(E8:E76)</f>
        <v>3211466.5367339295</v>
      </c>
      <c r="F77" s="925">
        <f>'Table 4 Level 3'!P75</f>
        <v>704.49059912051428</v>
      </c>
      <c r="G77" s="925">
        <f t="shared" ref="G77:R77" si="77">SUM(G8:G76)</f>
        <v>459070.20000000007</v>
      </c>
      <c r="H77" s="892">
        <f t="shared" si="77"/>
        <v>3670536.7367339297</v>
      </c>
      <c r="I77" s="1737">
        <f t="shared" si="77"/>
        <v>568811.65324221156</v>
      </c>
      <c r="J77" s="1737">
        <f t="shared" si="77"/>
        <v>-17015.733216647357</v>
      </c>
      <c r="K77" s="1549">
        <f t="shared" si="77"/>
        <v>551795.92002556415</v>
      </c>
      <c r="L77" s="1482">
        <f t="shared" si="77"/>
        <v>4222332.656759494</v>
      </c>
      <c r="M77" s="935">
        <f t="shared" si="77"/>
        <v>-10555.831641898736</v>
      </c>
      <c r="N77" s="892">
        <f t="shared" si="77"/>
        <v>4211776.8251175955</v>
      </c>
      <c r="O77" s="891">
        <f t="shared" si="77"/>
        <v>0</v>
      </c>
      <c r="P77" s="997">
        <f t="shared" si="77"/>
        <v>4211776.8251175955</v>
      </c>
      <c r="Q77" s="1737">
        <f t="shared" si="77"/>
        <v>2440906.9299280634</v>
      </c>
      <c r="R77" s="1737">
        <f t="shared" si="77"/>
        <v>1770869.8951895321</v>
      </c>
      <c r="S77" s="997">
        <f>SUM(S8:S76)</f>
        <v>442717</v>
      </c>
      <c r="T77" s="1812">
        <f>'Table 5C1A-Madison Prep'!T77</f>
        <v>4626</v>
      </c>
      <c r="U77" s="1000">
        <f t="shared" ref="U77:AJ77" si="78">SUM(U8:U76)</f>
        <v>3399010</v>
      </c>
      <c r="V77" s="1770">
        <f t="shared" si="78"/>
        <v>117</v>
      </c>
      <c r="W77" s="1771">
        <f t="shared" si="78"/>
        <v>526734</v>
      </c>
      <c r="X77" s="1770">
        <f t="shared" si="78"/>
        <v>-7</v>
      </c>
      <c r="Y77" s="1771">
        <f t="shared" si="78"/>
        <v>-15757</v>
      </c>
      <c r="Z77" s="1665">
        <f t="shared" si="78"/>
        <v>510977</v>
      </c>
      <c r="AA77" s="1717">
        <f t="shared" si="78"/>
        <v>3909987</v>
      </c>
      <c r="AB77" s="940">
        <f t="shared" si="78"/>
        <v>-9774.9675000000007</v>
      </c>
      <c r="AC77" s="1000">
        <f t="shared" si="78"/>
        <v>3900212.0325000002</v>
      </c>
      <c r="AD77" s="1828">
        <f t="shared" si="78"/>
        <v>0</v>
      </c>
      <c r="AE77" s="1000">
        <f t="shared" si="78"/>
        <v>3900212.0325000002</v>
      </c>
      <c r="AF77" s="1771">
        <f t="shared" si="78"/>
        <v>2253312.6</v>
      </c>
      <c r="AG77" s="1771">
        <f t="shared" si="78"/>
        <v>1646899.4325000001</v>
      </c>
      <c r="AH77" s="1000">
        <f t="shared" si="78"/>
        <v>411725</v>
      </c>
      <c r="AI77" s="894">
        <f t="shared" si="78"/>
        <v>8111988.8576175962</v>
      </c>
      <c r="AJ77" s="894">
        <f t="shared" si="78"/>
        <v>854442</v>
      </c>
      <c r="AL77" s="49">
        <f t="shared" ref="AL77:AM77" si="79">SUM(AL8:AL76)</f>
        <v>8471.1</v>
      </c>
      <c r="AM77" s="49">
        <f t="shared" si="79"/>
        <v>-9774.9675000000007</v>
      </c>
      <c r="AN77" s="49">
        <f>SUM(AN8:AN76)</f>
        <v>-1303.8675000000003</v>
      </c>
    </row>
    <row r="78" spans="1:40" ht="5.25" customHeight="1" thickTop="1"/>
    <row r="79" spans="1:40" hidden="1"/>
    <row r="80" spans="1:40" hidden="1">
      <c r="M80" s="1464" t="s">
        <v>951</v>
      </c>
      <c r="N80" s="49">
        <f>-'[4]Table 5C1F-Lake Charles Charter'!$I$76</f>
        <v>9176.3418418348247</v>
      </c>
    </row>
    <row r="81" spans="13:14" hidden="1">
      <c r="M81" s="1464" t="s">
        <v>952</v>
      </c>
      <c r="N81" s="49">
        <f>M77</f>
        <v>-10555.831641898736</v>
      </c>
    </row>
    <row r="82" spans="13:14" hidden="1">
      <c r="M82" s="1464" t="s">
        <v>953</v>
      </c>
      <c r="N82" s="49">
        <f>SUM(N80:N81)</f>
        <v>-1379.4898000639114</v>
      </c>
    </row>
    <row r="83" spans="13:14" hidden="1"/>
    <row r="84" spans="13:14" hidden="1"/>
  </sheetData>
  <mergeCells count="30">
    <mergeCell ref="AI2:AI5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P4:P5"/>
    <mergeCell ref="S4:S5"/>
    <mergeCell ref="T4:T5"/>
    <mergeCell ref="T2:AH2"/>
    <mergeCell ref="K4:K5"/>
    <mergeCell ref="L4:L5"/>
    <mergeCell ref="V4:V5"/>
    <mergeCell ref="W4:W5"/>
    <mergeCell ref="X4:X5"/>
    <mergeCell ref="Y4:Y5"/>
    <mergeCell ref="AA4:AA5"/>
    <mergeCell ref="V3:Z3"/>
    <mergeCell ref="I4:I5"/>
    <mergeCell ref="J4:J5"/>
    <mergeCell ref="I3:K3"/>
    <mergeCell ref="A2:B5"/>
    <mergeCell ref="C2:S2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5C1-F: FY2013-14 MFP Budget Letter (March 2014) 
Lake Charles Charter Academy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80" zoomScaleNormal="100" zoomScaleSheetLayoutView="80" workbookViewId="0">
      <pane xSplit="2" ySplit="7" topLeftCell="C8" activePane="bottomRight" state="frozen"/>
      <selection activeCell="AL6" sqref="AL6"/>
      <selection pane="topRight" activeCell="AL6" sqref="AL6"/>
      <selection pane="bottomLeft" activeCell="AL6" sqref="AL6"/>
      <selection pane="bottomRight"/>
    </sheetView>
  </sheetViews>
  <sheetFormatPr defaultRowHeight="12.75"/>
  <cols>
    <col min="1" max="1" width="4.28515625" customWidth="1"/>
    <col min="2" max="2" width="17.85546875" customWidth="1"/>
    <col min="3" max="3" width="13.7109375" customWidth="1"/>
    <col min="4" max="4" width="14" customWidth="1"/>
    <col min="5" max="5" width="10.7109375" customWidth="1"/>
    <col min="6" max="6" width="13" customWidth="1"/>
    <col min="7" max="7" width="13.42578125" customWidth="1"/>
    <col min="8" max="8" width="12.85546875" customWidth="1"/>
    <col min="9" max="9" width="12.5703125" style="1464" customWidth="1"/>
    <col min="10" max="10" width="13.42578125" style="1464" bestFit="1" customWidth="1"/>
    <col min="11" max="11" width="12.5703125" style="1464" customWidth="1"/>
    <col min="12" max="12" width="15.140625" style="1464" customWidth="1"/>
    <col min="13" max="13" width="12.42578125" customWidth="1"/>
    <col min="14" max="14" width="13.140625" customWidth="1"/>
    <col min="15" max="15" width="13.42578125" bestFit="1" customWidth="1"/>
    <col min="16" max="16" width="14.7109375" customWidth="1"/>
    <col min="17" max="18" width="14" style="1464" customWidth="1"/>
    <col min="19" max="19" width="10.7109375" customWidth="1"/>
    <col min="20" max="20" width="11.5703125" customWidth="1"/>
    <col min="21" max="21" width="10.7109375" customWidth="1"/>
    <col min="22" max="26" width="12" style="1464" customWidth="1"/>
    <col min="27" max="27" width="13" style="1464" customWidth="1"/>
    <col min="28" max="28" width="12.5703125" customWidth="1"/>
    <col min="29" max="29" width="13" customWidth="1"/>
    <col min="30" max="30" width="13.28515625" customWidth="1"/>
    <col min="31" max="31" width="13" customWidth="1"/>
    <col min="32" max="33" width="13.140625" style="1464" customWidth="1"/>
    <col min="34" max="34" width="12" customWidth="1"/>
    <col min="35" max="35" width="11" customWidth="1"/>
    <col min="36" max="36" width="12.140625" customWidth="1"/>
    <col min="37" max="37" width="1.5703125" customWidth="1"/>
    <col min="38" max="38" width="9.140625" hidden="1" customWidth="1"/>
    <col min="39" max="39" width="10.28515625" hidden="1" customWidth="1"/>
    <col min="40" max="40" width="9.140625" hidden="1" customWidth="1"/>
  </cols>
  <sheetData>
    <row r="1" spans="1:40">
      <c r="C1" s="271"/>
      <c r="D1" s="271"/>
      <c r="E1" s="271"/>
      <c r="F1" s="271"/>
      <c r="G1" s="271"/>
      <c r="H1" s="271"/>
      <c r="I1" s="1465"/>
      <c r="J1" s="1465"/>
      <c r="K1" s="1465"/>
      <c r="L1" s="1465"/>
      <c r="M1" s="271"/>
      <c r="N1" s="271"/>
      <c r="O1" s="271"/>
      <c r="P1" s="271"/>
      <c r="Q1" s="1465"/>
      <c r="R1" s="1465"/>
      <c r="S1" s="271"/>
    </row>
    <row r="2" spans="1:40" ht="45" customHeight="1">
      <c r="A2" s="2324" t="s">
        <v>443</v>
      </c>
      <c r="B2" s="2325"/>
      <c r="C2" s="2343" t="s">
        <v>440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69"/>
      <c r="W2" s="2369"/>
      <c r="X2" s="2320"/>
      <c r="Y2" s="2320"/>
      <c r="Z2" s="2320"/>
      <c r="AA2" s="2369"/>
      <c r="AB2" s="2318"/>
      <c r="AC2" s="2318"/>
      <c r="AD2" s="2318"/>
      <c r="AE2" s="2318"/>
      <c r="AF2" s="2369"/>
      <c r="AG2" s="2369"/>
      <c r="AH2" s="2321"/>
      <c r="AI2" s="2307" t="s">
        <v>542</v>
      </c>
      <c r="AJ2" s="2307" t="s">
        <v>527</v>
      </c>
    </row>
    <row r="3" spans="1:40" s="1464" customFormat="1" ht="22.9" customHeight="1">
      <c r="A3" s="2326"/>
      <c r="B3" s="2327"/>
      <c r="C3" s="1585"/>
      <c r="D3" s="1579"/>
      <c r="E3" s="1579"/>
      <c r="F3" s="1579"/>
      <c r="G3" s="1579"/>
      <c r="H3" s="1579"/>
      <c r="I3" s="2347" t="s">
        <v>772</v>
      </c>
      <c r="J3" s="2348"/>
      <c r="K3" s="2349"/>
      <c r="L3" s="1579"/>
      <c r="M3" s="1579"/>
      <c r="N3" s="1579"/>
      <c r="O3" s="1579"/>
      <c r="P3" s="1579"/>
      <c r="Q3" s="1579"/>
      <c r="R3" s="1579"/>
      <c r="S3" s="1580"/>
      <c r="T3" s="1584"/>
      <c r="U3" s="1582"/>
      <c r="V3" s="2376" t="s">
        <v>772</v>
      </c>
      <c r="W3" s="2377"/>
      <c r="X3" s="2377"/>
      <c r="Y3" s="2377"/>
      <c r="Z3" s="2378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</row>
    <row r="4" spans="1:40" ht="135" customHeight="1">
      <c r="A4" s="2328"/>
      <c r="B4" s="2327"/>
      <c r="C4" s="2311" t="s">
        <v>825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35" t="s">
        <v>784</v>
      </c>
      <c r="J4" s="2335" t="s">
        <v>785</v>
      </c>
      <c r="K4" s="2335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75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75" t="s">
        <v>808</v>
      </c>
      <c r="AC4" s="2314" t="s">
        <v>805</v>
      </c>
      <c r="AD4" s="2314" t="s">
        <v>794</v>
      </c>
      <c r="AE4" s="2314" t="s">
        <v>806</v>
      </c>
      <c r="AF4" s="1578" t="s">
        <v>807</v>
      </c>
      <c r="AG4" s="1578" t="s">
        <v>795</v>
      </c>
      <c r="AH4" s="1575" t="s">
        <v>540</v>
      </c>
      <c r="AI4" s="2309"/>
      <c r="AJ4" s="2309"/>
    </row>
    <row r="5" spans="1:40" ht="22.15" customHeight="1">
      <c r="A5" s="2329"/>
      <c r="B5" s="2330"/>
      <c r="C5" s="231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76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479"/>
      <c r="AG5" s="1479"/>
      <c r="AH5" s="985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H6" si="1">E6+1</f>
        <v>4</v>
      </c>
      <c r="G6" s="869">
        <f t="shared" si="1"/>
        <v>5</v>
      </c>
      <c r="H6" s="869">
        <f t="shared" si="1"/>
        <v>6</v>
      </c>
      <c r="I6" s="869">
        <f t="shared" ref="I6" si="2">H6+1</f>
        <v>7</v>
      </c>
      <c r="J6" s="869">
        <f t="shared" ref="J6" si="3">I6+1</f>
        <v>8</v>
      </c>
      <c r="K6" s="869">
        <f t="shared" ref="K6" si="4">J6+1</f>
        <v>9</v>
      </c>
      <c r="L6" s="869">
        <f t="shared" ref="L6" si="5">K6+1</f>
        <v>10</v>
      </c>
      <c r="M6" s="869">
        <f t="shared" ref="M6" si="6">L6+1</f>
        <v>11</v>
      </c>
      <c r="N6" s="869">
        <f t="shared" ref="N6" si="7">M6+1</f>
        <v>12</v>
      </c>
      <c r="O6" s="869">
        <f t="shared" ref="O6" si="8">N6+1</f>
        <v>13</v>
      </c>
      <c r="P6" s="869">
        <f t="shared" ref="P6" si="9">O6+1</f>
        <v>14</v>
      </c>
      <c r="Q6" s="869">
        <f t="shared" ref="Q6" si="10">P6+1</f>
        <v>15</v>
      </c>
      <c r="R6" s="869">
        <f t="shared" ref="R6" si="11">Q6+1</f>
        <v>16</v>
      </c>
      <c r="S6" s="869">
        <f t="shared" ref="S6" si="12">R6+1</f>
        <v>17</v>
      </c>
      <c r="T6" s="869">
        <f t="shared" ref="T6" si="13">S6+1</f>
        <v>18</v>
      </c>
      <c r="U6" s="869">
        <f t="shared" ref="U6" si="14">T6+1</f>
        <v>19</v>
      </c>
      <c r="V6" s="869">
        <f t="shared" ref="V6" si="15">U6+1</f>
        <v>20</v>
      </c>
      <c r="W6" s="869">
        <f t="shared" ref="W6" si="16">V6+1</f>
        <v>21</v>
      </c>
      <c r="X6" s="869">
        <f t="shared" ref="X6" si="17">W6+1</f>
        <v>22</v>
      </c>
      <c r="Y6" s="869">
        <f t="shared" ref="Y6" si="18">X6+1</f>
        <v>23</v>
      </c>
      <c r="Z6" s="869">
        <f t="shared" ref="Z6" si="19">Y6+1</f>
        <v>24</v>
      </c>
      <c r="AA6" s="869">
        <f t="shared" ref="AA6" si="20">Z6+1</f>
        <v>25</v>
      </c>
      <c r="AB6" s="869">
        <f t="shared" ref="AB6" si="21">AA6+1</f>
        <v>26</v>
      </c>
      <c r="AC6" s="869">
        <f t="shared" ref="AC6" si="22">AB6+1</f>
        <v>27</v>
      </c>
      <c r="AD6" s="869">
        <f t="shared" ref="AD6" si="23">AC6+1</f>
        <v>28</v>
      </c>
      <c r="AE6" s="869">
        <f t="shared" ref="AE6" si="24">AD6+1</f>
        <v>29</v>
      </c>
      <c r="AF6" s="869">
        <f t="shared" ref="AF6" si="25">AE6+1</f>
        <v>30</v>
      </c>
      <c r="AG6" s="869">
        <f t="shared" ref="AG6" si="26">AF6+1</f>
        <v>31</v>
      </c>
      <c r="AH6" s="869">
        <f t="shared" ref="AH6" si="27">AG6+1</f>
        <v>32</v>
      </c>
      <c r="AI6" s="869">
        <f t="shared" ref="AI6" si="28">AH6+1</f>
        <v>33</v>
      </c>
      <c r="AJ6" s="869">
        <f t="shared" ref="AJ6" si="29">AI6+1</f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469"/>
      <c r="J7" s="1469"/>
      <c r="K7" s="1469"/>
      <c r="L7" s="1469"/>
      <c r="M7" s="896"/>
      <c r="N7" s="896"/>
      <c r="O7" s="896"/>
      <c r="P7" s="896"/>
      <c r="Q7" s="1469"/>
      <c r="R7" s="1469"/>
      <c r="S7" s="896"/>
      <c r="T7" s="896"/>
      <c r="U7" s="896"/>
      <c r="V7" s="1469"/>
      <c r="W7" s="1469"/>
      <c r="X7" s="1535"/>
      <c r="Y7" s="1535"/>
      <c r="Z7" s="1535"/>
      <c r="AA7" s="1469"/>
      <c r="AB7" s="896"/>
      <c r="AC7" s="896"/>
      <c r="AD7" s="896"/>
      <c r="AE7" s="896"/>
      <c r="AF7" s="1469"/>
      <c r="AG7" s="1469"/>
      <c r="AH7" s="896"/>
      <c r="AI7" s="896"/>
      <c r="AJ7" s="896"/>
      <c r="AL7" s="2036" t="s">
        <v>945</v>
      </c>
      <c r="AM7" s="2035" t="s">
        <v>946</v>
      </c>
      <c r="AN7" s="2035" t="s">
        <v>947</v>
      </c>
    </row>
    <row r="8" spans="1:40">
      <c r="A8" s="870">
        <v>1</v>
      </c>
      <c r="B8" s="871" t="s">
        <v>92</v>
      </c>
      <c r="C8" s="971">
        <f>'2-1-13 SIS'!P7</f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JS Clark Academy'!K7</f>
        <v>0</v>
      </c>
      <c r="J8" s="1718">
        <f>'[3]Feb midyear JS Clark Academy'!K7</f>
        <v>0</v>
      </c>
      <c r="K8" s="1542">
        <f>+I8+J8</f>
        <v>0</v>
      </c>
      <c r="L8" s="1466">
        <f>H8+K8</f>
        <v>0</v>
      </c>
      <c r="M8" s="928">
        <f>-(0.25%*L8)</f>
        <v>0</v>
      </c>
      <c r="N8" s="873">
        <f>SUM(L8:M8)</f>
        <v>0</v>
      </c>
      <c r="O8" s="872">
        <f>'[32]Oct midyear JS Clark Academy'!K7</f>
        <v>0</v>
      </c>
      <c r="P8" s="998">
        <f>SUM(N8:O8)</f>
        <v>0</v>
      </c>
      <c r="Q8" s="1718">
        <f>'[4]Table 5C1G-JS Clark Academy'!M7+'[27]Table 5C1G-JS Clark Academy'!T7+('[26]Table 5C1G-JS Clark Academy'!T7*6)</f>
        <v>0</v>
      </c>
      <c r="R8" s="1718">
        <f>P8-Q8</f>
        <v>0</v>
      </c>
      <c r="S8" s="998">
        <f>ROUND(R8/4,0)</f>
        <v>0</v>
      </c>
      <c r="T8" s="1802">
        <f>'Table 5C1A-Madison Prep'!T8</f>
        <v>2180</v>
      </c>
      <c r="U8" s="999">
        <f t="shared" ref="U8:U39" si="30">C8*T8</f>
        <v>0</v>
      </c>
      <c r="V8" s="1754">
        <f>+'[3]Oct midyear JS Clark Academy'!E7</f>
        <v>0</v>
      </c>
      <c r="W8" s="1755">
        <f>V8*T8</f>
        <v>0</v>
      </c>
      <c r="X8" s="1754">
        <f>'[3]Feb midyear JS Clark Academy'!E7</f>
        <v>0</v>
      </c>
      <c r="Y8" s="1755">
        <f>(T8*X8)*0.5</f>
        <v>0</v>
      </c>
      <c r="Z8" s="1652">
        <f>+Y8+W8</f>
        <v>0</v>
      </c>
      <c r="AA8" s="1467">
        <f>U8+Z8</f>
        <v>0</v>
      </c>
      <c r="AB8" s="936">
        <f>-(0.25%*AA8)</f>
        <v>0</v>
      </c>
      <c r="AC8" s="874">
        <f>SUM(AA8:AB8)</f>
        <v>0</v>
      </c>
      <c r="AD8" s="1829">
        <f>'[32]Oct midyear JS Clark Academy'!P7</f>
        <v>0</v>
      </c>
      <c r="AE8" s="874">
        <f>SUM(AC8:AD8)</f>
        <v>0</v>
      </c>
      <c r="AF8" s="1829">
        <f>'[4]Table 5C1G-JS Clark Academy'!T7+'[27]Table 5C1G-JS Clark Academy'!AF7+('[26]Table 5C1G-JS Clark Academy'!AF7*6)</f>
        <v>0</v>
      </c>
      <c r="AG8" s="1829">
        <f>AE8-AF8</f>
        <v>0</v>
      </c>
      <c r="AH8" s="874">
        <f>ROUND(AG8/4,0)</f>
        <v>0</v>
      </c>
      <c r="AI8" s="875">
        <f t="shared" ref="AI8:AI39" si="31">P8+AE8</f>
        <v>0</v>
      </c>
      <c r="AJ8" s="875">
        <f>S8+AH8</f>
        <v>0</v>
      </c>
      <c r="AL8" s="49">
        <f>-'[4]Table 5C1G-JS Clark Academy'!P7</f>
        <v>0</v>
      </c>
      <c r="AM8" s="49">
        <f>AB8</f>
        <v>0</v>
      </c>
      <c r="AN8" s="49">
        <f>SUM(AL8:AM8)</f>
        <v>0</v>
      </c>
    </row>
    <row r="9" spans="1:40">
      <c r="A9" s="876">
        <v>2</v>
      </c>
      <c r="B9" s="877" t="s">
        <v>93</v>
      </c>
      <c r="C9" s="969">
        <f>'2-1-13 SIS'!P8</f>
        <v>0</v>
      </c>
      <c r="D9" s="878">
        <f>'Table 3 Levels 1&amp;2'!AL9</f>
        <v>6182.4313545138375</v>
      </c>
      <c r="E9" s="919">
        <f t="shared" ref="E9:E72" si="32">C9*D9</f>
        <v>0</v>
      </c>
      <c r="F9" s="919">
        <f>'Table 4 Level 3'!P7</f>
        <v>842.32</v>
      </c>
      <c r="G9" s="919">
        <f t="shared" ref="G9:G72" si="33">C9*F9</f>
        <v>0</v>
      </c>
      <c r="H9" s="898">
        <f t="shared" ref="H9:H72" si="34">E9+G9</f>
        <v>0</v>
      </c>
      <c r="I9" s="1738">
        <f>+'[3]Oct midyear JS Clark Academy'!K8</f>
        <v>0</v>
      </c>
      <c r="J9" s="1738">
        <f>'[3]Feb midyear JS Clark Academy'!K8</f>
        <v>0</v>
      </c>
      <c r="K9" s="1684">
        <f t="shared" ref="K9:K72" si="35">+I9+J9</f>
        <v>0</v>
      </c>
      <c r="L9" s="1470">
        <f t="shared" ref="L9:L39" si="36">H9+K9</f>
        <v>0</v>
      </c>
      <c r="M9" s="929">
        <f t="shared" ref="M9:M72" si="37">-(0.25%*L9)</f>
        <v>0</v>
      </c>
      <c r="N9" s="898">
        <f t="shared" ref="N9:N72" si="38">SUM(L9:M9)</f>
        <v>0</v>
      </c>
      <c r="O9" s="878">
        <f>'[32]Oct midyear JS Clark Academy'!K8</f>
        <v>0</v>
      </c>
      <c r="P9" s="1550">
        <f t="shared" ref="P9:P72" si="39">SUM(N9:O9)</f>
        <v>0</v>
      </c>
      <c r="Q9" s="1718">
        <f>'[4]Table 5C1G-JS Clark Academy'!M8+'[27]Table 5C1G-JS Clark Academy'!T8+('[26]Table 5C1G-JS Clark Academy'!T8*6)</f>
        <v>0</v>
      </c>
      <c r="R9" s="1738">
        <f t="shared" ref="R9:R72" si="40">P9-Q9</f>
        <v>0</v>
      </c>
      <c r="S9" s="998">
        <f t="shared" ref="S9:S72" si="41">ROUND(R9/4,0)</f>
        <v>0</v>
      </c>
      <c r="T9" s="1802">
        <f>'Table 5C1A-Madison Prep'!T9</f>
        <v>2759</v>
      </c>
      <c r="U9" s="1555">
        <f t="shared" si="30"/>
        <v>0</v>
      </c>
      <c r="V9" s="1777">
        <f>+'[3]Oct midyear JS Clark Academy'!E8</f>
        <v>0</v>
      </c>
      <c r="W9" s="1778">
        <f t="shared" ref="W9:W72" si="42">V9*T9</f>
        <v>0</v>
      </c>
      <c r="X9" s="1758">
        <f>'[3]Feb midyear JS Clark Academy'!E8</f>
        <v>0</v>
      </c>
      <c r="Y9" s="1759">
        <f t="shared" ref="Y9:Y72" si="43">(T9*X9)*0.5</f>
        <v>0</v>
      </c>
      <c r="Z9" s="1653">
        <f t="shared" ref="Z9:Z72" si="44">+Y9+W9</f>
        <v>0</v>
      </c>
      <c r="AA9" s="1471">
        <f t="shared" ref="AA9:AA72" si="45">U9+Z9</f>
        <v>0</v>
      </c>
      <c r="AB9" s="937">
        <f t="shared" ref="AB9:AB72" si="46">-(0.25%*AA9)</f>
        <v>0</v>
      </c>
      <c r="AC9" s="899">
        <f t="shared" ref="AC9:AC72" si="47">SUM(AA9:AB9)</f>
        <v>0</v>
      </c>
      <c r="AD9" s="1830">
        <f>'[32]Oct midyear JS Clark Academy'!P8</f>
        <v>0</v>
      </c>
      <c r="AE9" s="899">
        <f t="shared" ref="AE9:AE72" si="48">SUM(AC9:AD9)</f>
        <v>0</v>
      </c>
      <c r="AF9" s="1829">
        <f>'[4]Table 5C1G-JS Clark Academy'!T8+'[27]Table 5C1G-JS Clark Academy'!AF8+('[26]Table 5C1G-JS Clark Academy'!AF8*6)</f>
        <v>0</v>
      </c>
      <c r="AG9" s="1838">
        <f t="shared" ref="AG9:AG72" si="49">AE9-AF9</f>
        <v>0</v>
      </c>
      <c r="AH9" s="1521">
        <f t="shared" ref="AH9:AH72" si="50">ROUND(AG9/4,0)</f>
        <v>0</v>
      </c>
      <c r="AI9" s="900">
        <f t="shared" si="31"/>
        <v>0</v>
      </c>
      <c r="AJ9" s="900">
        <f t="shared" ref="AJ9:AJ72" si="51">S9+AH9</f>
        <v>0</v>
      </c>
      <c r="AL9" s="49">
        <f>-'[4]Table 5C1G-JS Clark Academy'!P8</f>
        <v>0</v>
      </c>
      <c r="AM9" s="49">
        <f t="shared" ref="AM9:AM72" si="52">AB9</f>
        <v>0</v>
      </c>
      <c r="AN9" s="49">
        <f t="shared" ref="AN9:AN72" si="53">SUM(AL9:AM9)</f>
        <v>0</v>
      </c>
    </row>
    <row r="10" spans="1:40">
      <c r="A10" s="876">
        <v>3</v>
      </c>
      <c r="B10" s="877" t="s">
        <v>94</v>
      </c>
      <c r="C10" s="969">
        <f>'2-1-13 SIS'!P9</f>
        <v>0</v>
      </c>
      <c r="D10" s="878">
        <f>'Table 3 Levels 1&amp;2'!AL10</f>
        <v>4206.710737685361</v>
      </c>
      <c r="E10" s="919">
        <f t="shared" si="32"/>
        <v>0</v>
      </c>
      <c r="F10" s="919">
        <f>'Table 4 Level 3'!P8</f>
        <v>596.84</v>
      </c>
      <c r="G10" s="919">
        <f t="shared" si="33"/>
        <v>0</v>
      </c>
      <c r="H10" s="898">
        <f t="shared" si="34"/>
        <v>0</v>
      </c>
      <c r="I10" s="1738">
        <f>+'[3]Oct midyear JS Clark Academy'!K9</f>
        <v>0</v>
      </c>
      <c r="J10" s="1738">
        <f>'[3]Feb midyear JS Clark Academy'!K9</f>
        <v>0</v>
      </c>
      <c r="K10" s="1684">
        <f t="shared" si="35"/>
        <v>0</v>
      </c>
      <c r="L10" s="1470">
        <f t="shared" si="36"/>
        <v>0</v>
      </c>
      <c r="M10" s="929">
        <f t="shared" si="37"/>
        <v>0</v>
      </c>
      <c r="N10" s="898">
        <f t="shared" si="38"/>
        <v>0</v>
      </c>
      <c r="O10" s="878">
        <f>'[32]Oct midyear JS Clark Academy'!K9</f>
        <v>0</v>
      </c>
      <c r="P10" s="1550">
        <f t="shared" si="39"/>
        <v>0</v>
      </c>
      <c r="Q10" s="1718">
        <f>'[4]Table 5C1G-JS Clark Academy'!M9+'[27]Table 5C1G-JS Clark Academy'!T9+('[26]Table 5C1G-JS Clark Academy'!T9*6)</f>
        <v>0</v>
      </c>
      <c r="R10" s="1738">
        <f t="shared" si="40"/>
        <v>0</v>
      </c>
      <c r="S10" s="998">
        <f t="shared" si="41"/>
        <v>0</v>
      </c>
      <c r="T10" s="1802">
        <f>'Table 5C1A-Madison Prep'!T10</f>
        <v>5538</v>
      </c>
      <c r="U10" s="1555">
        <f t="shared" si="30"/>
        <v>0</v>
      </c>
      <c r="V10" s="1777">
        <f>+'[3]Oct midyear JS Clark Academy'!E9</f>
        <v>0</v>
      </c>
      <c r="W10" s="1778">
        <f t="shared" si="42"/>
        <v>0</v>
      </c>
      <c r="X10" s="1758">
        <f>'[3]Feb midyear JS Clark Academy'!E9</f>
        <v>0</v>
      </c>
      <c r="Y10" s="1759">
        <f t="shared" si="43"/>
        <v>0</v>
      </c>
      <c r="Z10" s="1653">
        <f t="shared" si="44"/>
        <v>0</v>
      </c>
      <c r="AA10" s="1471">
        <f t="shared" si="45"/>
        <v>0</v>
      </c>
      <c r="AB10" s="937">
        <f t="shared" si="46"/>
        <v>0</v>
      </c>
      <c r="AC10" s="899">
        <f t="shared" si="47"/>
        <v>0</v>
      </c>
      <c r="AD10" s="1830">
        <f>'[32]Oct midyear JS Clark Academy'!P9</f>
        <v>0</v>
      </c>
      <c r="AE10" s="899">
        <f t="shared" si="48"/>
        <v>0</v>
      </c>
      <c r="AF10" s="1829">
        <f>'[4]Table 5C1G-JS Clark Academy'!T9+'[27]Table 5C1G-JS Clark Academy'!AF9+('[26]Table 5C1G-JS Clark Academy'!AF9*6)</f>
        <v>0</v>
      </c>
      <c r="AG10" s="1838">
        <f t="shared" si="49"/>
        <v>0</v>
      </c>
      <c r="AH10" s="1521">
        <f t="shared" si="50"/>
        <v>0</v>
      </c>
      <c r="AI10" s="900">
        <f t="shared" si="31"/>
        <v>0</v>
      </c>
      <c r="AJ10" s="900">
        <f t="shared" si="51"/>
        <v>0</v>
      </c>
      <c r="AL10" s="49">
        <f>-'[4]Table 5C1G-JS Clark Academy'!P9</f>
        <v>0</v>
      </c>
      <c r="AM10" s="49">
        <f t="shared" si="52"/>
        <v>0</v>
      </c>
      <c r="AN10" s="49">
        <f t="shared" si="53"/>
        <v>0</v>
      </c>
    </row>
    <row r="11" spans="1:40">
      <c r="A11" s="876">
        <v>4</v>
      </c>
      <c r="B11" s="877" t="s">
        <v>95</v>
      </c>
      <c r="C11" s="969">
        <f>'2-1-13 SIS'!P10</f>
        <v>0</v>
      </c>
      <c r="D11" s="878">
        <f>'Table 3 Levels 1&amp;2'!AL11</f>
        <v>5987.4993535453223</v>
      </c>
      <c r="E11" s="919">
        <f t="shared" si="32"/>
        <v>0</v>
      </c>
      <c r="F11" s="919">
        <f>'Table 4 Level 3'!P9</f>
        <v>585.76</v>
      </c>
      <c r="G11" s="919">
        <f t="shared" si="33"/>
        <v>0</v>
      </c>
      <c r="H11" s="898">
        <f t="shared" si="34"/>
        <v>0</v>
      </c>
      <c r="I11" s="1738">
        <f>+'[3]Oct midyear JS Clark Academy'!K10</f>
        <v>0</v>
      </c>
      <c r="J11" s="1738">
        <f>'[3]Feb midyear JS Clark Academy'!K10</f>
        <v>0</v>
      </c>
      <c r="K11" s="1684">
        <f t="shared" si="35"/>
        <v>0</v>
      </c>
      <c r="L11" s="1470">
        <f t="shared" si="36"/>
        <v>0</v>
      </c>
      <c r="M11" s="929">
        <f t="shared" si="37"/>
        <v>0</v>
      </c>
      <c r="N11" s="898">
        <f t="shared" si="38"/>
        <v>0</v>
      </c>
      <c r="O11" s="878">
        <f>'[32]Oct midyear JS Clark Academy'!K10</f>
        <v>0</v>
      </c>
      <c r="P11" s="1550">
        <f t="shared" si="39"/>
        <v>0</v>
      </c>
      <c r="Q11" s="1718">
        <f>'[4]Table 5C1G-JS Clark Academy'!M10+'[27]Table 5C1G-JS Clark Academy'!T10+('[26]Table 5C1G-JS Clark Academy'!T10*6)</f>
        <v>0</v>
      </c>
      <c r="R11" s="1738">
        <f t="shared" si="40"/>
        <v>0</v>
      </c>
      <c r="S11" s="998">
        <f t="shared" si="41"/>
        <v>0</v>
      </c>
      <c r="T11" s="1802">
        <f>'Table 5C1A-Madison Prep'!T11</f>
        <v>3507</v>
      </c>
      <c r="U11" s="1555">
        <f t="shared" si="30"/>
        <v>0</v>
      </c>
      <c r="V11" s="1777">
        <f>+'[3]Oct midyear JS Clark Academy'!E10</f>
        <v>0</v>
      </c>
      <c r="W11" s="1778">
        <f t="shared" si="42"/>
        <v>0</v>
      </c>
      <c r="X11" s="1758">
        <f>'[3]Feb midyear JS Clark Academy'!E10</f>
        <v>0</v>
      </c>
      <c r="Y11" s="1759">
        <f t="shared" si="43"/>
        <v>0</v>
      </c>
      <c r="Z11" s="1653">
        <f t="shared" si="44"/>
        <v>0</v>
      </c>
      <c r="AA11" s="1471">
        <f t="shared" si="45"/>
        <v>0</v>
      </c>
      <c r="AB11" s="937">
        <f t="shared" si="46"/>
        <v>0</v>
      </c>
      <c r="AC11" s="899">
        <f t="shared" si="47"/>
        <v>0</v>
      </c>
      <c r="AD11" s="1830">
        <f>'[32]Oct midyear JS Clark Academy'!P10</f>
        <v>0</v>
      </c>
      <c r="AE11" s="899">
        <f t="shared" si="48"/>
        <v>0</v>
      </c>
      <c r="AF11" s="1829">
        <f>'[4]Table 5C1G-JS Clark Academy'!T10+'[27]Table 5C1G-JS Clark Academy'!AF10+('[26]Table 5C1G-JS Clark Academy'!AF10*6)</f>
        <v>0</v>
      </c>
      <c r="AG11" s="1838">
        <f t="shared" si="49"/>
        <v>0</v>
      </c>
      <c r="AH11" s="1521">
        <f t="shared" si="50"/>
        <v>0</v>
      </c>
      <c r="AI11" s="900">
        <f t="shared" si="31"/>
        <v>0</v>
      </c>
      <c r="AJ11" s="900">
        <f t="shared" si="51"/>
        <v>0</v>
      </c>
      <c r="AL11" s="49">
        <f>-'[4]Table 5C1G-JS Clark Academy'!P10</f>
        <v>0</v>
      </c>
      <c r="AM11" s="49">
        <f t="shared" si="52"/>
        <v>0</v>
      </c>
      <c r="AN11" s="49">
        <f t="shared" si="53"/>
        <v>0</v>
      </c>
    </row>
    <row r="12" spans="1:40">
      <c r="A12" s="879">
        <v>5</v>
      </c>
      <c r="B12" s="880" t="s">
        <v>96</v>
      </c>
      <c r="C12" s="970">
        <f>'2-1-13 SIS'!P11</f>
        <v>0</v>
      </c>
      <c r="D12" s="881">
        <f>'Table 3 Levels 1&amp;2'!AL12</f>
        <v>4986.8166927080074</v>
      </c>
      <c r="E12" s="920">
        <f t="shared" si="32"/>
        <v>0</v>
      </c>
      <c r="F12" s="920">
        <f>'Table 4 Level 3'!P10</f>
        <v>555.91</v>
      </c>
      <c r="G12" s="920">
        <f t="shared" si="33"/>
        <v>0</v>
      </c>
      <c r="H12" s="901">
        <f t="shared" si="34"/>
        <v>0</v>
      </c>
      <c r="I12" s="1739">
        <f>+'[3]Oct midyear JS Clark Academy'!K11</f>
        <v>0</v>
      </c>
      <c r="J12" s="1739">
        <f>'[3]Feb midyear JS Clark Academy'!K11</f>
        <v>0</v>
      </c>
      <c r="K12" s="1685">
        <f t="shared" si="35"/>
        <v>0</v>
      </c>
      <c r="L12" s="1472">
        <f t="shared" si="36"/>
        <v>0</v>
      </c>
      <c r="M12" s="930">
        <f t="shared" si="37"/>
        <v>0</v>
      </c>
      <c r="N12" s="901">
        <f t="shared" si="38"/>
        <v>0</v>
      </c>
      <c r="O12" s="881">
        <f>'[32]Oct midyear JS Clark Academy'!K11</f>
        <v>0</v>
      </c>
      <c r="P12" s="1551">
        <f t="shared" si="39"/>
        <v>0</v>
      </c>
      <c r="Q12" s="1804">
        <f>'[4]Table 5C1G-JS Clark Academy'!M11+'[27]Table 5C1G-JS Clark Academy'!T11+('[26]Table 5C1G-JS Clark Academy'!T11*6)</f>
        <v>0</v>
      </c>
      <c r="R12" s="1739">
        <f t="shared" si="40"/>
        <v>0</v>
      </c>
      <c r="S12" s="1806">
        <f t="shared" si="41"/>
        <v>0</v>
      </c>
      <c r="T12" s="1807">
        <f>'Table 5C1A-Madison Prep'!T12</f>
        <v>2086</v>
      </c>
      <c r="U12" s="1556">
        <f t="shared" si="30"/>
        <v>0</v>
      </c>
      <c r="V12" s="1779">
        <f>+'[3]Oct midyear JS Clark Academy'!E11</f>
        <v>0</v>
      </c>
      <c r="W12" s="1780">
        <f t="shared" si="42"/>
        <v>0</v>
      </c>
      <c r="X12" s="1762">
        <f>'[3]Feb midyear JS Clark Academy'!E11</f>
        <v>0</v>
      </c>
      <c r="Y12" s="1763">
        <f t="shared" si="43"/>
        <v>0</v>
      </c>
      <c r="Z12" s="1654">
        <f t="shared" si="44"/>
        <v>0</v>
      </c>
      <c r="AA12" s="1473">
        <f t="shared" si="45"/>
        <v>0</v>
      </c>
      <c r="AB12" s="938">
        <f t="shared" si="46"/>
        <v>0</v>
      </c>
      <c r="AC12" s="903">
        <f t="shared" si="47"/>
        <v>0</v>
      </c>
      <c r="AD12" s="1831">
        <f>'[32]Oct midyear JS Clark Academy'!P11</f>
        <v>0</v>
      </c>
      <c r="AE12" s="903">
        <f t="shared" si="48"/>
        <v>0</v>
      </c>
      <c r="AF12" s="1837">
        <f>'[4]Table 5C1G-JS Clark Academy'!T11+'[27]Table 5C1G-JS Clark Academy'!AF11+('[26]Table 5C1G-JS Clark Academy'!AF11*6)</f>
        <v>0</v>
      </c>
      <c r="AG12" s="1839">
        <f t="shared" si="49"/>
        <v>0</v>
      </c>
      <c r="AH12" s="1530">
        <f t="shared" si="50"/>
        <v>0</v>
      </c>
      <c r="AI12" s="904">
        <f t="shared" si="31"/>
        <v>0</v>
      </c>
      <c r="AJ12" s="904">
        <f t="shared" si="51"/>
        <v>0</v>
      </c>
      <c r="AL12" s="49">
        <f>-'[4]Table 5C1G-JS Clark Academy'!P11</f>
        <v>0</v>
      </c>
      <c r="AM12" s="49">
        <f t="shared" si="52"/>
        <v>0</v>
      </c>
      <c r="AN12" s="49">
        <f t="shared" si="53"/>
        <v>0</v>
      </c>
    </row>
    <row r="13" spans="1:40">
      <c r="A13" s="870">
        <v>6</v>
      </c>
      <c r="B13" s="871" t="s">
        <v>97</v>
      </c>
      <c r="C13" s="971">
        <f>'2-1-13 SIS'!P12</f>
        <v>0</v>
      </c>
      <c r="D13" s="872">
        <f>'Table 3 Levels 1&amp;2'!AL13</f>
        <v>5412.7883404260592</v>
      </c>
      <c r="E13" s="918">
        <f t="shared" si="32"/>
        <v>0</v>
      </c>
      <c r="F13" s="918">
        <f>'Table 4 Level 3'!P11</f>
        <v>545.4799999999999</v>
      </c>
      <c r="G13" s="918">
        <f t="shared" si="33"/>
        <v>0</v>
      </c>
      <c r="H13" s="873">
        <f t="shared" si="34"/>
        <v>0</v>
      </c>
      <c r="I13" s="1718">
        <f>+'[3]Oct midyear JS Clark Academy'!K12</f>
        <v>0</v>
      </c>
      <c r="J13" s="1718">
        <f>'[3]Feb midyear JS Clark Academy'!K12</f>
        <v>0</v>
      </c>
      <c r="K13" s="1542">
        <f t="shared" si="35"/>
        <v>0</v>
      </c>
      <c r="L13" s="1466">
        <f t="shared" si="36"/>
        <v>0</v>
      </c>
      <c r="M13" s="928">
        <f t="shared" si="37"/>
        <v>0</v>
      </c>
      <c r="N13" s="873">
        <f t="shared" si="38"/>
        <v>0</v>
      </c>
      <c r="O13" s="872">
        <f>'[32]Oct midyear JS Clark Academy'!K12</f>
        <v>0</v>
      </c>
      <c r="P13" s="998">
        <f t="shared" si="39"/>
        <v>0</v>
      </c>
      <c r="Q13" s="1718">
        <f>'[4]Table 5C1G-JS Clark Academy'!M12+'[27]Table 5C1G-JS Clark Academy'!T12+('[26]Table 5C1G-JS Clark Academy'!T12*6)</f>
        <v>0</v>
      </c>
      <c r="R13" s="1718">
        <f t="shared" si="40"/>
        <v>0</v>
      </c>
      <c r="S13" s="998">
        <f t="shared" si="41"/>
        <v>0</v>
      </c>
      <c r="T13" s="1802">
        <f>'Table 5C1A-Madison Prep'!T13</f>
        <v>3683</v>
      </c>
      <c r="U13" s="999">
        <f t="shared" si="30"/>
        <v>0</v>
      </c>
      <c r="V13" s="1754">
        <f>+'[3]Oct midyear JS Clark Academy'!E12</f>
        <v>0</v>
      </c>
      <c r="W13" s="1755">
        <f t="shared" si="42"/>
        <v>0</v>
      </c>
      <c r="X13" s="1754">
        <f>'[3]Feb midyear JS Clark Academy'!E12</f>
        <v>0</v>
      </c>
      <c r="Y13" s="1755">
        <f t="shared" si="43"/>
        <v>0</v>
      </c>
      <c r="Z13" s="1652">
        <f t="shared" si="44"/>
        <v>0</v>
      </c>
      <c r="AA13" s="1467">
        <f t="shared" si="45"/>
        <v>0</v>
      </c>
      <c r="AB13" s="936">
        <f t="shared" si="46"/>
        <v>0</v>
      </c>
      <c r="AC13" s="874">
        <f t="shared" si="47"/>
        <v>0</v>
      </c>
      <c r="AD13" s="1829">
        <f>'[32]Oct midyear JS Clark Academy'!P12</f>
        <v>0</v>
      </c>
      <c r="AE13" s="874">
        <f t="shared" si="48"/>
        <v>0</v>
      </c>
      <c r="AF13" s="1829">
        <f>'[4]Table 5C1G-JS Clark Academy'!T12+'[27]Table 5C1G-JS Clark Academy'!AF12+('[26]Table 5C1G-JS Clark Academy'!AF12*6)</f>
        <v>0</v>
      </c>
      <c r="AG13" s="1829">
        <f t="shared" si="49"/>
        <v>0</v>
      </c>
      <c r="AH13" s="1521">
        <f t="shared" si="50"/>
        <v>0</v>
      </c>
      <c r="AI13" s="875">
        <f t="shared" si="31"/>
        <v>0</v>
      </c>
      <c r="AJ13" s="875">
        <f t="shared" si="51"/>
        <v>0</v>
      </c>
      <c r="AL13" s="49">
        <f>-'[4]Table 5C1G-JS Clark Academy'!P12</f>
        <v>0</v>
      </c>
      <c r="AM13" s="49">
        <f t="shared" si="52"/>
        <v>0</v>
      </c>
      <c r="AN13" s="49">
        <f t="shared" si="53"/>
        <v>0</v>
      </c>
    </row>
    <row r="14" spans="1:40">
      <c r="A14" s="876">
        <v>7</v>
      </c>
      <c r="B14" s="877" t="s">
        <v>98</v>
      </c>
      <c r="C14" s="969">
        <f>'2-1-13 SIS'!P13</f>
        <v>0</v>
      </c>
      <c r="D14" s="878">
        <f>'Table 3 Levels 1&amp;2'!AL14</f>
        <v>1766.1023604176123</v>
      </c>
      <c r="E14" s="919">
        <f t="shared" si="32"/>
        <v>0</v>
      </c>
      <c r="F14" s="919">
        <f>'Table 4 Level 3'!P12</f>
        <v>756.91999999999985</v>
      </c>
      <c r="G14" s="919">
        <f t="shared" si="33"/>
        <v>0</v>
      </c>
      <c r="H14" s="898">
        <f t="shared" si="34"/>
        <v>0</v>
      </c>
      <c r="I14" s="1738">
        <f>+'[3]Oct midyear JS Clark Academy'!K13</f>
        <v>0</v>
      </c>
      <c r="J14" s="1738">
        <f>'[3]Feb midyear JS Clark Academy'!K13</f>
        <v>0</v>
      </c>
      <c r="K14" s="1684">
        <f t="shared" si="35"/>
        <v>0</v>
      </c>
      <c r="L14" s="1470">
        <f t="shared" si="36"/>
        <v>0</v>
      </c>
      <c r="M14" s="929">
        <f t="shared" si="37"/>
        <v>0</v>
      </c>
      <c r="N14" s="898">
        <f t="shared" si="38"/>
        <v>0</v>
      </c>
      <c r="O14" s="878">
        <f>'[32]Oct midyear JS Clark Academy'!K13</f>
        <v>0</v>
      </c>
      <c r="P14" s="1550">
        <f t="shared" si="39"/>
        <v>0</v>
      </c>
      <c r="Q14" s="1718">
        <f>'[4]Table 5C1G-JS Clark Academy'!M13+'[27]Table 5C1G-JS Clark Academy'!T13+('[26]Table 5C1G-JS Clark Academy'!T13*6)</f>
        <v>0</v>
      </c>
      <c r="R14" s="1738">
        <f t="shared" si="40"/>
        <v>0</v>
      </c>
      <c r="S14" s="998">
        <f t="shared" si="41"/>
        <v>0</v>
      </c>
      <c r="T14" s="1802">
        <f>'Table 5C1A-Madison Prep'!T14</f>
        <v>11801</v>
      </c>
      <c r="U14" s="1555">
        <f t="shared" si="30"/>
        <v>0</v>
      </c>
      <c r="V14" s="1777">
        <f>+'[3]Oct midyear JS Clark Academy'!E13</f>
        <v>0</v>
      </c>
      <c r="W14" s="1778">
        <f t="shared" si="42"/>
        <v>0</v>
      </c>
      <c r="X14" s="1758">
        <f>'[3]Feb midyear JS Clark Academy'!E13</f>
        <v>0</v>
      </c>
      <c r="Y14" s="1759">
        <f t="shared" si="43"/>
        <v>0</v>
      </c>
      <c r="Z14" s="1653">
        <f t="shared" si="44"/>
        <v>0</v>
      </c>
      <c r="AA14" s="1471">
        <f t="shared" si="45"/>
        <v>0</v>
      </c>
      <c r="AB14" s="937">
        <f t="shared" si="46"/>
        <v>0</v>
      </c>
      <c r="AC14" s="899">
        <f t="shared" si="47"/>
        <v>0</v>
      </c>
      <c r="AD14" s="1830">
        <f>'[32]Oct midyear JS Clark Academy'!P13</f>
        <v>0</v>
      </c>
      <c r="AE14" s="899">
        <f t="shared" si="48"/>
        <v>0</v>
      </c>
      <c r="AF14" s="1829">
        <f>'[4]Table 5C1G-JS Clark Academy'!T13+'[27]Table 5C1G-JS Clark Academy'!AF13+('[26]Table 5C1G-JS Clark Academy'!AF13*6)</f>
        <v>0</v>
      </c>
      <c r="AG14" s="1838">
        <f t="shared" si="49"/>
        <v>0</v>
      </c>
      <c r="AH14" s="1521">
        <f t="shared" si="50"/>
        <v>0</v>
      </c>
      <c r="AI14" s="900">
        <f t="shared" si="31"/>
        <v>0</v>
      </c>
      <c r="AJ14" s="900">
        <f t="shared" si="51"/>
        <v>0</v>
      </c>
      <c r="AL14" s="49">
        <f>-'[4]Table 5C1G-JS Clark Academy'!P13</f>
        <v>0</v>
      </c>
      <c r="AM14" s="49">
        <f t="shared" si="52"/>
        <v>0</v>
      </c>
      <c r="AN14" s="49">
        <f t="shared" si="53"/>
        <v>0</v>
      </c>
    </row>
    <row r="15" spans="1:40">
      <c r="A15" s="876">
        <v>8</v>
      </c>
      <c r="B15" s="877" t="s">
        <v>99</v>
      </c>
      <c r="C15" s="969">
        <f>'2-1-13 SIS'!P14</f>
        <v>0</v>
      </c>
      <c r="D15" s="878">
        <f>'Table 3 Levels 1&amp;2'!AL15</f>
        <v>4289.5073606712331</v>
      </c>
      <c r="E15" s="919">
        <f t="shared" si="32"/>
        <v>0</v>
      </c>
      <c r="F15" s="919">
        <f>'Table 4 Level 3'!P13</f>
        <v>725.76</v>
      </c>
      <c r="G15" s="919">
        <f t="shared" si="33"/>
        <v>0</v>
      </c>
      <c r="H15" s="898">
        <f t="shared" si="34"/>
        <v>0</v>
      </c>
      <c r="I15" s="1738">
        <f>+'[3]Oct midyear JS Clark Academy'!K14</f>
        <v>0</v>
      </c>
      <c r="J15" s="1738">
        <f>'[3]Feb midyear JS Clark Academy'!K14</f>
        <v>0</v>
      </c>
      <c r="K15" s="1684">
        <f t="shared" si="35"/>
        <v>0</v>
      </c>
      <c r="L15" s="1470">
        <f t="shared" si="36"/>
        <v>0</v>
      </c>
      <c r="M15" s="929">
        <f t="shared" si="37"/>
        <v>0</v>
      </c>
      <c r="N15" s="898">
        <f t="shared" si="38"/>
        <v>0</v>
      </c>
      <c r="O15" s="878">
        <f>'[32]Oct midyear JS Clark Academy'!K14</f>
        <v>0</v>
      </c>
      <c r="P15" s="1550">
        <f t="shared" si="39"/>
        <v>0</v>
      </c>
      <c r="Q15" s="1718">
        <f>'[4]Table 5C1G-JS Clark Academy'!M14+'[27]Table 5C1G-JS Clark Academy'!T14+('[26]Table 5C1G-JS Clark Academy'!T14*6)</f>
        <v>0</v>
      </c>
      <c r="R15" s="1738">
        <f t="shared" si="40"/>
        <v>0</v>
      </c>
      <c r="S15" s="998">
        <f t="shared" si="41"/>
        <v>0</v>
      </c>
      <c r="T15" s="1802">
        <f>'Table 5C1A-Madison Prep'!T15</f>
        <v>3988</v>
      </c>
      <c r="U15" s="1555">
        <f t="shared" si="30"/>
        <v>0</v>
      </c>
      <c r="V15" s="1777">
        <f>+'[3]Oct midyear JS Clark Academy'!E14</f>
        <v>0</v>
      </c>
      <c r="W15" s="1778">
        <f t="shared" si="42"/>
        <v>0</v>
      </c>
      <c r="X15" s="1758">
        <f>'[3]Feb midyear JS Clark Academy'!E14</f>
        <v>0</v>
      </c>
      <c r="Y15" s="1759">
        <f t="shared" si="43"/>
        <v>0</v>
      </c>
      <c r="Z15" s="1653">
        <f t="shared" si="44"/>
        <v>0</v>
      </c>
      <c r="AA15" s="1471">
        <f t="shared" si="45"/>
        <v>0</v>
      </c>
      <c r="AB15" s="937">
        <f t="shared" si="46"/>
        <v>0</v>
      </c>
      <c r="AC15" s="899">
        <f t="shared" si="47"/>
        <v>0</v>
      </c>
      <c r="AD15" s="1830">
        <f>'[32]Oct midyear JS Clark Academy'!P14</f>
        <v>0</v>
      </c>
      <c r="AE15" s="899">
        <f t="shared" si="48"/>
        <v>0</v>
      </c>
      <c r="AF15" s="1829">
        <f>'[4]Table 5C1G-JS Clark Academy'!T14+'[27]Table 5C1G-JS Clark Academy'!AF14+('[26]Table 5C1G-JS Clark Academy'!AF14*6)</f>
        <v>0</v>
      </c>
      <c r="AG15" s="1838">
        <f t="shared" si="49"/>
        <v>0</v>
      </c>
      <c r="AH15" s="1521">
        <f t="shared" si="50"/>
        <v>0</v>
      </c>
      <c r="AI15" s="900">
        <f t="shared" si="31"/>
        <v>0</v>
      </c>
      <c r="AJ15" s="900">
        <f t="shared" si="51"/>
        <v>0</v>
      </c>
      <c r="AL15" s="49">
        <f>-'[4]Table 5C1G-JS Clark Academy'!P14</f>
        <v>0</v>
      </c>
      <c r="AM15" s="49">
        <f t="shared" si="52"/>
        <v>0</v>
      </c>
      <c r="AN15" s="49">
        <f t="shared" si="53"/>
        <v>0</v>
      </c>
    </row>
    <row r="16" spans="1:40">
      <c r="A16" s="876">
        <v>9</v>
      </c>
      <c r="B16" s="877" t="s">
        <v>100</v>
      </c>
      <c r="C16" s="969">
        <f>'2-1-13 SIS'!P15</f>
        <v>0</v>
      </c>
      <c r="D16" s="878">
        <f>'Table 3 Levels 1&amp;2'!AL16</f>
        <v>4395.6154516889328</v>
      </c>
      <c r="E16" s="919">
        <f t="shared" si="32"/>
        <v>0</v>
      </c>
      <c r="F16" s="919">
        <f>'Table 4 Level 3'!P14</f>
        <v>744.76</v>
      </c>
      <c r="G16" s="919">
        <f t="shared" si="33"/>
        <v>0</v>
      </c>
      <c r="H16" s="898">
        <f t="shared" si="34"/>
        <v>0</v>
      </c>
      <c r="I16" s="1738">
        <f>+'[3]Oct midyear JS Clark Academy'!K15</f>
        <v>0</v>
      </c>
      <c r="J16" s="1738">
        <f>'[3]Feb midyear JS Clark Academy'!K15</f>
        <v>0</v>
      </c>
      <c r="K16" s="1684">
        <f t="shared" si="35"/>
        <v>0</v>
      </c>
      <c r="L16" s="1470">
        <f t="shared" si="36"/>
        <v>0</v>
      </c>
      <c r="M16" s="929">
        <f t="shared" si="37"/>
        <v>0</v>
      </c>
      <c r="N16" s="898">
        <f t="shared" si="38"/>
        <v>0</v>
      </c>
      <c r="O16" s="878">
        <f>'[32]Oct midyear JS Clark Academy'!K15</f>
        <v>0</v>
      </c>
      <c r="P16" s="1550">
        <f t="shared" si="39"/>
        <v>0</v>
      </c>
      <c r="Q16" s="1718">
        <f>'[4]Table 5C1G-JS Clark Academy'!M15+'[27]Table 5C1G-JS Clark Academy'!T15+('[26]Table 5C1G-JS Clark Academy'!T15*6)</f>
        <v>0</v>
      </c>
      <c r="R16" s="1738">
        <f t="shared" si="40"/>
        <v>0</v>
      </c>
      <c r="S16" s="998">
        <f t="shared" si="41"/>
        <v>0</v>
      </c>
      <c r="T16" s="1802">
        <f>'Table 5C1A-Madison Prep'!T16</f>
        <v>4677</v>
      </c>
      <c r="U16" s="1555">
        <f t="shared" si="30"/>
        <v>0</v>
      </c>
      <c r="V16" s="1777">
        <f>+'[3]Oct midyear JS Clark Academy'!E15</f>
        <v>0</v>
      </c>
      <c r="W16" s="1778">
        <f t="shared" si="42"/>
        <v>0</v>
      </c>
      <c r="X16" s="1758">
        <f>'[3]Feb midyear JS Clark Academy'!E15</f>
        <v>0</v>
      </c>
      <c r="Y16" s="1759">
        <f t="shared" si="43"/>
        <v>0</v>
      </c>
      <c r="Z16" s="1653">
        <f t="shared" si="44"/>
        <v>0</v>
      </c>
      <c r="AA16" s="1471">
        <f t="shared" si="45"/>
        <v>0</v>
      </c>
      <c r="AB16" s="937">
        <f t="shared" si="46"/>
        <v>0</v>
      </c>
      <c r="AC16" s="899">
        <f t="shared" si="47"/>
        <v>0</v>
      </c>
      <c r="AD16" s="1830">
        <f>'[32]Oct midyear JS Clark Academy'!P15</f>
        <v>0</v>
      </c>
      <c r="AE16" s="899">
        <f t="shared" si="48"/>
        <v>0</v>
      </c>
      <c r="AF16" s="1829">
        <f>'[4]Table 5C1G-JS Clark Academy'!T15+'[27]Table 5C1G-JS Clark Academy'!AF15+('[26]Table 5C1G-JS Clark Academy'!AF15*6)</f>
        <v>0</v>
      </c>
      <c r="AG16" s="1838">
        <f t="shared" si="49"/>
        <v>0</v>
      </c>
      <c r="AH16" s="1521">
        <f t="shared" si="50"/>
        <v>0</v>
      </c>
      <c r="AI16" s="900">
        <f t="shared" si="31"/>
        <v>0</v>
      </c>
      <c r="AJ16" s="900">
        <f t="shared" si="51"/>
        <v>0</v>
      </c>
      <c r="AL16" s="49">
        <f>-'[4]Table 5C1G-JS Clark Academy'!P15</f>
        <v>0</v>
      </c>
      <c r="AM16" s="49">
        <f t="shared" si="52"/>
        <v>0</v>
      </c>
      <c r="AN16" s="49">
        <f t="shared" si="53"/>
        <v>0</v>
      </c>
    </row>
    <row r="17" spans="1:40">
      <c r="A17" s="879">
        <v>10</v>
      </c>
      <c r="B17" s="880" t="s">
        <v>101</v>
      </c>
      <c r="C17" s="970">
        <f>'2-1-13 SIS'!P16</f>
        <v>0</v>
      </c>
      <c r="D17" s="881">
        <f>'Table 3 Levels 1&amp;2'!AL17</f>
        <v>4253.5980618992444</v>
      </c>
      <c r="E17" s="920">
        <f t="shared" si="32"/>
        <v>0</v>
      </c>
      <c r="F17" s="920">
        <f>'Table 4 Level 3'!P15</f>
        <v>608.04000000000008</v>
      </c>
      <c r="G17" s="920">
        <f t="shared" si="33"/>
        <v>0</v>
      </c>
      <c r="H17" s="901">
        <f t="shared" si="34"/>
        <v>0</v>
      </c>
      <c r="I17" s="1739">
        <f>+'[3]Oct midyear JS Clark Academy'!K16</f>
        <v>0</v>
      </c>
      <c r="J17" s="1739">
        <f>'[3]Feb midyear JS Clark Academy'!K16</f>
        <v>0</v>
      </c>
      <c r="K17" s="1685">
        <f t="shared" si="35"/>
        <v>0</v>
      </c>
      <c r="L17" s="1472">
        <f t="shared" si="36"/>
        <v>0</v>
      </c>
      <c r="M17" s="930">
        <f t="shared" si="37"/>
        <v>0</v>
      </c>
      <c r="N17" s="901">
        <f t="shared" si="38"/>
        <v>0</v>
      </c>
      <c r="O17" s="881">
        <f>'[32]Oct midyear JS Clark Academy'!K16</f>
        <v>0</v>
      </c>
      <c r="P17" s="1551">
        <f t="shared" si="39"/>
        <v>0</v>
      </c>
      <c r="Q17" s="1804">
        <f>'[4]Table 5C1G-JS Clark Academy'!M16+'[27]Table 5C1G-JS Clark Academy'!T16+('[26]Table 5C1G-JS Clark Academy'!T16*6)</f>
        <v>0</v>
      </c>
      <c r="R17" s="1739">
        <f t="shared" si="40"/>
        <v>0</v>
      </c>
      <c r="S17" s="1806">
        <f t="shared" si="41"/>
        <v>0</v>
      </c>
      <c r="T17" s="1807">
        <f>'Table 5C1A-Madison Prep'!T17</f>
        <v>4502</v>
      </c>
      <c r="U17" s="1556">
        <f t="shared" si="30"/>
        <v>0</v>
      </c>
      <c r="V17" s="1779">
        <f>+'[3]Oct midyear JS Clark Academy'!E16</f>
        <v>0</v>
      </c>
      <c r="W17" s="1780">
        <f t="shared" si="42"/>
        <v>0</v>
      </c>
      <c r="X17" s="1762">
        <f>'[3]Feb midyear JS Clark Academy'!E16</f>
        <v>0</v>
      </c>
      <c r="Y17" s="1763">
        <f t="shared" si="43"/>
        <v>0</v>
      </c>
      <c r="Z17" s="1654">
        <f t="shared" si="44"/>
        <v>0</v>
      </c>
      <c r="AA17" s="1473">
        <f t="shared" si="45"/>
        <v>0</v>
      </c>
      <c r="AB17" s="938">
        <f t="shared" si="46"/>
        <v>0</v>
      </c>
      <c r="AC17" s="903">
        <f t="shared" si="47"/>
        <v>0</v>
      </c>
      <c r="AD17" s="1831">
        <f>'[32]Oct midyear JS Clark Academy'!P16</f>
        <v>0</v>
      </c>
      <c r="AE17" s="903">
        <f t="shared" si="48"/>
        <v>0</v>
      </c>
      <c r="AF17" s="1837">
        <f>'[4]Table 5C1G-JS Clark Academy'!T16+'[27]Table 5C1G-JS Clark Academy'!AF16+('[26]Table 5C1G-JS Clark Academy'!AF16*6)</f>
        <v>0</v>
      </c>
      <c r="AG17" s="1839">
        <f t="shared" si="49"/>
        <v>0</v>
      </c>
      <c r="AH17" s="1530">
        <f t="shared" si="50"/>
        <v>0</v>
      </c>
      <c r="AI17" s="904">
        <f t="shared" si="31"/>
        <v>0</v>
      </c>
      <c r="AJ17" s="904">
        <f t="shared" si="51"/>
        <v>0</v>
      </c>
      <c r="AL17" s="49">
        <f>-'[4]Table 5C1G-JS Clark Academy'!P16</f>
        <v>0</v>
      </c>
      <c r="AM17" s="49">
        <f t="shared" si="52"/>
        <v>0</v>
      </c>
      <c r="AN17" s="49">
        <f t="shared" si="53"/>
        <v>0</v>
      </c>
    </row>
    <row r="18" spans="1:40">
      <c r="A18" s="870">
        <v>11</v>
      </c>
      <c r="B18" s="871" t="s">
        <v>102</v>
      </c>
      <c r="C18" s="971">
        <f>'2-1-13 SIS'!P17</f>
        <v>0</v>
      </c>
      <c r="D18" s="872">
        <f>'Table 3 Levels 1&amp;2'!AL18</f>
        <v>6852.9138435383502</v>
      </c>
      <c r="E18" s="918">
        <f t="shared" si="32"/>
        <v>0</v>
      </c>
      <c r="F18" s="918">
        <f>'Table 4 Level 3'!P16</f>
        <v>706.55</v>
      </c>
      <c r="G18" s="918">
        <f t="shared" si="33"/>
        <v>0</v>
      </c>
      <c r="H18" s="873">
        <f t="shared" si="34"/>
        <v>0</v>
      </c>
      <c r="I18" s="1718">
        <f>+'[3]Oct midyear JS Clark Academy'!K17</f>
        <v>0</v>
      </c>
      <c r="J18" s="1718">
        <f>'[3]Feb midyear JS Clark Academy'!K17</f>
        <v>0</v>
      </c>
      <c r="K18" s="1542">
        <f t="shared" si="35"/>
        <v>0</v>
      </c>
      <c r="L18" s="1466">
        <f t="shared" si="36"/>
        <v>0</v>
      </c>
      <c r="M18" s="928">
        <f t="shared" si="37"/>
        <v>0</v>
      </c>
      <c r="N18" s="873">
        <f t="shared" si="38"/>
        <v>0</v>
      </c>
      <c r="O18" s="872">
        <f>'[32]Oct midyear JS Clark Academy'!K17</f>
        <v>0</v>
      </c>
      <c r="P18" s="998">
        <f t="shared" si="39"/>
        <v>0</v>
      </c>
      <c r="Q18" s="1718">
        <f>'[4]Table 5C1G-JS Clark Academy'!M17+'[27]Table 5C1G-JS Clark Academy'!T17+('[26]Table 5C1G-JS Clark Academy'!T17*6)</f>
        <v>0</v>
      </c>
      <c r="R18" s="1718">
        <f t="shared" si="40"/>
        <v>0</v>
      </c>
      <c r="S18" s="998">
        <f t="shared" si="41"/>
        <v>0</v>
      </c>
      <c r="T18" s="1802">
        <f>'Table 5C1A-Madison Prep'!T18</f>
        <v>3776</v>
      </c>
      <c r="U18" s="999">
        <f t="shared" si="30"/>
        <v>0</v>
      </c>
      <c r="V18" s="1754">
        <f>+'[3]Oct midyear JS Clark Academy'!E17</f>
        <v>0</v>
      </c>
      <c r="W18" s="1755">
        <f t="shared" si="42"/>
        <v>0</v>
      </c>
      <c r="X18" s="1754">
        <f>'[3]Feb midyear JS Clark Academy'!E17</f>
        <v>0</v>
      </c>
      <c r="Y18" s="1755">
        <f t="shared" si="43"/>
        <v>0</v>
      </c>
      <c r="Z18" s="1652">
        <f t="shared" si="44"/>
        <v>0</v>
      </c>
      <c r="AA18" s="1467">
        <f t="shared" si="45"/>
        <v>0</v>
      </c>
      <c r="AB18" s="936">
        <f t="shared" si="46"/>
        <v>0</v>
      </c>
      <c r="AC18" s="874">
        <f t="shared" si="47"/>
        <v>0</v>
      </c>
      <c r="AD18" s="1829">
        <f>'[32]Oct midyear JS Clark Academy'!P17</f>
        <v>0</v>
      </c>
      <c r="AE18" s="874">
        <f t="shared" si="48"/>
        <v>0</v>
      </c>
      <c r="AF18" s="1829">
        <f>'[4]Table 5C1G-JS Clark Academy'!T17+'[27]Table 5C1G-JS Clark Academy'!AF17+('[26]Table 5C1G-JS Clark Academy'!AF17*6)</f>
        <v>0</v>
      </c>
      <c r="AG18" s="1829">
        <f t="shared" si="49"/>
        <v>0</v>
      </c>
      <c r="AH18" s="1521">
        <f t="shared" si="50"/>
        <v>0</v>
      </c>
      <c r="AI18" s="875">
        <f t="shared" si="31"/>
        <v>0</v>
      </c>
      <c r="AJ18" s="875">
        <f t="shared" si="51"/>
        <v>0</v>
      </c>
      <c r="AL18" s="49">
        <f>-'[4]Table 5C1G-JS Clark Academy'!P17</f>
        <v>0</v>
      </c>
      <c r="AM18" s="49">
        <f t="shared" si="52"/>
        <v>0</v>
      </c>
      <c r="AN18" s="49">
        <f t="shared" si="53"/>
        <v>0</v>
      </c>
    </row>
    <row r="19" spans="1:40">
      <c r="A19" s="876">
        <v>12</v>
      </c>
      <c r="B19" s="877" t="s">
        <v>103</v>
      </c>
      <c r="C19" s="969">
        <f>'2-1-13 SIS'!P18</f>
        <v>0</v>
      </c>
      <c r="D19" s="878">
        <f>'Table 3 Levels 1&amp;2'!AL19</f>
        <v>1733.9056059356967</v>
      </c>
      <c r="E19" s="919">
        <f t="shared" si="32"/>
        <v>0</v>
      </c>
      <c r="F19" s="919">
        <f>'Table 4 Level 3'!P17</f>
        <v>1063.31</v>
      </c>
      <c r="G19" s="919">
        <f t="shared" si="33"/>
        <v>0</v>
      </c>
      <c r="H19" s="898">
        <f t="shared" si="34"/>
        <v>0</v>
      </c>
      <c r="I19" s="1738">
        <f>+'[3]Oct midyear JS Clark Academy'!K18</f>
        <v>0</v>
      </c>
      <c r="J19" s="1738">
        <f>'[3]Feb midyear JS Clark Academy'!K18</f>
        <v>0</v>
      </c>
      <c r="K19" s="1684">
        <f t="shared" si="35"/>
        <v>0</v>
      </c>
      <c r="L19" s="1470">
        <f t="shared" si="36"/>
        <v>0</v>
      </c>
      <c r="M19" s="929">
        <f t="shared" si="37"/>
        <v>0</v>
      </c>
      <c r="N19" s="898">
        <f t="shared" si="38"/>
        <v>0</v>
      </c>
      <c r="O19" s="878">
        <f>'[32]Oct midyear JS Clark Academy'!K18</f>
        <v>0</v>
      </c>
      <c r="P19" s="1550">
        <f t="shared" si="39"/>
        <v>0</v>
      </c>
      <c r="Q19" s="1718">
        <f>'[4]Table 5C1G-JS Clark Academy'!M18+'[27]Table 5C1G-JS Clark Academy'!T18+('[26]Table 5C1G-JS Clark Academy'!T18*6)</f>
        <v>0</v>
      </c>
      <c r="R19" s="1738">
        <f t="shared" si="40"/>
        <v>0</v>
      </c>
      <c r="S19" s="998">
        <f t="shared" si="41"/>
        <v>0</v>
      </c>
      <c r="T19" s="1802">
        <f>'Table 5C1A-Madison Prep'!T19</f>
        <v>13312</v>
      </c>
      <c r="U19" s="1555">
        <f t="shared" si="30"/>
        <v>0</v>
      </c>
      <c r="V19" s="1777">
        <f>+'[3]Oct midyear JS Clark Academy'!E18</f>
        <v>0</v>
      </c>
      <c r="W19" s="1778">
        <f t="shared" si="42"/>
        <v>0</v>
      </c>
      <c r="X19" s="1758">
        <f>'[3]Feb midyear JS Clark Academy'!E18</f>
        <v>0</v>
      </c>
      <c r="Y19" s="1759">
        <f t="shared" si="43"/>
        <v>0</v>
      </c>
      <c r="Z19" s="1653">
        <f t="shared" si="44"/>
        <v>0</v>
      </c>
      <c r="AA19" s="1471">
        <f t="shared" si="45"/>
        <v>0</v>
      </c>
      <c r="AB19" s="937">
        <f t="shared" si="46"/>
        <v>0</v>
      </c>
      <c r="AC19" s="899">
        <f t="shared" si="47"/>
        <v>0</v>
      </c>
      <c r="AD19" s="1830">
        <f>'[32]Oct midyear JS Clark Academy'!P18</f>
        <v>0</v>
      </c>
      <c r="AE19" s="899">
        <f t="shared" si="48"/>
        <v>0</v>
      </c>
      <c r="AF19" s="1829">
        <f>'[4]Table 5C1G-JS Clark Academy'!T18+'[27]Table 5C1G-JS Clark Academy'!AF18+('[26]Table 5C1G-JS Clark Academy'!AF18*6)</f>
        <v>0</v>
      </c>
      <c r="AG19" s="1838">
        <f t="shared" si="49"/>
        <v>0</v>
      </c>
      <c r="AH19" s="1521">
        <f t="shared" si="50"/>
        <v>0</v>
      </c>
      <c r="AI19" s="900">
        <f t="shared" si="31"/>
        <v>0</v>
      </c>
      <c r="AJ19" s="900">
        <f t="shared" si="51"/>
        <v>0</v>
      </c>
      <c r="AL19" s="49">
        <f>-'[4]Table 5C1G-JS Clark Academy'!P18</f>
        <v>0</v>
      </c>
      <c r="AM19" s="49">
        <f t="shared" si="52"/>
        <v>0</v>
      </c>
      <c r="AN19" s="49">
        <f t="shared" si="53"/>
        <v>0</v>
      </c>
    </row>
    <row r="20" spans="1:40">
      <c r="A20" s="876">
        <v>13</v>
      </c>
      <c r="B20" s="877" t="s">
        <v>104</v>
      </c>
      <c r="C20" s="969">
        <f>'2-1-13 SIS'!P19</f>
        <v>0</v>
      </c>
      <c r="D20" s="878">
        <f>'Table 3 Levels 1&amp;2'!AL20</f>
        <v>6254.1238637730876</v>
      </c>
      <c r="E20" s="919">
        <f t="shared" si="32"/>
        <v>0</v>
      </c>
      <c r="F20" s="919">
        <f>'Table 4 Level 3'!P18</f>
        <v>749.43000000000006</v>
      </c>
      <c r="G20" s="919">
        <f t="shared" si="33"/>
        <v>0</v>
      </c>
      <c r="H20" s="898">
        <f t="shared" si="34"/>
        <v>0</v>
      </c>
      <c r="I20" s="1738">
        <f>+'[3]Oct midyear JS Clark Academy'!K19</f>
        <v>0</v>
      </c>
      <c r="J20" s="1738">
        <f>'[3]Feb midyear JS Clark Academy'!K19</f>
        <v>0</v>
      </c>
      <c r="K20" s="1684">
        <f t="shared" si="35"/>
        <v>0</v>
      </c>
      <c r="L20" s="1470">
        <f t="shared" si="36"/>
        <v>0</v>
      </c>
      <c r="M20" s="929">
        <f t="shared" si="37"/>
        <v>0</v>
      </c>
      <c r="N20" s="898">
        <f t="shared" si="38"/>
        <v>0</v>
      </c>
      <c r="O20" s="878">
        <f>'[32]Oct midyear JS Clark Academy'!K19</f>
        <v>0</v>
      </c>
      <c r="P20" s="1550">
        <f t="shared" si="39"/>
        <v>0</v>
      </c>
      <c r="Q20" s="1718">
        <f>'[4]Table 5C1G-JS Clark Academy'!M19+'[27]Table 5C1G-JS Clark Academy'!T19+('[26]Table 5C1G-JS Clark Academy'!T19*6)</f>
        <v>0</v>
      </c>
      <c r="R20" s="1738">
        <f t="shared" si="40"/>
        <v>0</v>
      </c>
      <c r="S20" s="998">
        <f t="shared" si="41"/>
        <v>0</v>
      </c>
      <c r="T20" s="1802">
        <f>'Table 5C1A-Madison Prep'!T20</f>
        <v>2671</v>
      </c>
      <c r="U20" s="1555">
        <f t="shared" si="30"/>
        <v>0</v>
      </c>
      <c r="V20" s="1777">
        <f>+'[3]Oct midyear JS Clark Academy'!E19</f>
        <v>0</v>
      </c>
      <c r="W20" s="1778">
        <f t="shared" si="42"/>
        <v>0</v>
      </c>
      <c r="X20" s="1758">
        <f>'[3]Feb midyear JS Clark Academy'!E19</f>
        <v>0</v>
      </c>
      <c r="Y20" s="1759">
        <f t="shared" si="43"/>
        <v>0</v>
      </c>
      <c r="Z20" s="1653">
        <f t="shared" si="44"/>
        <v>0</v>
      </c>
      <c r="AA20" s="1471">
        <f t="shared" si="45"/>
        <v>0</v>
      </c>
      <c r="AB20" s="937">
        <f t="shared" si="46"/>
        <v>0</v>
      </c>
      <c r="AC20" s="899">
        <f t="shared" si="47"/>
        <v>0</v>
      </c>
      <c r="AD20" s="1830">
        <f>'[32]Oct midyear JS Clark Academy'!P19</f>
        <v>0</v>
      </c>
      <c r="AE20" s="899">
        <f t="shared" si="48"/>
        <v>0</v>
      </c>
      <c r="AF20" s="1829">
        <f>'[4]Table 5C1G-JS Clark Academy'!T19+'[27]Table 5C1G-JS Clark Academy'!AF19+('[26]Table 5C1G-JS Clark Academy'!AF19*6)</f>
        <v>0</v>
      </c>
      <c r="AG20" s="1838">
        <f t="shared" si="49"/>
        <v>0</v>
      </c>
      <c r="AH20" s="1521">
        <f t="shared" si="50"/>
        <v>0</v>
      </c>
      <c r="AI20" s="900">
        <f t="shared" si="31"/>
        <v>0</v>
      </c>
      <c r="AJ20" s="900">
        <f t="shared" si="51"/>
        <v>0</v>
      </c>
      <c r="AL20" s="49">
        <f>-'[4]Table 5C1G-JS Clark Academy'!P19</f>
        <v>0</v>
      </c>
      <c r="AM20" s="49">
        <f t="shared" si="52"/>
        <v>0</v>
      </c>
      <c r="AN20" s="49">
        <f t="shared" si="53"/>
        <v>0</v>
      </c>
    </row>
    <row r="21" spans="1:40">
      <c r="A21" s="876">
        <v>14</v>
      </c>
      <c r="B21" s="877" t="s">
        <v>105</v>
      </c>
      <c r="C21" s="969">
        <f>'2-1-13 SIS'!P20</f>
        <v>0</v>
      </c>
      <c r="D21" s="878">
        <f>'Table 3 Levels 1&amp;2'!AL21</f>
        <v>5377.9187438545459</v>
      </c>
      <c r="E21" s="919">
        <f t="shared" si="32"/>
        <v>0</v>
      </c>
      <c r="F21" s="919">
        <f>'Table 4 Level 3'!P19</f>
        <v>809.9799999999999</v>
      </c>
      <c r="G21" s="919">
        <f t="shared" si="33"/>
        <v>0</v>
      </c>
      <c r="H21" s="898">
        <f t="shared" si="34"/>
        <v>0</v>
      </c>
      <c r="I21" s="1738">
        <f>+'[3]Oct midyear JS Clark Academy'!K20</f>
        <v>0</v>
      </c>
      <c r="J21" s="1738">
        <f>'[3]Feb midyear JS Clark Academy'!K20</f>
        <v>0</v>
      </c>
      <c r="K21" s="1684">
        <f t="shared" si="35"/>
        <v>0</v>
      </c>
      <c r="L21" s="1470">
        <f t="shared" si="36"/>
        <v>0</v>
      </c>
      <c r="M21" s="929">
        <f t="shared" si="37"/>
        <v>0</v>
      </c>
      <c r="N21" s="898">
        <f t="shared" si="38"/>
        <v>0</v>
      </c>
      <c r="O21" s="878">
        <f>'[32]Oct midyear JS Clark Academy'!K20</f>
        <v>0</v>
      </c>
      <c r="P21" s="1550">
        <f t="shared" si="39"/>
        <v>0</v>
      </c>
      <c r="Q21" s="1718">
        <f>'[4]Table 5C1G-JS Clark Academy'!M20+'[27]Table 5C1G-JS Clark Academy'!T20+('[26]Table 5C1G-JS Clark Academy'!T20*6)</f>
        <v>0</v>
      </c>
      <c r="R21" s="1738">
        <f t="shared" si="40"/>
        <v>0</v>
      </c>
      <c r="S21" s="998">
        <f t="shared" si="41"/>
        <v>0</v>
      </c>
      <c r="T21" s="1802">
        <f>'Table 5C1A-Madison Prep'!T21</f>
        <v>4439</v>
      </c>
      <c r="U21" s="1555">
        <f t="shared" si="30"/>
        <v>0</v>
      </c>
      <c r="V21" s="1777">
        <f>+'[3]Oct midyear JS Clark Academy'!E20</f>
        <v>0</v>
      </c>
      <c r="W21" s="1778">
        <f t="shared" si="42"/>
        <v>0</v>
      </c>
      <c r="X21" s="1758">
        <f>'[3]Feb midyear JS Clark Academy'!E20</f>
        <v>0</v>
      </c>
      <c r="Y21" s="1759">
        <f t="shared" si="43"/>
        <v>0</v>
      </c>
      <c r="Z21" s="1653">
        <f t="shared" si="44"/>
        <v>0</v>
      </c>
      <c r="AA21" s="1471">
        <f t="shared" si="45"/>
        <v>0</v>
      </c>
      <c r="AB21" s="937">
        <f t="shared" si="46"/>
        <v>0</v>
      </c>
      <c r="AC21" s="899">
        <f t="shared" si="47"/>
        <v>0</v>
      </c>
      <c r="AD21" s="1830">
        <f>'[32]Oct midyear JS Clark Academy'!P20</f>
        <v>0</v>
      </c>
      <c r="AE21" s="899">
        <f t="shared" si="48"/>
        <v>0</v>
      </c>
      <c r="AF21" s="1829">
        <f>'[4]Table 5C1G-JS Clark Academy'!T20+'[27]Table 5C1G-JS Clark Academy'!AF20+('[26]Table 5C1G-JS Clark Academy'!AF20*6)</f>
        <v>0</v>
      </c>
      <c r="AG21" s="1838">
        <f t="shared" si="49"/>
        <v>0</v>
      </c>
      <c r="AH21" s="1521">
        <f t="shared" si="50"/>
        <v>0</v>
      </c>
      <c r="AI21" s="900">
        <f t="shared" si="31"/>
        <v>0</v>
      </c>
      <c r="AJ21" s="900">
        <f t="shared" si="51"/>
        <v>0</v>
      </c>
      <c r="AL21" s="49">
        <f>-'[4]Table 5C1G-JS Clark Academy'!P20</f>
        <v>0</v>
      </c>
      <c r="AM21" s="49">
        <f t="shared" si="52"/>
        <v>0</v>
      </c>
      <c r="AN21" s="49">
        <f t="shared" si="53"/>
        <v>0</v>
      </c>
    </row>
    <row r="22" spans="1:40">
      <c r="A22" s="879">
        <v>15</v>
      </c>
      <c r="B22" s="880" t="s">
        <v>106</v>
      </c>
      <c r="C22" s="970">
        <f>'2-1-13 SIS'!P21</f>
        <v>0</v>
      </c>
      <c r="D22" s="881">
        <f>'Table 3 Levels 1&amp;2'!AL22</f>
        <v>5527.7651197617861</v>
      </c>
      <c r="E22" s="920">
        <f t="shared" si="32"/>
        <v>0</v>
      </c>
      <c r="F22" s="920">
        <f>'Table 4 Level 3'!P20</f>
        <v>553.79999999999995</v>
      </c>
      <c r="G22" s="920">
        <f t="shared" si="33"/>
        <v>0</v>
      </c>
      <c r="H22" s="901">
        <f t="shared" si="34"/>
        <v>0</v>
      </c>
      <c r="I22" s="1739">
        <f>+'[3]Oct midyear JS Clark Academy'!K21</f>
        <v>0</v>
      </c>
      <c r="J22" s="1739">
        <f>'[3]Feb midyear JS Clark Academy'!K21</f>
        <v>0</v>
      </c>
      <c r="K22" s="1685">
        <f t="shared" si="35"/>
        <v>0</v>
      </c>
      <c r="L22" s="1472">
        <f t="shared" si="36"/>
        <v>0</v>
      </c>
      <c r="M22" s="930">
        <f t="shared" si="37"/>
        <v>0</v>
      </c>
      <c r="N22" s="901">
        <f t="shared" si="38"/>
        <v>0</v>
      </c>
      <c r="O22" s="881">
        <f>'[32]Oct midyear JS Clark Academy'!K21</f>
        <v>0</v>
      </c>
      <c r="P22" s="1551">
        <f t="shared" si="39"/>
        <v>0</v>
      </c>
      <c r="Q22" s="1804">
        <f>'[4]Table 5C1G-JS Clark Academy'!M21+'[27]Table 5C1G-JS Clark Academy'!T21+('[26]Table 5C1G-JS Clark Academy'!T21*6)</f>
        <v>0</v>
      </c>
      <c r="R22" s="1739">
        <f t="shared" si="40"/>
        <v>0</v>
      </c>
      <c r="S22" s="1806">
        <f t="shared" si="41"/>
        <v>0</v>
      </c>
      <c r="T22" s="1807">
        <f>'Table 5C1A-Madison Prep'!T22</f>
        <v>2800</v>
      </c>
      <c r="U22" s="1556">
        <f t="shared" si="30"/>
        <v>0</v>
      </c>
      <c r="V22" s="1779">
        <f>+'[3]Oct midyear JS Clark Academy'!E21</f>
        <v>0</v>
      </c>
      <c r="W22" s="1780">
        <f t="shared" si="42"/>
        <v>0</v>
      </c>
      <c r="X22" s="1762">
        <f>'[3]Feb midyear JS Clark Academy'!E21</f>
        <v>0</v>
      </c>
      <c r="Y22" s="1763">
        <f t="shared" si="43"/>
        <v>0</v>
      </c>
      <c r="Z22" s="1654">
        <f t="shared" si="44"/>
        <v>0</v>
      </c>
      <c r="AA22" s="1473">
        <f t="shared" si="45"/>
        <v>0</v>
      </c>
      <c r="AB22" s="938">
        <f t="shared" si="46"/>
        <v>0</v>
      </c>
      <c r="AC22" s="903">
        <f t="shared" si="47"/>
        <v>0</v>
      </c>
      <c r="AD22" s="1831">
        <f>'[32]Oct midyear JS Clark Academy'!P21</f>
        <v>0</v>
      </c>
      <c r="AE22" s="903">
        <f t="shared" si="48"/>
        <v>0</v>
      </c>
      <c r="AF22" s="1837">
        <f>'[4]Table 5C1G-JS Clark Academy'!T21+'[27]Table 5C1G-JS Clark Academy'!AF21+('[26]Table 5C1G-JS Clark Academy'!AF21*6)</f>
        <v>0</v>
      </c>
      <c r="AG22" s="1839">
        <f t="shared" si="49"/>
        <v>0</v>
      </c>
      <c r="AH22" s="1530">
        <f t="shared" si="50"/>
        <v>0</v>
      </c>
      <c r="AI22" s="904">
        <f t="shared" si="31"/>
        <v>0</v>
      </c>
      <c r="AJ22" s="904">
        <f t="shared" si="51"/>
        <v>0</v>
      </c>
      <c r="AL22" s="49">
        <f>-'[4]Table 5C1G-JS Clark Academy'!P21</f>
        <v>0</v>
      </c>
      <c r="AM22" s="49">
        <f t="shared" si="52"/>
        <v>0</v>
      </c>
      <c r="AN22" s="49">
        <f t="shared" si="53"/>
        <v>0</v>
      </c>
    </row>
    <row r="23" spans="1:40">
      <c r="A23" s="870">
        <v>16</v>
      </c>
      <c r="B23" s="871" t="s">
        <v>107</v>
      </c>
      <c r="C23" s="971">
        <f>'2-1-13 SIS'!P22</f>
        <v>0</v>
      </c>
      <c r="D23" s="872">
        <f>'Table 3 Levels 1&amp;2'!AL23</f>
        <v>1530.3678845377474</v>
      </c>
      <c r="E23" s="918">
        <f t="shared" si="32"/>
        <v>0</v>
      </c>
      <c r="F23" s="918">
        <f>'Table 4 Level 3'!P21</f>
        <v>686.73</v>
      </c>
      <c r="G23" s="918">
        <f t="shared" si="33"/>
        <v>0</v>
      </c>
      <c r="H23" s="873">
        <f t="shared" si="34"/>
        <v>0</v>
      </c>
      <c r="I23" s="1718">
        <f>+'[3]Oct midyear JS Clark Academy'!K22</f>
        <v>0</v>
      </c>
      <c r="J23" s="1718">
        <f>'[3]Feb midyear JS Clark Academy'!K22</f>
        <v>0</v>
      </c>
      <c r="K23" s="1542">
        <f t="shared" si="35"/>
        <v>0</v>
      </c>
      <c r="L23" s="1466">
        <f t="shared" si="36"/>
        <v>0</v>
      </c>
      <c r="M23" s="928">
        <f t="shared" si="37"/>
        <v>0</v>
      </c>
      <c r="N23" s="873">
        <f t="shared" si="38"/>
        <v>0</v>
      </c>
      <c r="O23" s="872">
        <f>'[32]Oct midyear JS Clark Academy'!K22</f>
        <v>0</v>
      </c>
      <c r="P23" s="998">
        <f t="shared" si="39"/>
        <v>0</v>
      </c>
      <c r="Q23" s="1718">
        <f>'[4]Table 5C1G-JS Clark Academy'!M22+'[27]Table 5C1G-JS Clark Academy'!T22+('[26]Table 5C1G-JS Clark Academy'!T22*6)</f>
        <v>0</v>
      </c>
      <c r="R23" s="1718">
        <f t="shared" si="40"/>
        <v>0</v>
      </c>
      <c r="S23" s="998">
        <f t="shared" si="41"/>
        <v>0</v>
      </c>
      <c r="T23" s="1802">
        <f>'Table 5C1A-Madison Prep'!T23</f>
        <v>12312</v>
      </c>
      <c r="U23" s="999">
        <f t="shared" si="30"/>
        <v>0</v>
      </c>
      <c r="V23" s="1754">
        <f>+'[3]Oct midyear JS Clark Academy'!E22</f>
        <v>0</v>
      </c>
      <c r="W23" s="1755">
        <f t="shared" si="42"/>
        <v>0</v>
      </c>
      <c r="X23" s="1754">
        <f>'[3]Feb midyear JS Clark Academy'!E22</f>
        <v>0</v>
      </c>
      <c r="Y23" s="1755">
        <f t="shared" si="43"/>
        <v>0</v>
      </c>
      <c r="Z23" s="1652">
        <f t="shared" si="44"/>
        <v>0</v>
      </c>
      <c r="AA23" s="1467">
        <f t="shared" si="45"/>
        <v>0</v>
      </c>
      <c r="AB23" s="936">
        <f t="shared" si="46"/>
        <v>0</v>
      </c>
      <c r="AC23" s="874">
        <f t="shared" si="47"/>
        <v>0</v>
      </c>
      <c r="AD23" s="1829">
        <f>'[32]Oct midyear JS Clark Academy'!P22</f>
        <v>0</v>
      </c>
      <c r="AE23" s="874">
        <f t="shared" si="48"/>
        <v>0</v>
      </c>
      <c r="AF23" s="1829">
        <f>'[4]Table 5C1G-JS Clark Academy'!T22+'[27]Table 5C1G-JS Clark Academy'!AF22+('[26]Table 5C1G-JS Clark Academy'!AF22*6)</f>
        <v>0</v>
      </c>
      <c r="AG23" s="1829">
        <f t="shared" si="49"/>
        <v>0</v>
      </c>
      <c r="AH23" s="1521">
        <f t="shared" si="50"/>
        <v>0</v>
      </c>
      <c r="AI23" s="875">
        <f t="shared" si="31"/>
        <v>0</v>
      </c>
      <c r="AJ23" s="875">
        <f t="shared" si="51"/>
        <v>0</v>
      </c>
      <c r="AL23" s="49">
        <f>-'[4]Table 5C1G-JS Clark Academy'!P22</f>
        <v>0</v>
      </c>
      <c r="AM23" s="49">
        <f t="shared" si="52"/>
        <v>0</v>
      </c>
      <c r="AN23" s="49">
        <f t="shared" si="53"/>
        <v>0</v>
      </c>
    </row>
    <row r="24" spans="1:40">
      <c r="A24" s="876">
        <v>17</v>
      </c>
      <c r="B24" s="877" t="s">
        <v>108</v>
      </c>
      <c r="C24" s="969">
        <f>'2-1-13 SIS'!P23</f>
        <v>0</v>
      </c>
      <c r="D24" s="878">
        <f>'Table 3 Levels 1&amp;2'!AL24</f>
        <v>3313.0666313017805</v>
      </c>
      <c r="E24" s="919">
        <f t="shared" si="32"/>
        <v>0</v>
      </c>
      <c r="F24" s="919">
        <f>'Table 5B2_RSD_LA'!F7</f>
        <v>801.47762416806802</v>
      </c>
      <c r="G24" s="919">
        <f t="shared" si="33"/>
        <v>0</v>
      </c>
      <c r="H24" s="898">
        <f t="shared" si="34"/>
        <v>0</v>
      </c>
      <c r="I24" s="1738">
        <f>+'[3]Oct midyear JS Clark Academy'!K23</f>
        <v>0</v>
      </c>
      <c r="J24" s="1738">
        <f>'[3]Feb midyear JS Clark Academy'!K23</f>
        <v>0</v>
      </c>
      <c r="K24" s="1684">
        <f t="shared" si="35"/>
        <v>0</v>
      </c>
      <c r="L24" s="1470">
        <f t="shared" si="36"/>
        <v>0</v>
      </c>
      <c r="M24" s="929">
        <f t="shared" si="37"/>
        <v>0</v>
      </c>
      <c r="N24" s="898">
        <f t="shared" si="38"/>
        <v>0</v>
      </c>
      <c r="O24" s="878">
        <f>'[32]Oct midyear JS Clark Academy'!K23</f>
        <v>0</v>
      </c>
      <c r="P24" s="1550">
        <f t="shared" si="39"/>
        <v>0</v>
      </c>
      <c r="Q24" s="1718">
        <f>'[4]Table 5C1G-JS Clark Academy'!M23+'[27]Table 5C1G-JS Clark Academy'!T23+('[26]Table 5C1G-JS Clark Academy'!T23*6)</f>
        <v>0</v>
      </c>
      <c r="R24" s="1738">
        <f t="shared" si="40"/>
        <v>0</v>
      </c>
      <c r="S24" s="998">
        <f t="shared" si="41"/>
        <v>0</v>
      </c>
      <c r="T24" s="1802">
        <f>'Table 5C1A-Madison Prep'!T24</f>
        <v>6866</v>
      </c>
      <c r="U24" s="1555">
        <f t="shared" si="30"/>
        <v>0</v>
      </c>
      <c r="V24" s="1777">
        <f>+'[3]Oct midyear JS Clark Academy'!E23</f>
        <v>0</v>
      </c>
      <c r="W24" s="1778">
        <f t="shared" si="42"/>
        <v>0</v>
      </c>
      <c r="X24" s="1758">
        <f>'[3]Feb midyear JS Clark Academy'!E23</f>
        <v>0</v>
      </c>
      <c r="Y24" s="1759">
        <f t="shared" si="43"/>
        <v>0</v>
      </c>
      <c r="Z24" s="1653">
        <f t="shared" si="44"/>
        <v>0</v>
      </c>
      <c r="AA24" s="1471">
        <f t="shared" si="45"/>
        <v>0</v>
      </c>
      <c r="AB24" s="937">
        <f t="shared" si="46"/>
        <v>0</v>
      </c>
      <c r="AC24" s="899">
        <f t="shared" si="47"/>
        <v>0</v>
      </c>
      <c r="AD24" s="1830">
        <f>'[32]Oct midyear JS Clark Academy'!P23</f>
        <v>0</v>
      </c>
      <c r="AE24" s="899">
        <f t="shared" si="48"/>
        <v>0</v>
      </c>
      <c r="AF24" s="1829">
        <f>'[4]Table 5C1G-JS Clark Academy'!T23+'[27]Table 5C1G-JS Clark Academy'!AF23+('[26]Table 5C1G-JS Clark Academy'!AF23*6)</f>
        <v>0</v>
      </c>
      <c r="AG24" s="1838">
        <f t="shared" si="49"/>
        <v>0</v>
      </c>
      <c r="AH24" s="1521">
        <f t="shared" si="50"/>
        <v>0</v>
      </c>
      <c r="AI24" s="900">
        <f t="shared" si="31"/>
        <v>0</v>
      </c>
      <c r="AJ24" s="900">
        <f t="shared" si="51"/>
        <v>0</v>
      </c>
      <c r="AL24" s="49">
        <f>-'[4]Table 5C1G-JS Clark Academy'!P23</f>
        <v>0</v>
      </c>
      <c r="AM24" s="49">
        <f t="shared" si="52"/>
        <v>0</v>
      </c>
      <c r="AN24" s="49">
        <f t="shared" si="53"/>
        <v>0</v>
      </c>
    </row>
    <row r="25" spans="1:40">
      <c r="A25" s="876">
        <v>18</v>
      </c>
      <c r="B25" s="877" t="s">
        <v>109</v>
      </c>
      <c r="C25" s="969">
        <f>'2-1-13 SIS'!P24</f>
        <v>0</v>
      </c>
      <c r="D25" s="878">
        <f>'Table 3 Levels 1&amp;2'!AL25</f>
        <v>5989.1351892854573</v>
      </c>
      <c r="E25" s="919">
        <f t="shared" si="32"/>
        <v>0</v>
      </c>
      <c r="F25" s="919">
        <f>'Table 4 Level 3'!P23</f>
        <v>845.94999999999993</v>
      </c>
      <c r="G25" s="919">
        <f t="shared" si="33"/>
        <v>0</v>
      </c>
      <c r="H25" s="898">
        <f t="shared" si="34"/>
        <v>0</v>
      </c>
      <c r="I25" s="1738">
        <f>+'[3]Oct midyear JS Clark Academy'!K24</f>
        <v>0</v>
      </c>
      <c r="J25" s="1738">
        <f>'[3]Feb midyear JS Clark Academy'!K24</f>
        <v>0</v>
      </c>
      <c r="K25" s="1684">
        <f t="shared" si="35"/>
        <v>0</v>
      </c>
      <c r="L25" s="1470">
        <f t="shared" si="36"/>
        <v>0</v>
      </c>
      <c r="M25" s="929">
        <f t="shared" si="37"/>
        <v>0</v>
      </c>
      <c r="N25" s="898">
        <f t="shared" si="38"/>
        <v>0</v>
      </c>
      <c r="O25" s="878">
        <f>'[32]Oct midyear JS Clark Academy'!K24</f>
        <v>0</v>
      </c>
      <c r="P25" s="1550">
        <f t="shared" si="39"/>
        <v>0</v>
      </c>
      <c r="Q25" s="1718">
        <f>'[4]Table 5C1G-JS Clark Academy'!M24+'[27]Table 5C1G-JS Clark Academy'!T24+('[26]Table 5C1G-JS Clark Academy'!T24*6)</f>
        <v>0</v>
      </c>
      <c r="R25" s="1738">
        <f t="shared" si="40"/>
        <v>0</v>
      </c>
      <c r="S25" s="998">
        <f t="shared" si="41"/>
        <v>0</v>
      </c>
      <c r="T25" s="1802">
        <f>'Table 5C1A-Madison Prep'!T25</f>
        <v>3071</v>
      </c>
      <c r="U25" s="1555">
        <f t="shared" si="30"/>
        <v>0</v>
      </c>
      <c r="V25" s="1777">
        <f>+'[3]Oct midyear JS Clark Academy'!E24</f>
        <v>0</v>
      </c>
      <c r="W25" s="1778">
        <f t="shared" si="42"/>
        <v>0</v>
      </c>
      <c r="X25" s="1758">
        <f>'[3]Feb midyear JS Clark Academy'!E24</f>
        <v>0</v>
      </c>
      <c r="Y25" s="1759">
        <f t="shared" si="43"/>
        <v>0</v>
      </c>
      <c r="Z25" s="1653">
        <f t="shared" si="44"/>
        <v>0</v>
      </c>
      <c r="AA25" s="1471">
        <f t="shared" si="45"/>
        <v>0</v>
      </c>
      <c r="AB25" s="937">
        <f t="shared" si="46"/>
        <v>0</v>
      </c>
      <c r="AC25" s="899">
        <f t="shared" si="47"/>
        <v>0</v>
      </c>
      <c r="AD25" s="1830">
        <f>'[32]Oct midyear JS Clark Academy'!P24</f>
        <v>0</v>
      </c>
      <c r="AE25" s="899">
        <f t="shared" si="48"/>
        <v>0</v>
      </c>
      <c r="AF25" s="1829">
        <f>'[4]Table 5C1G-JS Clark Academy'!T24+'[27]Table 5C1G-JS Clark Academy'!AF24+('[26]Table 5C1G-JS Clark Academy'!AF24*6)</f>
        <v>0</v>
      </c>
      <c r="AG25" s="1838">
        <f t="shared" si="49"/>
        <v>0</v>
      </c>
      <c r="AH25" s="1521">
        <f t="shared" si="50"/>
        <v>0</v>
      </c>
      <c r="AI25" s="900">
        <f t="shared" si="31"/>
        <v>0</v>
      </c>
      <c r="AJ25" s="900">
        <f t="shared" si="51"/>
        <v>0</v>
      </c>
      <c r="AL25" s="49">
        <f>-'[4]Table 5C1G-JS Clark Academy'!P24</f>
        <v>0</v>
      </c>
      <c r="AM25" s="49">
        <f t="shared" si="52"/>
        <v>0</v>
      </c>
      <c r="AN25" s="49">
        <f t="shared" si="53"/>
        <v>0</v>
      </c>
    </row>
    <row r="26" spans="1:40">
      <c r="A26" s="876">
        <v>19</v>
      </c>
      <c r="B26" s="877" t="s">
        <v>110</v>
      </c>
      <c r="C26" s="969">
        <f>'2-1-13 SIS'!P25</f>
        <v>0</v>
      </c>
      <c r="D26" s="878">
        <f>'Table 3 Levels 1&amp;2'!AL26</f>
        <v>5315.8913399708035</v>
      </c>
      <c r="E26" s="919">
        <f t="shared" si="32"/>
        <v>0</v>
      </c>
      <c r="F26" s="919">
        <f>'Table 4 Level 3'!P24</f>
        <v>905.43</v>
      </c>
      <c r="G26" s="919">
        <f t="shared" si="33"/>
        <v>0</v>
      </c>
      <c r="H26" s="898">
        <f t="shared" si="34"/>
        <v>0</v>
      </c>
      <c r="I26" s="1738">
        <f>+'[3]Oct midyear JS Clark Academy'!K25</f>
        <v>0</v>
      </c>
      <c r="J26" s="1738">
        <f>'[3]Feb midyear JS Clark Academy'!K25</f>
        <v>0</v>
      </c>
      <c r="K26" s="1684">
        <f t="shared" si="35"/>
        <v>0</v>
      </c>
      <c r="L26" s="1470">
        <f t="shared" si="36"/>
        <v>0</v>
      </c>
      <c r="M26" s="929">
        <f t="shared" si="37"/>
        <v>0</v>
      </c>
      <c r="N26" s="898">
        <f t="shared" si="38"/>
        <v>0</v>
      </c>
      <c r="O26" s="878">
        <f>'[32]Oct midyear JS Clark Academy'!K25</f>
        <v>0</v>
      </c>
      <c r="P26" s="1550">
        <f t="shared" si="39"/>
        <v>0</v>
      </c>
      <c r="Q26" s="1718">
        <f>'[4]Table 5C1G-JS Clark Academy'!M25+'[27]Table 5C1G-JS Clark Academy'!T25+('[26]Table 5C1G-JS Clark Academy'!T25*6)</f>
        <v>0</v>
      </c>
      <c r="R26" s="1738">
        <f t="shared" si="40"/>
        <v>0</v>
      </c>
      <c r="S26" s="998">
        <f t="shared" si="41"/>
        <v>0</v>
      </c>
      <c r="T26" s="1802">
        <f>'Table 5C1A-Madison Prep'!T26</f>
        <v>2566</v>
      </c>
      <c r="U26" s="1555">
        <f t="shared" si="30"/>
        <v>0</v>
      </c>
      <c r="V26" s="1777">
        <f>+'[3]Oct midyear JS Clark Academy'!E25</f>
        <v>0</v>
      </c>
      <c r="W26" s="1778">
        <f t="shared" si="42"/>
        <v>0</v>
      </c>
      <c r="X26" s="1758">
        <f>'[3]Feb midyear JS Clark Academy'!E25</f>
        <v>0</v>
      </c>
      <c r="Y26" s="1759">
        <f t="shared" si="43"/>
        <v>0</v>
      </c>
      <c r="Z26" s="1653">
        <f t="shared" si="44"/>
        <v>0</v>
      </c>
      <c r="AA26" s="1471">
        <f t="shared" si="45"/>
        <v>0</v>
      </c>
      <c r="AB26" s="937">
        <f t="shared" si="46"/>
        <v>0</v>
      </c>
      <c r="AC26" s="899">
        <f t="shared" si="47"/>
        <v>0</v>
      </c>
      <c r="AD26" s="1830">
        <f>'[32]Oct midyear JS Clark Academy'!P25</f>
        <v>0</v>
      </c>
      <c r="AE26" s="899">
        <f t="shared" si="48"/>
        <v>0</v>
      </c>
      <c r="AF26" s="1829">
        <f>'[4]Table 5C1G-JS Clark Academy'!T25+'[27]Table 5C1G-JS Clark Academy'!AF25+('[26]Table 5C1G-JS Clark Academy'!AF25*6)</f>
        <v>0</v>
      </c>
      <c r="AG26" s="1838">
        <f t="shared" si="49"/>
        <v>0</v>
      </c>
      <c r="AH26" s="1521">
        <f t="shared" si="50"/>
        <v>0</v>
      </c>
      <c r="AI26" s="900">
        <f t="shared" si="31"/>
        <v>0</v>
      </c>
      <c r="AJ26" s="900">
        <f t="shared" si="51"/>
        <v>0</v>
      </c>
      <c r="AL26" s="49">
        <f>-'[4]Table 5C1G-JS Clark Academy'!P25</f>
        <v>0</v>
      </c>
      <c r="AM26" s="49">
        <f t="shared" si="52"/>
        <v>0</v>
      </c>
      <c r="AN26" s="49">
        <f t="shared" si="53"/>
        <v>0</v>
      </c>
    </row>
    <row r="27" spans="1:40">
      <c r="A27" s="879">
        <v>20</v>
      </c>
      <c r="B27" s="880" t="s">
        <v>111</v>
      </c>
      <c r="C27" s="970">
        <f>'2-1-13 SIS'!P26</f>
        <v>0</v>
      </c>
      <c r="D27" s="881">
        <f>'Table 3 Levels 1&amp;2'!AL27</f>
        <v>5420.2042919205833</v>
      </c>
      <c r="E27" s="920">
        <f t="shared" si="32"/>
        <v>0</v>
      </c>
      <c r="F27" s="920">
        <f>'Table 4 Level 3'!P25</f>
        <v>586.16999999999996</v>
      </c>
      <c r="G27" s="920">
        <f t="shared" si="33"/>
        <v>0</v>
      </c>
      <c r="H27" s="901">
        <f t="shared" si="34"/>
        <v>0</v>
      </c>
      <c r="I27" s="1739">
        <f>+'[3]Oct midyear JS Clark Academy'!K26</f>
        <v>0</v>
      </c>
      <c r="J27" s="1739">
        <f>'[3]Feb midyear JS Clark Academy'!K26</f>
        <v>0</v>
      </c>
      <c r="K27" s="1685">
        <f t="shared" si="35"/>
        <v>0</v>
      </c>
      <c r="L27" s="1472">
        <f t="shared" si="36"/>
        <v>0</v>
      </c>
      <c r="M27" s="930">
        <f t="shared" si="37"/>
        <v>0</v>
      </c>
      <c r="N27" s="901">
        <f t="shared" si="38"/>
        <v>0</v>
      </c>
      <c r="O27" s="881">
        <f>'[32]Oct midyear JS Clark Academy'!K26</f>
        <v>0</v>
      </c>
      <c r="P27" s="1551">
        <f t="shared" si="39"/>
        <v>0</v>
      </c>
      <c r="Q27" s="1804">
        <f>'[4]Table 5C1G-JS Clark Academy'!M26+'[27]Table 5C1G-JS Clark Academy'!T26+('[26]Table 5C1G-JS Clark Academy'!T26*6)</f>
        <v>0</v>
      </c>
      <c r="R27" s="1739">
        <f t="shared" si="40"/>
        <v>0</v>
      </c>
      <c r="S27" s="1806">
        <f t="shared" si="41"/>
        <v>0</v>
      </c>
      <c r="T27" s="1807">
        <f>'Table 5C1A-Madison Prep'!T27</f>
        <v>2621</v>
      </c>
      <c r="U27" s="1556">
        <f t="shared" si="30"/>
        <v>0</v>
      </c>
      <c r="V27" s="1779">
        <f>+'[3]Oct midyear JS Clark Academy'!E26</f>
        <v>0</v>
      </c>
      <c r="W27" s="1780">
        <f t="shared" si="42"/>
        <v>0</v>
      </c>
      <c r="X27" s="1762">
        <f>'[3]Feb midyear JS Clark Academy'!E26</f>
        <v>0</v>
      </c>
      <c r="Y27" s="1763">
        <f t="shared" si="43"/>
        <v>0</v>
      </c>
      <c r="Z27" s="1654">
        <f t="shared" si="44"/>
        <v>0</v>
      </c>
      <c r="AA27" s="1473">
        <f t="shared" si="45"/>
        <v>0</v>
      </c>
      <c r="AB27" s="938">
        <f t="shared" si="46"/>
        <v>0</v>
      </c>
      <c r="AC27" s="903">
        <f t="shared" si="47"/>
        <v>0</v>
      </c>
      <c r="AD27" s="1831">
        <f>'[32]Oct midyear JS Clark Academy'!P26</f>
        <v>0</v>
      </c>
      <c r="AE27" s="903">
        <f t="shared" si="48"/>
        <v>0</v>
      </c>
      <c r="AF27" s="1837">
        <f>'[4]Table 5C1G-JS Clark Academy'!T26+'[27]Table 5C1G-JS Clark Academy'!AF26+('[26]Table 5C1G-JS Clark Academy'!AF26*6)</f>
        <v>0</v>
      </c>
      <c r="AG27" s="1839">
        <f t="shared" si="49"/>
        <v>0</v>
      </c>
      <c r="AH27" s="1530">
        <f t="shared" si="50"/>
        <v>0</v>
      </c>
      <c r="AI27" s="904">
        <f t="shared" si="31"/>
        <v>0</v>
      </c>
      <c r="AJ27" s="904">
        <f t="shared" si="51"/>
        <v>0</v>
      </c>
      <c r="AL27" s="49">
        <f>-'[4]Table 5C1G-JS Clark Academy'!P26</f>
        <v>0</v>
      </c>
      <c r="AM27" s="49">
        <f t="shared" si="52"/>
        <v>0</v>
      </c>
      <c r="AN27" s="49">
        <f t="shared" si="53"/>
        <v>0</v>
      </c>
    </row>
    <row r="28" spans="1:40">
      <c r="A28" s="870">
        <v>21</v>
      </c>
      <c r="B28" s="871" t="s">
        <v>112</v>
      </c>
      <c r="C28" s="971">
        <f>'2-1-13 SIS'!P27</f>
        <v>0</v>
      </c>
      <c r="D28" s="872">
        <f>'Table 3 Levels 1&amp;2'!AL28</f>
        <v>5724.5404916279067</v>
      </c>
      <c r="E28" s="918">
        <f t="shared" si="32"/>
        <v>0</v>
      </c>
      <c r="F28" s="918">
        <f>'Table 4 Level 3'!P26</f>
        <v>610.35</v>
      </c>
      <c r="G28" s="918">
        <f t="shared" si="33"/>
        <v>0</v>
      </c>
      <c r="H28" s="873">
        <f t="shared" si="34"/>
        <v>0</v>
      </c>
      <c r="I28" s="1718">
        <f>+'[3]Oct midyear JS Clark Academy'!K27</f>
        <v>0</v>
      </c>
      <c r="J28" s="1718">
        <f>'[3]Feb midyear JS Clark Academy'!K27</f>
        <v>0</v>
      </c>
      <c r="K28" s="1542">
        <f t="shared" si="35"/>
        <v>0</v>
      </c>
      <c r="L28" s="1466">
        <f t="shared" si="36"/>
        <v>0</v>
      </c>
      <c r="M28" s="928">
        <f t="shared" si="37"/>
        <v>0</v>
      </c>
      <c r="N28" s="873">
        <f t="shared" si="38"/>
        <v>0</v>
      </c>
      <c r="O28" s="872">
        <f>'[32]Oct midyear JS Clark Academy'!K27</f>
        <v>0</v>
      </c>
      <c r="P28" s="998">
        <f t="shared" si="39"/>
        <v>0</v>
      </c>
      <c r="Q28" s="1718">
        <f>'[4]Table 5C1G-JS Clark Academy'!M27+'[27]Table 5C1G-JS Clark Academy'!T27+('[26]Table 5C1G-JS Clark Academy'!T27*6)</f>
        <v>0</v>
      </c>
      <c r="R28" s="1718">
        <f t="shared" si="40"/>
        <v>0</v>
      </c>
      <c r="S28" s="998">
        <f t="shared" si="41"/>
        <v>0</v>
      </c>
      <c r="T28" s="1802">
        <f>'Table 5C1A-Madison Prep'!T28</f>
        <v>2445</v>
      </c>
      <c r="U28" s="999">
        <f t="shared" si="30"/>
        <v>0</v>
      </c>
      <c r="V28" s="1754">
        <f>+'[3]Oct midyear JS Clark Academy'!E27</f>
        <v>0</v>
      </c>
      <c r="W28" s="1755">
        <f t="shared" si="42"/>
        <v>0</v>
      </c>
      <c r="X28" s="1754">
        <f>'[3]Feb midyear JS Clark Academy'!E27</f>
        <v>0</v>
      </c>
      <c r="Y28" s="1755">
        <f t="shared" si="43"/>
        <v>0</v>
      </c>
      <c r="Z28" s="1652">
        <f t="shared" si="44"/>
        <v>0</v>
      </c>
      <c r="AA28" s="1467">
        <f t="shared" si="45"/>
        <v>0</v>
      </c>
      <c r="AB28" s="936">
        <f t="shared" si="46"/>
        <v>0</v>
      </c>
      <c r="AC28" s="874">
        <f t="shared" si="47"/>
        <v>0</v>
      </c>
      <c r="AD28" s="1829">
        <f>'[32]Oct midyear JS Clark Academy'!P27</f>
        <v>0</v>
      </c>
      <c r="AE28" s="874">
        <f t="shared" si="48"/>
        <v>0</v>
      </c>
      <c r="AF28" s="1829">
        <f>'[4]Table 5C1G-JS Clark Academy'!T27+'[27]Table 5C1G-JS Clark Academy'!AF27+('[26]Table 5C1G-JS Clark Academy'!AF27*6)</f>
        <v>0</v>
      </c>
      <c r="AG28" s="1829">
        <f t="shared" si="49"/>
        <v>0</v>
      </c>
      <c r="AH28" s="1521">
        <f t="shared" si="50"/>
        <v>0</v>
      </c>
      <c r="AI28" s="875">
        <f t="shared" si="31"/>
        <v>0</v>
      </c>
      <c r="AJ28" s="875">
        <f t="shared" si="51"/>
        <v>0</v>
      </c>
      <c r="AL28" s="49">
        <f>-'[4]Table 5C1G-JS Clark Academy'!P27</f>
        <v>0</v>
      </c>
      <c r="AM28" s="49">
        <f t="shared" si="52"/>
        <v>0</v>
      </c>
      <c r="AN28" s="49">
        <f t="shared" si="53"/>
        <v>0</v>
      </c>
    </row>
    <row r="29" spans="1:40">
      <c r="A29" s="876">
        <v>22</v>
      </c>
      <c r="B29" s="877" t="s">
        <v>113</v>
      </c>
      <c r="C29" s="969">
        <f>'2-1-13 SIS'!P28</f>
        <v>0</v>
      </c>
      <c r="D29" s="878">
        <f>'Table 3 Levels 1&amp;2'!AL29</f>
        <v>6203.2933768722742</v>
      </c>
      <c r="E29" s="919">
        <f t="shared" si="32"/>
        <v>0</v>
      </c>
      <c r="F29" s="919">
        <f>'Table 4 Level 3'!P27</f>
        <v>496.36</v>
      </c>
      <c r="G29" s="919">
        <f t="shared" si="33"/>
        <v>0</v>
      </c>
      <c r="H29" s="898">
        <f t="shared" si="34"/>
        <v>0</v>
      </c>
      <c r="I29" s="1738">
        <f>+'[3]Oct midyear JS Clark Academy'!K28</f>
        <v>0</v>
      </c>
      <c r="J29" s="1738">
        <f>'[3]Feb midyear JS Clark Academy'!K28</f>
        <v>0</v>
      </c>
      <c r="K29" s="1684">
        <f t="shared" si="35"/>
        <v>0</v>
      </c>
      <c r="L29" s="1470">
        <f t="shared" si="36"/>
        <v>0</v>
      </c>
      <c r="M29" s="929">
        <f t="shared" si="37"/>
        <v>0</v>
      </c>
      <c r="N29" s="898">
        <f t="shared" si="38"/>
        <v>0</v>
      </c>
      <c r="O29" s="878">
        <f>'[32]Oct midyear JS Clark Academy'!K28</f>
        <v>0</v>
      </c>
      <c r="P29" s="1550">
        <f t="shared" si="39"/>
        <v>0</v>
      </c>
      <c r="Q29" s="1718">
        <f>'[4]Table 5C1G-JS Clark Academy'!M28+'[27]Table 5C1G-JS Clark Academy'!T28+('[26]Table 5C1G-JS Clark Academy'!T28*6)</f>
        <v>0</v>
      </c>
      <c r="R29" s="1738">
        <f t="shared" si="40"/>
        <v>0</v>
      </c>
      <c r="S29" s="998">
        <f t="shared" si="41"/>
        <v>0</v>
      </c>
      <c r="T29" s="1802">
        <f>'Table 5C1A-Madison Prep'!T29</f>
        <v>1519</v>
      </c>
      <c r="U29" s="1555">
        <f t="shared" si="30"/>
        <v>0</v>
      </c>
      <c r="V29" s="1777">
        <f>+'[3]Oct midyear JS Clark Academy'!E28</f>
        <v>0</v>
      </c>
      <c r="W29" s="1778">
        <f t="shared" si="42"/>
        <v>0</v>
      </c>
      <c r="X29" s="1758">
        <f>'[3]Feb midyear JS Clark Academy'!E28</f>
        <v>0</v>
      </c>
      <c r="Y29" s="1759">
        <f t="shared" si="43"/>
        <v>0</v>
      </c>
      <c r="Z29" s="1653">
        <f t="shared" si="44"/>
        <v>0</v>
      </c>
      <c r="AA29" s="1471">
        <f t="shared" si="45"/>
        <v>0</v>
      </c>
      <c r="AB29" s="937">
        <f t="shared" si="46"/>
        <v>0</v>
      </c>
      <c r="AC29" s="899">
        <f t="shared" si="47"/>
        <v>0</v>
      </c>
      <c r="AD29" s="1830">
        <f>'[32]Oct midyear JS Clark Academy'!P28</f>
        <v>0</v>
      </c>
      <c r="AE29" s="899">
        <f t="shared" si="48"/>
        <v>0</v>
      </c>
      <c r="AF29" s="1829">
        <f>'[4]Table 5C1G-JS Clark Academy'!T28+'[27]Table 5C1G-JS Clark Academy'!AF28+('[26]Table 5C1G-JS Clark Academy'!AF28*6)</f>
        <v>0</v>
      </c>
      <c r="AG29" s="1838">
        <f t="shared" si="49"/>
        <v>0</v>
      </c>
      <c r="AH29" s="1521">
        <f t="shared" si="50"/>
        <v>0</v>
      </c>
      <c r="AI29" s="900">
        <f t="shared" si="31"/>
        <v>0</v>
      </c>
      <c r="AJ29" s="900">
        <f t="shared" si="51"/>
        <v>0</v>
      </c>
      <c r="AL29" s="49">
        <f>-'[4]Table 5C1G-JS Clark Academy'!P28</f>
        <v>0</v>
      </c>
      <c r="AM29" s="49">
        <f t="shared" si="52"/>
        <v>0</v>
      </c>
      <c r="AN29" s="49">
        <f t="shared" si="53"/>
        <v>0</v>
      </c>
    </row>
    <row r="30" spans="1:40">
      <c r="A30" s="876">
        <v>23</v>
      </c>
      <c r="B30" s="877" t="s">
        <v>114</v>
      </c>
      <c r="C30" s="969">
        <f>'2-1-13 SIS'!P29</f>
        <v>0</v>
      </c>
      <c r="D30" s="878">
        <f>'Table 3 Levels 1&amp;2'!AL30</f>
        <v>4846.0802490067681</v>
      </c>
      <c r="E30" s="919">
        <f t="shared" si="32"/>
        <v>0</v>
      </c>
      <c r="F30" s="919">
        <f>'Table 4 Level 3'!P28</f>
        <v>688.58</v>
      </c>
      <c r="G30" s="919">
        <f t="shared" si="33"/>
        <v>0</v>
      </c>
      <c r="H30" s="898">
        <f t="shared" si="34"/>
        <v>0</v>
      </c>
      <c r="I30" s="1738">
        <f>+'[3]Oct midyear JS Clark Academy'!K29</f>
        <v>0</v>
      </c>
      <c r="J30" s="1738">
        <f>'[3]Feb midyear JS Clark Academy'!K29</f>
        <v>0</v>
      </c>
      <c r="K30" s="1684">
        <f t="shared" si="35"/>
        <v>0</v>
      </c>
      <c r="L30" s="1470">
        <f t="shared" si="36"/>
        <v>0</v>
      </c>
      <c r="M30" s="929">
        <f t="shared" si="37"/>
        <v>0</v>
      </c>
      <c r="N30" s="898">
        <f t="shared" si="38"/>
        <v>0</v>
      </c>
      <c r="O30" s="878">
        <f>'[32]Oct midyear JS Clark Academy'!K29</f>
        <v>0</v>
      </c>
      <c r="P30" s="1550">
        <f t="shared" si="39"/>
        <v>0</v>
      </c>
      <c r="Q30" s="1718">
        <f>'[4]Table 5C1G-JS Clark Academy'!M29+'[27]Table 5C1G-JS Clark Academy'!T29+('[26]Table 5C1G-JS Clark Academy'!T29*6)</f>
        <v>0</v>
      </c>
      <c r="R30" s="1738">
        <f t="shared" si="40"/>
        <v>0</v>
      </c>
      <c r="S30" s="998">
        <f t="shared" si="41"/>
        <v>0</v>
      </c>
      <c r="T30" s="1802">
        <f>'Table 5C1A-Madison Prep'!T30</f>
        <v>3365</v>
      </c>
      <c r="U30" s="1555">
        <f t="shared" si="30"/>
        <v>0</v>
      </c>
      <c r="V30" s="1777">
        <f>+'[3]Oct midyear JS Clark Academy'!E29</f>
        <v>0</v>
      </c>
      <c r="W30" s="1778">
        <f t="shared" si="42"/>
        <v>0</v>
      </c>
      <c r="X30" s="1758">
        <f>'[3]Feb midyear JS Clark Academy'!E29</f>
        <v>0</v>
      </c>
      <c r="Y30" s="1759">
        <f t="shared" si="43"/>
        <v>0</v>
      </c>
      <c r="Z30" s="1653">
        <f t="shared" si="44"/>
        <v>0</v>
      </c>
      <c r="AA30" s="1471">
        <f t="shared" si="45"/>
        <v>0</v>
      </c>
      <c r="AB30" s="937">
        <f t="shared" si="46"/>
        <v>0</v>
      </c>
      <c r="AC30" s="899">
        <f t="shared" si="47"/>
        <v>0</v>
      </c>
      <c r="AD30" s="1830">
        <f>'[32]Oct midyear JS Clark Academy'!P29</f>
        <v>0</v>
      </c>
      <c r="AE30" s="899">
        <f t="shared" si="48"/>
        <v>0</v>
      </c>
      <c r="AF30" s="1829">
        <f>'[4]Table 5C1G-JS Clark Academy'!T29+'[27]Table 5C1G-JS Clark Academy'!AF29+('[26]Table 5C1G-JS Clark Academy'!AF29*6)</f>
        <v>0</v>
      </c>
      <c r="AG30" s="1838">
        <f t="shared" si="49"/>
        <v>0</v>
      </c>
      <c r="AH30" s="1521">
        <f t="shared" si="50"/>
        <v>0</v>
      </c>
      <c r="AI30" s="900">
        <f t="shared" si="31"/>
        <v>0</v>
      </c>
      <c r="AJ30" s="900">
        <f t="shared" si="51"/>
        <v>0</v>
      </c>
      <c r="AL30" s="49">
        <f>-'[4]Table 5C1G-JS Clark Academy'!P29</f>
        <v>0</v>
      </c>
      <c r="AM30" s="49">
        <f t="shared" si="52"/>
        <v>0</v>
      </c>
      <c r="AN30" s="49">
        <f t="shared" si="53"/>
        <v>0</v>
      </c>
    </row>
    <row r="31" spans="1:40">
      <c r="A31" s="876">
        <v>24</v>
      </c>
      <c r="B31" s="877" t="s">
        <v>115</v>
      </c>
      <c r="C31" s="969">
        <f>'2-1-13 SIS'!P30</f>
        <v>0</v>
      </c>
      <c r="D31" s="878">
        <f>'Table 3 Levels 1&amp;2'!AL31</f>
        <v>2764.1216755319151</v>
      </c>
      <c r="E31" s="919">
        <f t="shared" si="32"/>
        <v>0</v>
      </c>
      <c r="F31" s="919">
        <f>'Table 4 Level 3'!P29</f>
        <v>854.24999999999989</v>
      </c>
      <c r="G31" s="919">
        <f t="shared" si="33"/>
        <v>0</v>
      </c>
      <c r="H31" s="898">
        <f t="shared" si="34"/>
        <v>0</v>
      </c>
      <c r="I31" s="1738">
        <f>+'[3]Oct midyear JS Clark Academy'!K30</f>
        <v>0</v>
      </c>
      <c r="J31" s="1738">
        <f>'[3]Feb midyear JS Clark Academy'!K30</f>
        <v>0</v>
      </c>
      <c r="K31" s="1684">
        <f t="shared" si="35"/>
        <v>0</v>
      </c>
      <c r="L31" s="1470">
        <f t="shared" si="36"/>
        <v>0</v>
      </c>
      <c r="M31" s="929">
        <f t="shared" si="37"/>
        <v>0</v>
      </c>
      <c r="N31" s="898">
        <f t="shared" si="38"/>
        <v>0</v>
      </c>
      <c r="O31" s="878">
        <f>'[32]Oct midyear JS Clark Academy'!K30</f>
        <v>0</v>
      </c>
      <c r="P31" s="1550">
        <f t="shared" si="39"/>
        <v>0</v>
      </c>
      <c r="Q31" s="1718">
        <f>'[4]Table 5C1G-JS Clark Academy'!M30+'[27]Table 5C1G-JS Clark Academy'!T30+('[26]Table 5C1G-JS Clark Academy'!T30*6)</f>
        <v>0</v>
      </c>
      <c r="R31" s="1738">
        <f t="shared" si="40"/>
        <v>0</v>
      </c>
      <c r="S31" s="998">
        <f t="shared" si="41"/>
        <v>0</v>
      </c>
      <c r="T31" s="1802">
        <f>'Table 5C1A-Madison Prep'!T31</f>
        <v>10907</v>
      </c>
      <c r="U31" s="1555">
        <f t="shared" si="30"/>
        <v>0</v>
      </c>
      <c r="V31" s="1777">
        <f>+'[3]Oct midyear JS Clark Academy'!E30</f>
        <v>0</v>
      </c>
      <c r="W31" s="1778">
        <f t="shared" si="42"/>
        <v>0</v>
      </c>
      <c r="X31" s="1758">
        <f>'[3]Feb midyear JS Clark Academy'!E30</f>
        <v>0</v>
      </c>
      <c r="Y31" s="1759">
        <f t="shared" si="43"/>
        <v>0</v>
      </c>
      <c r="Z31" s="1653">
        <f t="shared" si="44"/>
        <v>0</v>
      </c>
      <c r="AA31" s="1471">
        <f t="shared" si="45"/>
        <v>0</v>
      </c>
      <c r="AB31" s="937">
        <f t="shared" si="46"/>
        <v>0</v>
      </c>
      <c r="AC31" s="899">
        <f t="shared" si="47"/>
        <v>0</v>
      </c>
      <c r="AD31" s="1830">
        <f>'[32]Oct midyear JS Clark Academy'!P30</f>
        <v>0</v>
      </c>
      <c r="AE31" s="899">
        <f t="shared" si="48"/>
        <v>0</v>
      </c>
      <c r="AF31" s="1829">
        <f>'[4]Table 5C1G-JS Clark Academy'!T30+'[27]Table 5C1G-JS Clark Academy'!AF30+('[26]Table 5C1G-JS Clark Academy'!AF30*6)</f>
        <v>0</v>
      </c>
      <c r="AG31" s="1838">
        <f t="shared" si="49"/>
        <v>0</v>
      </c>
      <c r="AH31" s="1521">
        <f t="shared" si="50"/>
        <v>0</v>
      </c>
      <c r="AI31" s="900">
        <f t="shared" si="31"/>
        <v>0</v>
      </c>
      <c r="AJ31" s="900">
        <f t="shared" si="51"/>
        <v>0</v>
      </c>
      <c r="AL31" s="49">
        <f>-'[4]Table 5C1G-JS Clark Academy'!P30</f>
        <v>0</v>
      </c>
      <c r="AM31" s="49">
        <f t="shared" si="52"/>
        <v>0</v>
      </c>
      <c r="AN31" s="49">
        <f t="shared" si="53"/>
        <v>0</v>
      </c>
    </row>
    <row r="32" spans="1:40">
      <c r="A32" s="879">
        <v>25</v>
      </c>
      <c r="B32" s="880" t="s">
        <v>116</v>
      </c>
      <c r="C32" s="970">
        <f>'2-1-13 SIS'!P31</f>
        <v>0</v>
      </c>
      <c r="D32" s="881">
        <f>'Table 3 Levels 1&amp;2'!AL32</f>
        <v>3867.4480692053257</v>
      </c>
      <c r="E32" s="920">
        <f t="shared" si="32"/>
        <v>0</v>
      </c>
      <c r="F32" s="920">
        <f>'Table 4 Level 3'!P30</f>
        <v>653.73</v>
      </c>
      <c r="G32" s="920">
        <f t="shared" si="33"/>
        <v>0</v>
      </c>
      <c r="H32" s="901">
        <f t="shared" si="34"/>
        <v>0</v>
      </c>
      <c r="I32" s="1739">
        <f>+'[3]Oct midyear JS Clark Academy'!K31</f>
        <v>0</v>
      </c>
      <c r="J32" s="1739">
        <f>'[3]Feb midyear JS Clark Academy'!K31</f>
        <v>0</v>
      </c>
      <c r="K32" s="1685">
        <f t="shared" si="35"/>
        <v>0</v>
      </c>
      <c r="L32" s="1472">
        <f t="shared" si="36"/>
        <v>0</v>
      </c>
      <c r="M32" s="930">
        <f t="shared" si="37"/>
        <v>0</v>
      </c>
      <c r="N32" s="901">
        <f t="shared" si="38"/>
        <v>0</v>
      </c>
      <c r="O32" s="881">
        <f>'[32]Oct midyear JS Clark Academy'!K31</f>
        <v>0</v>
      </c>
      <c r="P32" s="1551">
        <f t="shared" si="39"/>
        <v>0</v>
      </c>
      <c r="Q32" s="1804">
        <f>'[4]Table 5C1G-JS Clark Academy'!M31+'[27]Table 5C1G-JS Clark Academy'!T31+('[26]Table 5C1G-JS Clark Academy'!T31*6)</f>
        <v>0</v>
      </c>
      <c r="R32" s="1739">
        <f t="shared" si="40"/>
        <v>0</v>
      </c>
      <c r="S32" s="1806">
        <f t="shared" si="41"/>
        <v>0</v>
      </c>
      <c r="T32" s="1807">
        <f>'Table 5C1A-Madison Prep'!T32</f>
        <v>5156</v>
      </c>
      <c r="U32" s="1556">
        <f t="shared" si="30"/>
        <v>0</v>
      </c>
      <c r="V32" s="1779">
        <f>+'[3]Oct midyear JS Clark Academy'!E31</f>
        <v>0</v>
      </c>
      <c r="W32" s="1780">
        <f t="shared" si="42"/>
        <v>0</v>
      </c>
      <c r="X32" s="1762">
        <f>'[3]Feb midyear JS Clark Academy'!E31</f>
        <v>0</v>
      </c>
      <c r="Y32" s="1763">
        <f t="shared" si="43"/>
        <v>0</v>
      </c>
      <c r="Z32" s="1654">
        <f t="shared" si="44"/>
        <v>0</v>
      </c>
      <c r="AA32" s="1473">
        <f t="shared" si="45"/>
        <v>0</v>
      </c>
      <c r="AB32" s="938">
        <f t="shared" si="46"/>
        <v>0</v>
      </c>
      <c r="AC32" s="903">
        <f t="shared" si="47"/>
        <v>0</v>
      </c>
      <c r="AD32" s="1831">
        <f>'[32]Oct midyear JS Clark Academy'!P31</f>
        <v>0</v>
      </c>
      <c r="AE32" s="903">
        <f t="shared" si="48"/>
        <v>0</v>
      </c>
      <c r="AF32" s="1837">
        <f>'[4]Table 5C1G-JS Clark Academy'!T31+'[27]Table 5C1G-JS Clark Academy'!AF31+('[26]Table 5C1G-JS Clark Academy'!AF31*6)</f>
        <v>0</v>
      </c>
      <c r="AG32" s="1839">
        <f t="shared" si="49"/>
        <v>0</v>
      </c>
      <c r="AH32" s="1530">
        <f t="shared" si="50"/>
        <v>0</v>
      </c>
      <c r="AI32" s="904">
        <f t="shared" si="31"/>
        <v>0</v>
      </c>
      <c r="AJ32" s="904">
        <f t="shared" si="51"/>
        <v>0</v>
      </c>
      <c r="AL32" s="49">
        <f>-'[4]Table 5C1G-JS Clark Academy'!P31</f>
        <v>0</v>
      </c>
      <c r="AM32" s="49">
        <f t="shared" si="52"/>
        <v>0</v>
      </c>
      <c r="AN32" s="49">
        <f t="shared" si="53"/>
        <v>0</v>
      </c>
    </row>
    <row r="33" spans="1:40">
      <c r="A33" s="870">
        <v>26</v>
      </c>
      <c r="B33" s="871" t="s">
        <v>117</v>
      </c>
      <c r="C33" s="971">
        <f>'2-1-13 SIS'!P32</f>
        <v>0</v>
      </c>
      <c r="D33" s="872">
        <f>'Table 3 Levels 1&amp;2'!AL33</f>
        <v>3293.481526790355</v>
      </c>
      <c r="E33" s="918">
        <f t="shared" si="32"/>
        <v>0</v>
      </c>
      <c r="F33" s="918">
        <f>'Table 4 Level 3'!P31</f>
        <v>836.83</v>
      </c>
      <c r="G33" s="918">
        <f t="shared" si="33"/>
        <v>0</v>
      </c>
      <c r="H33" s="873">
        <f t="shared" si="34"/>
        <v>0</v>
      </c>
      <c r="I33" s="1718">
        <f>+'[3]Oct midyear JS Clark Academy'!K32</f>
        <v>0</v>
      </c>
      <c r="J33" s="1718">
        <f>'[3]Feb midyear JS Clark Academy'!K32</f>
        <v>0</v>
      </c>
      <c r="K33" s="1542">
        <f t="shared" si="35"/>
        <v>0</v>
      </c>
      <c r="L33" s="1466">
        <f t="shared" si="36"/>
        <v>0</v>
      </c>
      <c r="M33" s="928">
        <f t="shared" si="37"/>
        <v>0</v>
      </c>
      <c r="N33" s="873">
        <f t="shared" si="38"/>
        <v>0</v>
      </c>
      <c r="O33" s="872">
        <f>'[32]Oct midyear JS Clark Academy'!K32</f>
        <v>0</v>
      </c>
      <c r="P33" s="998">
        <f t="shared" si="39"/>
        <v>0</v>
      </c>
      <c r="Q33" s="1718">
        <f>'[4]Table 5C1G-JS Clark Academy'!M32+'[27]Table 5C1G-JS Clark Academy'!T32+('[26]Table 5C1G-JS Clark Academy'!T32*6)</f>
        <v>0</v>
      </c>
      <c r="R33" s="1718">
        <f t="shared" si="40"/>
        <v>0</v>
      </c>
      <c r="S33" s="998">
        <f t="shared" si="41"/>
        <v>0</v>
      </c>
      <c r="T33" s="1802">
        <f>'Table 5C1A-Madison Prep'!T33</f>
        <v>5344</v>
      </c>
      <c r="U33" s="999">
        <f t="shared" si="30"/>
        <v>0</v>
      </c>
      <c r="V33" s="1754">
        <f>+'[3]Oct midyear JS Clark Academy'!E32</f>
        <v>0</v>
      </c>
      <c r="W33" s="1755">
        <f t="shared" si="42"/>
        <v>0</v>
      </c>
      <c r="X33" s="1754">
        <f>'[3]Feb midyear JS Clark Academy'!E32</f>
        <v>0</v>
      </c>
      <c r="Y33" s="1755">
        <f t="shared" si="43"/>
        <v>0</v>
      </c>
      <c r="Z33" s="1652">
        <f t="shared" si="44"/>
        <v>0</v>
      </c>
      <c r="AA33" s="1467">
        <f t="shared" si="45"/>
        <v>0</v>
      </c>
      <c r="AB33" s="936">
        <f t="shared" si="46"/>
        <v>0</v>
      </c>
      <c r="AC33" s="874">
        <f t="shared" si="47"/>
        <v>0</v>
      </c>
      <c r="AD33" s="1829">
        <f>'[32]Oct midyear JS Clark Academy'!P32</f>
        <v>0</v>
      </c>
      <c r="AE33" s="874">
        <f t="shared" si="48"/>
        <v>0</v>
      </c>
      <c r="AF33" s="1829">
        <f>'[4]Table 5C1G-JS Clark Academy'!T32+'[27]Table 5C1G-JS Clark Academy'!AF32+('[26]Table 5C1G-JS Clark Academy'!AF32*6)</f>
        <v>0</v>
      </c>
      <c r="AG33" s="1829">
        <f t="shared" si="49"/>
        <v>0</v>
      </c>
      <c r="AH33" s="1521">
        <f t="shared" si="50"/>
        <v>0</v>
      </c>
      <c r="AI33" s="875">
        <f t="shared" si="31"/>
        <v>0</v>
      </c>
      <c r="AJ33" s="875">
        <f t="shared" si="51"/>
        <v>0</v>
      </c>
      <c r="AL33" s="49">
        <f>-'[4]Table 5C1G-JS Clark Academy'!P32</f>
        <v>0</v>
      </c>
      <c r="AM33" s="49">
        <f t="shared" si="52"/>
        <v>0</v>
      </c>
      <c r="AN33" s="49">
        <f t="shared" si="53"/>
        <v>0</v>
      </c>
    </row>
    <row r="34" spans="1:40">
      <c r="A34" s="876">
        <v>27</v>
      </c>
      <c r="B34" s="877" t="s">
        <v>118</v>
      </c>
      <c r="C34" s="972">
        <f>'2-1-13 SIS'!P33</f>
        <v>0</v>
      </c>
      <c r="D34" s="882">
        <f>'Table 3 Levels 1&amp;2'!AL34</f>
        <v>5680.7727517381973</v>
      </c>
      <c r="E34" s="921">
        <f t="shared" si="32"/>
        <v>0</v>
      </c>
      <c r="F34" s="921">
        <f>'Table 4 Level 3'!P32</f>
        <v>693.06</v>
      </c>
      <c r="G34" s="921">
        <f t="shared" si="33"/>
        <v>0</v>
      </c>
      <c r="H34" s="905">
        <f t="shared" si="34"/>
        <v>0</v>
      </c>
      <c r="I34" s="1740">
        <f>+'[3]Oct midyear JS Clark Academy'!K33</f>
        <v>0</v>
      </c>
      <c r="J34" s="1740">
        <f>'[3]Feb midyear JS Clark Academy'!K33</f>
        <v>0</v>
      </c>
      <c r="K34" s="1686">
        <f t="shared" si="35"/>
        <v>0</v>
      </c>
      <c r="L34" s="1474">
        <f t="shared" si="36"/>
        <v>0</v>
      </c>
      <c r="M34" s="931">
        <f t="shared" si="37"/>
        <v>0</v>
      </c>
      <c r="N34" s="905">
        <f t="shared" si="38"/>
        <v>0</v>
      </c>
      <c r="O34" s="882">
        <f>'[32]Oct midyear JS Clark Academy'!K33</f>
        <v>0</v>
      </c>
      <c r="P34" s="1552">
        <f t="shared" si="39"/>
        <v>0</v>
      </c>
      <c r="Q34" s="1718">
        <f>'[4]Table 5C1G-JS Clark Academy'!M33+'[27]Table 5C1G-JS Clark Academy'!T33+('[26]Table 5C1G-JS Clark Academy'!T33*6)</f>
        <v>0</v>
      </c>
      <c r="R34" s="1740">
        <f t="shared" si="40"/>
        <v>0</v>
      </c>
      <c r="S34" s="998">
        <f t="shared" si="41"/>
        <v>0</v>
      </c>
      <c r="T34" s="1802">
        <f>'Table 5C1A-Madison Prep'!T34</f>
        <v>3271</v>
      </c>
      <c r="U34" s="1555">
        <f t="shared" si="30"/>
        <v>0</v>
      </c>
      <c r="V34" s="1777">
        <f>+'[3]Oct midyear JS Clark Academy'!E33</f>
        <v>0</v>
      </c>
      <c r="W34" s="1778">
        <f t="shared" si="42"/>
        <v>0</v>
      </c>
      <c r="X34" s="1758">
        <f>'[3]Feb midyear JS Clark Academy'!E33</f>
        <v>0</v>
      </c>
      <c r="Y34" s="1759">
        <f t="shared" si="43"/>
        <v>0</v>
      </c>
      <c r="Z34" s="1653">
        <f t="shared" si="44"/>
        <v>0</v>
      </c>
      <c r="AA34" s="1471">
        <f t="shared" si="45"/>
        <v>0</v>
      </c>
      <c r="AB34" s="937">
        <f t="shared" si="46"/>
        <v>0</v>
      </c>
      <c r="AC34" s="899">
        <f t="shared" si="47"/>
        <v>0</v>
      </c>
      <c r="AD34" s="1830">
        <f>'[32]Oct midyear JS Clark Academy'!P33</f>
        <v>0</v>
      </c>
      <c r="AE34" s="899">
        <f t="shared" si="48"/>
        <v>0</v>
      </c>
      <c r="AF34" s="1829">
        <f>'[4]Table 5C1G-JS Clark Academy'!T33+'[27]Table 5C1G-JS Clark Academy'!AF33+('[26]Table 5C1G-JS Clark Academy'!AF33*6)</f>
        <v>0</v>
      </c>
      <c r="AG34" s="1838">
        <f t="shared" si="49"/>
        <v>0</v>
      </c>
      <c r="AH34" s="1521">
        <f t="shared" si="50"/>
        <v>0</v>
      </c>
      <c r="AI34" s="900">
        <f t="shared" si="31"/>
        <v>0</v>
      </c>
      <c r="AJ34" s="900">
        <f t="shared" si="51"/>
        <v>0</v>
      </c>
      <c r="AL34" s="49">
        <f>-'[4]Table 5C1G-JS Clark Academy'!P33</f>
        <v>0</v>
      </c>
      <c r="AM34" s="49">
        <f t="shared" si="52"/>
        <v>0</v>
      </c>
      <c r="AN34" s="49">
        <f t="shared" si="53"/>
        <v>0</v>
      </c>
    </row>
    <row r="35" spans="1:40">
      <c r="A35" s="876">
        <v>28</v>
      </c>
      <c r="B35" s="877" t="s">
        <v>119</v>
      </c>
      <c r="C35" s="972">
        <f>'2-1-13 SIS'!P34</f>
        <v>1</v>
      </c>
      <c r="D35" s="882">
        <f>'Table 3 Levels 1&amp;2'!AL35</f>
        <v>3163.1694438483169</v>
      </c>
      <c r="E35" s="921">
        <f t="shared" si="32"/>
        <v>3163.1694438483169</v>
      </c>
      <c r="F35" s="921">
        <f>'Table 4 Level 3'!P33</f>
        <v>694.4</v>
      </c>
      <c r="G35" s="921">
        <f t="shared" si="33"/>
        <v>694.4</v>
      </c>
      <c r="H35" s="905">
        <f t="shared" si="34"/>
        <v>3857.569443848317</v>
      </c>
      <c r="I35" s="1740">
        <f>+'[3]Oct midyear JS Clark Academy'!K34</f>
        <v>-3857.569443848317</v>
      </c>
      <c r="J35" s="1740">
        <f>'[3]Feb midyear JS Clark Academy'!K34</f>
        <v>1928.7847219241585</v>
      </c>
      <c r="K35" s="1686">
        <f t="shared" si="35"/>
        <v>-1928.7847219241585</v>
      </c>
      <c r="L35" s="1474">
        <f t="shared" si="36"/>
        <v>1928.7847219241585</v>
      </c>
      <c r="M35" s="931">
        <f t="shared" si="37"/>
        <v>-4.821961804810396</v>
      </c>
      <c r="N35" s="905">
        <f t="shared" si="38"/>
        <v>1923.9627601193481</v>
      </c>
      <c r="O35" s="882">
        <f>'[32]Oct midyear JS Clark Academy'!K34</f>
        <v>0</v>
      </c>
      <c r="P35" s="1552">
        <f t="shared" si="39"/>
        <v>1923.9627601193481</v>
      </c>
      <c r="Q35" s="1718">
        <f>'[4]Table 5C1G-JS Clark Academy'!M34+'[27]Table 5C1G-JS Clark Academy'!T34+('[26]Table 5C1G-JS Clark Academy'!T34*6)</f>
        <v>116.60380364359685</v>
      </c>
      <c r="R35" s="1740">
        <f t="shared" si="40"/>
        <v>1807.3589564757513</v>
      </c>
      <c r="S35" s="998">
        <f t="shared" si="41"/>
        <v>452</v>
      </c>
      <c r="T35" s="1802">
        <f>'Table 5C1A-Madison Prep'!T35</f>
        <v>5647</v>
      </c>
      <c r="U35" s="1555">
        <f t="shared" si="30"/>
        <v>5647</v>
      </c>
      <c r="V35" s="1777">
        <f>+'[3]Oct midyear JS Clark Academy'!E34</f>
        <v>-1</v>
      </c>
      <c r="W35" s="1778">
        <f t="shared" si="42"/>
        <v>-5647</v>
      </c>
      <c r="X35" s="1758">
        <f>'[3]Feb midyear JS Clark Academy'!E34</f>
        <v>1</v>
      </c>
      <c r="Y35" s="1759">
        <f t="shared" si="43"/>
        <v>2823.5</v>
      </c>
      <c r="Z35" s="1653">
        <f t="shared" si="44"/>
        <v>-2823.5</v>
      </c>
      <c r="AA35" s="1471">
        <f t="shared" si="45"/>
        <v>2823.5</v>
      </c>
      <c r="AB35" s="937">
        <f t="shared" si="46"/>
        <v>-7.0587499999999999</v>
      </c>
      <c r="AC35" s="899">
        <f t="shared" si="47"/>
        <v>2816.4412499999999</v>
      </c>
      <c r="AD35" s="1830">
        <f>'[32]Oct midyear JS Clark Academy'!P34</f>
        <v>0</v>
      </c>
      <c r="AE35" s="899">
        <f t="shared" si="48"/>
        <v>2816.4412499999999</v>
      </c>
      <c r="AF35" s="1829">
        <f>'[4]Table 5C1G-JS Clark Academy'!T34+'[27]Table 5C1G-JS Clark Academy'!AF34+('[26]Table 5C1G-JS Clark Academy'!AF34*6)</f>
        <v>162.0181818181818</v>
      </c>
      <c r="AG35" s="1838">
        <f t="shared" si="49"/>
        <v>2654.4230681818181</v>
      </c>
      <c r="AH35" s="1521">
        <f t="shared" si="50"/>
        <v>664</v>
      </c>
      <c r="AI35" s="900">
        <f t="shared" si="31"/>
        <v>4740.4040101193477</v>
      </c>
      <c r="AJ35" s="900">
        <f t="shared" si="51"/>
        <v>1116</v>
      </c>
      <c r="AL35" s="49">
        <f>-'[4]Table 5C1G-JS Clark Academy'!P34</f>
        <v>13.4</v>
      </c>
      <c r="AM35" s="49">
        <f t="shared" si="52"/>
        <v>-7.0587499999999999</v>
      </c>
      <c r="AN35" s="49">
        <f t="shared" si="53"/>
        <v>6.3412500000000005</v>
      </c>
    </row>
    <row r="36" spans="1:40">
      <c r="A36" s="876">
        <v>29</v>
      </c>
      <c r="B36" s="877" t="s">
        <v>120</v>
      </c>
      <c r="C36" s="972">
        <f>'2-1-13 SIS'!P35</f>
        <v>0</v>
      </c>
      <c r="D36" s="882">
        <f>'Table 3 Levels 1&amp;2'!AL36</f>
        <v>3952.5586133052648</v>
      </c>
      <c r="E36" s="921">
        <f t="shared" si="32"/>
        <v>0</v>
      </c>
      <c r="F36" s="921">
        <f>'Table 4 Level 3'!P34</f>
        <v>754.94999999999993</v>
      </c>
      <c r="G36" s="921">
        <f t="shared" si="33"/>
        <v>0</v>
      </c>
      <c r="H36" s="905">
        <f t="shared" si="34"/>
        <v>0</v>
      </c>
      <c r="I36" s="1740">
        <f>+'[3]Oct midyear JS Clark Academy'!K35</f>
        <v>0</v>
      </c>
      <c r="J36" s="1740">
        <f>'[3]Feb midyear JS Clark Academy'!K35</f>
        <v>0</v>
      </c>
      <c r="K36" s="1686">
        <f t="shared" si="35"/>
        <v>0</v>
      </c>
      <c r="L36" s="1474">
        <f t="shared" si="36"/>
        <v>0</v>
      </c>
      <c r="M36" s="931">
        <f t="shared" si="37"/>
        <v>0</v>
      </c>
      <c r="N36" s="905">
        <f t="shared" si="38"/>
        <v>0</v>
      </c>
      <c r="O36" s="882">
        <f>'[32]Oct midyear JS Clark Academy'!K35</f>
        <v>0</v>
      </c>
      <c r="P36" s="1552">
        <f t="shared" si="39"/>
        <v>0</v>
      </c>
      <c r="Q36" s="1718">
        <f>'[4]Table 5C1G-JS Clark Academy'!M35+'[27]Table 5C1G-JS Clark Academy'!T35+('[26]Table 5C1G-JS Clark Academy'!T35*6)</f>
        <v>0</v>
      </c>
      <c r="R36" s="1740">
        <f t="shared" si="40"/>
        <v>0</v>
      </c>
      <c r="S36" s="998">
        <f t="shared" si="41"/>
        <v>0</v>
      </c>
      <c r="T36" s="1802">
        <f>'Table 5C1A-Madison Prep'!T36</f>
        <v>4826</v>
      </c>
      <c r="U36" s="1555">
        <f t="shared" si="30"/>
        <v>0</v>
      </c>
      <c r="V36" s="1777">
        <f>+'[3]Oct midyear JS Clark Academy'!E35</f>
        <v>0</v>
      </c>
      <c r="W36" s="1778">
        <f t="shared" si="42"/>
        <v>0</v>
      </c>
      <c r="X36" s="1758">
        <f>'[3]Feb midyear JS Clark Academy'!E35</f>
        <v>0</v>
      </c>
      <c r="Y36" s="1759">
        <f t="shared" si="43"/>
        <v>0</v>
      </c>
      <c r="Z36" s="1653">
        <f t="shared" si="44"/>
        <v>0</v>
      </c>
      <c r="AA36" s="1471">
        <f t="shared" si="45"/>
        <v>0</v>
      </c>
      <c r="AB36" s="937">
        <f t="shared" si="46"/>
        <v>0</v>
      </c>
      <c r="AC36" s="899">
        <f t="shared" si="47"/>
        <v>0</v>
      </c>
      <c r="AD36" s="1830">
        <f>'[32]Oct midyear JS Clark Academy'!P35</f>
        <v>0</v>
      </c>
      <c r="AE36" s="899">
        <f t="shared" si="48"/>
        <v>0</v>
      </c>
      <c r="AF36" s="1829">
        <f>'[4]Table 5C1G-JS Clark Academy'!T35+'[27]Table 5C1G-JS Clark Academy'!AF35+('[26]Table 5C1G-JS Clark Academy'!AF35*6)</f>
        <v>0</v>
      </c>
      <c r="AG36" s="1838">
        <f t="shared" si="49"/>
        <v>0</v>
      </c>
      <c r="AH36" s="1521">
        <f t="shared" si="50"/>
        <v>0</v>
      </c>
      <c r="AI36" s="900">
        <f t="shared" si="31"/>
        <v>0</v>
      </c>
      <c r="AJ36" s="900">
        <f t="shared" si="51"/>
        <v>0</v>
      </c>
      <c r="AL36" s="49">
        <f>-'[4]Table 5C1G-JS Clark Academy'!P35</f>
        <v>0</v>
      </c>
      <c r="AM36" s="49">
        <f t="shared" si="52"/>
        <v>0</v>
      </c>
      <c r="AN36" s="49">
        <f t="shared" si="53"/>
        <v>0</v>
      </c>
    </row>
    <row r="37" spans="1:40">
      <c r="A37" s="879">
        <v>30</v>
      </c>
      <c r="B37" s="880" t="s">
        <v>121</v>
      </c>
      <c r="C37" s="973">
        <f>'2-1-13 SIS'!P36</f>
        <v>0</v>
      </c>
      <c r="D37" s="883">
        <f>'Table 3 Levels 1&amp;2'!AL37</f>
        <v>5648.6510465852989</v>
      </c>
      <c r="E37" s="922">
        <f t="shared" si="32"/>
        <v>0</v>
      </c>
      <c r="F37" s="922">
        <f>'Table 4 Level 3'!P35</f>
        <v>727.17</v>
      </c>
      <c r="G37" s="922">
        <f t="shared" si="33"/>
        <v>0</v>
      </c>
      <c r="H37" s="906">
        <f t="shared" si="34"/>
        <v>0</v>
      </c>
      <c r="I37" s="1741">
        <f>+'[3]Oct midyear JS Clark Academy'!K36</f>
        <v>0</v>
      </c>
      <c r="J37" s="1741">
        <f>'[3]Feb midyear JS Clark Academy'!K36</f>
        <v>0</v>
      </c>
      <c r="K37" s="1687">
        <f t="shared" si="35"/>
        <v>0</v>
      </c>
      <c r="L37" s="1475">
        <f t="shared" si="36"/>
        <v>0</v>
      </c>
      <c r="M37" s="932">
        <f t="shared" si="37"/>
        <v>0</v>
      </c>
      <c r="N37" s="906">
        <f t="shared" si="38"/>
        <v>0</v>
      </c>
      <c r="O37" s="883">
        <f>'[32]Oct midyear JS Clark Academy'!K36</f>
        <v>0</v>
      </c>
      <c r="P37" s="1553">
        <f t="shared" si="39"/>
        <v>0</v>
      </c>
      <c r="Q37" s="1804">
        <f>'[4]Table 5C1G-JS Clark Academy'!M36+'[27]Table 5C1G-JS Clark Academy'!T36+('[26]Table 5C1G-JS Clark Academy'!T36*6)</f>
        <v>0</v>
      </c>
      <c r="R37" s="1741">
        <f t="shared" si="40"/>
        <v>0</v>
      </c>
      <c r="S37" s="1806">
        <f t="shared" si="41"/>
        <v>0</v>
      </c>
      <c r="T37" s="1807">
        <f>'Table 5C1A-Madison Prep'!T37</f>
        <v>4193</v>
      </c>
      <c r="U37" s="1556">
        <f t="shared" si="30"/>
        <v>0</v>
      </c>
      <c r="V37" s="1779">
        <f>+'[3]Oct midyear JS Clark Academy'!E36</f>
        <v>0</v>
      </c>
      <c r="W37" s="1780">
        <f t="shared" si="42"/>
        <v>0</v>
      </c>
      <c r="X37" s="1762">
        <f>'[3]Feb midyear JS Clark Academy'!E36</f>
        <v>0</v>
      </c>
      <c r="Y37" s="1763">
        <f t="shared" si="43"/>
        <v>0</v>
      </c>
      <c r="Z37" s="1654">
        <f t="shared" si="44"/>
        <v>0</v>
      </c>
      <c r="AA37" s="1473">
        <f t="shared" si="45"/>
        <v>0</v>
      </c>
      <c r="AB37" s="938">
        <f t="shared" si="46"/>
        <v>0</v>
      </c>
      <c r="AC37" s="903">
        <f t="shared" si="47"/>
        <v>0</v>
      </c>
      <c r="AD37" s="1831">
        <f>'[32]Oct midyear JS Clark Academy'!P36</f>
        <v>0</v>
      </c>
      <c r="AE37" s="903">
        <f t="shared" si="48"/>
        <v>0</v>
      </c>
      <c r="AF37" s="1837">
        <f>'[4]Table 5C1G-JS Clark Academy'!T36+'[27]Table 5C1G-JS Clark Academy'!AF36+('[26]Table 5C1G-JS Clark Academy'!AF36*6)</f>
        <v>0</v>
      </c>
      <c r="AG37" s="1839">
        <f t="shared" si="49"/>
        <v>0</v>
      </c>
      <c r="AH37" s="1530">
        <f t="shared" si="50"/>
        <v>0</v>
      </c>
      <c r="AI37" s="904">
        <f t="shared" si="31"/>
        <v>0</v>
      </c>
      <c r="AJ37" s="904">
        <f t="shared" si="51"/>
        <v>0</v>
      </c>
      <c r="AL37" s="49">
        <f>-'[4]Table 5C1G-JS Clark Academy'!P36</f>
        <v>0</v>
      </c>
      <c r="AM37" s="49">
        <f t="shared" si="52"/>
        <v>0</v>
      </c>
      <c r="AN37" s="49">
        <f t="shared" si="53"/>
        <v>0</v>
      </c>
    </row>
    <row r="38" spans="1:40">
      <c r="A38" s="870">
        <v>31</v>
      </c>
      <c r="B38" s="871" t="s">
        <v>122</v>
      </c>
      <c r="C38" s="974">
        <f>'2-1-13 SIS'!P37</f>
        <v>0</v>
      </c>
      <c r="D38" s="884">
        <f>'Table 3 Levels 1&amp;2'!AL38</f>
        <v>4348.9307899232972</v>
      </c>
      <c r="E38" s="923">
        <f t="shared" si="32"/>
        <v>0</v>
      </c>
      <c r="F38" s="923">
        <f>'Table 4 Level 3'!P36</f>
        <v>620.83000000000004</v>
      </c>
      <c r="G38" s="923">
        <f t="shared" si="33"/>
        <v>0</v>
      </c>
      <c r="H38" s="907">
        <f t="shared" si="34"/>
        <v>0</v>
      </c>
      <c r="I38" s="1723">
        <f>+'[3]Oct midyear JS Clark Academy'!K37</f>
        <v>0</v>
      </c>
      <c r="J38" s="1723">
        <f>'[3]Feb midyear JS Clark Academy'!K37</f>
        <v>0</v>
      </c>
      <c r="K38" s="1547">
        <f t="shared" si="35"/>
        <v>0</v>
      </c>
      <c r="L38" s="1476">
        <f t="shared" si="36"/>
        <v>0</v>
      </c>
      <c r="M38" s="933">
        <f t="shared" si="37"/>
        <v>0</v>
      </c>
      <c r="N38" s="907">
        <f t="shared" si="38"/>
        <v>0</v>
      </c>
      <c r="O38" s="884">
        <f>'[32]Oct midyear JS Clark Academy'!K37</f>
        <v>0</v>
      </c>
      <c r="P38" s="996">
        <f t="shared" si="39"/>
        <v>0</v>
      </c>
      <c r="Q38" s="1718">
        <f>'[4]Table 5C1G-JS Clark Academy'!M37+'[27]Table 5C1G-JS Clark Academy'!T37+('[26]Table 5C1G-JS Clark Academy'!T37*6)</f>
        <v>0</v>
      </c>
      <c r="R38" s="1723">
        <f t="shared" si="40"/>
        <v>0</v>
      </c>
      <c r="S38" s="998">
        <f t="shared" si="41"/>
        <v>0</v>
      </c>
      <c r="T38" s="1802">
        <f>'Table 5C1A-Madison Prep'!T38</f>
        <v>4901</v>
      </c>
      <c r="U38" s="999">
        <f t="shared" si="30"/>
        <v>0</v>
      </c>
      <c r="V38" s="1754">
        <f>+'[3]Oct midyear JS Clark Academy'!E37</f>
        <v>0</v>
      </c>
      <c r="W38" s="1755">
        <f t="shared" si="42"/>
        <v>0</v>
      </c>
      <c r="X38" s="1754">
        <f>'[3]Feb midyear JS Clark Academy'!E37</f>
        <v>0</v>
      </c>
      <c r="Y38" s="1755">
        <f t="shared" si="43"/>
        <v>0</v>
      </c>
      <c r="Z38" s="1652">
        <f t="shared" si="44"/>
        <v>0</v>
      </c>
      <c r="AA38" s="1467">
        <f t="shared" si="45"/>
        <v>0</v>
      </c>
      <c r="AB38" s="936">
        <f t="shared" si="46"/>
        <v>0</v>
      </c>
      <c r="AC38" s="874">
        <f t="shared" si="47"/>
        <v>0</v>
      </c>
      <c r="AD38" s="1829">
        <f>'[32]Oct midyear JS Clark Academy'!P37</f>
        <v>0</v>
      </c>
      <c r="AE38" s="874">
        <f t="shared" si="48"/>
        <v>0</v>
      </c>
      <c r="AF38" s="1829">
        <f>'[4]Table 5C1G-JS Clark Academy'!T37+'[27]Table 5C1G-JS Clark Academy'!AF37+('[26]Table 5C1G-JS Clark Academy'!AF37*6)</f>
        <v>0</v>
      </c>
      <c r="AG38" s="1829">
        <f t="shared" si="49"/>
        <v>0</v>
      </c>
      <c r="AH38" s="1521">
        <f t="shared" si="50"/>
        <v>0</v>
      </c>
      <c r="AI38" s="875">
        <f t="shared" si="31"/>
        <v>0</v>
      </c>
      <c r="AJ38" s="875">
        <f t="shared" si="51"/>
        <v>0</v>
      </c>
      <c r="AL38" s="49">
        <f>-'[4]Table 5C1G-JS Clark Academy'!P37</f>
        <v>0</v>
      </c>
      <c r="AM38" s="49">
        <f t="shared" si="52"/>
        <v>0</v>
      </c>
      <c r="AN38" s="49">
        <f t="shared" si="53"/>
        <v>0</v>
      </c>
    </row>
    <row r="39" spans="1:40">
      <c r="A39" s="876">
        <v>32</v>
      </c>
      <c r="B39" s="877" t="s">
        <v>123</v>
      </c>
      <c r="C39" s="972">
        <f>'2-1-13 SIS'!P38</f>
        <v>0</v>
      </c>
      <c r="D39" s="882">
        <f>'Table 3 Levels 1&amp;2'!AL39</f>
        <v>5531.5157655456787</v>
      </c>
      <c r="E39" s="921">
        <f t="shared" si="32"/>
        <v>0</v>
      </c>
      <c r="F39" s="921">
        <f>'Table 4 Level 3'!P37</f>
        <v>559.77</v>
      </c>
      <c r="G39" s="921">
        <f t="shared" si="33"/>
        <v>0</v>
      </c>
      <c r="H39" s="905">
        <f t="shared" si="34"/>
        <v>0</v>
      </c>
      <c r="I39" s="1740">
        <f>+'[3]Oct midyear JS Clark Academy'!K38</f>
        <v>0</v>
      </c>
      <c r="J39" s="1740">
        <f>'[3]Feb midyear JS Clark Academy'!K38</f>
        <v>0</v>
      </c>
      <c r="K39" s="1686">
        <f t="shared" si="35"/>
        <v>0</v>
      </c>
      <c r="L39" s="1474">
        <f t="shared" si="36"/>
        <v>0</v>
      </c>
      <c r="M39" s="931">
        <f t="shared" si="37"/>
        <v>0</v>
      </c>
      <c r="N39" s="905">
        <f t="shared" si="38"/>
        <v>0</v>
      </c>
      <c r="O39" s="882">
        <f>'[32]Oct midyear JS Clark Academy'!K38</f>
        <v>0</v>
      </c>
      <c r="P39" s="1552">
        <f t="shared" si="39"/>
        <v>0</v>
      </c>
      <c r="Q39" s="1718">
        <f>'[4]Table 5C1G-JS Clark Academy'!M38+'[27]Table 5C1G-JS Clark Academy'!T38+('[26]Table 5C1G-JS Clark Academy'!T38*6)</f>
        <v>0</v>
      </c>
      <c r="R39" s="1740">
        <f t="shared" si="40"/>
        <v>0</v>
      </c>
      <c r="S39" s="998">
        <f t="shared" si="41"/>
        <v>0</v>
      </c>
      <c r="T39" s="1802">
        <f>'Table 5C1A-Madison Prep'!T39</f>
        <v>2074</v>
      </c>
      <c r="U39" s="1555">
        <f t="shared" si="30"/>
        <v>0</v>
      </c>
      <c r="V39" s="1777">
        <f>+'[3]Oct midyear JS Clark Academy'!E38</f>
        <v>0</v>
      </c>
      <c r="W39" s="1778">
        <f t="shared" si="42"/>
        <v>0</v>
      </c>
      <c r="X39" s="1758">
        <f>'[3]Feb midyear JS Clark Academy'!E38</f>
        <v>0</v>
      </c>
      <c r="Y39" s="1759">
        <f t="shared" si="43"/>
        <v>0</v>
      </c>
      <c r="Z39" s="1653">
        <f t="shared" si="44"/>
        <v>0</v>
      </c>
      <c r="AA39" s="1471">
        <f t="shared" si="45"/>
        <v>0</v>
      </c>
      <c r="AB39" s="937">
        <f t="shared" si="46"/>
        <v>0</v>
      </c>
      <c r="AC39" s="899">
        <f t="shared" si="47"/>
        <v>0</v>
      </c>
      <c r="AD39" s="1830">
        <f>'[32]Oct midyear JS Clark Academy'!P38</f>
        <v>0</v>
      </c>
      <c r="AE39" s="899">
        <f t="shared" si="48"/>
        <v>0</v>
      </c>
      <c r="AF39" s="1829">
        <f>'[4]Table 5C1G-JS Clark Academy'!T38+'[27]Table 5C1G-JS Clark Academy'!AF38+('[26]Table 5C1G-JS Clark Academy'!AF38*6)</f>
        <v>0</v>
      </c>
      <c r="AG39" s="1838">
        <f t="shared" si="49"/>
        <v>0</v>
      </c>
      <c r="AH39" s="1521">
        <f t="shared" si="50"/>
        <v>0</v>
      </c>
      <c r="AI39" s="900">
        <f t="shared" si="31"/>
        <v>0</v>
      </c>
      <c r="AJ39" s="900">
        <f t="shared" si="51"/>
        <v>0</v>
      </c>
      <c r="AL39" s="49">
        <f>-'[4]Table 5C1G-JS Clark Academy'!P38</f>
        <v>0</v>
      </c>
      <c r="AM39" s="49">
        <f t="shared" si="52"/>
        <v>0</v>
      </c>
      <c r="AN39" s="49">
        <f t="shared" si="53"/>
        <v>0</v>
      </c>
    </row>
    <row r="40" spans="1:40">
      <c r="A40" s="876">
        <v>33</v>
      </c>
      <c r="B40" s="877" t="s">
        <v>124</v>
      </c>
      <c r="C40" s="972">
        <f>'2-1-13 SIS'!P39</f>
        <v>0</v>
      </c>
      <c r="D40" s="882">
        <f>'Table 3 Levels 1&amp;2'!AL40</f>
        <v>5329.5444226517857</v>
      </c>
      <c r="E40" s="921">
        <f t="shared" si="32"/>
        <v>0</v>
      </c>
      <c r="F40" s="921">
        <f>'Table 4 Level 3'!P38</f>
        <v>655.31000000000006</v>
      </c>
      <c r="G40" s="921">
        <f t="shared" si="33"/>
        <v>0</v>
      </c>
      <c r="H40" s="905">
        <f t="shared" si="34"/>
        <v>0</v>
      </c>
      <c r="I40" s="1740">
        <f>+'[3]Oct midyear JS Clark Academy'!K39</f>
        <v>0</v>
      </c>
      <c r="J40" s="1740">
        <f>'[3]Feb midyear JS Clark Academy'!K39</f>
        <v>0</v>
      </c>
      <c r="K40" s="1686">
        <f t="shared" si="35"/>
        <v>0</v>
      </c>
      <c r="L40" s="1474">
        <f t="shared" ref="L40:L71" si="54">H40+K40</f>
        <v>0</v>
      </c>
      <c r="M40" s="931">
        <f t="shared" si="37"/>
        <v>0</v>
      </c>
      <c r="N40" s="905">
        <f t="shared" si="38"/>
        <v>0</v>
      </c>
      <c r="O40" s="882">
        <f>'[32]Oct midyear JS Clark Academy'!K39</f>
        <v>0</v>
      </c>
      <c r="P40" s="1552">
        <f t="shared" si="39"/>
        <v>0</v>
      </c>
      <c r="Q40" s="1718">
        <f>'[4]Table 5C1G-JS Clark Academy'!M39+'[27]Table 5C1G-JS Clark Academy'!T39+('[26]Table 5C1G-JS Clark Academy'!T39*6)</f>
        <v>0</v>
      </c>
      <c r="R40" s="1740">
        <f t="shared" si="40"/>
        <v>0</v>
      </c>
      <c r="S40" s="998">
        <f t="shared" si="41"/>
        <v>0</v>
      </c>
      <c r="T40" s="1802">
        <f>'Table 5C1A-Madison Prep'!T40</f>
        <v>3501</v>
      </c>
      <c r="U40" s="1555">
        <f t="shared" ref="U40:U71" si="55">C40*T40</f>
        <v>0</v>
      </c>
      <c r="V40" s="1777">
        <f>+'[3]Oct midyear JS Clark Academy'!E39</f>
        <v>0</v>
      </c>
      <c r="W40" s="1778">
        <f t="shared" si="42"/>
        <v>0</v>
      </c>
      <c r="X40" s="1758">
        <f>'[3]Feb midyear JS Clark Academy'!E39</f>
        <v>0</v>
      </c>
      <c r="Y40" s="1759">
        <f t="shared" si="43"/>
        <v>0</v>
      </c>
      <c r="Z40" s="1653">
        <f t="shared" si="44"/>
        <v>0</v>
      </c>
      <c r="AA40" s="1471">
        <f t="shared" si="45"/>
        <v>0</v>
      </c>
      <c r="AB40" s="937">
        <f t="shared" si="46"/>
        <v>0</v>
      </c>
      <c r="AC40" s="899">
        <f t="shared" si="47"/>
        <v>0</v>
      </c>
      <c r="AD40" s="1830">
        <f>'[32]Oct midyear JS Clark Academy'!P39</f>
        <v>0</v>
      </c>
      <c r="AE40" s="899">
        <f t="shared" si="48"/>
        <v>0</v>
      </c>
      <c r="AF40" s="1829">
        <f>'[4]Table 5C1G-JS Clark Academy'!T39+'[27]Table 5C1G-JS Clark Academy'!AF39+('[26]Table 5C1G-JS Clark Academy'!AF39*6)</f>
        <v>0</v>
      </c>
      <c r="AG40" s="1838">
        <f t="shared" si="49"/>
        <v>0</v>
      </c>
      <c r="AH40" s="1521">
        <f t="shared" si="50"/>
        <v>0</v>
      </c>
      <c r="AI40" s="900">
        <f t="shared" ref="AI40:AI76" si="56">P40+AE40</f>
        <v>0</v>
      </c>
      <c r="AJ40" s="900">
        <f t="shared" si="51"/>
        <v>0</v>
      </c>
      <c r="AL40" s="49">
        <f>-'[4]Table 5C1G-JS Clark Academy'!P39</f>
        <v>0</v>
      </c>
      <c r="AM40" s="49">
        <f t="shared" si="52"/>
        <v>0</v>
      </c>
      <c r="AN40" s="49">
        <f t="shared" si="53"/>
        <v>0</v>
      </c>
    </row>
    <row r="41" spans="1:40">
      <c r="A41" s="876">
        <v>34</v>
      </c>
      <c r="B41" s="877" t="s">
        <v>125</v>
      </c>
      <c r="C41" s="972">
        <f>'2-1-13 SIS'!P40</f>
        <v>0</v>
      </c>
      <c r="D41" s="882">
        <f>'Table 3 Levels 1&amp;2'!AL41</f>
        <v>6003.632932007491</v>
      </c>
      <c r="E41" s="921">
        <f t="shared" si="32"/>
        <v>0</v>
      </c>
      <c r="F41" s="921">
        <f>'Table 4 Level 3'!P39</f>
        <v>644.11000000000013</v>
      </c>
      <c r="G41" s="921">
        <f t="shared" si="33"/>
        <v>0</v>
      </c>
      <c r="H41" s="905">
        <f t="shared" si="34"/>
        <v>0</v>
      </c>
      <c r="I41" s="1740">
        <f>+'[3]Oct midyear JS Clark Academy'!K40</f>
        <v>0</v>
      </c>
      <c r="J41" s="1740">
        <f>'[3]Feb midyear JS Clark Academy'!K40</f>
        <v>0</v>
      </c>
      <c r="K41" s="1686">
        <f t="shared" si="35"/>
        <v>0</v>
      </c>
      <c r="L41" s="1474">
        <f t="shared" si="54"/>
        <v>0</v>
      </c>
      <c r="M41" s="931">
        <f t="shared" si="37"/>
        <v>0</v>
      </c>
      <c r="N41" s="905">
        <f t="shared" si="38"/>
        <v>0</v>
      </c>
      <c r="O41" s="882">
        <f>'[32]Oct midyear JS Clark Academy'!K40</f>
        <v>0</v>
      </c>
      <c r="P41" s="1552">
        <f t="shared" si="39"/>
        <v>0</v>
      </c>
      <c r="Q41" s="1718">
        <f>'[4]Table 5C1G-JS Clark Academy'!M40+'[27]Table 5C1G-JS Clark Academy'!T40+('[26]Table 5C1G-JS Clark Academy'!T40*6)</f>
        <v>0</v>
      </c>
      <c r="R41" s="1740">
        <f t="shared" si="40"/>
        <v>0</v>
      </c>
      <c r="S41" s="998">
        <f t="shared" si="41"/>
        <v>0</v>
      </c>
      <c r="T41" s="1802">
        <f>'Table 5C1A-Madison Prep'!T41</f>
        <v>2772</v>
      </c>
      <c r="U41" s="1555">
        <f t="shared" si="55"/>
        <v>0</v>
      </c>
      <c r="V41" s="1777">
        <f>+'[3]Oct midyear JS Clark Academy'!E40</f>
        <v>0</v>
      </c>
      <c r="W41" s="1778">
        <f t="shared" si="42"/>
        <v>0</v>
      </c>
      <c r="X41" s="1758">
        <f>'[3]Feb midyear JS Clark Academy'!E40</f>
        <v>0</v>
      </c>
      <c r="Y41" s="1759">
        <f t="shared" si="43"/>
        <v>0</v>
      </c>
      <c r="Z41" s="1653">
        <f t="shared" si="44"/>
        <v>0</v>
      </c>
      <c r="AA41" s="1471">
        <f t="shared" si="45"/>
        <v>0</v>
      </c>
      <c r="AB41" s="937">
        <f t="shared" si="46"/>
        <v>0</v>
      </c>
      <c r="AC41" s="899">
        <f t="shared" si="47"/>
        <v>0</v>
      </c>
      <c r="AD41" s="1830">
        <f>'[32]Oct midyear JS Clark Academy'!P40</f>
        <v>0</v>
      </c>
      <c r="AE41" s="899">
        <f t="shared" si="48"/>
        <v>0</v>
      </c>
      <c r="AF41" s="1829">
        <f>'[4]Table 5C1G-JS Clark Academy'!T40+'[27]Table 5C1G-JS Clark Academy'!AF40+('[26]Table 5C1G-JS Clark Academy'!AF40*6)</f>
        <v>0</v>
      </c>
      <c r="AG41" s="1838">
        <f t="shared" si="49"/>
        <v>0</v>
      </c>
      <c r="AH41" s="1521">
        <f t="shared" si="50"/>
        <v>0</v>
      </c>
      <c r="AI41" s="900">
        <f t="shared" si="56"/>
        <v>0</v>
      </c>
      <c r="AJ41" s="900">
        <f t="shared" si="51"/>
        <v>0</v>
      </c>
      <c r="AL41" s="49">
        <f>-'[4]Table 5C1G-JS Clark Academy'!P40</f>
        <v>0</v>
      </c>
      <c r="AM41" s="49">
        <f t="shared" si="52"/>
        <v>0</v>
      </c>
      <c r="AN41" s="49">
        <f t="shared" si="53"/>
        <v>0</v>
      </c>
    </row>
    <row r="42" spans="1:40">
      <c r="A42" s="879">
        <v>35</v>
      </c>
      <c r="B42" s="880" t="s">
        <v>126</v>
      </c>
      <c r="C42" s="973">
        <f>'2-1-13 SIS'!P41</f>
        <v>0</v>
      </c>
      <c r="D42" s="883">
        <f>'Table 3 Levels 1&amp;2'!AL42</f>
        <v>4607.1606416222867</v>
      </c>
      <c r="E42" s="922">
        <f t="shared" si="32"/>
        <v>0</v>
      </c>
      <c r="F42" s="922">
        <f>'Table 4 Level 3'!P40</f>
        <v>537.96</v>
      </c>
      <c r="G42" s="922">
        <f t="shared" si="33"/>
        <v>0</v>
      </c>
      <c r="H42" s="906">
        <f t="shared" si="34"/>
        <v>0</v>
      </c>
      <c r="I42" s="1741">
        <f>+'[3]Oct midyear JS Clark Academy'!K41</f>
        <v>0</v>
      </c>
      <c r="J42" s="1741">
        <f>'[3]Feb midyear JS Clark Academy'!K41</f>
        <v>0</v>
      </c>
      <c r="K42" s="1687">
        <f t="shared" si="35"/>
        <v>0</v>
      </c>
      <c r="L42" s="1475">
        <f t="shared" si="54"/>
        <v>0</v>
      </c>
      <c r="M42" s="932">
        <f t="shared" si="37"/>
        <v>0</v>
      </c>
      <c r="N42" s="906">
        <f t="shared" si="38"/>
        <v>0</v>
      </c>
      <c r="O42" s="883">
        <f>'[32]Oct midyear JS Clark Academy'!K41</f>
        <v>0</v>
      </c>
      <c r="P42" s="1553">
        <f t="shared" si="39"/>
        <v>0</v>
      </c>
      <c r="Q42" s="1804">
        <f>'[4]Table 5C1G-JS Clark Academy'!M41+'[27]Table 5C1G-JS Clark Academy'!T41+('[26]Table 5C1G-JS Clark Academy'!T41*6)</f>
        <v>0</v>
      </c>
      <c r="R42" s="1741">
        <f t="shared" si="40"/>
        <v>0</v>
      </c>
      <c r="S42" s="1806">
        <f t="shared" si="41"/>
        <v>0</v>
      </c>
      <c r="T42" s="1807">
        <f>'Table 5C1A-Madison Prep'!T42</f>
        <v>3140</v>
      </c>
      <c r="U42" s="1556">
        <f t="shared" si="55"/>
        <v>0</v>
      </c>
      <c r="V42" s="1779">
        <f>+'[3]Oct midyear JS Clark Academy'!E41</f>
        <v>0</v>
      </c>
      <c r="W42" s="1780">
        <f t="shared" si="42"/>
        <v>0</v>
      </c>
      <c r="X42" s="1762">
        <f>'[3]Feb midyear JS Clark Academy'!E41</f>
        <v>0</v>
      </c>
      <c r="Y42" s="1763">
        <f t="shared" si="43"/>
        <v>0</v>
      </c>
      <c r="Z42" s="1654">
        <f t="shared" si="44"/>
        <v>0</v>
      </c>
      <c r="AA42" s="1473">
        <f t="shared" si="45"/>
        <v>0</v>
      </c>
      <c r="AB42" s="938">
        <f t="shared" si="46"/>
        <v>0</v>
      </c>
      <c r="AC42" s="903">
        <f t="shared" si="47"/>
        <v>0</v>
      </c>
      <c r="AD42" s="1831">
        <f>'[32]Oct midyear JS Clark Academy'!P41</f>
        <v>0</v>
      </c>
      <c r="AE42" s="903">
        <f t="shared" si="48"/>
        <v>0</v>
      </c>
      <c r="AF42" s="1837">
        <f>'[4]Table 5C1G-JS Clark Academy'!T41+'[27]Table 5C1G-JS Clark Academy'!AF41+('[26]Table 5C1G-JS Clark Academy'!AF41*6)</f>
        <v>0</v>
      </c>
      <c r="AG42" s="1839">
        <f t="shared" si="49"/>
        <v>0</v>
      </c>
      <c r="AH42" s="1530">
        <f t="shared" si="50"/>
        <v>0</v>
      </c>
      <c r="AI42" s="904">
        <f t="shared" si="56"/>
        <v>0</v>
      </c>
      <c r="AJ42" s="904">
        <f t="shared" si="51"/>
        <v>0</v>
      </c>
      <c r="AL42" s="49">
        <f>-'[4]Table 5C1G-JS Clark Academy'!P41</f>
        <v>0</v>
      </c>
      <c r="AM42" s="49">
        <f t="shared" si="52"/>
        <v>0</v>
      </c>
      <c r="AN42" s="49">
        <f t="shared" si="53"/>
        <v>0</v>
      </c>
    </row>
    <row r="43" spans="1:40">
      <c r="A43" s="870">
        <v>36</v>
      </c>
      <c r="B43" s="871" t="s">
        <v>127</v>
      </c>
      <c r="C43" s="974">
        <f>'2-1-13 SIS'!P42</f>
        <v>0</v>
      </c>
      <c r="D43" s="884">
        <f>'Table 3 Levels 1&amp;2'!AL43</f>
        <v>3520.4894337711748</v>
      </c>
      <c r="E43" s="923">
        <f t="shared" si="32"/>
        <v>0</v>
      </c>
      <c r="F43" s="923">
        <f>'Table 5B1_RSD_Orleans'!F78</f>
        <v>746.0335616438357</v>
      </c>
      <c r="G43" s="923">
        <f t="shared" si="33"/>
        <v>0</v>
      </c>
      <c r="H43" s="907">
        <f t="shared" si="34"/>
        <v>0</v>
      </c>
      <c r="I43" s="1723">
        <f>+'[3]Oct midyear JS Clark Academy'!K42</f>
        <v>0</v>
      </c>
      <c r="J43" s="1723">
        <f>'[3]Feb midyear JS Clark Academy'!K42</f>
        <v>0</v>
      </c>
      <c r="K43" s="1547">
        <f t="shared" si="35"/>
        <v>0</v>
      </c>
      <c r="L43" s="1476">
        <f t="shared" si="54"/>
        <v>0</v>
      </c>
      <c r="M43" s="933">
        <f t="shared" si="37"/>
        <v>0</v>
      </c>
      <c r="N43" s="907">
        <f t="shared" si="38"/>
        <v>0</v>
      </c>
      <c r="O43" s="884">
        <f>'[32]Oct midyear JS Clark Academy'!K42</f>
        <v>0</v>
      </c>
      <c r="P43" s="996">
        <f t="shared" si="39"/>
        <v>0</v>
      </c>
      <c r="Q43" s="1718">
        <f>'[4]Table 5C1G-JS Clark Academy'!M42+'[27]Table 5C1G-JS Clark Academy'!T42+('[26]Table 5C1G-JS Clark Academy'!T42*6)</f>
        <v>0</v>
      </c>
      <c r="R43" s="1723">
        <f t="shared" si="40"/>
        <v>0</v>
      </c>
      <c r="S43" s="998">
        <f t="shared" si="41"/>
        <v>0</v>
      </c>
      <c r="T43" s="1802">
        <f>'Table 5C1A-Madison Prep'!T43</f>
        <v>5433</v>
      </c>
      <c r="U43" s="999">
        <f t="shared" si="55"/>
        <v>0</v>
      </c>
      <c r="V43" s="1754">
        <f>+'[3]Oct midyear JS Clark Academy'!E42</f>
        <v>0</v>
      </c>
      <c r="W43" s="1755">
        <f t="shared" si="42"/>
        <v>0</v>
      </c>
      <c r="X43" s="1754">
        <f>'[3]Feb midyear JS Clark Academy'!E42</f>
        <v>0</v>
      </c>
      <c r="Y43" s="1755">
        <f t="shared" si="43"/>
        <v>0</v>
      </c>
      <c r="Z43" s="1652">
        <f t="shared" si="44"/>
        <v>0</v>
      </c>
      <c r="AA43" s="1467">
        <f t="shared" si="45"/>
        <v>0</v>
      </c>
      <c r="AB43" s="936">
        <f t="shared" si="46"/>
        <v>0</v>
      </c>
      <c r="AC43" s="874">
        <f t="shared" si="47"/>
        <v>0</v>
      </c>
      <c r="AD43" s="1829">
        <f>'[32]Oct midyear JS Clark Academy'!P42</f>
        <v>0</v>
      </c>
      <c r="AE43" s="874">
        <f t="shared" si="48"/>
        <v>0</v>
      </c>
      <c r="AF43" s="1829">
        <f>'[4]Table 5C1G-JS Clark Academy'!T42+'[27]Table 5C1G-JS Clark Academy'!AF42+('[26]Table 5C1G-JS Clark Academy'!AF42*6)</f>
        <v>0</v>
      </c>
      <c r="AG43" s="1829">
        <f t="shared" si="49"/>
        <v>0</v>
      </c>
      <c r="AH43" s="1521">
        <f t="shared" si="50"/>
        <v>0</v>
      </c>
      <c r="AI43" s="875">
        <f t="shared" si="56"/>
        <v>0</v>
      </c>
      <c r="AJ43" s="875">
        <f t="shared" si="51"/>
        <v>0</v>
      </c>
      <c r="AL43" s="49">
        <f>-'[4]Table 5C1G-JS Clark Academy'!P42</f>
        <v>0</v>
      </c>
      <c r="AM43" s="49">
        <f t="shared" si="52"/>
        <v>0</v>
      </c>
      <c r="AN43" s="49">
        <f t="shared" si="53"/>
        <v>0</v>
      </c>
    </row>
    <row r="44" spans="1:40">
      <c r="A44" s="876">
        <v>37</v>
      </c>
      <c r="B44" s="877" t="s">
        <v>128</v>
      </c>
      <c r="C44" s="972">
        <f>'2-1-13 SIS'!P43</f>
        <v>0</v>
      </c>
      <c r="D44" s="882">
        <f>'Table 3 Levels 1&amp;2'!AL44</f>
        <v>5503.7595641818853</v>
      </c>
      <c r="E44" s="921">
        <f t="shared" si="32"/>
        <v>0</v>
      </c>
      <c r="F44" s="921">
        <f>'Table 4 Level 3'!P42</f>
        <v>653.61</v>
      </c>
      <c r="G44" s="921">
        <f t="shared" si="33"/>
        <v>0</v>
      </c>
      <c r="H44" s="905">
        <f t="shared" si="34"/>
        <v>0</v>
      </c>
      <c r="I44" s="1740">
        <f>+'[3]Oct midyear JS Clark Academy'!K43</f>
        <v>0</v>
      </c>
      <c r="J44" s="1740">
        <f>'[3]Feb midyear JS Clark Academy'!K43</f>
        <v>0</v>
      </c>
      <c r="K44" s="1686">
        <f t="shared" si="35"/>
        <v>0</v>
      </c>
      <c r="L44" s="1474">
        <f t="shared" si="54"/>
        <v>0</v>
      </c>
      <c r="M44" s="931">
        <f t="shared" si="37"/>
        <v>0</v>
      </c>
      <c r="N44" s="905">
        <f t="shared" si="38"/>
        <v>0</v>
      </c>
      <c r="O44" s="882">
        <f>'[32]Oct midyear JS Clark Academy'!K43</f>
        <v>0</v>
      </c>
      <c r="P44" s="1552">
        <f t="shared" si="39"/>
        <v>0</v>
      </c>
      <c r="Q44" s="1718">
        <f>'[4]Table 5C1G-JS Clark Academy'!M43+'[27]Table 5C1G-JS Clark Academy'!T43+('[26]Table 5C1G-JS Clark Academy'!T43*6)</f>
        <v>0</v>
      </c>
      <c r="R44" s="1740">
        <f t="shared" si="40"/>
        <v>0</v>
      </c>
      <c r="S44" s="998">
        <f t="shared" si="41"/>
        <v>0</v>
      </c>
      <c r="T44" s="1802">
        <f>'Table 5C1A-Madison Prep'!T44</f>
        <v>3310</v>
      </c>
      <c r="U44" s="1555">
        <f t="shared" si="55"/>
        <v>0</v>
      </c>
      <c r="V44" s="1777">
        <f>+'[3]Oct midyear JS Clark Academy'!E43</f>
        <v>0</v>
      </c>
      <c r="W44" s="1778">
        <f t="shared" si="42"/>
        <v>0</v>
      </c>
      <c r="X44" s="1758">
        <f>'[3]Feb midyear JS Clark Academy'!E43</f>
        <v>0</v>
      </c>
      <c r="Y44" s="1759">
        <f t="shared" si="43"/>
        <v>0</v>
      </c>
      <c r="Z44" s="1653">
        <f t="shared" si="44"/>
        <v>0</v>
      </c>
      <c r="AA44" s="1471">
        <f t="shared" si="45"/>
        <v>0</v>
      </c>
      <c r="AB44" s="937">
        <f t="shared" si="46"/>
        <v>0</v>
      </c>
      <c r="AC44" s="899">
        <f t="shared" si="47"/>
        <v>0</v>
      </c>
      <c r="AD44" s="1830">
        <f>'[32]Oct midyear JS Clark Academy'!P43</f>
        <v>0</v>
      </c>
      <c r="AE44" s="899">
        <f t="shared" si="48"/>
        <v>0</v>
      </c>
      <c r="AF44" s="1829">
        <f>'[4]Table 5C1G-JS Clark Academy'!T43+'[27]Table 5C1G-JS Clark Academy'!AF43+('[26]Table 5C1G-JS Clark Academy'!AF43*6)</f>
        <v>0</v>
      </c>
      <c r="AG44" s="1838">
        <f t="shared" si="49"/>
        <v>0</v>
      </c>
      <c r="AH44" s="1521">
        <f t="shared" si="50"/>
        <v>0</v>
      </c>
      <c r="AI44" s="900">
        <f t="shared" si="56"/>
        <v>0</v>
      </c>
      <c r="AJ44" s="900">
        <f t="shared" si="51"/>
        <v>0</v>
      </c>
      <c r="AL44" s="49">
        <f>-'[4]Table 5C1G-JS Clark Academy'!P43</f>
        <v>0</v>
      </c>
      <c r="AM44" s="49">
        <f t="shared" si="52"/>
        <v>0</v>
      </c>
      <c r="AN44" s="49">
        <f t="shared" si="53"/>
        <v>0</v>
      </c>
    </row>
    <row r="45" spans="1:40">
      <c r="A45" s="876">
        <v>38</v>
      </c>
      <c r="B45" s="877" t="s">
        <v>129</v>
      </c>
      <c r="C45" s="972">
        <f>'2-1-13 SIS'!P44</f>
        <v>0</v>
      </c>
      <c r="D45" s="882">
        <f>'Table 3 Levels 1&amp;2'!AL45</f>
        <v>2192.7545275590551</v>
      </c>
      <c r="E45" s="921">
        <f t="shared" si="32"/>
        <v>0</v>
      </c>
      <c r="F45" s="921">
        <f>'Table 4 Level 3'!P43</f>
        <v>829.92000000000007</v>
      </c>
      <c r="G45" s="921">
        <f t="shared" si="33"/>
        <v>0</v>
      </c>
      <c r="H45" s="905">
        <f t="shared" si="34"/>
        <v>0</v>
      </c>
      <c r="I45" s="1740">
        <f>+'[3]Oct midyear JS Clark Academy'!K44</f>
        <v>0</v>
      </c>
      <c r="J45" s="1740">
        <f>'[3]Feb midyear JS Clark Academy'!K44</f>
        <v>0</v>
      </c>
      <c r="K45" s="1686">
        <f t="shared" si="35"/>
        <v>0</v>
      </c>
      <c r="L45" s="1474">
        <f t="shared" si="54"/>
        <v>0</v>
      </c>
      <c r="M45" s="931">
        <f t="shared" si="37"/>
        <v>0</v>
      </c>
      <c r="N45" s="905">
        <f t="shared" si="38"/>
        <v>0</v>
      </c>
      <c r="O45" s="882">
        <f>'[32]Oct midyear JS Clark Academy'!K44</f>
        <v>0</v>
      </c>
      <c r="P45" s="1552">
        <f t="shared" si="39"/>
        <v>0</v>
      </c>
      <c r="Q45" s="1718">
        <f>'[4]Table 5C1G-JS Clark Academy'!M44+'[27]Table 5C1G-JS Clark Academy'!T44+('[26]Table 5C1G-JS Clark Academy'!T44*6)</f>
        <v>0</v>
      </c>
      <c r="R45" s="1740">
        <f t="shared" si="40"/>
        <v>0</v>
      </c>
      <c r="S45" s="998">
        <f t="shared" si="41"/>
        <v>0</v>
      </c>
      <c r="T45" s="1802">
        <f>'Table 5C1A-Madison Prep'!T45</f>
        <v>12521</v>
      </c>
      <c r="U45" s="1555">
        <f t="shared" si="55"/>
        <v>0</v>
      </c>
      <c r="V45" s="1777">
        <f>+'[3]Oct midyear JS Clark Academy'!E44</f>
        <v>0</v>
      </c>
      <c r="W45" s="1778">
        <f t="shared" si="42"/>
        <v>0</v>
      </c>
      <c r="X45" s="1758">
        <f>'[3]Feb midyear JS Clark Academy'!E44</f>
        <v>0</v>
      </c>
      <c r="Y45" s="1759">
        <f t="shared" si="43"/>
        <v>0</v>
      </c>
      <c r="Z45" s="1653">
        <f t="shared" si="44"/>
        <v>0</v>
      </c>
      <c r="AA45" s="1471">
        <f t="shared" si="45"/>
        <v>0</v>
      </c>
      <c r="AB45" s="937">
        <f t="shared" si="46"/>
        <v>0</v>
      </c>
      <c r="AC45" s="899">
        <f t="shared" si="47"/>
        <v>0</v>
      </c>
      <c r="AD45" s="1830">
        <f>'[32]Oct midyear JS Clark Academy'!P44</f>
        <v>0</v>
      </c>
      <c r="AE45" s="899">
        <f t="shared" si="48"/>
        <v>0</v>
      </c>
      <c r="AF45" s="1829">
        <f>'[4]Table 5C1G-JS Clark Academy'!T44+'[27]Table 5C1G-JS Clark Academy'!AF44+('[26]Table 5C1G-JS Clark Academy'!AF44*6)</f>
        <v>0</v>
      </c>
      <c r="AG45" s="1838">
        <f t="shared" si="49"/>
        <v>0</v>
      </c>
      <c r="AH45" s="1521">
        <f t="shared" si="50"/>
        <v>0</v>
      </c>
      <c r="AI45" s="900">
        <f t="shared" si="56"/>
        <v>0</v>
      </c>
      <c r="AJ45" s="900">
        <f t="shared" si="51"/>
        <v>0</v>
      </c>
      <c r="AL45" s="49">
        <f>-'[4]Table 5C1G-JS Clark Academy'!P44</f>
        <v>0</v>
      </c>
      <c r="AM45" s="49">
        <f t="shared" si="52"/>
        <v>0</v>
      </c>
      <c r="AN45" s="49">
        <f t="shared" si="53"/>
        <v>0</v>
      </c>
    </row>
    <row r="46" spans="1:40">
      <c r="A46" s="876">
        <v>39</v>
      </c>
      <c r="B46" s="877" t="s">
        <v>130</v>
      </c>
      <c r="C46" s="972">
        <f>'2-1-13 SIS'!P45</f>
        <v>0</v>
      </c>
      <c r="D46" s="882">
        <f>'Table 3 Levels 1&amp;2'!AL46</f>
        <v>3639.9942778062696</v>
      </c>
      <c r="E46" s="921">
        <f t="shared" si="32"/>
        <v>0</v>
      </c>
      <c r="F46" s="921">
        <f>'Table 5B2_RSD_LA'!F21</f>
        <v>779.65573042776441</v>
      </c>
      <c r="G46" s="921">
        <f t="shared" si="33"/>
        <v>0</v>
      </c>
      <c r="H46" s="905">
        <f t="shared" si="34"/>
        <v>0</v>
      </c>
      <c r="I46" s="1740">
        <f>+'[3]Oct midyear JS Clark Academy'!K45</f>
        <v>0</v>
      </c>
      <c r="J46" s="1740">
        <f>'[3]Feb midyear JS Clark Academy'!K45</f>
        <v>0</v>
      </c>
      <c r="K46" s="1686">
        <f t="shared" si="35"/>
        <v>0</v>
      </c>
      <c r="L46" s="1474">
        <f t="shared" si="54"/>
        <v>0</v>
      </c>
      <c r="M46" s="931">
        <f t="shared" si="37"/>
        <v>0</v>
      </c>
      <c r="N46" s="905">
        <f t="shared" si="38"/>
        <v>0</v>
      </c>
      <c r="O46" s="882">
        <f>'[32]Oct midyear JS Clark Academy'!K45</f>
        <v>0</v>
      </c>
      <c r="P46" s="1552">
        <f t="shared" si="39"/>
        <v>0</v>
      </c>
      <c r="Q46" s="1718">
        <f>'[4]Table 5C1G-JS Clark Academy'!M45+'[27]Table 5C1G-JS Clark Academy'!T45+('[26]Table 5C1G-JS Clark Academy'!T45*6)</f>
        <v>0</v>
      </c>
      <c r="R46" s="1740">
        <f t="shared" si="40"/>
        <v>0</v>
      </c>
      <c r="S46" s="998">
        <f t="shared" si="41"/>
        <v>0</v>
      </c>
      <c r="T46" s="1802">
        <f>'Table 5C1A-Madison Prep'!T46</f>
        <v>4436</v>
      </c>
      <c r="U46" s="1555">
        <f t="shared" si="55"/>
        <v>0</v>
      </c>
      <c r="V46" s="1777">
        <f>+'[3]Oct midyear JS Clark Academy'!E45</f>
        <v>0</v>
      </c>
      <c r="W46" s="1778">
        <f t="shared" si="42"/>
        <v>0</v>
      </c>
      <c r="X46" s="1758">
        <f>'[3]Feb midyear JS Clark Academy'!E45</f>
        <v>0</v>
      </c>
      <c r="Y46" s="1759">
        <f t="shared" si="43"/>
        <v>0</v>
      </c>
      <c r="Z46" s="1653">
        <f t="shared" si="44"/>
        <v>0</v>
      </c>
      <c r="AA46" s="1471">
        <f t="shared" si="45"/>
        <v>0</v>
      </c>
      <c r="AB46" s="937">
        <f t="shared" si="46"/>
        <v>0</v>
      </c>
      <c r="AC46" s="899">
        <f t="shared" si="47"/>
        <v>0</v>
      </c>
      <c r="AD46" s="1830">
        <f>'[32]Oct midyear JS Clark Academy'!P45</f>
        <v>0</v>
      </c>
      <c r="AE46" s="899">
        <f t="shared" si="48"/>
        <v>0</v>
      </c>
      <c r="AF46" s="1829">
        <f>'[4]Table 5C1G-JS Clark Academy'!T45+'[27]Table 5C1G-JS Clark Academy'!AF45+('[26]Table 5C1G-JS Clark Academy'!AF45*6)</f>
        <v>0</v>
      </c>
      <c r="AG46" s="1838">
        <f t="shared" si="49"/>
        <v>0</v>
      </c>
      <c r="AH46" s="1521">
        <f t="shared" si="50"/>
        <v>0</v>
      </c>
      <c r="AI46" s="900">
        <f t="shared" si="56"/>
        <v>0</v>
      </c>
      <c r="AJ46" s="900">
        <f t="shared" si="51"/>
        <v>0</v>
      </c>
      <c r="AL46" s="49">
        <f>-'[4]Table 5C1G-JS Clark Academy'!P45</f>
        <v>0</v>
      </c>
      <c r="AM46" s="49">
        <f t="shared" si="52"/>
        <v>0</v>
      </c>
      <c r="AN46" s="49">
        <f t="shared" si="53"/>
        <v>0</v>
      </c>
    </row>
    <row r="47" spans="1:40">
      <c r="A47" s="879">
        <v>40</v>
      </c>
      <c r="B47" s="880" t="s">
        <v>131</v>
      </c>
      <c r="C47" s="973">
        <f>'2-1-13 SIS'!P46</f>
        <v>0</v>
      </c>
      <c r="D47" s="883">
        <f>'Table 3 Levels 1&amp;2'!AL47</f>
        <v>4928.4974462701202</v>
      </c>
      <c r="E47" s="922">
        <f t="shared" si="32"/>
        <v>0</v>
      </c>
      <c r="F47" s="922">
        <f>'Table 4 Level 3'!P45</f>
        <v>700.2700000000001</v>
      </c>
      <c r="G47" s="922">
        <f t="shared" si="33"/>
        <v>0</v>
      </c>
      <c r="H47" s="906">
        <f t="shared" si="34"/>
        <v>0</v>
      </c>
      <c r="I47" s="1741">
        <f>+'[3]Oct midyear JS Clark Academy'!K46</f>
        <v>0</v>
      </c>
      <c r="J47" s="1741">
        <f>'[3]Feb midyear JS Clark Academy'!K46</f>
        <v>0</v>
      </c>
      <c r="K47" s="1687">
        <f t="shared" si="35"/>
        <v>0</v>
      </c>
      <c r="L47" s="1475">
        <f t="shared" si="54"/>
        <v>0</v>
      </c>
      <c r="M47" s="932">
        <f t="shared" si="37"/>
        <v>0</v>
      </c>
      <c r="N47" s="906">
        <f t="shared" si="38"/>
        <v>0</v>
      </c>
      <c r="O47" s="883">
        <f>'[32]Oct midyear JS Clark Academy'!K46</f>
        <v>0</v>
      </c>
      <c r="P47" s="1553">
        <f t="shared" si="39"/>
        <v>0</v>
      </c>
      <c r="Q47" s="1804">
        <f>'[4]Table 5C1G-JS Clark Academy'!M46+'[27]Table 5C1G-JS Clark Academy'!T46+('[26]Table 5C1G-JS Clark Academy'!T46*6)</f>
        <v>0</v>
      </c>
      <c r="R47" s="1741">
        <f t="shared" si="40"/>
        <v>0</v>
      </c>
      <c r="S47" s="1806">
        <f t="shared" si="41"/>
        <v>0</v>
      </c>
      <c r="T47" s="1807">
        <f>'Table 5C1A-Madison Prep'!T47</f>
        <v>3019</v>
      </c>
      <c r="U47" s="1556">
        <f t="shared" si="55"/>
        <v>0</v>
      </c>
      <c r="V47" s="1779">
        <f>+'[3]Oct midyear JS Clark Academy'!E46</f>
        <v>0</v>
      </c>
      <c r="W47" s="1780">
        <f t="shared" si="42"/>
        <v>0</v>
      </c>
      <c r="X47" s="1762">
        <f>'[3]Feb midyear JS Clark Academy'!E46</f>
        <v>0</v>
      </c>
      <c r="Y47" s="1763">
        <f t="shared" si="43"/>
        <v>0</v>
      </c>
      <c r="Z47" s="1654">
        <f t="shared" si="44"/>
        <v>0</v>
      </c>
      <c r="AA47" s="1473">
        <f t="shared" si="45"/>
        <v>0</v>
      </c>
      <c r="AB47" s="938">
        <f t="shared" si="46"/>
        <v>0</v>
      </c>
      <c r="AC47" s="903">
        <f t="shared" si="47"/>
        <v>0</v>
      </c>
      <c r="AD47" s="1831">
        <f>'[32]Oct midyear JS Clark Academy'!P46</f>
        <v>0</v>
      </c>
      <c r="AE47" s="903">
        <f t="shared" si="48"/>
        <v>0</v>
      </c>
      <c r="AF47" s="1837">
        <f>'[4]Table 5C1G-JS Clark Academy'!T46+'[27]Table 5C1G-JS Clark Academy'!AF46+('[26]Table 5C1G-JS Clark Academy'!AF46*6)</f>
        <v>0</v>
      </c>
      <c r="AG47" s="1839">
        <f t="shared" si="49"/>
        <v>0</v>
      </c>
      <c r="AH47" s="1530">
        <f t="shared" si="50"/>
        <v>0</v>
      </c>
      <c r="AI47" s="904">
        <f t="shared" si="56"/>
        <v>0</v>
      </c>
      <c r="AJ47" s="904">
        <f t="shared" si="51"/>
        <v>0</v>
      </c>
      <c r="AL47" s="49">
        <f>-'[4]Table 5C1G-JS Clark Academy'!P46</f>
        <v>0</v>
      </c>
      <c r="AM47" s="49">
        <f t="shared" si="52"/>
        <v>0</v>
      </c>
      <c r="AN47" s="49">
        <f t="shared" si="53"/>
        <v>0</v>
      </c>
    </row>
    <row r="48" spans="1:40">
      <c r="A48" s="870">
        <v>41</v>
      </c>
      <c r="B48" s="871" t="s">
        <v>132</v>
      </c>
      <c r="C48" s="974">
        <f>'2-1-13 SIS'!P47</f>
        <v>0</v>
      </c>
      <c r="D48" s="884">
        <f>'Table 3 Levels 1&amp;2'!AL48</f>
        <v>1615.6013465627216</v>
      </c>
      <c r="E48" s="923">
        <f t="shared" si="32"/>
        <v>0</v>
      </c>
      <c r="F48" s="923">
        <f>'Table 4 Level 3'!P46</f>
        <v>886.22</v>
      </c>
      <c r="G48" s="923">
        <f t="shared" si="33"/>
        <v>0</v>
      </c>
      <c r="H48" s="907">
        <f t="shared" si="34"/>
        <v>0</v>
      </c>
      <c r="I48" s="1723">
        <f>+'[3]Oct midyear JS Clark Academy'!K47</f>
        <v>0</v>
      </c>
      <c r="J48" s="1723">
        <f>'[3]Feb midyear JS Clark Academy'!K47</f>
        <v>0</v>
      </c>
      <c r="K48" s="1547">
        <f t="shared" si="35"/>
        <v>0</v>
      </c>
      <c r="L48" s="1476">
        <f t="shared" si="54"/>
        <v>0</v>
      </c>
      <c r="M48" s="933">
        <f t="shared" si="37"/>
        <v>0</v>
      </c>
      <c r="N48" s="907">
        <f t="shared" si="38"/>
        <v>0</v>
      </c>
      <c r="O48" s="884">
        <f>'[32]Oct midyear JS Clark Academy'!K47</f>
        <v>0</v>
      </c>
      <c r="P48" s="996">
        <f t="shared" si="39"/>
        <v>0</v>
      </c>
      <c r="Q48" s="1718">
        <f>'[4]Table 5C1G-JS Clark Academy'!M47+'[27]Table 5C1G-JS Clark Academy'!T47+('[26]Table 5C1G-JS Clark Academy'!T47*6)</f>
        <v>0</v>
      </c>
      <c r="R48" s="1723">
        <f t="shared" si="40"/>
        <v>0</v>
      </c>
      <c r="S48" s="998">
        <f t="shared" si="41"/>
        <v>0</v>
      </c>
      <c r="T48" s="1802">
        <f>'Table 5C1A-Madison Prep'!T48</f>
        <v>8964</v>
      </c>
      <c r="U48" s="999">
        <f t="shared" si="55"/>
        <v>0</v>
      </c>
      <c r="V48" s="1754">
        <f>+'[3]Oct midyear JS Clark Academy'!E47</f>
        <v>0</v>
      </c>
      <c r="W48" s="1755">
        <f t="shared" si="42"/>
        <v>0</v>
      </c>
      <c r="X48" s="1754">
        <f>'[3]Feb midyear JS Clark Academy'!E47</f>
        <v>0</v>
      </c>
      <c r="Y48" s="1755">
        <f t="shared" si="43"/>
        <v>0</v>
      </c>
      <c r="Z48" s="1652">
        <f t="shared" si="44"/>
        <v>0</v>
      </c>
      <c r="AA48" s="1467">
        <f t="shared" si="45"/>
        <v>0</v>
      </c>
      <c r="AB48" s="936">
        <f t="shared" si="46"/>
        <v>0</v>
      </c>
      <c r="AC48" s="874">
        <f t="shared" si="47"/>
        <v>0</v>
      </c>
      <c r="AD48" s="1829">
        <f>'[32]Oct midyear JS Clark Academy'!P47</f>
        <v>0</v>
      </c>
      <c r="AE48" s="874">
        <f t="shared" si="48"/>
        <v>0</v>
      </c>
      <c r="AF48" s="1829">
        <f>'[4]Table 5C1G-JS Clark Academy'!T47+'[27]Table 5C1G-JS Clark Academy'!AF47+('[26]Table 5C1G-JS Clark Academy'!AF47*6)</f>
        <v>0</v>
      </c>
      <c r="AG48" s="1829">
        <f t="shared" si="49"/>
        <v>0</v>
      </c>
      <c r="AH48" s="1521">
        <f t="shared" si="50"/>
        <v>0</v>
      </c>
      <c r="AI48" s="875">
        <f t="shared" si="56"/>
        <v>0</v>
      </c>
      <c r="AJ48" s="875">
        <f t="shared" si="51"/>
        <v>0</v>
      </c>
      <c r="AL48" s="49">
        <f>-'[4]Table 5C1G-JS Clark Academy'!P47</f>
        <v>0</v>
      </c>
      <c r="AM48" s="49">
        <f t="shared" si="52"/>
        <v>0</v>
      </c>
      <c r="AN48" s="49">
        <f t="shared" si="53"/>
        <v>0</v>
      </c>
    </row>
    <row r="49" spans="1:40">
      <c r="A49" s="876">
        <v>42</v>
      </c>
      <c r="B49" s="877" t="s">
        <v>133</v>
      </c>
      <c r="C49" s="972">
        <f>'2-1-13 SIS'!P48</f>
        <v>0</v>
      </c>
      <c r="D49" s="882">
        <f>'Table 3 Levels 1&amp;2'!AL49</f>
        <v>5087.4730460987803</v>
      </c>
      <c r="E49" s="921">
        <f t="shared" si="32"/>
        <v>0</v>
      </c>
      <c r="F49" s="921">
        <f>'Table 4 Level 3'!P47</f>
        <v>534.28</v>
      </c>
      <c r="G49" s="921">
        <f t="shared" si="33"/>
        <v>0</v>
      </c>
      <c r="H49" s="905">
        <f t="shared" si="34"/>
        <v>0</v>
      </c>
      <c r="I49" s="1740">
        <f>+'[3]Oct midyear JS Clark Academy'!K48</f>
        <v>0</v>
      </c>
      <c r="J49" s="1740">
        <f>'[3]Feb midyear JS Clark Academy'!K48</f>
        <v>0</v>
      </c>
      <c r="K49" s="1686">
        <f t="shared" si="35"/>
        <v>0</v>
      </c>
      <c r="L49" s="1474">
        <f t="shared" si="54"/>
        <v>0</v>
      </c>
      <c r="M49" s="931">
        <f t="shared" si="37"/>
        <v>0</v>
      </c>
      <c r="N49" s="905">
        <f t="shared" si="38"/>
        <v>0</v>
      </c>
      <c r="O49" s="882">
        <f>'[32]Oct midyear JS Clark Academy'!K48</f>
        <v>0</v>
      </c>
      <c r="P49" s="1552">
        <f t="shared" si="39"/>
        <v>0</v>
      </c>
      <c r="Q49" s="1718">
        <f>'[4]Table 5C1G-JS Clark Academy'!M48+'[27]Table 5C1G-JS Clark Academy'!T48+('[26]Table 5C1G-JS Clark Academy'!T48*6)</f>
        <v>0</v>
      </c>
      <c r="R49" s="1740">
        <f t="shared" si="40"/>
        <v>0</v>
      </c>
      <c r="S49" s="998">
        <f t="shared" si="41"/>
        <v>0</v>
      </c>
      <c r="T49" s="1802">
        <f>'Table 5C1A-Madison Prep'!T49</f>
        <v>3535</v>
      </c>
      <c r="U49" s="1555">
        <f t="shared" si="55"/>
        <v>0</v>
      </c>
      <c r="V49" s="1777">
        <f>+'[3]Oct midyear JS Clark Academy'!E48</f>
        <v>0</v>
      </c>
      <c r="W49" s="1778">
        <f t="shared" si="42"/>
        <v>0</v>
      </c>
      <c r="X49" s="1758">
        <f>'[3]Feb midyear JS Clark Academy'!E48</f>
        <v>0</v>
      </c>
      <c r="Y49" s="1759">
        <f t="shared" si="43"/>
        <v>0</v>
      </c>
      <c r="Z49" s="1653">
        <f t="shared" si="44"/>
        <v>0</v>
      </c>
      <c r="AA49" s="1471">
        <f t="shared" si="45"/>
        <v>0</v>
      </c>
      <c r="AB49" s="937">
        <f t="shared" si="46"/>
        <v>0</v>
      </c>
      <c r="AC49" s="899">
        <f t="shared" si="47"/>
        <v>0</v>
      </c>
      <c r="AD49" s="1830">
        <f>'[32]Oct midyear JS Clark Academy'!P48</f>
        <v>0</v>
      </c>
      <c r="AE49" s="899">
        <f t="shared" si="48"/>
        <v>0</v>
      </c>
      <c r="AF49" s="1829">
        <f>'[4]Table 5C1G-JS Clark Academy'!T48+'[27]Table 5C1G-JS Clark Academy'!AF48+('[26]Table 5C1G-JS Clark Academy'!AF48*6)</f>
        <v>0</v>
      </c>
      <c r="AG49" s="1838">
        <f t="shared" si="49"/>
        <v>0</v>
      </c>
      <c r="AH49" s="1521">
        <f t="shared" si="50"/>
        <v>0</v>
      </c>
      <c r="AI49" s="900">
        <f t="shared" si="56"/>
        <v>0</v>
      </c>
      <c r="AJ49" s="900">
        <f t="shared" si="51"/>
        <v>0</v>
      </c>
      <c r="AL49" s="49">
        <f>-'[4]Table 5C1G-JS Clark Academy'!P48</f>
        <v>0</v>
      </c>
      <c r="AM49" s="49">
        <f t="shared" si="52"/>
        <v>0</v>
      </c>
      <c r="AN49" s="49">
        <f t="shared" si="53"/>
        <v>0</v>
      </c>
    </row>
    <row r="50" spans="1:40">
      <c r="A50" s="876">
        <v>43</v>
      </c>
      <c r="B50" s="877" t="s">
        <v>134</v>
      </c>
      <c r="C50" s="972">
        <f>'2-1-13 SIS'!P49</f>
        <v>0</v>
      </c>
      <c r="D50" s="882">
        <f>'Table 3 Levels 1&amp;2'!AL50</f>
        <v>4717.8414352725031</v>
      </c>
      <c r="E50" s="921">
        <f t="shared" si="32"/>
        <v>0</v>
      </c>
      <c r="F50" s="921">
        <f>'Table 4 Level 3'!P48</f>
        <v>574.6099999999999</v>
      </c>
      <c r="G50" s="921">
        <f t="shared" si="33"/>
        <v>0</v>
      </c>
      <c r="H50" s="905">
        <f t="shared" si="34"/>
        <v>0</v>
      </c>
      <c r="I50" s="1740">
        <f>+'[3]Oct midyear JS Clark Academy'!K49</f>
        <v>0</v>
      </c>
      <c r="J50" s="1740">
        <f>'[3]Feb midyear JS Clark Academy'!K49</f>
        <v>0</v>
      </c>
      <c r="K50" s="1686">
        <f t="shared" si="35"/>
        <v>0</v>
      </c>
      <c r="L50" s="1474">
        <f t="shared" si="54"/>
        <v>0</v>
      </c>
      <c r="M50" s="931">
        <f t="shared" si="37"/>
        <v>0</v>
      </c>
      <c r="N50" s="905">
        <f t="shared" si="38"/>
        <v>0</v>
      </c>
      <c r="O50" s="882">
        <f>'[32]Oct midyear JS Clark Academy'!K49</f>
        <v>0</v>
      </c>
      <c r="P50" s="1552">
        <f t="shared" si="39"/>
        <v>0</v>
      </c>
      <c r="Q50" s="1718">
        <f>'[4]Table 5C1G-JS Clark Academy'!M49+'[27]Table 5C1G-JS Clark Academy'!T49+('[26]Table 5C1G-JS Clark Academy'!T49*6)</f>
        <v>0</v>
      </c>
      <c r="R50" s="1740">
        <f t="shared" si="40"/>
        <v>0</v>
      </c>
      <c r="S50" s="998">
        <f t="shared" si="41"/>
        <v>0</v>
      </c>
      <c r="T50" s="1802">
        <f>'Table 5C1A-Madison Prep'!T50</f>
        <v>3593</v>
      </c>
      <c r="U50" s="1555">
        <f t="shared" si="55"/>
        <v>0</v>
      </c>
      <c r="V50" s="1777">
        <f>+'[3]Oct midyear JS Clark Academy'!E49</f>
        <v>0</v>
      </c>
      <c r="W50" s="1778">
        <f t="shared" si="42"/>
        <v>0</v>
      </c>
      <c r="X50" s="1758">
        <f>'[3]Feb midyear JS Clark Academy'!E49</f>
        <v>0</v>
      </c>
      <c r="Y50" s="1759">
        <f t="shared" si="43"/>
        <v>0</v>
      </c>
      <c r="Z50" s="1653">
        <f t="shared" si="44"/>
        <v>0</v>
      </c>
      <c r="AA50" s="1471">
        <f t="shared" si="45"/>
        <v>0</v>
      </c>
      <c r="AB50" s="937">
        <f t="shared" si="46"/>
        <v>0</v>
      </c>
      <c r="AC50" s="899">
        <f t="shared" si="47"/>
        <v>0</v>
      </c>
      <c r="AD50" s="1830">
        <f>'[32]Oct midyear JS Clark Academy'!P49</f>
        <v>0</v>
      </c>
      <c r="AE50" s="899">
        <f t="shared" si="48"/>
        <v>0</v>
      </c>
      <c r="AF50" s="1829">
        <f>'[4]Table 5C1G-JS Clark Academy'!T49+'[27]Table 5C1G-JS Clark Academy'!AF49+('[26]Table 5C1G-JS Clark Academy'!AF49*6)</f>
        <v>0</v>
      </c>
      <c r="AG50" s="1838">
        <f t="shared" si="49"/>
        <v>0</v>
      </c>
      <c r="AH50" s="1521">
        <f t="shared" si="50"/>
        <v>0</v>
      </c>
      <c r="AI50" s="900">
        <f t="shared" si="56"/>
        <v>0</v>
      </c>
      <c r="AJ50" s="900">
        <f t="shared" si="51"/>
        <v>0</v>
      </c>
      <c r="AL50" s="49">
        <f>-'[4]Table 5C1G-JS Clark Academy'!P49</f>
        <v>0</v>
      </c>
      <c r="AM50" s="49">
        <f t="shared" si="52"/>
        <v>0</v>
      </c>
      <c r="AN50" s="49">
        <f t="shared" si="53"/>
        <v>0</v>
      </c>
    </row>
    <row r="51" spans="1:40">
      <c r="A51" s="876">
        <v>44</v>
      </c>
      <c r="B51" s="877" t="s">
        <v>135</v>
      </c>
      <c r="C51" s="972">
        <f>'2-1-13 SIS'!P50</f>
        <v>0</v>
      </c>
      <c r="D51" s="882">
        <f>'Table 3 Levels 1&amp;2'!AL51</f>
        <v>4696.6221228259064</v>
      </c>
      <c r="E51" s="921">
        <f t="shared" si="32"/>
        <v>0</v>
      </c>
      <c r="F51" s="921">
        <f>'Table 4 Level 3'!P49</f>
        <v>663.16000000000008</v>
      </c>
      <c r="G51" s="921">
        <f t="shared" si="33"/>
        <v>0</v>
      </c>
      <c r="H51" s="905">
        <f t="shared" si="34"/>
        <v>0</v>
      </c>
      <c r="I51" s="1740">
        <f>+'[3]Oct midyear JS Clark Academy'!K50</f>
        <v>0</v>
      </c>
      <c r="J51" s="1740">
        <f>'[3]Feb midyear JS Clark Academy'!K50</f>
        <v>0</v>
      </c>
      <c r="K51" s="1686">
        <f t="shared" si="35"/>
        <v>0</v>
      </c>
      <c r="L51" s="1474">
        <f t="shared" si="54"/>
        <v>0</v>
      </c>
      <c r="M51" s="931">
        <f t="shared" si="37"/>
        <v>0</v>
      </c>
      <c r="N51" s="905">
        <f t="shared" si="38"/>
        <v>0</v>
      </c>
      <c r="O51" s="882">
        <f>'[32]Oct midyear JS Clark Academy'!K50</f>
        <v>0</v>
      </c>
      <c r="P51" s="1552">
        <f t="shared" si="39"/>
        <v>0</v>
      </c>
      <c r="Q51" s="1718">
        <f>'[4]Table 5C1G-JS Clark Academy'!M50+'[27]Table 5C1G-JS Clark Academy'!T50+('[26]Table 5C1G-JS Clark Academy'!T50*6)</f>
        <v>0</v>
      </c>
      <c r="R51" s="1740">
        <f t="shared" si="40"/>
        <v>0</v>
      </c>
      <c r="S51" s="998">
        <f t="shared" si="41"/>
        <v>0</v>
      </c>
      <c r="T51" s="1802">
        <f>'Table 5C1A-Madison Prep'!T51</f>
        <v>4323</v>
      </c>
      <c r="U51" s="1555">
        <f t="shared" si="55"/>
        <v>0</v>
      </c>
      <c r="V51" s="1777">
        <f>+'[3]Oct midyear JS Clark Academy'!E50</f>
        <v>0</v>
      </c>
      <c r="W51" s="1778">
        <f t="shared" si="42"/>
        <v>0</v>
      </c>
      <c r="X51" s="1758">
        <f>'[3]Feb midyear JS Clark Academy'!E50</f>
        <v>0</v>
      </c>
      <c r="Y51" s="1759">
        <f t="shared" si="43"/>
        <v>0</v>
      </c>
      <c r="Z51" s="1653">
        <f t="shared" si="44"/>
        <v>0</v>
      </c>
      <c r="AA51" s="1471">
        <f t="shared" si="45"/>
        <v>0</v>
      </c>
      <c r="AB51" s="937">
        <f t="shared" si="46"/>
        <v>0</v>
      </c>
      <c r="AC51" s="899">
        <f t="shared" si="47"/>
        <v>0</v>
      </c>
      <c r="AD51" s="1830">
        <f>'[32]Oct midyear JS Clark Academy'!P50</f>
        <v>0</v>
      </c>
      <c r="AE51" s="899">
        <f t="shared" si="48"/>
        <v>0</v>
      </c>
      <c r="AF51" s="1829">
        <f>'[4]Table 5C1G-JS Clark Academy'!T50+'[27]Table 5C1G-JS Clark Academy'!AF50+('[26]Table 5C1G-JS Clark Academy'!AF50*6)</f>
        <v>0</v>
      </c>
      <c r="AG51" s="1838">
        <f t="shared" si="49"/>
        <v>0</v>
      </c>
      <c r="AH51" s="1521">
        <f t="shared" si="50"/>
        <v>0</v>
      </c>
      <c r="AI51" s="900">
        <f t="shared" si="56"/>
        <v>0</v>
      </c>
      <c r="AJ51" s="900">
        <f t="shared" si="51"/>
        <v>0</v>
      </c>
      <c r="AL51" s="49">
        <f>-'[4]Table 5C1G-JS Clark Academy'!P50</f>
        <v>0</v>
      </c>
      <c r="AM51" s="49">
        <f t="shared" si="52"/>
        <v>0</v>
      </c>
      <c r="AN51" s="49">
        <f t="shared" si="53"/>
        <v>0</v>
      </c>
    </row>
    <row r="52" spans="1:40">
      <c r="A52" s="879">
        <v>45</v>
      </c>
      <c r="B52" s="880" t="s">
        <v>136</v>
      </c>
      <c r="C52" s="973">
        <f>'2-1-13 SIS'!P51</f>
        <v>0</v>
      </c>
      <c r="D52" s="883">
        <f>'Table 3 Levels 1&amp;2'!AL52</f>
        <v>2192.4914538932262</v>
      </c>
      <c r="E52" s="922">
        <f t="shared" si="32"/>
        <v>0</v>
      </c>
      <c r="F52" s="922">
        <f>'Table 4 Level 3'!P50</f>
        <v>753.96000000000015</v>
      </c>
      <c r="G52" s="922">
        <f t="shared" si="33"/>
        <v>0</v>
      </c>
      <c r="H52" s="906">
        <f t="shared" si="34"/>
        <v>0</v>
      </c>
      <c r="I52" s="1741">
        <f>+'[3]Oct midyear JS Clark Academy'!K51</f>
        <v>0</v>
      </c>
      <c r="J52" s="1741">
        <f>'[3]Feb midyear JS Clark Academy'!K51</f>
        <v>0</v>
      </c>
      <c r="K52" s="1687">
        <f t="shared" si="35"/>
        <v>0</v>
      </c>
      <c r="L52" s="1475">
        <f t="shared" si="54"/>
        <v>0</v>
      </c>
      <c r="M52" s="932">
        <f t="shared" si="37"/>
        <v>0</v>
      </c>
      <c r="N52" s="906">
        <f t="shared" si="38"/>
        <v>0</v>
      </c>
      <c r="O52" s="883">
        <f>'[32]Oct midyear JS Clark Academy'!K51</f>
        <v>0</v>
      </c>
      <c r="P52" s="1553">
        <f t="shared" si="39"/>
        <v>0</v>
      </c>
      <c r="Q52" s="1804">
        <f>'[4]Table 5C1G-JS Clark Academy'!M51+'[27]Table 5C1G-JS Clark Academy'!T51+('[26]Table 5C1G-JS Clark Academy'!T51*6)</f>
        <v>0</v>
      </c>
      <c r="R52" s="1741">
        <f t="shared" si="40"/>
        <v>0</v>
      </c>
      <c r="S52" s="1806">
        <f t="shared" si="41"/>
        <v>0</v>
      </c>
      <c r="T52" s="1807">
        <f>'Table 5C1A-Madison Prep'!T52</f>
        <v>12792</v>
      </c>
      <c r="U52" s="1556">
        <f t="shared" si="55"/>
        <v>0</v>
      </c>
      <c r="V52" s="1779">
        <f>+'[3]Oct midyear JS Clark Academy'!E51</f>
        <v>0</v>
      </c>
      <c r="W52" s="1780">
        <f t="shared" si="42"/>
        <v>0</v>
      </c>
      <c r="X52" s="1762">
        <f>'[3]Feb midyear JS Clark Academy'!E51</f>
        <v>0</v>
      </c>
      <c r="Y52" s="1763">
        <f t="shared" si="43"/>
        <v>0</v>
      </c>
      <c r="Z52" s="1654">
        <f t="shared" si="44"/>
        <v>0</v>
      </c>
      <c r="AA52" s="1473">
        <f t="shared" si="45"/>
        <v>0</v>
      </c>
      <c r="AB52" s="938">
        <f t="shared" si="46"/>
        <v>0</v>
      </c>
      <c r="AC52" s="903">
        <f t="shared" si="47"/>
        <v>0</v>
      </c>
      <c r="AD52" s="1831">
        <f>'[32]Oct midyear JS Clark Academy'!P51</f>
        <v>0</v>
      </c>
      <c r="AE52" s="903">
        <f t="shared" si="48"/>
        <v>0</v>
      </c>
      <c r="AF52" s="1837">
        <f>'[4]Table 5C1G-JS Clark Academy'!T51+'[27]Table 5C1G-JS Clark Academy'!AF51+('[26]Table 5C1G-JS Clark Academy'!AF51*6)</f>
        <v>0</v>
      </c>
      <c r="AG52" s="1839">
        <f t="shared" si="49"/>
        <v>0</v>
      </c>
      <c r="AH52" s="1530">
        <f t="shared" si="50"/>
        <v>0</v>
      </c>
      <c r="AI52" s="904">
        <f t="shared" si="56"/>
        <v>0</v>
      </c>
      <c r="AJ52" s="904">
        <f t="shared" si="51"/>
        <v>0</v>
      </c>
      <c r="AL52" s="49">
        <f>-'[4]Table 5C1G-JS Clark Academy'!P51</f>
        <v>0</v>
      </c>
      <c r="AM52" s="49">
        <f t="shared" si="52"/>
        <v>0</v>
      </c>
      <c r="AN52" s="49">
        <f t="shared" si="53"/>
        <v>0</v>
      </c>
    </row>
    <row r="53" spans="1:40">
      <c r="A53" s="870">
        <v>46</v>
      </c>
      <c r="B53" s="871" t="s">
        <v>137</v>
      </c>
      <c r="C53" s="974">
        <f>'2-1-13 SIS'!P52</f>
        <v>0</v>
      </c>
      <c r="D53" s="884">
        <f>'Table 3 Levels 1&amp;2'!AL53</f>
        <v>5644.6599115241634</v>
      </c>
      <c r="E53" s="923">
        <f t="shared" si="32"/>
        <v>0</v>
      </c>
      <c r="F53" s="923">
        <f>'Table 4 Level 3'!P51</f>
        <v>728.06</v>
      </c>
      <c r="G53" s="923">
        <f t="shared" si="33"/>
        <v>0</v>
      </c>
      <c r="H53" s="907">
        <f t="shared" si="34"/>
        <v>0</v>
      </c>
      <c r="I53" s="1723">
        <f>+'[3]Oct midyear JS Clark Academy'!K52</f>
        <v>0</v>
      </c>
      <c r="J53" s="1723">
        <f>'[3]Feb midyear JS Clark Academy'!K52</f>
        <v>0</v>
      </c>
      <c r="K53" s="1547">
        <f t="shared" si="35"/>
        <v>0</v>
      </c>
      <c r="L53" s="1476">
        <f t="shared" si="54"/>
        <v>0</v>
      </c>
      <c r="M53" s="933">
        <f t="shared" si="37"/>
        <v>0</v>
      </c>
      <c r="N53" s="907">
        <f t="shared" si="38"/>
        <v>0</v>
      </c>
      <c r="O53" s="884">
        <f>'[32]Oct midyear JS Clark Academy'!K52</f>
        <v>0</v>
      </c>
      <c r="P53" s="996">
        <f t="shared" si="39"/>
        <v>0</v>
      </c>
      <c r="Q53" s="1718">
        <f>'[4]Table 5C1G-JS Clark Academy'!M52+'[27]Table 5C1G-JS Clark Academy'!T52+('[26]Table 5C1G-JS Clark Academy'!T52*6)</f>
        <v>0</v>
      </c>
      <c r="R53" s="1723">
        <f t="shared" si="40"/>
        <v>0</v>
      </c>
      <c r="S53" s="998">
        <f t="shared" si="41"/>
        <v>0</v>
      </c>
      <c r="T53" s="1802">
        <f>'Table 5C1A-Madison Prep'!T53</f>
        <v>2423</v>
      </c>
      <c r="U53" s="999">
        <f t="shared" si="55"/>
        <v>0</v>
      </c>
      <c r="V53" s="1754">
        <f>+'[3]Oct midyear JS Clark Academy'!E52</f>
        <v>0</v>
      </c>
      <c r="W53" s="1755">
        <f t="shared" si="42"/>
        <v>0</v>
      </c>
      <c r="X53" s="1754">
        <f>'[3]Feb midyear JS Clark Academy'!E52</f>
        <v>0</v>
      </c>
      <c r="Y53" s="1755">
        <f t="shared" si="43"/>
        <v>0</v>
      </c>
      <c r="Z53" s="1652">
        <f t="shared" si="44"/>
        <v>0</v>
      </c>
      <c r="AA53" s="1467">
        <f t="shared" si="45"/>
        <v>0</v>
      </c>
      <c r="AB53" s="936">
        <f t="shared" si="46"/>
        <v>0</v>
      </c>
      <c r="AC53" s="874">
        <f t="shared" si="47"/>
        <v>0</v>
      </c>
      <c r="AD53" s="1829">
        <f>'[32]Oct midyear JS Clark Academy'!P52</f>
        <v>0</v>
      </c>
      <c r="AE53" s="874">
        <f t="shared" si="48"/>
        <v>0</v>
      </c>
      <c r="AF53" s="1829">
        <f>'[4]Table 5C1G-JS Clark Academy'!T52+'[27]Table 5C1G-JS Clark Academy'!AF52+('[26]Table 5C1G-JS Clark Academy'!AF52*6)</f>
        <v>0</v>
      </c>
      <c r="AG53" s="1829">
        <f t="shared" si="49"/>
        <v>0</v>
      </c>
      <c r="AH53" s="1521">
        <f t="shared" si="50"/>
        <v>0</v>
      </c>
      <c r="AI53" s="875">
        <f t="shared" si="56"/>
        <v>0</v>
      </c>
      <c r="AJ53" s="875">
        <f t="shared" si="51"/>
        <v>0</v>
      </c>
      <c r="AL53" s="49">
        <f>-'[4]Table 5C1G-JS Clark Academy'!P52</f>
        <v>0</v>
      </c>
      <c r="AM53" s="49">
        <f t="shared" si="52"/>
        <v>0</v>
      </c>
      <c r="AN53" s="49">
        <f t="shared" si="53"/>
        <v>0</v>
      </c>
    </row>
    <row r="54" spans="1:40">
      <c r="A54" s="876">
        <v>47</v>
      </c>
      <c r="B54" s="877" t="s">
        <v>138</v>
      </c>
      <c r="C54" s="972">
        <f>'2-1-13 SIS'!P53</f>
        <v>0</v>
      </c>
      <c r="D54" s="882">
        <f>'Table 3 Levels 1&amp;2'!AL54</f>
        <v>2731.2444076222037</v>
      </c>
      <c r="E54" s="921">
        <f t="shared" si="32"/>
        <v>0</v>
      </c>
      <c r="F54" s="921">
        <f>'Table 4 Level 3'!P52</f>
        <v>910.76</v>
      </c>
      <c r="G54" s="921">
        <f t="shared" si="33"/>
        <v>0</v>
      </c>
      <c r="H54" s="905">
        <f t="shared" si="34"/>
        <v>0</v>
      </c>
      <c r="I54" s="1740">
        <f>+'[3]Oct midyear JS Clark Academy'!K53</f>
        <v>0</v>
      </c>
      <c r="J54" s="1740">
        <f>'[3]Feb midyear JS Clark Academy'!K53</f>
        <v>0</v>
      </c>
      <c r="K54" s="1686">
        <f t="shared" si="35"/>
        <v>0</v>
      </c>
      <c r="L54" s="1474">
        <f t="shared" si="54"/>
        <v>0</v>
      </c>
      <c r="M54" s="931">
        <f t="shared" si="37"/>
        <v>0</v>
      </c>
      <c r="N54" s="905">
        <f t="shared" si="38"/>
        <v>0</v>
      </c>
      <c r="O54" s="882">
        <f>'[32]Oct midyear JS Clark Academy'!K53</f>
        <v>0</v>
      </c>
      <c r="P54" s="1552">
        <f t="shared" si="39"/>
        <v>0</v>
      </c>
      <c r="Q54" s="1718">
        <f>'[4]Table 5C1G-JS Clark Academy'!M53+'[27]Table 5C1G-JS Clark Academy'!T53+('[26]Table 5C1G-JS Clark Academy'!T53*6)</f>
        <v>0</v>
      </c>
      <c r="R54" s="1740">
        <f t="shared" si="40"/>
        <v>0</v>
      </c>
      <c r="S54" s="998">
        <f t="shared" si="41"/>
        <v>0</v>
      </c>
      <c r="T54" s="1802">
        <f>'Table 5C1A-Madison Prep'!T54</f>
        <v>12963</v>
      </c>
      <c r="U54" s="1555">
        <f t="shared" si="55"/>
        <v>0</v>
      </c>
      <c r="V54" s="1777">
        <f>+'[3]Oct midyear JS Clark Academy'!E53</f>
        <v>0</v>
      </c>
      <c r="W54" s="1778">
        <f t="shared" si="42"/>
        <v>0</v>
      </c>
      <c r="X54" s="1758">
        <f>'[3]Feb midyear JS Clark Academy'!E53</f>
        <v>0</v>
      </c>
      <c r="Y54" s="1759">
        <f t="shared" si="43"/>
        <v>0</v>
      </c>
      <c r="Z54" s="1653">
        <f t="shared" si="44"/>
        <v>0</v>
      </c>
      <c r="AA54" s="1471">
        <f t="shared" si="45"/>
        <v>0</v>
      </c>
      <c r="AB54" s="937">
        <f t="shared" si="46"/>
        <v>0</v>
      </c>
      <c r="AC54" s="899">
        <f t="shared" si="47"/>
        <v>0</v>
      </c>
      <c r="AD54" s="1830">
        <f>'[32]Oct midyear JS Clark Academy'!P53</f>
        <v>0</v>
      </c>
      <c r="AE54" s="899">
        <f t="shared" si="48"/>
        <v>0</v>
      </c>
      <c r="AF54" s="1829">
        <f>'[4]Table 5C1G-JS Clark Academy'!T53+'[27]Table 5C1G-JS Clark Academy'!AF53+('[26]Table 5C1G-JS Clark Academy'!AF53*6)</f>
        <v>0</v>
      </c>
      <c r="AG54" s="1838">
        <f t="shared" si="49"/>
        <v>0</v>
      </c>
      <c r="AH54" s="1521">
        <f t="shared" si="50"/>
        <v>0</v>
      </c>
      <c r="AI54" s="900">
        <f t="shared" si="56"/>
        <v>0</v>
      </c>
      <c r="AJ54" s="900">
        <f t="shared" si="51"/>
        <v>0</v>
      </c>
      <c r="AL54" s="49">
        <f>-'[4]Table 5C1G-JS Clark Academy'!P53</f>
        <v>0</v>
      </c>
      <c r="AM54" s="49">
        <f t="shared" si="52"/>
        <v>0</v>
      </c>
      <c r="AN54" s="49">
        <f t="shared" si="53"/>
        <v>0</v>
      </c>
    </row>
    <row r="55" spans="1:40">
      <c r="A55" s="876">
        <v>48</v>
      </c>
      <c r="B55" s="877" t="s">
        <v>195</v>
      </c>
      <c r="C55" s="972">
        <f>'2-1-13 SIS'!P54</f>
        <v>0</v>
      </c>
      <c r="D55" s="882">
        <f>'Table 3 Levels 1&amp;2'!AL55</f>
        <v>4272.723323083942</v>
      </c>
      <c r="E55" s="921">
        <f t="shared" si="32"/>
        <v>0</v>
      </c>
      <c r="F55" s="921">
        <f>'Table 4 Level 3'!P53</f>
        <v>871.07</v>
      </c>
      <c r="G55" s="921">
        <f t="shared" si="33"/>
        <v>0</v>
      </c>
      <c r="H55" s="905">
        <f t="shared" si="34"/>
        <v>0</v>
      </c>
      <c r="I55" s="1740">
        <f>+'[3]Oct midyear JS Clark Academy'!K54</f>
        <v>0</v>
      </c>
      <c r="J55" s="1740">
        <f>'[3]Feb midyear JS Clark Academy'!K54</f>
        <v>0</v>
      </c>
      <c r="K55" s="1686">
        <f t="shared" si="35"/>
        <v>0</v>
      </c>
      <c r="L55" s="1474">
        <f t="shared" si="54"/>
        <v>0</v>
      </c>
      <c r="M55" s="931">
        <f t="shared" si="37"/>
        <v>0</v>
      </c>
      <c r="N55" s="905">
        <f t="shared" si="38"/>
        <v>0</v>
      </c>
      <c r="O55" s="882">
        <f>'[32]Oct midyear JS Clark Academy'!K54</f>
        <v>0</v>
      </c>
      <c r="P55" s="1552">
        <f t="shared" si="39"/>
        <v>0</v>
      </c>
      <c r="Q55" s="1718">
        <f>'[4]Table 5C1G-JS Clark Academy'!M54+'[27]Table 5C1G-JS Clark Academy'!T54+('[26]Table 5C1G-JS Clark Academy'!T54*6)</f>
        <v>0</v>
      </c>
      <c r="R55" s="1740">
        <f t="shared" si="40"/>
        <v>0</v>
      </c>
      <c r="S55" s="998">
        <f t="shared" si="41"/>
        <v>0</v>
      </c>
      <c r="T55" s="1802">
        <f>'Table 5C1A-Madison Prep'!T55</f>
        <v>6585</v>
      </c>
      <c r="U55" s="1555">
        <f t="shared" si="55"/>
        <v>0</v>
      </c>
      <c r="V55" s="1777">
        <f>+'[3]Oct midyear JS Clark Academy'!E54</f>
        <v>0</v>
      </c>
      <c r="W55" s="1778">
        <f t="shared" si="42"/>
        <v>0</v>
      </c>
      <c r="X55" s="1758">
        <f>'[3]Feb midyear JS Clark Academy'!E54</f>
        <v>0</v>
      </c>
      <c r="Y55" s="1759">
        <f t="shared" si="43"/>
        <v>0</v>
      </c>
      <c r="Z55" s="1653">
        <f t="shared" si="44"/>
        <v>0</v>
      </c>
      <c r="AA55" s="1471">
        <f t="shared" si="45"/>
        <v>0</v>
      </c>
      <c r="AB55" s="937">
        <f t="shared" si="46"/>
        <v>0</v>
      </c>
      <c r="AC55" s="899">
        <f t="shared" si="47"/>
        <v>0</v>
      </c>
      <c r="AD55" s="1830">
        <f>'[32]Oct midyear JS Clark Academy'!P54</f>
        <v>0</v>
      </c>
      <c r="AE55" s="899">
        <f t="shared" si="48"/>
        <v>0</v>
      </c>
      <c r="AF55" s="1829">
        <f>'[4]Table 5C1G-JS Clark Academy'!T54+'[27]Table 5C1G-JS Clark Academy'!AF54+('[26]Table 5C1G-JS Clark Academy'!AF54*6)</f>
        <v>0</v>
      </c>
      <c r="AG55" s="1838">
        <f t="shared" si="49"/>
        <v>0</v>
      </c>
      <c r="AH55" s="1521">
        <f t="shared" si="50"/>
        <v>0</v>
      </c>
      <c r="AI55" s="900">
        <f t="shared" si="56"/>
        <v>0</v>
      </c>
      <c r="AJ55" s="900">
        <f t="shared" si="51"/>
        <v>0</v>
      </c>
      <c r="AL55" s="49">
        <f>-'[4]Table 5C1G-JS Clark Academy'!P54</f>
        <v>0</v>
      </c>
      <c r="AM55" s="49">
        <f t="shared" si="52"/>
        <v>0</v>
      </c>
      <c r="AN55" s="49">
        <f t="shared" si="53"/>
        <v>0</v>
      </c>
    </row>
    <row r="56" spans="1:40">
      <c r="A56" s="876">
        <v>49</v>
      </c>
      <c r="B56" s="877" t="s">
        <v>139</v>
      </c>
      <c r="C56" s="972">
        <f>'2-1-13 SIS'!P55</f>
        <v>167</v>
      </c>
      <c r="D56" s="882">
        <f>'Table 3 Levels 1&amp;2'!AL56</f>
        <v>4836.7092570332552</v>
      </c>
      <c r="E56" s="921">
        <f t="shared" si="32"/>
        <v>807730.44592455367</v>
      </c>
      <c r="F56" s="921">
        <f>'Table 4 Level 3'!P54</f>
        <v>574.43999999999994</v>
      </c>
      <c r="G56" s="921">
        <f t="shared" si="33"/>
        <v>95931.48</v>
      </c>
      <c r="H56" s="905">
        <f t="shared" si="34"/>
        <v>903661.92592455365</v>
      </c>
      <c r="I56" s="1740">
        <f>+'[3]Oct midyear JS Clark Academy'!K55</f>
        <v>156923.32845396438</v>
      </c>
      <c r="J56" s="1740">
        <f>'[3]Feb midyear JS Clark Academy'!K55</f>
        <v>-2705.5746285166274</v>
      </c>
      <c r="K56" s="1686">
        <f t="shared" si="35"/>
        <v>154217.75382544775</v>
      </c>
      <c r="L56" s="1474">
        <f t="shared" si="54"/>
        <v>1057879.6797500015</v>
      </c>
      <c r="M56" s="931">
        <f t="shared" si="37"/>
        <v>-2644.6991993750039</v>
      </c>
      <c r="N56" s="905">
        <f t="shared" si="38"/>
        <v>1055234.9805506265</v>
      </c>
      <c r="O56" s="882">
        <f>'[32]Oct midyear JS Clark Academy'!K55</f>
        <v>5393.6121863971766</v>
      </c>
      <c r="P56" s="1552">
        <f t="shared" si="39"/>
        <v>1060628.5927370237</v>
      </c>
      <c r="Q56" s="1718">
        <f>'[4]Table 5C1G-JS Clark Academy'!M55+'[27]Table 5C1G-JS Clark Academy'!T55+('[26]Table 5C1G-JS Clark Academy'!T55*6)</f>
        <v>741532.36677763332</v>
      </c>
      <c r="R56" s="1740">
        <f t="shared" si="40"/>
        <v>319096.2259593904</v>
      </c>
      <c r="S56" s="998">
        <f t="shared" si="41"/>
        <v>79774</v>
      </c>
      <c r="T56" s="1802">
        <f>'Table 5C1A-Madison Prep'!T56</f>
        <v>2402</v>
      </c>
      <c r="U56" s="1555">
        <f t="shared" si="55"/>
        <v>401134</v>
      </c>
      <c r="V56" s="1777">
        <f>+'[3]Oct midyear JS Clark Academy'!E55</f>
        <v>29</v>
      </c>
      <c r="W56" s="1778">
        <f t="shared" si="42"/>
        <v>69658</v>
      </c>
      <c r="X56" s="1758">
        <f>'[3]Feb midyear JS Clark Academy'!E55</f>
        <v>-1</v>
      </c>
      <c r="Y56" s="1759">
        <f t="shared" si="43"/>
        <v>-1201</v>
      </c>
      <c r="Z56" s="1653">
        <f t="shared" si="44"/>
        <v>68457</v>
      </c>
      <c r="AA56" s="1471">
        <f t="shared" si="45"/>
        <v>469591</v>
      </c>
      <c r="AB56" s="937">
        <f t="shared" si="46"/>
        <v>-1173.9775</v>
      </c>
      <c r="AC56" s="899">
        <f t="shared" si="47"/>
        <v>468417.02250000002</v>
      </c>
      <c r="AD56" s="1830">
        <f>'[32]Oct midyear JS Clark Academy'!P55</f>
        <v>2345</v>
      </c>
      <c r="AE56" s="899">
        <f t="shared" si="48"/>
        <v>470762.02250000002</v>
      </c>
      <c r="AF56" s="1829">
        <f>'[4]Table 5C1G-JS Clark Academy'!T55+'[27]Table 5C1G-JS Clark Academy'!AF55+('[26]Table 5C1G-JS Clark Academy'!AF55*6)</f>
        <v>313449.21596969699</v>
      </c>
      <c r="AG56" s="1838">
        <f t="shared" si="49"/>
        <v>157312.80653030303</v>
      </c>
      <c r="AH56" s="1521">
        <f t="shared" si="50"/>
        <v>39328</v>
      </c>
      <c r="AI56" s="900">
        <f t="shared" si="56"/>
        <v>1531390.6152370237</v>
      </c>
      <c r="AJ56" s="900">
        <f t="shared" si="51"/>
        <v>119102</v>
      </c>
      <c r="AL56" s="49">
        <f>-'[4]Table 5C1G-JS Clark Academy'!P55</f>
        <v>954.82249999999999</v>
      </c>
      <c r="AM56" s="49">
        <f t="shared" si="52"/>
        <v>-1173.9775</v>
      </c>
      <c r="AN56" s="49">
        <f t="shared" si="53"/>
        <v>-219.15499999999997</v>
      </c>
    </row>
    <row r="57" spans="1:40">
      <c r="A57" s="879">
        <v>50</v>
      </c>
      <c r="B57" s="880" t="s">
        <v>140</v>
      </c>
      <c r="C57" s="973">
        <f>'2-1-13 SIS'!P56</f>
        <v>0</v>
      </c>
      <c r="D57" s="883">
        <f>'Table 3 Levels 1&amp;2'!AL57</f>
        <v>5032.6862895017111</v>
      </c>
      <c r="E57" s="922">
        <f t="shared" si="32"/>
        <v>0</v>
      </c>
      <c r="F57" s="922">
        <f>'Table 4 Level 3'!P55</f>
        <v>634.46</v>
      </c>
      <c r="G57" s="922">
        <f t="shared" si="33"/>
        <v>0</v>
      </c>
      <c r="H57" s="906">
        <f t="shared" si="34"/>
        <v>0</v>
      </c>
      <c r="I57" s="1741">
        <f>+'[3]Oct midyear JS Clark Academy'!K56</f>
        <v>0</v>
      </c>
      <c r="J57" s="1741">
        <f>'[3]Feb midyear JS Clark Academy'!K56</f>
        <v>0</v>
      </c>
      <c r="K57" s="1687">
        <f t="shared" si="35"/>
        <v>0</v>
      </c>
      <c r="L57" s="1475">
        <f t="shared" si="54"/>
        <v>0</v>
      </c>
      <c r="M57" s="932">
        <f t="shared" si="37"/>
        <v>0</v>
      </c>
      <c r="N57" s="906">
        <f t="shared" si="38"/>
        <v>0</v>
      </c>
      <c r="O57" s="883">
        <f>'[32]Oct midyear JS Clark Academy'!K56</f>
        <v>0</v>
      </c>
      <c r="P57" s="1553">
        <f t="shared" si="39"/>
        <v>0</v>
      </c>
      <c r="Q57" s="1804">
        <f>'[4]Table 5C1G-JS Clark Academy'!M56+'[27]Table 5C1G-JS Clark Academy'!T56+('[26]Table 5C1G-JS Clark Academy'!T56*6)</f>
        <v>0</v>
      </c>
      <c r="R57" s="1741">
        <f t="shared" si="40"/>
        <v>0</v>
      </c>
      <c r="S57" s="1806">
        <f t="shared" si="41"/>
        <v>0</v>
      </c>
      <c r="T57" s="1807">
        <f>'Table 5C1A-Madison Prep'!T57</f>
        <v>3143</v>
      </c>
      <c r="U57" s="1556">
        <f t="shared" si="55"/>
        <v>0</v>
      </c>
      <c r="V57" s="1779">
        <f>+'[3]Oct midyear JS Clark Academy'!E56</f>
        <v>0</v>
      </c>
      <c r="W57" s="1780">
        <f t="shared" si="42"/>
        <v>0</v>
      </c>
      <c r="X57" s="1762">
        <f>'[3]Feb midyear JS Clark Academy'!E56</f>
        <v>0</v>
      </c>
      <c r="Y57" s="1763">
        <f t="shared" si="43"/>
        <v>0</v>
      </c>
      <c r="Z57" s="1654">
        <f t="shared" si="44"/>
        <v>0</v>
      </c>
      <c r="AA57" s="1473">
        <f t="shared" si="45"/>
        <v>0</v>
      </c>
      <c r="AB57" s="938">
        <f t="shared" si="46"/>
        <v>0</v>
      </c>
      <c r="AC57" s="903">
        <f t="shared" si="47"/>
        <v>0</v>
      </c>
      <c r="AD57" s="1831">
        <f>'[32]Oct midyear JS Clark Academy'!P56</f>
        <v>0</v>
      </c>
      <c r="AE57" s="903">
        <f t="shared" si="48"/>
        <v>0</v>
      </c>
      <c r="AF57" s="1837">
        <f>'[4]Table 5C1G-JS Clark Academy'!T56+'[27]Table 5C1G-JS Clark Academy'!AF56+('[26]Table 5C1G-JS Clark Academy'!AF56*6)</f>
        <v>0</v>
      </c>
      <c r="AG57" s="1839">
        <f t="shared" si="49"/>
        <v>0</v>
      </c>
      <c r="AH57" s="1530">
        <f t="shared" si="50"/>
        <v>0</v>
      </c>
      <c r="AI57" s="904">
        <f t="shared" si="56"/>
        <v>0</v>
      </c>
      <c r="AJ57" s="904">
        <f t="shared" si="51"/>
        <v>0</v>
      </c>
      <c r="AL57" s="49">
        <f>-'[4]Table 5C1G-JS Clark Academy'!P56</f>
        <v>0</v>
      </c>
      <c r="AM57" s="49">
        <f t="shared" si="52"/>
        <v>0</v>
      </c>
      <c r="AN57" s="49">
        <f t="shared" si="53"/>
        <v>0</v>
      </c>
    </row>
    <row r="58" spans="1:40">
      <c r="A58" s="870">
        <v>51</v>
      </c>
      <c r="B58" s="871" t="s">
        <v>141</v>
      </c>
      <c r="C58" s="974">
        <f>'2-1-13 SIS'!P57</f>
        <v>0</v>
      </c>
      <c r="D58" s="884">
        <f>'Table 3 Levels 1&amp;2'!AL58</f>
        <v>4246.0339872793602</v>
      </c>
      <c r="E58" s="923">
        <f t="shared" si="32"/>
        <v>0</v>
      </c>
      <c r="F58" s="923">
        <f>'Table 4 Level 3'!P56</f>
        <v>706.66</v>
      </c>
      <c r="G58" s="923">
        <f t="shared" si="33"/>
        <v>0</v>
      </c>
      <c r="H58" s="907">
        <f t="shared" si="34"/>
        <v>0</v>
      </c>
      <c r="I58" s="1723">
        <f>+'[3]Oct midyear JS Clark Academy'!K57</f>
        <v>0</v>
      </c>
      <c r="J58" s="1723">
        <f>'[3]Feb midyear JS Clark Academy'!K57</f>
        <v>0</v>
      </c>
      <c r="K58" s="1547">
        <f t="shared" si="35"/>
        <v>0</v>
      </c>
      <c r="L58" s="1476">
        <f t="shared" si="54"/>
        <v>0</v>
      </c>
      <c r="M58" s="933">
        <f t="shared" si="37"/>
        <v>0</v>
      </c>
      <c r="N58" s="907">
        <f t="shared" si="38"/>
        <v>0</v>
      </c>
      <c r="O58" s="884">
        <f>'[32]Oct midyear JS Clark Academy'!K57</f>
        <v>0</v>
      </c>
      <c r="P58" s="996">
        <f t="shared" si="39"/>
        <v>0</v>
      </c>
      <c r="Q58" s="1718">
        <f>'[4]Table 5C1G-JS Clark Academy'!M57+'[27]Table 5C1G-JS Clark Academy'!T57+('[26]Table 5C1G-JS Clark Academy'!T57*6)</f>
        <v>0</v>
      </c>
      <c r="R58" s="1723">
        <f t="shared" si="40"/>
        <v>0</v>
      </c>
      <c r="S58" s="998">
        <f t="shared" si="41"/>
        <v>0</v>
      </c>
      <c r="T58" s="1802">
        <f>'Table 5C1A-Madison Prep'!T58</f>
        <v>4370</v>
      </c>
      <c r="U58" s="999">
        <f t="shared" si="55"/>
        <v>0</v>
      </c>
      <c r="V58" s="1754">
        <f>+'[3]Oct midyear JS Clark Academy'!E57</f>
        <v>0</v>
      </c>
      <c r="W58" s="1755">
        <f t="shared" si="42"/>
        <v>0</v>
      </c>
      <c r="X58" s="1754">
        <f>'[3]Feb midyear JS Clark Academy'!E57</f>
        <v>0</v>
      </c>
      <c r="Y58" s="1755">
        <f t="shared" si="43"/>
        <v>0</v>
      </c>
      <c r="Z58" s="1652">
        <f t="shared" si="44"/>
        <v>0</v>
      </c>
      <c r="AA58" s="1467">
        <f t="shared" si="45"/>
        <v>0</v>
      </c>
      <c r="AB58" s="936">
        <f t="shared" si="46"/>
        <v>0</v>
      </c>
      <c r="AC58" s="874">
        <f t="shared" si="47"/>
        <v>0</v>
      </c>
      <c r="AD58" s="1829">
        <f>'[32]Oct midyear JS Clark Academy'!P57</f>
        <v>0</v>
      </c>
      <c r="AE58" s="874">
        <f t="shared" si="48"/>
        <v>0</v>
      </c>
      <c r="AF58" s="1829">
        <f>'[4]Table 5C1G-JS Clark Academy'!T57+'[27]Table 5C1G-JS Clark Academy'!AF57+('[26]Table 5C1G-JS Clark Academy'!AF57*6)</f>
        <v>0</v>
      </c>
      <c r="AG58" s="1829">
        <f t="shared" si="49"/>
        <v>0</v>
      </c>
      <c r="AH58" s="1521">
        <f t="shared" si="50"/>
        <v>0</v>
      </c>
      <c r="AI58" s="875">
        <f t="shared" si="56"/>
        <v>0</v>
      </c>
      <c r="AJ58" s="875">
        <f t="shared" si="51"/>
        <v>0</v>
      </c>
      <c r="AL58" s="49">
        <f>-'[4]Table 5C1G-JS Clark Academy'!P57</f>
        <v>0</v>
      </c>
      <c r="AM58" s="49">
        <f t="shared" si="52"/>
        <v>0</v>
      </c>
      <c r="AN58" s="49">
        <f t="shared" si="53"/>
        <v>0</v>
      </c>
    </row>
    <row r="59" spans="1:40">
      <c r="A59" s="876">
        <v>52</v>
      </c>
      <c r="B59" s="877" t="s">
        <v>142</v>
      </c>
      <c r="C59" s="972">
        <f>'2-1-13 SIS'!P58</f>
        <v>0</v>
      </c>
      <c r="D59" s="882">
        <f>'Table 3 Levels 1&amp;2'!AL59</f>
        <v>5013.4438050113249</v>
      </c>
      <c r="E59" s="921">
        <f t="shared" si="32"/>
        <v>0</v>
      </c>
      <c r="F59" s="921">
        <f>'Table 4 Level 3'!P57</f>
        <v>658.37</v>
      </c>
      <c r="G59" s="921">
        <f t="shared" si="33"/>
        <v>0</v>
      </c>
      <c r="H59" s="905">
        <f t="shared" si="34"/>
        <v>0</v>
      </c>
      <c r="I59" s="1740">
        <f>+'[3]Oct midyear JS Clark Academy'!K58</f>
        <v>0</v>
      </c>
      <c r="J59" s="1740">
        <f>'[3]Feb midyear JS Clark Academy'!K58</f>
        <v>0</v>
      </c>
      <c r="K59" s="1686">
        <f t="shared" si="35"/>
        <v>0</v>
      </c>
      <c r="L59" s="1474">
        <f t="shared" si="54"/>
        <v>0</v>
      </c>
      <c r="M59" s="931">
        <f t="shared" si="37"/>
        <v>0</v>
      </c>
      <c r="N59" s="905">
        <f t="shared" si="38"/>
        <v>0</v>
      </c>
      <c r="O59" s="882">
        <f>'[32]Oct midyear JS Clark Academy'!K58</f>
        <v>0</v>
      </c>
      <c r="P59" s="1552">
        <f t="shared" si="39"/>
        <v>0</v>
      </c>
      <c r="Q59" s="1718">
        <f>'[4]Table 5C1G-JS Clark Academy'!M58+'[27]Table 5C1G-JS Clark Academy'!T58+('[26]Table 5C1G-JS Clark Academy'!T58*6)</f>
        <v>0</v>
      </c>
      <c r="R59" s="1740">
        <f t="shared" si="40"/>
        <v>0</v>
      </c>
      <c r="S59" s="998">
        <f t="shared" si="41"/>
        <v>0</v>
      </c>
      <c r="T59" s="1802">
        <f>'Table 5C1A-Madison Prep'!T59</f>
        <v>5143</v>
      </c>
      <c r="U59" s="1555">
        <f t="shared" si="55"/>
        <v>0</v>
      </c>
      <c r="V59" s="1777">
        <f>+'[3]Oct midyear JS Clark Academy'!E58</f>
        <v>0</v>
      </c>
      <c r="W59" s="1778">
        <f t="shared" si="42"/>
        <v>0</v>
      </c>
      <c r="X59" s="1758">
        <f>'[3]Feb midyear JS Clark Academy'!E58</f>
        <v>0</v>
      </c>
      <c r="Y59" s="1759">
        <f t="shared" si="43"/>
        <v>0</v>
      </c>
      <c r="Z59" s="1653">
        <f t="shared" si="44"/>
        <v>0</v>
      </c>
      <c r="AA59" s="1471">
        <f t="shared" si="45"/>
        <v>0</v>
      </c>
      <c r="AB59" s="937">
        <f t="shared" si="46"/>
        <v>0</v>
      </c>
      <c r="AC59" s="899">
        <f t="shared" si="47"/>
        <v>0</v>
      </c>
      <c r="AD59" s="1830">
        <f>'[32]Oct midyear JS Clark Academy'!P58</f>
        <v>0</v>
      </c>
      <c r="AE59" s="899">
        <f t="shared" si="48"/>
        <v>0</v>
      </c>
      <c r="AF59" s="1829">
        <f>'[4]Table 5C1G-JS Clark Academy'!T58+'[27]Table 5C1G-JS Clark Academy'!AF58+('[26]Table 5C1G-JS Clark Academy'!AF58*6)</f>
        <v>0</v>
      </c>
      <c r="AG59" s="1838">
        <f t="shared" si="49"/>
        <v>0</v>
      </c>
      <c r="AH59" s="1521">
        <f t="shared" si="50"/>
        <v>0</v>
      </c>
      <c r="AI59" s="900">
        <f t="shared" si="56"/>
        <v>0</v>
      </c>
      <c r="AJ59" s="900">
        <f t="shared" si="51"/>
        <v>0</v>
      </c>
      <c r="AL59" s="49">
        <f>-'[4]Table 5C1G-JS Clark Academy'!P58</f>
        <v>0</v>
      </c>
      <c r="AM59" s="49">
        <f t="shared" si="52"/>
        <v>0</v>
      </c>
      <c r="AN59" s="49">
        <f t="shared" si="53"/>
        <v>0</v>
      </c>
    </row>
    <row r="60" spans="1:40">
      <c r="A60" s="876">
        <v>53</v>
      </c>
      <c r="B60" s="877" t="s">
        <v>143</v>
      </c>
      <c r="C60" s="972">
        <f>'2-1-13 SIS'!P59</f>
        <v>0</v>
      </c>
      <c r="D60" s="882">
        <f>'Table 3 Levels 1&amp;2'!AL60</f>
        <v>4775.5877635581091</v>
      </c>
      <c r="E60" s="921">
        <f t="shared" si="32"/>
        <v>0</v>
      </c>
      <c r="F60" s="921">
        <f>'Table 4 Level 3'!P58</f>
        <v>689.74</v>
      </c>
      <c r="G60" s="921">
        <f t="shared" si="33"/>
        <v>0</v>
      </c>
      <c r="H60" s="905">
        <f t="shared" si="34"/>
        <v>0</v>
      </c>
      <c r="I60" s="1740">
        <f>+'[3]Oct midyear JS Clark Academy'!K59</f>
        <v>0</v>
      </c>
      <c r="J60" s="1740">
        <f>'[3]Feb midyear JS Clark Academy'!K59</f>
        <v>0</v>
      </c>
      <c r="K60" s="1686">
        <f t="shared" si="35"/>
        <v>0</v>
      </c>
      <c r="L60" s="1474">
        <f t="shared" si="54"/>
        <v>0</v>
      </c>
      <c r="M60" s="931">
        <f t="shared" si="37"/>
        <v>0</v>
      </c>
      <c r="N60" s="905">
        <f t="shared" si="38"/>
        <v>0</v>
      </c>
      <c r="O60" s="882">
        <f>'[32]Oct midyear JS Clark Academy'!K59</f>
        <v>0</v>
      </c>
      <c r="P60" s="1552">
        <f t="shared" si="39"/>
        <v>0</v>
      </c>
      <c r="Q60" s="1718">
        <f>'[4]Table 5C1G-JS Clark Academy'!M59+'[27]Table 5C1G-JS Clark Academy'!T59+('[26]Table 5C1G-JS Clark Academy'!T59*6)</f>
        <v>0</v>
      </c>
      <c r="R60" s="1740">
        <f t="shared" si="40"/>
        <v>0</v>
      </c>
      <c r="S60" s="998">
        <f t="shared" si="41"/>
        <v>0</v>
      </c>
      <c r="T60" s="1802">
        <f>'Table 5C1A-Madison Prep'!T60</f>
        <v>2109</v>
      </c>
      <c r="U60" s="1555">
        <f t="shared" si="55"/>
        <v>0</v>
      </c>
      <c r="V60" s="1777">
        <f>+'[3]Oct midyear JS Clark Academy'!E59</f>
        <v>0</v>
      </c>
      <c r="W60" s="1778">
        <f t="shared" si="42"/>
        <v>0</v>
      </c>
      <c r="X60" s="1758">
        <f>'[3]Feb midyear JS Clark Academy'!E59</f>
        <v>0</v>
      </c>
      <c r="Y60" s="1759">
        <f t="shared" si="43"/>
        <v>0</v>
      </c>
      <c r="Z60" s="1653">
        <f t="shared" si="44"/>
        <v>0</v>
      </c>
      <c r="AA60" s="1471">
        <f t="shared" si="45"/>
        <v>0</v>
      </c>
      <c r="AB60" s="937">
        <f t="shared" si="46"/>
        <v>0</v>
      </c>
      <c r="AC60" s="899">
        <f t="shared" si="47"/>
        <v>0</v>
      </c>
      <c r="AD60" s="1830">
        <f>'[32]Oct midyear JS Clark Academy'!P59</f>
        <v>0</v>
      </c>
      <c r="AE60" s="899">
        <f t="shared" si="48"/>
        <v>0</v>
      </c>
      <c r="AF60" s="1829">
        <f>'[4]Table 5C1G-JS Clark Academy'!T59+'[27]Table 5C1G-JS Clark Academy'!AF59+('[26]Table 5C1G-JS Clark Academy'!AF59*6)</f>
        <v>0</v>
      </c>
      <c r="AG60" s="1838">
        <f t="shared" si="49"/>
        <v>0</v>
      </c>
      <c r="AH60" s="1521">
        <f t="shared" si="50"/>
        <v>0</v>
      </c>
      <c r="AI60" s="900">
        <f t="shared" si="56"/>
        <v>0</v>
      </c>
      <c r="AJ60" s="900">
        <f t="shared" si="51"/>
        <v>0</v>
      </c>
      <c r="AL60" s="49">
        <f>-'[4]Table 5C1G-JS Clark Academy'!P59</f>
        <v>0</v>
      </c>
      <c r="AM60" s="49">
        <f t="shared" si="52"/>
        <v>0</v>
      </c>
      <c r="AN60" s="49">
        <f t="shared" si="53"/>
        <v>0</v>
      </c>
    </row>
    <row r="61" spans="1:40">
      <c r="A61" s="876">
        <v>54</v>
      </c>
      <c r="B61" s="877" t="s">
        <v>144</v>
      </c>
      <c r="C61" s="972">
        <f>'2-1-13 SIS'!P60</f>
        <v>0</v>
      </c>
      <c r="D61" s="882">
        <f>'Table 3 Levels 1&amp;2'!AL61</f>
        <v>5951.8009386275662</v>
      </c>
      <c r="E61" s="921">
        <f t="shared" si="32"/>
        <v>0</v>
      </c>
      <c r="F61" s="921">
        <f>'Table 4 Level 3'!P59</f>
        <v>951.45</v>
      </c>
      <c r="G61" s="921">
        <f t="shared" si="33"/>
        <v>0</v>
      </c>
      <c r="H61" s="905">
        <f t="shared" si="34"/>
        <v>0</v>
      </c>
      <c r="I61" s="1740">
        <f>+'[3]Oct midyear JS Clark Academy'!K60</f>
        <v>0</v>
      </c>
      <c r="J61" s="1740">
        <f>'[3]Feb midyear JS Clark Academy'!K60</f>
        <v>0</v>
      </c>
      <c r="K61" s="1686">
        <f t="shared" si="35"/>
        <v>0</v>
      </c>
      <c r="L61" s="1474">
        <f t="shared" si="54"/>
        <v>0</v>
      </c>
      <c r="M61" s="931">
        <f t="shared" si="37"/>
        <v>0</v>
      </c>
      <c r="N61" s="905">
        <f t="shared" si="38"/>
        <v>0</v>
      </c>
      <c r="O61" s="882">
        <f>'[32]Oct midyear JS Clark Academy'!K60</f>
        <v>0</v>
      </c>
      <c r="P61" s="1552">
        <f t="shared" si="39"/>
        <v>0</v>
      </c>
      <c r="Q61" s="1718">
        <f>'[4]Table 5C1G-JS Clark Academy'!M60+'[27]Table 5C1G-JS Clark Academy'!T60+('[26]Table 5C1G-JS Clark Academy'!T60*6)</f>
        <v>0</v>
      </c>
      <c r="R61" s="1740">
        <f t="shared" si="40"/>
        <v>0</v>
      </c>
      <c r="S61" s="998">
        <f t="shared" si="41"/>
        <v>0</v>
      </c>
      <c r="T61" s="1802">
        <f>'Table 5C1A-Madison Prep'!T61</f>
        <v>3760</v>
      </c>
      <c r="U61" s="1555">
        <f t="shared" si="55"/>
        <v>0</v>
      </c>
      <c r="V61" s="1777">
        <f>+'[3]Oct midyear JS Clark Academy'!E60</f>
        <v>0</v>
      </c>
      <c r="W61" s="1778">
        <f t="shared" si="42"/>
        <v>0</v>
      </c>
      <c r="X61" s="1758">
        <f>'[3]Feb midyear JS Clark Academy'!E60</f>
        <v>0</v>
      </c>
      <c r="Y61" s="1759">
        <f t="shared" si="43"/>
        <v>0</v>
      </c>
      <c r="Z61" s="1653">
        <f t="shared" si="44"/>
        <v>0</v>
      </c>
      <c r="AA61" s="1471">
        <f t="shared" si="45"/>
        <v>0</v>
      </c>
      <c r="AB61" s="937">
        <f t="shared" si="46"/>
        <v>0</v>
      </c>
      <c r="AC61" s="899">
        <f t="shared" si="47"/>
        <v>0</v>
      </c>
      <c r="AD61" s="1830">
        <f>'[32]Oct midyear JS Clark Academy'!P60</f>
        <v>0</v>
      </c>
      <c r="AE61" s="899">
        <f t="shared" si="48"/>
        <v>0</v>
      </c>
      <c r="AF61" s="1829">
        <f>'[4]Table 5C1G-JS Clark Academy'!T60+'[27]Table 5C1G-JS Clark Academy'!AF60+('[26]Table 5C1G-JS Clark Academy'!AF60*6)</f>
        <v>0</v>
      </c>
      <c r="AG61" s="1838">
        <f t="shared" si="49"/>
        <v>0</v>
      </c>
      <c r="AH61" s="1521">
        <f t="shared" si="50"/>
        <v>0</v>
      </c>
      <c r="AI61" s="900">
        <f t="shared" si="56"/>
        <v>0</v>
      </c>
      <c r="AJ61" s="900">
        <f t="shared" si="51"/>
        <v>0</v>
      </c>
      <c r="AL61" s="49">
        <f>-'[4]Table 5C1G-JS Clark Academy'!P60</f>
        <v>0</v>
      </c>
      <c r="AM61" s="49">
        <f t="shared" si="52"/>
        <v>0</v>
      </c>
      <c r="AN61" s="49">
        <f t="shared" si="53"/>
        <v>0</v>
      </c>
    </row>
    <row r="62" spans="1:40">
      <c r="A62" s="879">
        <v>55</v>
      </c>
      <c r="B62" s="880" t="s">
        <v>145</v>
      </c>
      <c r="C62" s="973">
        <f>'2-1-13 SIS'!P61</f>
        <v>0</v>
      </c>
      <c r="D62" s="883">
        <f>'Table 3 Levels 1&amp;2'!AL62</f>
        <v>4171.0434735233157</v>
      </c>
      <c r="E62" s="922">
        <f t="shared" si="32"/>
        <v>0</v>
      </c>
      <c r="F62" s="922">
        <f>'Table 4 Level 3'!P60</f>
        <v>795.14</v>
      </c>
      <c r="G62" s="922">
        <f t="shared" si="33"/>
        <v>0</v>
      </c>
      <c r="H62" s="906">
        <f t="shared" si="34"/>
        <v>0</v>
      </c>
      <c r="I62" s="1741">
        <f>+'[3]Oct midyear JS Clark Academy'!K61</f>
        <v>0</v>
      </c>
      <c r="J62" s="1741">
        <f>'[3]Feb midyear JS Clark Academy'!K61</f>
        <v>0</v>
      </c>
      <c r="K62" s="1687">
        <f t="shared" si="35"/>
        <v>0</v>
      </c>
      <c r="L62" s="1475">
        <f t="shared" si="54"/>
        <v>0</v>
      </c>
      <c r="M62" s="932">
        <f t="shared" si="37"/>
        <v>0</v>
      </c>
      <c r="N62" s="906">
        <f t="shared" si="38"/>
        <v>0</v>
      </c>
      <c r="O62" s="883">
        <f>'[32]Oct midyear JS Clark Academy'!K61</f>
        <v>0</v>
      </c>
      <c r="P62" s="1553">
        <f t="shared" si="39"/>
        <v>0</v>
      </c>
      <c r="Q62" s="1804">
        <f>'[4]Table 5C1G-JS Clark Academy'!M61+'[27]Table 5C1G-JS Clark Academy'!T61+('[26]Table 5C1G-JS Clark Academy'!T61*6)</f>
        <v>0</v>
      </c>
      <c r="R62" s="1741">
        <f t="shared" si="40"/>
        <v>0</v>
      </c>
      <c r="S62" s="1806">
        <f t="shared" si="41"/>
        <v>0</v>
      </c>
      <c r="T62" s="1807">
        <f>'Table 5C1A-Madison Prep'!T62</f>
        <v>3359</v>
      </c>
      <c r="U62" s="1556">
        <f t="shared" si="55"/>
        <v>0</v>
      </c>
      <c r="V62" s="1779">
        <f>+'[3]Oct midyear JS Clark Academy'!E61</f>
        <v>0</v>
      </c>
      <c r="W62" s="1780">
        <f t="shared" si="42"/>
        <v>0</v>
      </c>
      <c r="X62" s="1762">
        <f>'[3]Feb midyear JS Clark Academy'!E61</f>
        <v>0</v>
      </c>
      <c r="Y62" s="1763">
        <f t="shared" si="43"/>
        <v>0</v>
      </c>
      <c r="Z62" s="1654">
        <f t="shared" si="44"/>
        <v>0</v>
      </c>
      <c r="AA62" s="1473">
        <f t="shared" si="45"/>
        <v>0</v>
      </c>
      <c r="AB62" s="938">
        <f t="shared" si="46"/>
        <v>0</v>
      </c>
      <c r="AC62" s="903">
        <f t="shared" si="47"/>
        <v>0</v>
      </c>
      <c r="AD62" s="1831">
        <f>'[32]Oct midyear JS Clark Academy'!P61</f>
        <v>0</v>
      </c>
      <c r="AE62" s="903">
        <f t="shared" si="48"/>
        <v>0</v>
      </c>
      <c r="AF62" s="1837">
        <f>'[4]Table 5C1G-JS Clark Academy'!T61+'[27]Table 5C1G-JS Clark Academy'!AF61+('[26]Table 5C1G-JS Clark Academy'!AF61*6)</f>
        <v>0</v>
      </c>
      <c r="AG62" s="1839">
        <f t="shared" si="49"/>
        <v>0</v>
      </c>
      <c r="AH62" s="1530">
        <f t="shared" si="50"/>
        <v>0</v>
      </c>
      <c r="AI62" s="904">
        <f t="shared" si="56"/>
        <v>0</v>
      </c>
      <c r="AJ62" s="904">
        <f t="shared" si="51"/>
        <v>0</v>
      </c>
      <c r="AL62" s="49">
        <f>-'[4]Table 5C1G-JS Clark Academy'!P61</f>
        <v>0</v>
      </c>
      <c r="AM62" s="49">
        <f t="shared" si="52"/>
        <v>0</v>
      </c>
      <c r="AN62" s="49">
        <f t="shared" si="53"/>
        <v>0</v>
      </c>
    </row>
    <row r="63" spans="1:40">
      <c r="A63" s="870">
        <v>56</v>
      </c>
      <c r="B63" s="871" t="s">
        <v>146</v>
      </c>
      <c r="C63" s="974">
        <f>'2-1-13 SIS'!P62</f>
        <v>0</v>
      </c>
      <c r="D63" s="884">
        <f>'Table 3 Levels 1&amp;2'!AL63</f>
        <v>4968.593189672727</v>
      </c>
      <c r="E63" s="923">
        <f t="shared" si="32"/>
        <v>0</v>
      </c>
      <c r="F63" s="923">
        <f>'Table 4 Level 3'!P61</f>
        <v>614.66000000000008</v>
      </c>
      <c r="G63" s="923">
        <f t="shared" si="33"/>
        <v>0</v>
      </c>
      <c r="H63" s="907">
        <f t="shared" si="34"/>
        <v>0</v>
      </c>
      <c r="I63" s="1723">
        <f>+'[3]Oct midyear JS Clark Academy'!K62</f>
        <v>0</v>
      </c>
      <c r="J63" s="1723">
        <f>'[3]Feb midyear JS Clark Academy'!K62</f>
        <v>0</v>
      </c>
      <c r="K63" s="1547">
        <f t="shared" si="35"/>
        <v>0</v>
      </c>
      <c r="L63" s="1476">
        <f t="shared" si="54"/>
        <v>0</v>
      </c>
      <c r="M63" s="933">
        <f t="shared" si="37"/>
        <v>0</v>
      </c>
      <c r="N63" s="907">
        <f t="shared" si="38"/>
        <v>0</v>
      </c>
      <c r="O63" s="884">
        <f>'[32]Oct midyear JS Clark Academy'!K62</f>
        <v>0</v>
      </c>
      <c r="P63" s="996">
        <f t="shared" si="39"/>
        <v>0</v>
      </c>
      <c r="Q63" s="1718">
        <f>'[4]Table 5C1G-JS Clark Academy'!M62+'[27]Table 5C1G-JS Clark Academy'!T62+('[26]Table 5C1G-JS Clark Academy'!T62*6)</f>
        <v>0</v>
      </c>
      <c r="R63" s="1723">
        <f t="shared" si="40"/>
        <v>0</v>
      </c>
      <c r="S63" s="998">
        <f t="shared" si="41"/>
        <v>0</v>
      </c>
      <c r="T63" s="1802">
        <f>'Table 5C1A-Madison Prep'!T63</f>
        <v>2853</v>
      </c>
      <c r="U63" s="999">
        <f t="shared" si="55"/>
        <v>0</v>
      </c>
      <c r="V63" s="1754">
        <f>+'[3]Oct midyear JS Clark Academy'!E62</f>
        <v>0</v>
      </c>
      <c r="W63" s="1755">
        <f t="shared" si="42"/>
        <v>0</v>
      </c>
      <c r="X63" s="1754">
        <f>'[3]Feb midyear JS Clark Academy'!E62</f>
        <v>0</v>
      </c>
      <c r="Y63" s="1755">
        <f t="shared" si="43"/>
        <v>0</v>
      </c>
      <c r="Z63" s="1652">
        <f t="shared" si="44"/>
        <v>0</v>
      </c>
      <c r="AA63" s="1467">
        <f t="shared" si="45"/>
        <v>0</v>
      </c>
      <c r="AB63" s="936">
        <f t="shared" si="46"/>
        <v>0</v>
      </c>
      <c r="AC63" s="874">
        <f t="shared" si="47"/>
        <v>0</v>
      </c>
      <c r="AD63" s="1829">
        <f>'[32]Oct midyear JS Clark Academy'!P62</f>
        <v>0</v>
      </c>
      <c r="AE63" s="874">
        <f t="shared" si="48"/>
        <v>0</v>
      </c>
      <c r="AF63" s="1829">
        <f>'[4]Table 5C1G-JS Clark Academy'!T62+'[27]Table 5C1G-JS Clark Academy'!AF62+('[26]Table 5C1G-JS Clark Academy'!AF62*6)</f>
        <v>0</v>
      </c>
      <c r="AG63" s="1829">
        <f t="shared" si="49"/>
        <v>0</v>
      </c>
      <c r="AH63" s="1521">
        <f t="shared" si="50"/>
        <v>0</v>
      </c>
      <c r="AI63" s="875">
        <f t="shared" si="56"/>
        <v>0</v>
      </c>
      <c r="AJ63" s="875">
        <f t="shared" si="51"/>
        <v>0</v>
      </c>
      <c r="AL63" s="49">
        <f>-'[4]Table 5C1G-JS Clark Academy'!P62</f>
        <v>0</v>
      </c>
      <c r="AM63" s="49">
        <f t="shared" si="52"/>
        <v>0</v>
      </c>
      <c r="AN63" s="49">
        <f t="shared" si="53"/>
        <v>0</v>
      </c>
    </row>
    <row r="64" spans="1:40">
      <c r="A64" s="876">
        <v>57</v>
      </c>
      <c r="B64" s="877" t="s">
        <v>147</v>
      </c>
      <c r="C64" s="972">
        <f>'2-1-13 SIS'!P63</f>
        <v>0</v>
      </c>
      <c r="D64" s="882">
        <f>'Table 3 Levels 1&amp;2'!AL64</f>
        <v>4485.7073020218859</v>
      </c>
      <c r="E64" s="921">
        <f t="shared" si="32"/>
        <v>0</v>
      </c>
      <c r="F64" s="921">
        <f>'Table 4 Level 3'!P62</f>
        <v>764.51</v>
      </c>
      <c r="G64" s="921">
        <f t="shared" si="33"/>
        <v>0</v>
      </c>
      <c r="H64" s="905">
        <f t="shared" si="34"/>
        <v>0</v>
      </c>
      <c r="I64" s="1740">
        <f>+'[3]Oct midyear JS Clark Academy'!K63</f>
        <v>0</v>
      </c>
      <c r="J64" s="1740">
        <f>'[3]Feb midyear JS Clark Academy'!K63</f>
        <v>0</v>
      </c>
      <c r="K64" s="1686">
        <f t="shared" si="35"/>
        <v>0</v>
      </c>
      <c r="L64" s="1474">
        <f t="shared" si="54"/>
        <v>0</v>
      </c>
      <c r="M64" s="931">
        <f t="shared" si="37"/>
        <v>0</v>
      </c>
      <c r="N64" s="905">
        <f t="shared" si="38"/>
        <v>0</v>
      </c>
      <c r="O64" s="882">
        <f>'[32]Oct midyear JS Clark Academy'!K63</f>
        <v>0</v>
      </c>
      <c r="P64" s="1552">
        <f t="shared" si="39"/>
        <v>0</v>
      </c>
      <c r="Q64" s="1718">
        <f>'[4]Table 5C1G-JS Clark Academy'!M63+'[27]Table 5C1G-JS Clark Academy'!T63+('[26]Table 5C1G-JS Clark Academy'!T63*6)</f>
        <v>0</v>
      </c>
      <c r="R64" s="1740">
        <f t="shared" si="40"/>
        <v>0</v>
      </c>
      <c r="S64" s="998">
        <f t="shared" si="41"/>
        <v>0</v>
      </c>
      <c r="T64" s="1802">
        <f>'Table 5C1A-Madison Prep'!T64</f>
        <v>3178</v>
      </c>
      <c r="U64" s="1555">
        <f t="shared" si="55"/>
        <v>0</v>
      </c>
      <c r="V64" s="1777">
        <f>+'[3]Oct midyear JS Clark Academy'!E63</f>
        <v>0</v>
      </c>
      <c r="W64" s="1778">
        <f t="shared" si="42"/>
        <v>0</v>
      </c>
      <c r="X64" s="1758">
        <f>'[3]Feb midyear JS Clark Academy'!E63</f>
        <v>0</v>
      </c>
      <c r="Y64" s="1759">
        <f t="shared" si="43"/>
        <v>0</v>
      </c>
      <c r="Z64" s="1653">
        <f t="shared" si="44"/>
        <v>0</v>
      </c>
      <c r="AA64" s="1471">
        <f t="shared" si="45"/>
        <v>0</v>
      </c>
      <c r="AB64" s="937">
        <f t="shared" si="46"/>
        <v>0</v>
      </c>
      <c r="AC64" s="899">
        <f t="shared" si="47"/>
        <v>0</v>
      </c>
      <c r="AD64" s="1830">
        <f>'[32]Oct midyear JS Clark Academy'!P63</f>
        <v>0</v>
      </c>
      <c r="AE64" s="899">
        <f t="shared" si="48"/>
        <v>0</v>
      </c>
      <c r="AF64" s="1829">
        <f>'[4]Table 5C1G-JS Clark Academy'!T63+'[27]Table 5C1G-JS Clark Academy'!AF63+('[26]Table 5C1G-JS Clark Academy'!AF63*6)</f>
        <v>0</v>
      </c>
      <c r="AG64" s="1838">
        <f t="shared" si="49"/>
        <v>0</v>
      </c>
      <c r="AH64" s="1521">
        <f t="shared" si="50"/>
        <v>0</v>
      </c>
      <c r="AI64" s="900">
        <f t="shared" si="56"/>
        <v>0</v>
      </c>
      <c r="AJ64" s="900">
        <f t="shared" si="51"/>
        <v>0</v>
      </c>
      <c r="AL64" s="49">
        <f>-'[4]Table 5C1G-JS Clark Academy'!P63</f>
        <v>0</v>
      </c>
      <c r="AM64" s="49">
        <f t="shared" si="52"/>
        <v>0</v>
      </c>
      <c r="AN64" s="49">
        <f t="shared" si="53"/>
        <v>0</v>
      </c>
    </row>
    <row r="65" spans="1:40">
      <c r="A65" s="876">
        <v>58</v>
      </c>
      <c r="B65" s="877" t="s">
        <v>148</v>
      </c>
      <c r="C65" s="972">
        <f>'2-1-13 SIS'!P64</f>
        <v>0</v>
      </c>
      <c r="D65" s="882">
        <f>'Table 3 Levels 1&amp;2'!AL65</f>
        <v>5457.8662803476354</v>
      </c>
      <c r="E65" s="921">
        <f t="shared" si="32"/>
        <v>0</v>
      </c>
      <c r="F65" s="921">
        <f>'Table 4 Level 3'!P63</f>
        <v>697.04</v>
      </c>
      <c r="G65" s="921">
        <f t="shared" si="33"/>
        <v>0</v>
      </c>
      <c r="H65" s="905">
        <f t="shared" si="34"/>
        <v>0</v>
      </c>
      <c r="I65" s="1740">
        <f>+'[3]Oct midyear JS Clark Academy'!K64</f>
        <v>0</v>
      </c>
      <c r="J65" s="1740">
        <f>'[3]Feb midyear JS Clark Academy'!K64</f>
        <v>0</v>
      </c>
      <c r="K65" s="1686">
        <f t="shared" si="35"/>
        <v>0</v>
      </c>
      <c r="L65" s="1474">
        <f t="shared" si="54"/>
        <v>0</v>
      </c>
      <c r="M65" s="931">
        <f t="shared" si="37"/>
        <v>0</v>
      </c>
      <c r="N65" s="905">
        <f t="shared" si="38"/>
        <v>0</v>
      </c>
      <c r="O65" s="882">
        <f>'[32]Oct midyear JS Clark Academy'!K64</f>
        <v>0</v>
      </c>
      <c r="P65" s="1552">
        <f t="shared" si="39"/>
        <v>0</v>
      </c>
      <c r="Q65" s="1718">
        <f>'[4]Table 5C1G-JS Clark Academy'!M64+'[27]Table 5C1G-JS Clark Academy'!T64+('[26]Table 5C1G-JS Clark Academy'!T64*6)</f>
        <v>0</v>
      </c>
      <c r="R65" s="1740">
        <f t="shared" si="40"/>
        <v>0</v>
      </c>
      <c r="S65" s="998">
        <f t="shared" si="41"/>
        <v>0</v>
      </c>
      <c r="T65" s="1802">
        <f>'Table 5C1A-Madison Prep'!T65</f>
        <v>2127</v>
      </c>
      <c r="U65" s="1555">
        <f t="shared" si="55"/>
        <v>0</v>
      </c>
      <c r="V65" s="1777">
        <f>+'[3]Oct midyear JS Clark Academy'!E64</f>
        <v>0</v>
      </c>
      <c r="W65" s="1778">
        <f t="shared" si="42"/>
        <v>0</v>
      </c>
      <c r="X65" s="1758">
        <f>'[3]Feb midyear JS Clark Academy'!E64</f>
        <v>0</v>
      </c>
      <c r="Y65" s="1759">
        <f t="shared" si="43"/>
        <v>0</v>
      </c>
      <c r="Z65" s="1653">
        <f t="shared" si="44"/>
        <v>0</v>
      </c>
      <c r="AA65" s="1471">
        <f t="shared" si="45"/>
        <v>0</v>
      </c>
      <c r="AB65" s="937">
        <f t="shared" si="46"/>
        <v>0</v>
      </c>
      <c r="AC65" s="899">
        <f t="shared" si="47"/>
        <v>0</v>
      </c>
      <c r="AD65" s="1830">
        <f>'[32]Oct midyear JS Clark Academy'!P64</f>
        <v>0</v>
      </c>
      <c r="AE65" s="899">
        <f t="shared" si="48"/>
        <v>0</v>
      </c>
      <c r="AF65" s="1829">
        <f>'[4]Table 5C1G-JS Clark Academy'!T64+'[27]Table 5C1G-JS Clark Academy'!AF64+('[26]Table 5C1G-JS Clark Academy'!AF64*6)</f>
        <v>0</v>
      </c>
      <c r="AG65" s="1838">
        <f t="shared" si="49"/>
        <v>0</v>
      </c>
      <c r="AH65" s="1521">
        <f t="shared" si="50"/>
        <v>0</v>
      </c>
      <c r="AI65" s="900">
        <f t="shared" si="56"/>
        <v>0</v>
      </c>
      <c r="AJ65" s="900">
        <f t="shared" si="51"/>
        <v>0</v>
      </c>
      <c r="AL65" s="49">
        <f>-'[4]Table 5C1G-JS Clark Academy'!P64</f>
        <v>0</v>
      </c>
      <c r="AM65" s="49">
        <f t="shared" si="52"/>
        <v>0</v>
      </c>
      <c r="AN65" s="49">
        <f t="shared" si="53"/>
        <v>0</v>
      </c>
    </row>
    <row r="66" spans="1:40">
      <c r="A66" s="876">
        <v>59</v>
      </c>
      <c r="B66" s="877" t="s">
        <v>149</v>
      </c>
      <c r="C66" s="972">
        <f>'2-1-13 SIS'!P65</f>
        <v>0</v>
      </c>
      <c r="D66" s="882">
        <f>'Table 3 Levels 1&amp;2'!AL66</f>
        <v>6274.2786338006481</v>
      </c>
      <c r="E66" s="921">
        <f t="shared" si="32"/>
        <v>0</v>
      </c>
      <c r="F66" s="921">
        <f>'Table 4 Level 3'!P64</f>
        <v>689.52</v>
      </c>
      <c r="G66" s="921">
        <f t="shared" si="33"/>
        <v>0</v>
      </c>
      <c r="H66" s="905">
        <f t="shared" si="34"/>
        <v>0</v>
      </c>
      <c r="I66" s="1740">
        <f>+'[3]Oct midyear JS Clark Academy'!K65</f>
        <v>0</v>
      </c>
      <c r="J66" s="1740">
        <f>'[3]Feb midyear JS Clark Academy'!K65</f>
        <v>0</v>
      </c>
      <c r="K66" s="1686">
        <f t="shared" si="35"/>
        <v>0</v>
      </c>
      <c r="L66" s="1474">
        <f t="shared" si="54"/>
        <v>0</v>
      </c>
      <c r="M66" s="931">
        <f t="shared" si="37"/>
        <v>0</v>
      </c>
      <c r="N66" s="905">
        <f t="shared" si="38"/>
        <v>0</v>
      </c>
      <c r="O66" s="882">
        <f>'[32]Oct midyear JS Clark Academy'!K65</f>
        <v>0</v>
      </c>
      <c r="P66" s="1552">
        <f t="shared" si="39"/>
        <v>0</v>
      </c>
      <c r="Q66" s="1718">
        <f>'[4]Table 5C1G-JS Clark Academy'!M65+'[27]Table 5C1G-JS Clark Academy'!T65+('[26]Table 5C1G-JS Clark Academy'!T65*6)</f>
        <v>0</v>
      </c>
      <c r="R66" s="1740">
        <f t="shared" si="40"/>
        <v>0</v>
      </c>
      <c r="S66" s="998">
        <f t="shared" si="41"/>
        <v>0</v>
      </c>
      <c r="T66" s="1802">
        <f>'Table 5C1A-Madison Prep'!T66</f>
        <v>1729</v>
      </c>
      <c r="U66" s="1555">
        <f t="shared" si="55"/>
        <v>0</v>
      </c>
      <c r="V66" s="1777">
        <f>+'[3]Oct midyear JS Clark Academy'!E65</f>
        <v>0</v>
      </c>
      <c r="W66" s="1778">
        <f t="shared" si="42"/>
        <v>0</v>
      </c>
      <c r="X66" s="1758">
        <f>'[3]Feb midyear JS Clark Academy'!E65</f>
        <v>0</v>
      </c>
      <c r="Y66" s="1759">
        <f t="shared" si="43"/>
        <v>0</v>
      </c>
      <c r="Z66" s="1653">
        <f t="shared" si="44"/>
        <v>0</v>
      </c>
      <c r="AA66" s="1471">
        <f t="shared" si="45"/>
        <v>0</v>
      </c>
      <c r="AB66" s="937">
        <f t="shared" si="46"/>
        <v>0</v>
      </c>
      <c r="AC66" s="899">
        <f t="shared" si="47"/>
        <v>0</v>
      </c>
      <c r="AD66" s="1830">
        <f>'[32]Oct midyear JS Clark Academy'!P65</f>
        <v>0</v>
      </c>
      <c r="AE66" s="899">
        <f t="shared" si="48"/>
        <v>0</v>
      </c>
      <c r="AF66" s="1829">
        <f>'[4]Table 5C1G-JS Clark Academy'!T65+'[27]Table 5C1G-JS Clark Academy'!AF65+('[26]Table 5C1G-JS Clark Academy'!AF65*6)</f>
        <v>0</v>
      </c>
      <c r="AG66" s="1838">
        <f t="shared" si="49"/>
        <v>0</v>
      </c>
      <c r="AH66" s="1521">
        <f t="shared" si="50"/>
        <v>0</v>
      </c>
      <c r="AI66" s="900">
        <f t="shared" si="56"/>
        <v>0</v>
      </c>
      <c r="AJ66" s="900">
        <f t="shared" si="51"/>
        <v>0</v>
      </c>
      <c r="AL66" s="49">
        <f>-'[4]Table 5C1G-JS Clark Academy'!P65</f>
        <v>0</v>
      </c>
      <c r="AM66" s="49">
        <f t="shared" si="52"/>
        <v>0</v>
      </c>
      <c r="AN66" s="49">
        <f t="shared" si="53"/>
        <v>0</v>
      </c>
    </row>
    <row r="67" spans="1:40">
      <c r="A67" s="879">
        <v>60</v>
      </c>
      <c r="B67" s="880" t="s">
        <v>150</v>
      </c>
      <c r="C67" s="973">
        <f>'2-1-13 SIS'!P66</f>
        <v>0</v>
      </c>
      <c r="D67" s="883">
        <f>'Table 3 Levels 1&amp;2'!AL67</f>
        <v>4940.9166775610411</v>
      </c>
      <c r="E67" s="922">
        <f t="shared" si="32"/>
        <v>0</v>
      </c>
      <c r="F67" s="922">
        <f>'Table 4 Level 3'!P65</f>
        <v>594.04</v>
      </c>
      <c r="G67" s="922">
        <f t="shared" si="33"/>
        <v>0</v>
      </c>
      <c r="H67" s="906">
        <f t="shared" si="34"/>
        <v>0</v>
      </c>
      <c r="I67" s="1741">
        <f>+'[3]Oct midyear JS Clark Academy'!K66</f>
        <v>0</v>
      </c>
      <c r="J67" s="1741">
        <f>'[3]Feb midyear JS Clark Academy'!K66</f>
        <v>0</v>
      </c>
      <c r="K67" s="1687">
        <f t="shared" si="35"/>
        <v>0</v>
      </c>
      <c r="L67" s="1475">
        <f t="shared" si="54"/>
        <v>0</v>
      </c>
      <c r="M67" s="932">
        <f t="shared" si="37"/>
        <v>0</v>
      </c>
      <c r="N67" s="906">
        <f t="shared" si="38"/>
        <v>0</v>
      </c>
      <c r="O67" s="883">
        <f>'[32]Oct midyear JS Clark Academy'!K66</f>
        <v>0</v>
      </c>
      <c r="P67" s="1553">
        <f t="shared" si="39"/>
        <v>0</v>
      </c>
      <c r="Q67" s="1804">
        <f>'[4]Table 5C1G-JS Clark Academy'!M66+'[27]Table 5C1G-JS Clark Academy'!T66+('[26]Table 5C1G-JS Clark Academy'!T66*6)</f>
        <v>0</v>
      </c>
      <c r="R67" s="1741">
        <f t="shared" si="40"/>
        <v>0</v>
      </c>
      <c r="S67" s="1806">
        <f t="shared" si="41"/>
        <v>0</v>
      </c>
      <c r="T67" s="1807">
        <f>'Table 5C1A-Madison Prep'!T67</f>
        <v>3801</v>
      </c>
      <c r="U67" s="1556">
        <f t="shared" si="55"/>
        <v>0</v>
      </c>
      <c r="V67" s="1779">
        <f>+'[3]Oct midyear JS Clark Academy'!E66</f>
        <v>0</v>
      </c>
      <c r="W67" s="1780">
        <f t="shared" si="42"/>
        <v>0</v>
      </c>
      <c r="X67" s="1762">
        <f>'[3]Feb midyear JS Clark Academy'!E66</f>
        <v>0</v>
      </c>
      <c r="Y67" s="1763">
        <f t="shared" si="43"/>
        <v>0</v>
      </c>
      <c r="Z67" s="1654">
        <f t="shared" si="44"/>
        <v>0</v>
      </c>
      <c r="AA67" s="1473">
        <f t="shared" si="45"/>
        <v>0</v>
      </c>
      <c r="AB67" s="938">
        <f t="shared" si="46"/>
        <v>0</v>
      </c>
      <c r="AC67" s="903">
        <f t="shared" si="47"/>
        <v>0</v>
      </c>
      <c r="AD67" s="1831">
        <f>'[32]Oct midyear JS Clark Academy'!P66</f>
        <v>0</v>
      </c>
      <c r="AE67" s="903">
        <f t="shared" si="48"/>
        <v>0</v>
      </c>
      <c r="AF67" s="1837">
        <f>'[4]Table 5C1G-JS Clark Academy'!T66+'[27]Table 5C1G-JS Clark Academy'!AF66+('[26]Table 5C1G-JS Clark Academy'!AF66*6)</f>
        <v>0</v>
      </c>
      <c r="AG67" s="1839">
        <f t="shared" si="49"/>
        <v>0</v>
      </c>
      <c r="AH67" s="1530">
        <f t="shared" si="50"/>
        <v>0</v>
      </c>
      <c r="AI67" s="904">
        <f t="shared" si="56"/>
        <v>0</v>
      </c>
      <c r="AJ67" s="904">
        <f t="shared" si="51"/>
        <v>0</v>
      </c>
      <c r="AL67" s="49">
        <f>-'[4]Table 5C1G-JS Clark Academy'!P66</f>
        <v>0</v>
      </c>
      <c r="AM67" s="49">
        <f t="shared" si="52"/>
        <v>0</v>
      </c>
      <c r="AN67" s="49">
        <f t="shared" si="53"/>
        <v>0</v>
      </c>
    </row>
    <row r="68" spans="1:40">
      <c r="A68" s="870">
        <v>61</v>
      </c>
      <c r="B68" s="871" t="s">
        <v>151</v>
      </c>
      <c r="C68" s="974">
        <f>'2-1-13 SIS'!P67</f>
        <v>0</v>
      </c>
      <c r="D68" s="884">
        <f>'Table 3 Levels 1&amp;2'!AL68</f>
        <v>2908.0344869339228</v>
      </c>
      <c r="E68" s="923">
        <f t="shared" si="32"/>
        <v>0</v>
      </c>
      <c r="F68" s="923">
        <f>'Table 4 Level 3'!P66</f>
        <v>833.70999999999992</v>
      </c>
      <c r="G68" s="923">
        <f t="shared" si="33"/>
        <v>0</v>
      </c>
      <c r="H68" s="907">
        <f t="shared" si="34"/>
        <v>0</v>
      </c>
      <c r="I68" s="1723">
        <f>+'[3]Oct midyear JS Clark Academy'!K67</f>
        <v>0</v>
      </c>
      <c r="J68" s="1723">
        <f>'[3]Feb midyear JS Clark Academy'!K67</f>
        <v>0</v>
      </c>
      <c r="K68" s="1547">
        <f t="shared" si="35"/>
        <v>0</v>
      </c>
      <c r="L68" s="1476">
        <f t="shared" si="54"/>
        <v>0</v>
      </c>
      <c r="M68" s="933">
        <f t="shared" si="37"/>
        <v>0</v>
      </c>
      <c r="N68" s="907">
        <f t="shared" si="38"/>
        <v>0</v>
      </c>
      <c r="O68" s="884">
        <f>'[32]Oct midyear JS Clark Academy'!K67</f>
        <v>0</v>
      </c>
      <c r="P68" s="996">
        <f t="shared" si="39"/>
        <v>0</v>
      </c>
      <c r="Q68" s="1718">
        <f>'[4]Table 5C1G-JS Clark Academy'!M67+'[27]Table 5C1G-JS Clark Academy'!T67+('[26]Table 5C1G-JS Clark Academy'!T67*6)</f>
        <v>0</v>
      </c>
      <c r="R68" s="1723">
        <f t="shared" si="40"/>
        <v>0</v>
      </c>
      <c r="S68" s="998">
        <f t="shared" si="41"/>
        <v>0</v>
      </c>
      <c r="T68" s="1802">
        <f>'Table 5C1A-Madison Prep'!T68</f>
        <v>6597</v>
      </c>
      <c r="U68" s="999">
        <f t="shared" si="55"/>
        <v>0</v>
      </c>
      <c r="V68" s="1754">
        <f>+'[3]Oct midyear JS Clark Academy'!E67</f>
        <v>0</v>
      </c>
      <c r="W68" s="1755">
        <f t="shared" si="42"/>
        <v>0</v>
      </c>
      <c r="X68" s="1754">
        <f>'[3]Feb midyear JS Clark Academy'!E67</f>
        <v>0</v>
      </c>
      <c r="Y68" s="1755">
        <f t="shared" si="43"/>
        <v>0</v>
      </c>
      <c r="Z68" s="1652">
        <f t="shared" si="44"/>
        <v>0</v>
      </c>
      <c r="AA68" s="1467">
        <f t="shared" si="45"/>
        <v>0</v>
      </c>
      <c r="AB68" s="936">
        <f t="shared" si="46"/>
        <v>0</v>
      </c>
      <c r="AC68" s="874">
        <f t="shared" si="47"/>
        <v>0</v>
      </c>
      <c r="AD68" s="1829">
        <f>'[32]Oct midyear JS Clark Academy'!P67</f>
        <v>0</v>
      </c>
      <c r="AE68" s="874">
        <f t="shared" si="48"/>
        <v>0</v>
      </c>
      <c r="AF68" s="1829">
        <f>'[4]Table 5C1G-JS Clark Academy'!T67+'[27]Table 5C1G-JS Clark Academy'!AF67+('[26]Table 5C1G-JS Clark Academy'!AF67*6)</f>
        <v>0</v>
      </c>
      <c r="AG68" s="1829">
        <f t="shared" si="49"/>
        <v>0</v>
      </c>
      <c r="AH68" s="1521">
        <f t="shared" si="50"/>
        <v>0</v>
      </c>
      <c r="AI68" s="875">
        <f t="shared" si="56"/>
        <v>0</v>
      </c>
      <c r="AJ68" s="875">
        <f t="shared" si="51"/>
        <v>0</v>
      </c>
      <c r="AL68" s="49">
        <f>-'[4]Table 5C1G-JS Clark Academy'!P67</f>
        <v>0</v>
      </c>
      <c r="AM68" s="49">
        <f t="shared" si="52"/>
        <v>0</v>
      </c>
      <c r="AN68" s="49">
        <f t="shared" si="53"/>
        <v>0</v>
      </c>
    </row>
    <row r="69" spans="1:40">
      <c r="A69" s="876">
        <v>62</v>
      </c>
      <c r="B69" s="877" t="s">
        <v>152</v>
      </c>
      <c r="C69" s="972">
        <f>'2-1-13 SIS'!P68</f>
        <v>0</v>
      </c>
      <c r="D69" s="882">
        <f>'Table 3 Levels 1&amp;2'!AL69</f>
        <v>5652.1730736722093</v>
      </c>
      <c r="E69" s="921">
        <f t="shared" si="32"/>
        <v>0</v>
      </c>
      <c r="F69" s="921">
        <f>'Table 4 Level 3'!P67</f>
        <v>516.08000000000004</v>
      </c>
      <c r="G69" s="921">
        <f t="shared" si="33"/>
        <v>0</v>
      </c>
      <c r="H69" s="905">
        <f t="shared" si="34"/>
        <v>0</v>
      </c>
      <c r="I69" s="1740">
        <f>+'[3]Oct midyear JS Clark Academy'!K68</f>
        <v>0</v>
      </c>
      <c r="J69" s="1740">
        <f>'[3]Feb midyear JS Clark Academy'!K68</f>
        <v>0</v>
      </c>
      <c r="K69" s="1686">
        <f t="shared" si="35"/>
        <v>0</v>
      </c>
      <c r="L69" s="1474">
        <f t="shared" si="54"/>
        <v>0</v>
      </c>
      <c r="M69" s="931">
        <f t="shared" si="37"/>
        <v>0</v>
      </c>
      <c r="N69" s="905">
        <f t="shared" si="38"/>
        <v>0</v>
      </c>
      <c r="O69" s="882">
        <f>'[32]Oct midyear JS Clark Academy'!K68</f>
        <v>0</v>
      </c>
      <c r="P69" s="1552">
        <f t="shared" si="39"/>
        <v>0</v>
      </c>
      <c r="Q69" s="1718">
        <f>'[4]Table 5C1G-JS Clark Academy'!M68+'[27]Table 5C1G-JS Clark Academy'!T68+('[26]Table 5C1G-JS Clark Academy'!T68*6)</f>
        <v>0</v>
      </c>
      <c r="R69" s="1740">
        <f t="shared" si="40"/>
        <v>0</v>
      </c>
      <c r="S69" s="998">
        <f t="shared" si="41"/>
        <v>0</v>
      </c>
      <c r="T69" s="1802">
        <f>'Table 5C1A-Madison Prep'!T69</f>
        <v>1998</v>
      </c>
      <c r="U69" s="1555">
        <f t="shared" si="55"/>
        <v>0</v>
      </c>
      <c r="V69" s="1777">
        <f>+'[3]Oct midyear JS Clark Academy'!E68</f>
        <v>0</v>
      </c>
      <c r="W69" s="1778">
        <f t="shared" si="42"/>
        <v>0</v>
      </c>
      <c r="X69" s="1758">
        <f>'[3]Feb midyear JS Clark Academy'!E68</f>
        <v>0</v>
      </c>
      <c r="Y69" s="1759">
        <f t="shared" si="43"/>
        <v>0</v>
      </c>
      <c r="Z69" s="1653">
        <f t="shared" si="44"/>
        <v>0</v>
      </c>
      <c r="AA69" s="1471">
        <f t="shared" si="45"/>
        <v>0</v>
      </c>
      <c r="AB69" s="937">
        <f t="shared" si="46"/>
        <v>0</v>
      </c>
      <c r="AC69" s="899">
        <f t="shared" si="47"/>
        <v>0</v>
      </c>
      <c r="AD69" s="1830">
        <f>'[32]Oct midyear JS Clark Academy'!P68</f>
        <v>0</v>
      </c>
      <c r="AE69" s="899">
        <f t="shared" si="48"/>
        <v>0</v>
      </c>
      <c r="AF69" s="1829">
        <f>'[4]Table 5C1G-JS Clark Academy'!T68+'[27]Table 5C1G-JS Clark Academy'!AF68+('[26]Table 5C1G-JS Clark Academy'!AF68*6)</f>
        <v>0</v>
      </c>
      <c r="AG69" s="1838">
        <f t="shared" si="49"/>
        <v>0</v>
      </c>
      <c r="AH69" s="1521">
        <f t="shared" si="50"/>
        <v>0</v>
      </c>
      <c r="AI69" s="900">
        <f t="shared" si="56"/>
        <v>0</v>
      </c>
      <c r="AJ69" s="900">
        <f t="shared" si="51"/>
        <v>0</v>
      </c>
      <c r="AL69" s="49">
        <f>-'[4]Table 5C1G-JS Clark Academy'!P68</f>
        <v>0</v>
      </c>
      <c r="AM69" s="49">
        <f t="shared" si="52"/>
        <v>0</v>
      </c>
      <c r="AN69" s="49">
        <f t="shared" si="53"/>
        <v>0</v>
      </c>
    </row>
    <row r="70" spans="1:40">
      <c r="A70" s="876">
        <v>63</v>
      </c>
      <c r="B70" s="877" t="s">
        <v>153</v>
      </c>
      <c r="C70" s="972">
        <f>'2-1-13 SIS'!P69</f>
        <v>0</v>
      </c>
      <c r="D70" s="882">
        <f>'Table 3 Levels 1&amp;2'!AL70</f>
        <v>4362.300753810403</v>
      </c>
      <c r="E70" s="921">
        <f t="shared" si="32"/>
        <v>0</v>
      </c>
      <c r="F70" s="921">
        <f>'Table 4 Level 3'!P68</f>
        <v>756.79</v>
      </c>
      <c r="G70" s="921">
        <f t="shared" si="33"/>
        <v>0</v>
      </c>
      <c r="H70" s="905">
        <f t="shared" si="34"/>
        <v>0</v>
      </c>
      <c r="I70" s="1740">
        <f>+'[3]Oct midyear JS Clark Academy'!K69</f>
        <v>0</v>
      </c>
      <c r="J70" s="1740">
        <f>'[3]Feb midyear JS Clark Academy'!K69</f>
        <v>0</v>
      </c>
      <c r="K70" s="1686">
        <f t="shared" si="35"/>
        <v>0</v>
      </c>
      <c r="L70" s="1474">
        <f t="shared" si="54"/>
        <v>0</v>
      </c>
      <c r="M70" s="931">
        <f t="shared" si="37"/>
        <v>0</v>
      </c>
      <c r="N70" s="905">
        <f t="shared" si="38"/>
        <v>0</v>
      </c>
      <c r="O70" s="882">
        <f>'[32]Oct midyear JS Clark Academy'!K69</f>
        <v>0</v>
      </c>
      <c r="P70" s="1552">
        <f t="shared" si="39"/>
        <v>0</v>
      </c>
      <c r="Q70" s="1718">
        <f>'[4]Table 5C1G-JS Clark Academy'!M69+'[27]Table 5C1G-JS Clark Academy'!T69+('[26]Table 5C1G-JS Clark Academy'!T69*6)</f>
        <v>0</v>
      </c>
      <c r="R70" s="1740">
        <f t="shared" si="40"/>
        <v>0</v>
      </c>
      <c r="S70" s="998">
        <f t="shared" si="41"/>
        <v>0</v>
      </c>
      <c r="T70" s="1802">
        <f>'Table 5C1A-Madison Prep'!T70</f>
        <v>7391</v>
      </c>
      <c r="U70" s="1555">
        <f t="shared" si="55"/>
        <v>0</v>
      </c>
      <c r="V70" s="1777">
        <f>+'[3]Oct midyear JS Clark Academy'!E69</f>
        <v>0</v>
      </c>
      <c r="W70" s="1778">
        <f t="shared" si="42"/>
        <v>0</v>
      </c>
      <c r="X70" s="1758">
        <f>'[3]Feb midyear JS Clark Academy'!E69</f>
        <v>0</v>
      </c>
      <c r="Y70" s="1759">
        <f t="shared" si="43"/>
        <v>0</v>
      </c>
      <c r="Z70" s="1653">
        <f t="shared" si="44"/>
        <v>0</v>
      </c>
      <c r="AA70" s="1471">
        <f t="shared" si="45"/>
        <v>0</v>
      </c>
      <c r="AB70" s="937">
        <f t="shared" si="46"/>
        <v>0</v>
      </c>
      <c r="AC70" s="899">
        <f t="shared" si="47"/>
        <v>0</v>
      </c>
      <c r="AD70" s="1830">
        <f>'[32]Oct midyear JS Clark Academy'!P69</f>
        <v>0</v>
      </c>
      <c r="AE70" s="899">
        <f t="shared" si="48"/>
        <v>0</v>
      </c>
      <c r="AF70" s="1829">
        <f>'[4]Table 5C1G-JS Clark Academy'!T69+'[27]Table 5C1G-JS Clark Academy'!AF69+('[26]Table 5C1G-JS Clark Academy'!AF69*6)</f>
        <v>0</v>
      </c>
      <c r="AG70" s="1838">
        <f t="shared" si="49"/>
        <v>0</v>
      </c>
      <c r="AH70" s="1521">
        <f t="shared" si="50"/>
        <v>0</v>
      </c>
      <c r="AI70" s="900">
        <f t="shared" si="56"/>
        <v>0</v>
      </c>
      <c r="AJ70" s="900">
        <f t="shared" si="51"/>
        <v>0</v>
      </c>
      <c r="AL70" s="49">
        <f>-'[4]Table 5C1G-JS Clark Academy'!P69</f>
        <v>0</v>
      </c>
      <c r="AM70" s="49">
        <f t="shared" si="52"/>
        <v>0</v>
      </c>
      <c r="AN70" s="49">
        <f t="shared" si="53"/>
        <v>0</v>
      </c>
    </row>
    <row r="71" spans="1:40">
      <c r="A71" s="876">
        <v>64</v>
      </c>
      <c r="B71" s="877" t="s">
        <v>154</v>
      </c>
      <c r="C71" s="972">
        <f>'2-1-13 SIS'!P70</f>
        <v>0</v>
      </c>
      <c r="D71" s="882">
        <f>'Table 3 Levels 1&amp;2'!AL71</f>
        <v>5960.2049072003338</v>
      </c>
      <c r="E71" s="921">
        <f t="shared" si="32"/>
        <v>0</v>
      </c>
      <c r="F71" s="921">
        <f>'Table 4 Level 3'!P69</f>
        <v>592.66</v>
      </c>
      <c r="G71" s="921">
        <f t="shared" si="33"/>
        <v>0</v>
      </c>
      <c r="H71" s="905">
        <f t="shared" si="34"/>
        <v>0</v>
      </c>
      <c r="I71" s="1740">
        <f>+'[3]Oct midyear JS Clark Academy'!K70</f>
        <v>0</v>
      </c>
      <c r="J71" s="1740">
        <f>'[3]Feb midyear JS Clark Academy'!K70</f>
        <v>0</v>
      </c>
      <c r="K71" s="1686">
        <f t="shared" si="35"/>
        <v>0</v>
      </c>
      <c r="L71" s="1474">
        <f t="shared" si="54"/>
        <v>0</v>
      </c>
      <c r="M71" s="931">
        <f t="shared" si="37"/>
        <v>0</v>
      </c>
      <c r="N71" s="905">
        <f t="shared" si="38"/>
        <v>0</v>
      </c>
      <c r="O71" s="882">
        <f>'[32]Oct midyear JS Clark Academy'!K70</f>
        <v>0</v>
      </c>
      <c r="P71" s="1552">
        <f t="shared" si="39"/>
        <v>0</v>
      </c>
      <c r="Q71" s="1718">
        <f>'[4]Table 5C1G-JS Clark Academy'!M70+'[27]Table 5C1G-JS Clark Academy'!T70+('[26]Table 5C1G-JS Clark Academy'!T70*6)</f>
        <v>0</v>
      </c>
      <c r="R71" s="1740">
        <f t="shared" si="40"/>
        <v>0</v>
      </c>
      <c r="S71" s="998">
        <f t="shared" si="41"/>
        <v>0</v>
      </c>
      <c r="T71" s="1802">
        <f>'Table 5C1A-Madison Prep'!T71</f>
        <v>2902</v>
      </c>
      <c r="U71" s="1555">
        <f t="shared" si="55"/>
        <v>0</v>
      </c>
      <c r="V71" s="1777">
        <f>+'[3]Oct midyear JS Clark Academy'!E70</f>
        <v>0</v>
      </c>
      <c r="W71" s="1778">
        <f t="shared" si="42"/>
        <v>0</v>
      </c>
      <c r="X71" s="1758">
        <f>'[3]Feb midyear JS Clark Academy'!E70</f>
        <v>0</v>
      </c>
      <c r="Y71" s="1759">
        <f t="shared" si="43"/>
        <v>0</v>
      </c>
      <c r="Z71" s="1653">
        <f t="shared" si="44"/>
        <v>0</v>
      </c>
      <c r="AA71" s="1471">
        <f t="shared" si="45"/>
        <v>0</v>
      </c>
      <c r="AB71" s="937">
        <f t="shared" si="46"/>
        <v>0</v>
      </c>
      <c r="AC71" s="899">
        <f t="shared" si="47"/>
        <v>0</v>
      </c>
      <c r="AD71" s="1830">
        <f>'[32]Oct midyear JS Clark Academy'!P70</f>
        <v>0</v>
      </c>
      <c r="AE71" s="899">
        <f t="shared" si="48"/>
        <v>0</v>
      </c>
      <c r="AF71" s="1829">
        <f>'[4]Table 5C1G-JS Clark Academy'!T70+'[27]Table 5C1G-JS Clark Academy'!AF70+('[26]Table 5C1G-JS Clark Academy'!AF70*6)</f>
        <v>0</v>
      </c>
      <c r="AG71" s="1838">
        <f t="shared" si="49"/>
        <v>0</v>
      </c>
      <c r="AH71" s="1521">
        <f t="shared" si="50"/>
        <v>0</v>
      </c>
      <c r="AI71" s="900">
        <f t="shared" si="56"/>
        <v>0</v>
      </c>
      <c r="AJ71" s="900">
        <f t="shared" si="51"/>
        <v>0</v>
      </c>
      <c r="AL71" s="49">
        <f>-'[4]Table 5C1G-JS Clark Academy'!P70</f>
        <v>0</v>
      </c>
      <c r="AM71" s="49">
        <f t="shared" si="52"/>
        <v>0</v>
      </c>
      <c r="AN71" s="49">
        <f t="shared" si="53"/>
        <v>0</v>
      </c>
    </row>
    <row r="72" spans="1:40">
      <c r="A72" s="879">
        <v>65</v>
      </c>
      <c r="B72" s="880" t="s">
        <v>155</v>
      </c>
      <c r="C72" s="973">
        <f>'2-1-13 SIS'!P71</f>
        <v>0</v>
      </c>
      <c r="D72" s="883">
        <f>'Table 3 Levels 1&amp;2'!AL72</f>
        <v>4579.2772303106676</v>
      </c>
      <c r="E72" s="922">
        <f t="shared" si="32"/>
        <v>0</v>
      </c>
      <c r="F72" s="922">
        <f>'Table 4 Level 3'!P70</f>
        <v>829.12</v>
      </c>
      <c r="G72" s="922">
        <f t="shared" si="33"/>
        <v>0</v>
      </c>
      <c r="H72" s="906">
        <f t="shared" si="34"/>
        <v>0</v>
      </c>
      <c r="I72" s="1741">
        <f>+'[3]Oct midyear JS Clark Academy'!K71</f>
        <v>0</v>
      </c>
      <c r="J72" s="1741">
        <f>'[3]Feb midyear JS Clark Academy'!K71</f>
        <v>0</v>
      </c>
      <c r="K72" s="1687">
        <f t="shared" si="35"/>
        <v>0</v>
      </c>
      <c r="L72" s="1475">
        <f t="shared" ref="L72:L76" si="57">H72+K72</f>
        <v>0</v>
      </c>
      <c r="M72" s="932">
        <f t="shared" si="37"/>
        <v>0</v>
      </c>
      <c r="N72" s="906">
        <f t="shared" si="38"/>
        <v>0</v>
      </c>
      <c r="O72" s="883">
        <f>'[32]Oct midyear JS Clark Academy'!K71</f>
        <v>0</v>
      </c>
      <c r="P72" s="1553">
        <f t="shared" si="39"/>
        <v>0</v>
      </c>
      <c r="Q72" s="1804">
        <f>'[4]Table 5C1G-JS Clark Academy'!M71+'[27]Table 5C1G-JS Clark Academy'!T71+('[26]Table 5C1G-JS Clark Academy'!T71*6)</f>
        <v>0</v>
      </c>
      <c r="R72" s="1741">
        <f t="shared" si="40"/>
        <v>0</v>
      </c>
      <c r="S72" s="1806">
        <f t="shared" si="41"/>
        <v>0</v>
      </c>
      <c r="T72" s="1807">
        <f>'Table 5C1A-Madison Prep'!T72</f>
        <v>4823</v>
      </c>
      <c r="U72" s="1556">
        <f t="shared" ref="U72:U76" si="58">C72*T72</f>
        <v>0</v>
      </c>
      <c r="V72" s="1779">
        <f>+'[3]Oct midyear JS Clark Academy'!E71</f>
        <v>0</v>
      </c>
      <c r="W72" s="1780">
        <f t="shared" si="42"/>
        <v>0</v>
      </c>
      <c r="X72" s="1762">
        <f>'[3]Feb midyear JS Clark Academy'!E71</f>
        <v>0</v>
      </c>
      <c r="Y72" s="1763">
        <f t="shared" si="43"/>
        <v>0</v>
      </c>
      <c r="Z72" s="1654">
        <f t="shared" si="44"/>
        <v>0</v>
      </c>
      <c r="AA72" s="1473">
        <f t="shared" si="45"/>
        <v>0</v>
      </c>
      <c r="AB72" s="938">
        <f t="shared" si="46"/>
        <v>0</v>
      </c>
      <c r="AC72" s="903">
        <f t="shared" si="47"/>
        <v>0</v>
      </c>
      <c r="AD72" s="1831">
        <f>'[32]Oct midyear JS Clark Academy'!P71</f>
        <v>0</v>
      </c>
      <c r="AE72" s="903">
        <f t="shared" si="48"/>
        <v>0</v>
      </c>
      <c r="AF72" s="1837">
        <f>'[4]Table 5C1G-JS Clark Academy'!T71+'[27]Table 5C1G-JS Clark Academy'!AF71+('[26]Table 5C1G-JS Clark Academy'!AF71*6)</f>
        <v>0</v>
      </c>
      <c r="AG72" s="1839">
        <f t="shared" si="49"/>
        <v>0</v>
      </c>
      <c r="AH72" s="1530">
        <f t="shared" si="50"/>
        <v>0</v>
      </c>
      <c r="AI72" s="904">
        <f t="shared" si="56"/>
        <v>0</v>
      </c>
      <c r="AJ72" s="904">
        <f t="shared" si="51"/>
        <v>0</v>
      </c>
      <c r="AL72" s="49">
        <f>-'[4]Table 5C1G-JS Clark Academy'!P71</f>
        <v>0</v>
      </c>
      <c r="AM72" s="49">
        <f t="shared" si="52"/>
        <v>0</v>
      </c>
      <c r="AN72" s="49">
        <f t="shared" si="53"/>
        <v>0</v>
      </c>
    </row>
    <row r="73" spans="1:40">
      <c r="A73" s="870">
        <v>66</v>
      </c>
      <c r="B73" s="871" t="s">
        <v>156</v>
      </c>
      <c r="C73" s="974">
        <f>'2-1-13 SIS'!P72</f>
        <v>0</v>
      </c>
      <c r="D73" s="884">
        <f>'Table 3 Levels 1&amp;2'!AL73</f>
        <v>6370.8108195713585</v>
      </c>
      <c r="E73" s="923">
        <f t="shared" ref="E73:E76" si="59">C73*D73</f>
        <v>0</v>
      </c>
      <c r="F73" s="923">
        <f>'Table 4 Level 3'!P71</f>
        <v>730.06</v>
      </c>
      <c r="G73" s="923">
        <f t="shared" ref="G73:G76" si="60">C73*F73</f>
        <v>0</v>
      </c>
      <c r="H73" s="907">
        <f t="shared" ref="H73:H76" si="61">E73+G73</f>
        <v>0</v>
      </c>
      <c r="I73" s="1723">
        <f>+'[3]Oct midyear JS Clark Academy'!K72</f>
        <v>0</v>
      </c>
      <c r="J73" s="1723">
        <f>'[3]Feb midyear JS Clark Academy'!K72</f>
        <v>0</v>
      </c>
      <c r="K73" s="1547">
        <f t="shared" ref="K73:K76" si="62">+I73+J73</f>
        <v>0</v>
      </c>
      <c r="L73" s="1476">
        <f t="shared" si="57"/>
        <v>0</v>
      </c>
      <c r="M73" s="933">
        <f t="shared" ref="M73:M76" si="63">-(0.25%*L73)</f>
        <v>0</v>
      </c>
      <c r="N73" s="907">
        <f t="shared" ref="N73:N76" si="64">SUM(L73:M73)</f>
        <v>0</v>
      </c>
      <c r="O73" s="884">
        <f>'[32]Oct midyear JS Clark Academy'!K72</f>
        <v>0</v>
      </c>
      <c r="P73" s="996">
        <f t="shared" ref="P73:P76" si="65">SUM(N73:O73)</f>
        <v>0</v>
      </c>
      <c r="Q73" s="1718">
        <f>'[4]Table 5C1G-JS Clark Academy'!M72+'[27]Table 5C1G-JS Clark Academy'!T72+('[26]Table 5C1G-JS Clark Academy'!T72*6)</f>
        <v>0</v>
      </c>
      <c r="R73" s="1723">
        <f t="shared" ref="R73:R76" si="66">P73-Q73</f>
        <v>0</v>
      </c>
      <c r="S73" s="998">
        <f t="shared" ref="S73:S76" si="67">ROUND(R73/4,0)</f>
        <v>0</v>
      </c>
      <c r="T73" s="1802">
        <f>'Table 5C1A-Madison Prep'!T73</f>
        <v>3524</v>
      </c>
      <c r="U73" s="999">
        <f t="shared" si="58"/>
        <v>0</v>
      </c>
      <c r="V73" s="1754">
        <f>+'[3]Oct midyear JS Clark Academy'!E72</f>
        <v>0</v>
      </c>
      <c r="W73" s="1755">
        <f t="shared" ref="W73:W76" si="68">V73*T73</f>
        <v>0</v>
      </c>
      <c r="X73" s="1754">
        <f>'[3]Feb midyear JS Clark Academy'!E72</f>
        <v>0</v>
      </c>
      <c r="Y73" s="1755">
        <f t="shared" ref="Y73:Y76" si="69">(T73*X73)*0.5</f>
        <v>0</v>
      </c>
      <c r="Z73" s="1652">
        <f t="shared" ref="Z73:Z76" si="70">+Y73+W73</f>
        <v>0</v>
      </c>
      <c r="AA73" s="1467">
        <f t="shared" ref="AA73:AA76" si="71">U73+Z73</f>
        <v>0</v>
      </c>
      <c r="AB73" s="936">
        <f t="shared" ref="AB73:AB76" si="72">-(0.25%*AA73)</f>
        <v>0</v>
      </c>
      <c r="AC73" s="874">
        <f t="shared" ref="AC73:AC76" si="73">SUM(AA73:AB73)</f>
        <v>0</v>
      </c>
      <c r="AD73" s="1829">
        <f>'[32]Oct midyear JS Clark Academy'!P72</f>
        <v>0</v>
      </c>
      <c r="AE73" s="874">
        <f t="shared" ref="AE73:AE76" si="74">SUM(AC73:AD73)</f>
        <v>0</v>
      </c>
      <c r="AF73" s="1829">
        <f>'[4]Table 5C1G-JS Clark Academy'!T72+'[27]Table 5C1G-JS Clark Academy'!AF72+('[26]Table 5C1G-JS Clark Academy'!AF72*6)</f>
        <v>0</v>
      </c>
      <c r="AG73" s="1829">
        <f t="shared" ref="AG73:AG76" si="75">AE73-AF73</f>
        <v>0</v>
      </c>
      <c r="AH73" s="1521">
        <f t="shared" ref="AH73:AH76" si="76">ROUND(AG73/4,0)</f>
        <v>0</v>
      </c>
      <c r="AI73" s="875">
        <f t="shared" si="56"/>
        <v>0</v>
      </c>
      <c r="AJ73" s="875">
        <f t="shared" ref="AJ73:AJ76" si="77">S73+AH73</f>
        <v>0</v>
      </c>
      <c r="AL73" s="49">
        <f>-'[4]Table 5C1G-JS Clark Academy'!P72</f>
        <v>0</v>
      </c>
      <c r="AM73" s="49">
        <f t="shared" ref="AM73:AM76" si="78">AB73</f>
        <v>0</v>
      </c>
      <c r="AN73" s="49">
        <f t="shared" ref="AN73:AN76" si="79">SUM(AL73:AM73)</f>
        <v>0</v>
      </c>
    </row>
    <row r="74" spans="1:40">
      <c r="A74" s="876">
        <v>67</v>
      </c>
      <c r="B74" s="877" t="s">
        <v>32</v>
      </c>
      <c r="C74" s="972">
        <f>'2-1-13 SIS'!P73</f>
        <v>0</v>
      </c>
      <c r="D74" s="882">
        <f>'Table 3 Levels 1&amp;2'!AL74</f>
        <v>4951.6009932106244</v>
      </c>
      <c r="E74" s="921">
        <f t="shared" si="59"/>
        <v>0</v>
      </c>
      <c r="F74" s="921">
        <f>'Table 4 Level 3'!P72</f>
        <v>715.61</v>
      </c>
      <c r="G74" s="921">
        <f t="shared" si="60"/>
        <v>0</v>
      </c>
      <c r="H74" s="905">
        <f t="shared" si="61"/>
        <v>0</v>
      </c>
      <c r="I74" s="1740">
        <f>+'[3]Oct midyear JS Clark Academy'!K73</f>
        <v>0</v>
      </c>
      <c r="J74" s="1740">
        <f>'[3]Feb midyear JS Clark Academy'!K73</f>
        <v>0</v>
      </c>
      <c r="K74" s="1686">
        <f t="shared" si="62"/>
        <v>0</v>
      </c>
      <c r="L74" s="1474">
        <f t="shared" si="57"/>
        <v>0</v>
      </c>
      <c r="M74" s="931">
        <f t="shared" si="63"/>
        <v>0</v>
      </c>
      <c r="N74" s="905">
        <f t="shared" si="64"/>
        <v>0</v>
      </c>
      <c r="O74" s="882">
        <f>'[32]Oct midyear JS Clark Academy'!K73</f>
        <v>0</v>
      </c>
      <c r="P74" s="1552">
        <f t="shared" si="65"/>
        <v>0</v>
      </c>
      <c r="Q74" s="1718">
        <f>'[4]Table 5C1G-JS Clark Academy'!M73+'[27]Table 5C1G-JS Clark Academy'!T73+('[26]Table 5C1G-JS Clark Academy'!T73*6)</f>
        <v>0</v>
      </c>
      <c r="R74" s="1740">
        <f t="shared" si="66"/>
        <v>0</v>
      </c>
      <c r="S74" s="998">
        <f t="shared" si="67"/>
        <v>0</v>
      </c>
      <c r="T74" s="1802">
        <f>'Table 5C1A-Madison Prep'!T74</f>
        <v>5007</v>
      </c>
      <c r="U74" s="1555">
        <f t="shared" si="58"/>
        <v>0</v>
      </c>
      <c r="V74" s="1777">
        <f>+'[3]Oct midyear JS Clark Academy'!E73</f>
        <v>0</v>
      </c>
      <c r="W74" s="1778">
        <f t="shared" si="68"/>
        <v>0</v>
      </c>
      <c r="X74" s="1758">
        <f>'[3]Feb midyear JS Clark Academy'!E73</f>
        <v>0</v>
      </c>
      <c r="Y74" s="1759">
        <f t="shared" si="69"/>
        <v>0</v>
      </c>
      <c r="Z74" s="1653">
        <f t="shared" si="70"/>
        <v>0</v>
      </c>
      <c r="AA74" s="1471">
        <f t="shared" si="71"/>
        <v>0</v>
      </c>
      <c r="AB74" s="937">
        <f t="shared" si="72"/>
        <v>0</v>
      </c>
      <c r="AC74" s="899">
        <f t="shared" si="73"/>
        <v>0</v>
      </c>
      <c r="AD74" s="1830">
        <f>'[32]Oct midyear JS Clark Academy'!P73</f>
        <v>0</v>
      </c>
      <c r="AE74" s="899">
        <f t="shared" si="74"/>
        <v>0</v>
      </c>
      <c r="AF74" s="1829">
        <f>'[4]Table 5C1G-JS Clark Academy'!T73+'[27]Table 5C1G-JS Clark Academy'!AF73+('[26]Table 5C1G-JS Clark Academy'!AF73*6)</f>
        <v>0</v>
      </c>
      <c r="AG74" s="1838">
        <f t="shared" si="75"/>
        <v>0</v>
      </c>
      <c r="AH74" s="1521">
        <f t="shared" si="76"/>
        <v>0</v>
      </c>
      <c r="AI74" s="900">
        <f t="shared" si="56"/>
        <v>0</v>
      </c>
      <c r="AJ74" s="900">
        <f t="shared" si="77"/>
        <v>0</v>
      </c>
      <c r="AL74" s="49">
        <f>-'[4]Table 5C1G-JS Clark Academy'!P73</f>
        <v>0</v>
      </c>
      <c r="AM74" s="49">
        <f t="shared" si="78"/>
        <v>0</v>
      </c>
      <c r="AN74" s="49">
        <f t="shared" si="79"/>
        <v>0</v>
      </c>
    </row>
    <row r="75" spans="1:40">
      <c r="A75" s="876">
        <v>68</v>
      </c>
      <c r="B75" s="877" t="s">
        <v>30</v>
      </c>
      <c r="C75" s="972">
        <f>'2-1-13 SIS'!P74</f>
        <v>0</v>
      </c>
      <c r="D75" s="882">
        <f>'Table 3 Levels 1&amp;2'!AL75</f>
        <v>6077.2398733698947</v>
      </c>
      <c r="E75" s="921">
        <f t="shared" si="59"/>
        <v>0</v>
      </c>
      <c r="F75" s="921">
        <f>'Table 4 Level 3'!P73</f>
        <v>798.7</v>
      </c>
      <c r="G75" s="921">
        <f t="shared" si="60"/>
        <v>0</v>
      </c>
      <c r="H75" s="905">
        <f t="shared" si="61"/>
        <v>0</v>
      </c>
      <c r="I75" s="1740">
        <f>+'[3]Oct midyear JS Clark Academy'!K74</f>
        <v>0</v>
      </c>
      <c r="J75" s="1740">
        <f>'[3]Feb midyear JS Clark Academy'!K74</f>
        <v>0</v>
      </c>
      <c r="K75" s="1686">
        <f t="shared" si="62"/>
        <v>0</v>
      </c>
      <c r="L75" s="1474">
        <f t="shared" si="57"/>
        <v>0</v>
      </c>
      <c r="M75" s="931">
        <f t="shared" si="63"/>
        <v>0</v>
      </c>
      <c r="N75" s="905">
        <f t="shared" si="64"/>
        <v>0</v>
      </c>
      <c r="O75" s="882">
        <f>'[32]Oct midyear JS Clark Academy'!K74</f>
        <v>0</v>
      </c>
      <c r="P75" s="1552">
        <f t="shared" si="65"/>
        <v>0</v>
      </c>
      <c r="Q75" s="1718">
        <f>'[4]Table 5C1G-JS Clark Academy'!M74+'[27]Table 5C1G-JS Clark Academy'!T74+('[26]Table 5C1G-JS Clark Academy'!T74*6)</f>
        <v>0</v>
      </c>
      <c r="R75" s="1740">
        <f t="shared" si="66"/>
        <v>0</v>
      </c>
      <c r="S75" s="998">
        <f t="shared" si="67"/>
        <v>0</v>
      </c>
      <c r="T75" s="1802">
        <f>'Table 5C1A-Madison Prep'!T75</f>
        <v>2927</v>
      </c>
      <c r="U75" s="1555">
        <f t="shared" si="58"/>
        <v>0</v>
      </c>
      <c r="V75" s="1777">
        <f>+'[3]Oct midyear JS Clark Academy'!E74</f>
        <v>0</v>
      </c>
      <c r="W75" s="1778">
        <f t="shared" si="68"/>
        <v>0</v>
      </c>
      <c r="X75" s="1758">
        <f>'[3]Feb midyear JS Clark Academy'!E74</f>
        <v>0</v>
      </c>
      <c r="Y75" s="1759">
        <f t="shared" si="69"/>
        <v>0</v>
      </c>
      <c r="Z75" s="1653">
        <f t="shared" si="70"/>
        <v>0</v>
      </c>
      <c r="AA75" s="1471">
        <f t="shared" si="71"/>
        <v>0</v>
      </c>
      <c r="AB75" s="937">
        <f t="shared" si="72"/>
        <v>0</v>
      </c>
      <c r="AC75" s="899">
        <f t="shared" si="73"/>
        <v>0</v>
      </c>
      <c r="AD75" s="1830">
        <f>'[32]Oct midyear JS Clark Academy'!P74</f>
        <v>0</v>
      </c>
      <c r="AE75" s="899">
        <f t="shared" si="74"/>
        <v>0</v>
      </c>
      <c r="AF75" s="1829">
        <f>'[4]Table 5C1G-JS Clark Academy'!T74+'[27]Table 5C1G-JS Clark Academy'!AF74+('[26]Table 5C1G-JS Clark Academy'!AF74*6)</f>
        <v>0</v>
      </c>
      <c r="AG75" s="1838">
        <f t="shared" si="75"/>
        <v>0</v>
      </c>
      <c r="AH75" s="1521">
        <f t="shared" si="76"/>
        <v>0</v>
      </c>
      <c r="AI75" s="900">
        <f t="shared" si="56"/>
        <v>0</v>
      </c>
      <c r="AJ75" s="900">
        <f t="shared" si="77"/>
        <v>0</v>
      </c>
      <c r="AL75" s="49">
        <f>-'[4]Table 5C1G-JS Clark Academy'!P74</f>
        <v>0</v>
      </c>
      <c r="AM75" s="49">
        <f t="shared" si="78"/>
        <v>0</v>
      </c>
      <c r="AN75" s="49">
        <f t="shared" si="79"/>
        <v>0</v>
      </c>
    </row>
    <row r="76" spans="1:40">
      <c r="A76" s="885">
        <v>69</v>
      </c>
      <c r="B76" s="886" t="s">
        <v>205</v>
      </c>
      <c r="C76" s="975">
        <f>'2-1-13 SIS'!P75</f>
        <v>0</v>
      </c>
      <c r="D76" s="887">
        <f>'Table 3 Levels 1&amp;2'!AL76</f>
        <v>5585.8253106686579</v>
      </c>
      <c r="E76" s="924">
        <f t="shared" si="59"/>
        <v>0</v>
      </c>
      <c r="F76" s="924">
        <f>'Table 4 Level 3'!P74</f>
        <v>705.67</v>
      </c>
      <c r="G76" s="924">
        <f t="shared" si="60"/>
        <v>0</v>
      </c>
      <c r="H76" s="908">
        <f t="shared" si="61"/>
        <v>0</v>
      </c>
      <c r="I76" s="1742">
        <f>+'[3]Oct midyear JS Clark Academy'!K75</f>
        <v>0</v>
      </c>
      <c r="J76" s="1742">
        <f>'[3]Feb midyear JS Clark Academy'!K75</f>
        <v>0</v>
      </c>
      <c r="K76" s="1688">
        <f t="shared" si="62"/>
        <v>0</v>
      </c>
      <c r="L76" s="1477">
        <f t="shared" si="57"/>
        <v>0</v>
      </c>
      <c r="M76" s="934">
        <f t="shared" si="63"/>
        <v>0</v>
      </c>
      <c r="N76" s="908">
        <f t="shared" si="64"/>
        <v>0</v>
      </c>
      <c r="O76" s="887">
        <f>'[32]Oct midyear JS Clark Academy'!K75</f>
        <v>0</v>
      </c>
      <c r="P76" s="1554">
        <f t="shared" si="65"/>
        <v>0</v>
      </c>
      <c r="Q76" s="1718">
        <f>'[4]Table 5C1G-JS Clark Academy'!M75+'[27]Table 5C1G-JS Clark Academy'!T75+('[26]Table 5C1G-JS Clark Academy'!T75*6)</f>
        <v>0</v>
      </c>
      <c r="R76" s="1742">
        <f t="shared" si="66"/>
        <v>0</v>
      </c>
      <c r="S76" s="998">
        <f t="shared" si="67"/>
        <v>0</v>
      </c>
      <c r="T76" s="1802">
        <f>'Table 5C1A-Madison Prep'!T76</f>
        <v>3404</v>
      </c>
      <c r="U76" s="1557">
        <f t="shared" si="58"/>
        <v>0</v>
      </c>
      <c r="V76" s="1781">
        <f>+'[3]Oct midyear JS Clark Academy'!E75</f>
        <v>0</v>
      </c>
      <c r="W76" s="1782">
        <f t="shared" si="68"/>
        <v>0</v>
      </c>
      <c r="X76" s="1766">
        <f>'[3]Feb midyear JS Clark Academy'!E75</f>
        <v>0</v>
      </c>
      <c r="Y76" s="1767">
        <f t="shared" si="69"/>
        <v>0</v>
      </c>
      <c r="Z76" s="1655">
        <f t="shared" si="70"/>
        <v>0</v>
      </c>
      <c r="AA76" s="1478">
        <f t="shared" si="71"/>
        <v>0</v>
      </c>
      <c r="AB76" s="939">
        <f t="shared" si="72"/>
        <v>0</v>
      </c>
      <c r="AC76" s="909">
        <f t="shared" si="73"/>
        <v>0</v>
      </c>
      <c r="AD76" s="1832">
        <f>'[32]Oct midyear JS Clark Academy'!P75</f>
        <v>0</v>
      </c>
      <c r="AE76" s="909">
        <f t="shared" si="74"/>
        <v>0</v>
      </c>
      <c r="AF76" s="1829">
        <f>'[4]Table 5C1G-JS Clark Academy'!T75+'[27]Table 5C1G-JS Clark Academy'!AF75+('[26]Table 5C1G-JS Clark Academy'!AF75*6)</f>
        <v>0</v>
      </c>
      <c r="AG76" s="1840">
        <f t="shared" si="75"/>
        <v>0</v>
      </c>
      <c r="AH76" s="1521">
        <f t="shared" si="76"/>
        <v>0</v>
      </c>
      <c r="AI76" s="910">
        <f t="shared" si="56"/>
        <v>0</v>
      </c>
      <c r="AJ76" s="910">
        <f t="shared" si="77"/>
        <v>0</v>
      </c>
      <c r="AL76" s="49">
        <f>-'[4]Table 5C1G-JS Clark Academy'!P75</f>
        <v>0</v>
      </c>
      <c r="AM76" s="49">
        <f t="shared" si="78"/>
        <v>0</v>
      </c>
      <c r="AN76" s="49">
        <f t="shared" si="79"/>
        <v>0</v>
      </c>
    </row>
    <row r="77" spans="1:40" ht="13.5" thickBot="1">
      <c r="A77" s="888"/>
      <c r="B77" s="889" t="s">
        <v>157</v>
      </c>
      <c r="C77" s="890">
        <f>SUM(C8:C76)</f>
        <v>168</v>
      </c>
      <c r="D77" s="891"/>
      <c r="E77" s="925">
        <f>SUM(E8:E76)</f>
        <v>810893.61536840198</v>
      </c>
      <c r="F77" s="925">
        <f>'Table 4 Level 3'!P75</f>
        <v>704.49059912051428</v>
      </c>
      <c r="G77" s="925">
        <f t="shared" ref="G77:R77" si="80">SUM(G8:G76)</f>
        <v>96625.87999999999</v>
      </c>
      <c r="H77" s="892">
        <f t="shared" si="80"/>
        <v>907519.49536840199</v>
      </c>
      <c r="I77" s="1743">
        <f t="shared" si="80"/>
        <v>153065.75901011607</v>
      </c>
      <c r="J77" s="1743">
        <f t="shared" si="80"/>
        <v>-776.78990659246892</v>
      </c>
      <c r="K77" s="1689">
        <f t="shared" si="80"/>
        <v>152288.96910352359</v>
      </c>
      <c r="L77" s="1468">
        <f t="shared" si="80"/>
        <v>1059808.4644719257</v>
      </c>
      <c r="M77" s="935">
        <f t="shared" si="80"/>
        <v>-2649.5211611798145</v>
      </c>
      <c r="N77" s="892">
        <f t="shared" si="80"/>
        <v>1057158.9433107458</v>
      </c>
      <c r="O77" s="891">
        <f t="shared" si="80"/>
        <v>5393.6121863971766</v>
      </c>
      <c r="P77" s="997">
        <f t="shared" si="80"/>
        <v>1062552.555497143</v>
      </c>
      <c r="Q77" s="1725">
        <f t="shared" si="80"/>
        <v>741648.97058127692</v>
      </c>
      <c r="R77" s="1725">
        <f t="shared" si="80"/>
        <v>320903.58491586614</v>
      </c>
      <c r="S77" s="997">
        <f>SUM(S8:S76)</f>
        <v>80226</v>
      </c>
      <c r="T77" s="1812">
        <f>'Table 5C1A-Madison Prep'!T77</f>
        <v>4626</v>
      </c>
      <c r="U77" s="1000">
        <f t="shared" ref="U77:AJ77" si="81">SUM(U8:U76)</f>
        <v>406781</v>
      </c>
      <c r="V77" s="1783">
        <f t="shared" si="81"/>
        <v>28</v>
      </c>
      <c r="W77" s="1784">
        <f t="shared" si="81"/>
        <v>64011</v>
      </c>
      <c r="X77" s="1770">
        <f t="shared" si="81"/>
        <v>0</v>
      </c>
      <c r="Y77" s="1771">
        <f t="shared" si="81"/>
        <v>1622.5</v>
      </c>
      <c r="Z77" s="1665">
        <f t="shared" si="81"/>
        <v>65633.5</v>
      </c>
      <c r="AA77" s="1800">
        <f t="shared" si="81"/>
        <v>472414.5</v>
      </c>
      <c r="AB77" s="940">
        <f t="shared" si="81"/>
        <v>-1181.0362499999999</v>
      </c>
      <c r="AC77" s="1000">
        <f t="shared" si="81"/>
        <v>471233.46375</v>
      </c>
      <c r="AD77" s="1828">
        <f t="shared" si="81"/>
        <v>2345</v>
      </c>
      <c r="AE77" s="1000">
        <f t="shared" si="81"/>
        <v>473578.46375</v>
      </c>
      <c r="AF77" s="1828">
        <f t="shared" si="81"/>
        <v>313611.23415151518</v>
      </c>
      <c r="AG77" s="1828">
        <f t="shared" si="81"/>
        <v>159967.22959848485</v>
      </c>
      <c r="AH77" s="1000">
        <f t="shared" si="81"/>
        <v>39992</v>
      </c>
      <c r="AI77" s="894">
        <f t="shared" si="81"/>
        <v>1536131.0192471431</v>
      </c>
      <c r="AJ77" s="894">
        <f t="shared" si="81"/>
        <v>120218</v>
      </c>
      <c r="AL77" s="49">
        <f t="shared" ref="AL77:AM77" si="82">SUM(AL8:AL76)</f>
        <v>968.22249999999997</v>
      </c>
      <c r="AM77" s="49">
        <f t="shared" si="82"/>
        <v>-1181.0362499999999</v>
      </c>
      <c r="AN77" s="49">
        <f>SUM(AN8:AN76)</f>
        <v>-212.81374999999997</v>
      </c>
    </row>
    <row r="78" spans="1:40" ht="9" customHeight="1" thickTop="1"/>
    <row r="79" spans="1:40" hidden="1"/>
    <row r="80" spans="1:40" hidden="1">
      <c r="N80" s="49">
        <f>-'[4]Table 5C1G-JS Clark Academy'!$I$76</f>
        <v>2268.7987384210051</v>
      </c>
    </row>
    <row r="81" spans="14:14" hidden="1">
      <c r="N81" s="49">
        <f>M77</f>
        <v>-2649.5211611798145</v>
      </c>
    </row>
    <row r="82" spans="14:14" hidden="1">
      <c r="N82" s="49">
        <f>SUM(N80:N81)</f>
        <v>-380.72242275880944</v>
      </c>
    </row>
    <row r="83" spans="14:14" hidden="1"/>
  </sheetData>
  <mergeCells count="30">
    <mergeCell ref="A2:B5"/>
    <mergeCell ref="C2:S2"/>
    <mergeCell ref="T2:AH2"/>
    <mergeCell ref="AI2:AI5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AA4:AA5"/>
    <mergeCell ref="K4:K5"/>
    <mergeCell ref="L4:L5"/>
    <mergeCell ref="P4:P5"/>
    <mergeCell ref="S4:S5"/>
    <mergeCell ref="T4:T5"/>
    <mergeCell ref="I4:I5"/>
    <mergeCell ref="J4:J5"/>
    <mergeCell ref="V4:V5"/>
    <mergeCell ref="W4:W5"/>
    <mergeCell ref="I3:K3"/>
    <mergeCell ref="V3:Z3"/>
    <mergeCell ref="X4:X5"/>
    <mergeCell ref="Y4:Y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5C1-G: FY2013-14 MFP Budget Letter (March 2014) 
J.S. Clark Leadership Academy</oddHeader>
    <oddFooter>&amp;R&amp;P</oddFooter>
  </headerFooter>
  <colBreaks count="3" manualBreakCount="3">
    <brk id="12" max="1048575" man="1"/>
    <brk id="19" max="1048575" man="1"/>
    <brk id="31" min="1" max="7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80" zoomScaleNormal="100" zoomScaleSheetLayoutView="80" workbookViewId="0">
      <pane xSplit="2" ySplit="7" topLeftCell="C8" activePane="bottomRight" state="frozen"/>
      <selection activeCell="AL6" sqref="AL6"/>
      <selection pane="topRight" activeCell="AL6" sqref="AL6"/>
      <selection pane="bottomLeft" activeCell="AL6" sqref="AL6"/>
      <selection pane="bottomRight"/>
    </sheetView>
  </sheetViews>
  <sheetFormatPr defaultRowHeight="12.75"/>
  <cols>
    <col min="1" max="1" width="4.28515625" customWidth="1"/>
    <col min="2" max="2" width="17.85546875" customWidth="1"/>
    <col min="3" max="3" width="13.7109375" customWidth="1"/>
    <col min="4" max="4" width="14" customWidth="1"/>
    <col min="5" max="5" width="10.7109375" customWidth="1"/>
    <col min="6" max="6" width="13" customWidth="1"/>
    <col min="7" max="7" width="13.42578125" customWidth="1"/>
    <col min="8" max="8" width="12.85546875" customWidth="1"/>
    <col min="9" max="9" width="12.5703125" style="1464" customWidth="1"/>
    <col min="10" max="10" width="13.28515625" style="1464" bestFit="1" customWidth="1"/>
    <col min="11" max="11" width="12.5703125" style="1464" customWidth="1"/>
    <col min="12" max="12" width="15.140625" style="1464" customWidth="1"/>
    <col min="13" max="13" width="12.28515625" customWidth="1"/>
    <col min="14" max="14" width="13.140625" customWidth="1"/>
    <col min="15" max="15" width="13.42578125" bestFit="1" customWidth="1"/>
    <col min="16" max="16" width="14.7109375" customWidth="1"/>
    <col min="17" max="18" width="14" style="1464" customWidth="1"/>
    <col min="19" max="19" width="10.7109375" customWidth="1"/>
    <col min="20" max="20" width="11.5703125" customWidth="1"/>
    <col min="21" max="21" width="10.7109375" customWidth="1"/>
    <col min="22" max="26" width="12" style="1464" customWidth="1"/>
    <col min="27" max="27" width="13" style="1464" customWidth="1"/>
    <col min="28" max="28" width="12.5703125" customWidth="1"/>
    <col min="29" max="29" width="13" customWidth="1"/>
    <col min="30" max="30" width="13.28515625" customWidth="1"/>
    <col min="31" max="31" width="13" customWidth="1"/>
    <col min="32" max="33" width="13.140625" style="1464" customWidth="1"/>
    <col min="34" max="34" width="12" customWidth="1"/>
    <col min="35" max="35" width="11" customWidth="1"/>
    <col min="36" max="36" width="12.140625" customWidth="1"/>
    <col min="37" max="37" width="2.42578125" customWidth="1"/>
    <col min="38" max="38" width="9.140625" style="49" hidden="1" customWidth="1"/>
    <col min="39" max="39" width="10" style="49" hidden="1" customWidth="1"/>
    <col min="40" max="40" width="9.140625" style="49" hidden="1" customWidth="1"/>
  </cols>
  <sheetData>
    <row r="1" spans="1:40">
      <c r="C1" s="271"/>
      <c r="D1" s="271"/>
      <c r="E1" s="271"/>
      <c r="F1" s="271"/>
      <c r="G1" s="271"/>
      <c r="H1" s="271"/>
      <c r="I1" s="1465"/>
      <c r="J1" s="1465"/>
      <c r="K1" s="1465"/>
      <c r="L1" s="1465"/>
      <c r="M1" s="271"/>
      <c r="N1" s="271"/>
      <c r="O1" s="271"/>
      <c r="P1" s="271"/>
      <c r="Q1" s="1465"/>
      <c r="R1" s="1465"/>
      <c r="S1" s="271"/>
    </row>
    <row r="2" spans="1:40" ht="45" customHeight="1">
      <c r="A2" s="2324" t="s">
        <v>455</v>
      </c>
      <c r="B2" s="2325"/>
      <c r="C2" s="2343" t="s">
        <v>543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20"/>
      <c r="W2" s="2320"/>
      <c r="X2" s="2320"/>
      <c r="Y2" s="2320"/>
      <c r="Z2" s="2320"/>
      <c r="AA2" s="2320"/>
      <c r="AB2" s="2318"/>
      <c r="AC2" s="2318"/>
      <c r="AD2" s="2318"/>
      <c r="AE2" s="2318"/>
      <c r="AF2" s="2320"/>
      <c r="AG2" s="2320"/>
      <c r="AH2" s="2321"/>
      <c r="AI2" s="2307" t="s">
        <v>545</v>
      </c>
      <c r="AJ2" s="2307" t="s">
        <v>527</v>
      </c>
    </row>
    <row r="3" spans="1:40" s="1464" customFormat="1" ht="27" customHeight="1">
      <c r="A3" s="2326"/>
      <c r="B3" s="2327"/>
      <c r="C3" s="1585"/>
      <c r="D3" s="1579"/>
      <c r="E3" s="1579"/>
      <c r="F3" s="1579"/>
      <c r="G3" s="1579"/>
      <c r="H3" s="1579"/>
      <c r="I3" s="2373" t="s">
        <v>772</v>
      </c>
      <c r="J3" s="2374"/>
      <c r="K3" s="2375"/>
      <c r="L3" s="1579"/>
      <c r="M3" s="1579"/>
      <c r="N3" s="1579"/>
      <c r="O3" s="1579"/>
      <c r="P3" s="1579"/>
      <c r="Q3" s="1579"/>
      <c r="R3" s="1579"/>
      <c r="S3" s="1580"/>
      <c r="T3" s="1584"/>
      <c r="U3" s="1582"/>
      <c r="V3" s="2376" t="s">
        <v>772</v>
      </c>
      <c r="W3" s="2377"/>
      <c r="X3" s="2377"/>
      <c r="Y3" s="2377"/>
      <c r="Z3" s="2378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  <c r="AL3" s="49"/>
      <c r="AM3" s="49"/>
      <c r="AN3" s="49"/>
    </row>
    <row r="4" spans="1:40" ht="135" customHeight="1">
      <c r="A4" s="2328"/>
      <c r="B4" s="2327"/>
      <c r="C4" s="2311" t="s">
        <v>825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35" t="s">
        <v>784</v>
      </c>
      <c r="J4" s="2335" t="s">
        <v>785</v>
      </c>
      <c r="K4" s="2335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75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75" t="s">
        <v>808</v>
      </c>
      <c r="AC4" s="2314" t="s">
        <v>805</v>
      </c>
      <c r="AD4" s="2314" t="s">
        <v>794</v>
      </c>
      <c r="AE4" s="2314" t="s">
        <v>806</v>
      </c>
      <c r="AF4" s="1578" t="s">
        <v>807</v>
      </c>
      <c r="AG4" s="1578" t="s">
        <v>795</v>
      </c>
      <c r="AH4" s="1575" t="s">
        <v>540</v>
      </c>
      <c r="AI4" s="2309"/>
      <c r="AJ4" s="2309"/>
    </row>
    <row r="5" spans="1:40" ht="22.15" customHeight="1">
      <c r="A5" s="2329"/>
      <c r="B5" s="2330"/>
      <c r="C5" s="231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76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576"/>
      <c r="AG5" s="1576"/>
      <c r="AH5" s="1576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P6" si="1">E6+1</f>
        <v>4</v>
      </c>
      <c r="G6" s="869">
        <f t="shared" si="1"/>
        <v>5</v>
      </c>
      <c r="H6" s="869">
        <f t="shared" si="1"/>
        <v>6</v>
      </c>
      <c r="I6" s="869">
        <f t="shared" ref="I6" si="2">H6+1</f>
        <v>7</v>
      </c>
      <c r="J6" s="869">
        <f t="shared" ref="J6" si="3">I6+1</f>
        <v>8</v>
      </c>
      <c r="K6" s="869">
        <f t="shared" ref="K6" si="4">J6+1</f>
        <v>9</v>
      </c>
      <c r="L6" s="869">
        <f t="shared" ref="L6" si="5">K6+1</f>
        <v>10</v>
      </c>
      <c r="M6" s="869">
        <f t="shared" ref="M6" si="6">L6+1</f>
        <v>11</v>
      </c>
      <c r="N6" s="869">
        <f t="shared" si="1"/>
        <v>12</v>
      </c>
      <c r="O6" s="869">
        <f t="shared" si="1"/>
        <v>13</v>
      </c>
      <c r="P6" s="869">
        <f t="shared" si="1"/>
        <v>14</v>
      </c>
      <c r="Q6" s="869">
        <f t="shared" ref="Q6" si="7">P6+1</f>
        <v>15</v>
      </c>
      <c r="R6" s="869">
        <f t="shared" ref="R6" si="8">Q6+1</f>
        <v>16</v>
      </c>
      <c r="S6" s="869">
        <f t="shared" ref="S6" si="9">R6+1</f>
        <v>17</v>
      </c>
      <c r="T6" s="869">
        <f t="shared" ref="T6" si="10">S6+1</f>
        <v>18</v>
      </c>
      <c r="U6" s="869">
        <f t="shared" ref="U6" si="11">T6+1</f>
        <v>19</v>
      </c>
      <c r="V6" s="869">
        <f t="shared" ref="V6" si="12">U6+1</f>
        <v>20</v>
      </c>
      <c r="W6" s="869">
        <f t="shared" ref="W6" si="13">V6+1</f>
        <v>21</v>
      </c>
      <c r="X6" s="869">
        <f t="shared" ref="X6" si="14">W6+1</f>
        <v>22</v>
      </c>
      <c r="Y6" s="869">
        <f t="shared" ref="Y6" si="15">X6+1</f>
        <v>23</v>
      </c>
      <c r="Z6" s="869">
        <f t="shared" ref="Z6" si="16">Y6+1</f>
        <v>24</v>
      </c>
      <c r="AA6" s="869">
        <f t="shared" ref="AA6" si="17">Z6+1</f>
        <v>25</v>
      </c>
      <c r="AB6" s="869">
        <f t="shared" ref="AB6" si="18">AA6+1</f>
        <v>26</v>
      </c>
      <c r="AC6" s="869">
        <f t="shared" ref="AC6" si="19">AB6+1</f>
        <v>27</v>
      </c>
      <c r="AD6" s="869">
        <f t="shared" ref="AD6" si="20">AC6+1</f>
        <v>28</v>
      </c>
      <c r="AE6" s="869">
        <f t="shared" ref="AE6" si="21">AD6+1</f>
        <v>29</v>
      </c>
      <c r="AF6" s="869">
        <f t="shared" ref="AF6" si="22">AE6+1</f>
        <v>30</v>
      </c>
      <c r="AG6" s="869">
        <f t="shared" ref="AG6" si="23">AF6+1</f>
        <v>31</v>
      </c>
      <c r="AH6" s="869">
        <f t="shared" ref="AH6" si="24">AG6+1</f>
        <v>32</v>
      </c>
      <c r="AI6" s="869">
        <f t="shared" ref="AI6" si="25">AH6+1</f>
        <v>33</v>
      </c>
      <c r="AJ6" s="869">
        <f t="shared" ref="AJ6" si="26">AI6+1</f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535"/>
      <c r="J7" s="1535"/>
      <c r="K7" s="1535"/>
      <c r="L7" s="1535"/>
      <c r="M7" s="896"/>
      <c r="N7" s="896"/>
      <c r="O7" s="896"/>
      <c r="P7" s="896"/>
      <c r="Q7" s="1535"/>
      <c r="R7" s="1535"/>
      <c r="S7" s="896"/>
      <c r="T7" s="896"/>
      <c r="U7" s="896"/>
      <c r="V7" s="1535"/>
      <c r="W7" s="1535"/>
      <c r="X7" s="1535"/>
      <c r="Y7" s="1535"/>
      <c r="Z7" s="1535"/>
      <c r="AA7" s="1535"/>
      <c r="AB7" s="896"/>
      <c r="AC7" s="896"/>
      <c r="AD7" s="896"/>
      <c r="AE7" s="896"/>
      <c r="AF7" s="1535"/>
      <c r="AG7" s="1535"/>
      <c r="AH7" s="896"/>
      <c r="AI7" s="896"/>
      <c r="AJ7" s="896"/>
      <c r="AL7" s="2041" t="s">
        <v>945</v>
      </c>
      <c r="AM7" s="2038" t="s">
        <v>946</v>
      </c>
      <c r="AN7" s="2038" t="s">
        <v>947</v>
      </c>
    </row>
    <row r="8" spans="1:40">
      <c r="A8" s="870">
        <v>1</v>
      </c>
      <c r="B8" s="871" t="s">
        <v>92</v>
      </c>
      <c r="C8" s="971">
        <f>'2-1-13 SIS'!G7</f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Southwest LA Chtr'!K7</f>
        <v>0</v>
      </c>
      <c r="J8" s="1718">
        <f>'[3]Feb midyear Southwest LA Ch '!K7</f>
        <v>0</v>
      </c>
      <c r="K8" s="1542">
        <f>+I8+J8</f>
        <v>0</v>
      </c>
      <c r="L8" s="1520">
        <f>+H8+K8</f>
        <v>0</v>
      </c>
      <c r="M8" s="928">
        <f>-(0.25%*L8)</f>
        <v>0</v>
      </c>
      <c r="N8" s="873">
        <f>SUM(L8:M8)</f>
        <v>0</v>
      </c>
      <c r="O8" s="872">
        <v>0</v>
      </c>
      <c r="P8" s="998">
        <f>SUM(N8:O8)</f>
        <v>0</v>
      </c>
      <c r="Q8" s="1718">
        <f>+'[4]Table 5C1H-Southwest LA Charter'!M7*8</f>
        <v>0</v>
      </c>
      <c r="R8" s="1718">
        <f>+P8-Q8</f>
        <v>0</v>
      </c>
      <c r="S8" s="998">
        <f>ROUND(R8/4,0)</f>
        <v>0</v>
      </c>
      <c r="T8" s="1802">
        <f>'Table 5C1A-Madison Prep'!T8</f>
        <v>2180</v>
      </c>
      <c r="U8" s="999">
        <f>C8*T8</f>
        <v>0</v>
      </c>
      <c r="V8" s="1754">
        <f>+'[3]Oct midyear Southwest LA Chtr'!E7</f>
        <v>0</v>
      </c>
      <c r="W8" s="1755">
        <f>+T8*V8</f>
        <v>0</v>
      </c>
      <c r="X8" s="1754">
        <f>'[3]Feb midyear Southwest LA Ch '!E7</f>
        <v>0</v>
      </c>
      <c r="Y8" s="1755">
        <f>(T8*X8)*0.5</f>
        <v>0</v>
      </c>
      <c r="Z8" s="1652">
        <f>+W8+Y8</f>
        <v>0</v>
      </c>
      <c r="AA8" s="1521">
        <f>+Z8+U8</f>
        <v>0</v>
      </c>
      <c r="AB8" s="936">
        <f>-(0.25%*AA8)</f>
        <v>0</v>
      </c>
      <c r="AC8" s="874">
        <f>SUM(AA8:AB8)</f>
        <v>0</v>
      </c>
      <c r="AD8" s="1829">
        <v>0</v>
      </c>
      <c r="AE8" s="874">
        <f>SUM(AC8:AD8)</f>
        <v>0</v>
      </c>
      <c r="AF8" s="1829">
        <f>+'[4]Table 5C1H-Southwest LA Charter'!T7*8</f>
        <v>0</v>
      </c>
      <c r="AG8" s="1829">
        <f>+AE8-AF8</f>
        <v>0</v>
      </c>
      <c r="AH8" s="874">
        <f>ROUND(AG8/4,0)</f>
        <v>0</v>
      </c>
      <c r="AI8" s="875">
        <f t="shared" ref="AI8:AI39" si="27">P8+AE8</f>
        <v>0</v>
      </c>
      <c r="AJ8" s="875">
        <f>S8+AH8</f>
        <v>0</v>
      </c>
      <c r="AL8" s="49">
        <f>-'[4]Table 5C1H-Southwest LA Charter'!P7</f>
        <v>0</v>
      </c>
      <c r="AM8" s="49">
        <f>AB8</f>
        <v>0</v>
      </c>
      <c r="AN8" s="49">
        <f>SUM(AL8:AM8)</f>
        <v>0</v>
      </c>
    </row>
    <row r="9" spans="1:40">
      <c r="A9" s="876">
        <v>2</v>
      </c>
      <c r="B9" s="877" t="s">
        <v>93</v>
      </c>
      <c r="C9" s="969">
        <f>'2-1-13 SIS'!G8</f>
        <v>0</v>
      </c>
      <c r="D9" s="878">
        <f>'Table 3 Levels 1&amp;2'!AL9</f>
        <v>6182.4313545138375</v>
      </c>
      <c r="E9" s="919">
        <f t="shared" ref="E9:E72" si="28">C9*D9</f>
        <v>0</v>
      </c>
      <c r="F9" s="919">
        <f>'Table 4 Level 3'!P7</f>
        <v>842.32</v>
      </c>
      <c r="G9" s="919">
        <f t="shared" ref="G9:G72" si="29">C9*F9</f>
        <v>0</v>
      </c>
      <c r="H9" s="898">
        <f t="shared" ref="H9:H72" si="30">E9+G9</f>
        <v>0</v>
      </c>
      <c r="I9" s="1732">
        <f>+'[3]Oct midyear Southwest LA Chtr'!K8</f>
        <v>0</v>
      </c>
      <c r="J9" s="1732">
        <f>'[3]Feb midyear Southwest LA Ch '!K8</f>
        <v>0</v>
      </c>
      <c r="K9" s="1543">
        <f t="shared" ref="K9:K72" si="31">+I9+J9</f>
        <v>0</v>
      </c>
      <c r="L9" s="1485">
        <f t="shared" ref="L9:L72" si="32">+H9+K9</f>
        <v>0</v>
      </c>
      <c r="M9" s="929">
        <f t="shared" ref="M9:M72" si="33">-(0.25%*L9)</f>
        <v>0</v>
      </c>
      <c r="N9" s="898">
        <f t="shared" ref="N9:N72" si="34">SUM(L9:M9)</f>
        <v>0</v>
      </c>
      <c r="O9" s="878">
        <v>0</v>
      </c>
      <c r="P9" s="1550">
        <f t="shared" ref="P9:P72" si="35">SUM(N9:O9)</f>
        <v>0</v>
      </c>
      <c r="Q9" s="1732">
        <f>+'[4]Table 5C1H-Southwest LA Charter'!M8*8</f>
        <v>0</v>
      </c>
      <c r="R9" s="1732">
        <f t="shared" ref="R9:R72" si="36">+P9-Q9</f>
        <v>0</v>
      </c>
      <c r="S9" s="1550">
        <f t="shared" ref="S9:S72" si="37">ROUND(R9/4,0)</f>
        <v>0</v>
      </c>
      <c r="T9" s="1802">
        <f>'Table 5C1A-Madison Prep'!T9</f>
        <v>2759</v>
      </c>
      <c r="U9" s="1555">
        <f t="shared" ref="U9:U72" si="38">C9*T9</f>
        <v>0</v>
      </c>
      <c r="V9" s="1758">
        <f>+'[3]Oct midyear Southwest LA Chtr'!E8</f>
        <v>0</v>
      </c>
      <c r="W9" s="1759">
        <f t="shared" ref="W9:W72" si="39">+T9*V9</f>
        <v>0</v>
      </c>
      <c r="X9" s="1758">
        <f>'[3]Feb midyear Southwest LA Ch '!E8</f>
        <v>0</v>
      </c>
      <c r="Y9" s="1759">
        <f t="shared" ref="Y9:Y72" si="40">(T9*X9)*0.5</f>
        <v>0</v>
      </c>
      <c r="Z9" s="1653">
        <f t="shared" ref="Z9:Z72" si="41">+W9+Y9</f>
        <v>0</v>
      </c>
      <c r="AA9" s="1486">
        <f t="shared" ref="AA9:AA72" si="42">+Z9+U9</f>
        <v>0</v>
      </c>
      <c r="AB9" s="937">
        <f t="shared" ref="AB9:AB72" si="43">-(0.25%*AA9)</f>
        <v>0</v>
      </c>
      <c r="AC9" s="899">
        <f t="shared" ref="AC9:AC72" si="44">SUM(AA9:AB9)</f>
        <v>0</v>
      </c>
      <c r="AD9" s="1830">
        <v>0</v>
      </c>
      <c r="AE9" s="899">
        <f t="shared" ref="AE9:AE72" si="45">SUM(AC9:AD9)</f>
        <v>0</v>
      </c>
      <c r="AF9" s="1834">
        <f>+'[4]Table 5C1H-Southwest LA Charter'!T8*8</f>
        <v>0</v>
      </c>
      <c r="AG9" s="1834">
        <f t="shared" ref="AG9:AG72" si="46">+AE9-AF9</f>
        <v>0</v>
      </c>
      <c r="AH9" s="899">
        <f t="shared" ref="AH9:AH72" si="47">ROUND(AG9/4,0)</f>
        <v>0</v>
      </c>
      <c r="AI9" s="900">
        <f t="shared" si="27"/>
        <v>0</v>
      </c>
      <c r="AJ9" s="900">
        <f t="shared" ref="AJ9:AJ72" si="48">S9+AH9</f>
        <v>0</v>
      </c>
      <c r="AL9" s="49">
        <f>-'[4]Table 5C1H-Southwest LA Charter'!P8</f>
        <v>0</v>
      </c>
      <c r="AM9" s="49">
        <f t="shared" ref="AM9:AM72" si="49">AB9</f>
        <v>0</v>
      </c>
      <c r="AN9" s="49">
        <f t="shared" ref="AN9:AN72" si="50">SUM(AL9:AM9)</f>
        <v>0</v>
      </c>
    </row>
    <row r="10" spans="1:40">
      <c r="A10" s="876">
        <v>3</v>
      </c>
      <c r="B10" s="877" t="s">
        <v>94</v>
      </c>
      <c r="C10" s="969">
        <f>'2-1-13 SIS'!G9</f>
        <v>0</v>
      </c>
      <c r="D10" s="878">
        <f>'Table 3 Levels 1&amp;2'!AL10</f>
        <v>4206.710737685361</v>
      </c>
      <c r="E10" s="919">
        <f t="shared" si="28"/>
        <v>0</v>
      </c>
      <c r="F10" s="919">
        <f>'Table 4 Level 3'!P8</f>
        <v>596.84</v>
      </c>
      <c r="G10" s="919">
        <f t="shared" si="29"/>
        <v>0</v>
      </c>
      <c r="H10" s="898">
        <f t="shared" si="30"/>
        <v>0</v>
      </c>
      <c r="I10" s="1732">
        <f>+'[3]Oct midyear Southwest LA Chtr'!K9</f>
        <v>0</v>
      </c>
      <c r="J10" s="1732">
        <f>'[3]Feb midyear Southwest LA Ch '!K9</f>
        <v>0</v>
      </c>
      <c r="K10" s="1543">
        <f t="shared" si="31"/>
        <v>0</v>
      </c>
      <c r="L10" s="1485">
        <f t="shared" si="32"/>
        <v>0</v>
      </c>
      <c r="M10" s="929">
        <f t="shared" si="33"/>
        <v>0</v>
      </c>
      <c r="N10" s="898">
        <f t="shared" si="34"/>
        <v>0</v>
      </c>
      <c r="O10" s="878">
        <v>0</v>
      </c>
      <c r="P10" s="1550">
        <f t="shared" si="35"/>
        <v>0</v>
      </c>
      <c r="Q10" s="1732">
        <f>+'[4]Table 5C1H-Southwest LA Charter'!M9*8</f>
        <v>0</v>
      </c>
      <c r="R10" s="1732">
        <f t="shared" si="36"/>
        <v>0</v>
      </c>
      <c r="S10" s="1550">
        <f t="shared" si="37"/>
        <v>0</v>
      </c>
      <c r="T10" s="1802">
        <f>'Table 5C1A-Madison Prep'!T10</f>
        <v>5538</v>
      </c>
      <c r="U10" s="1555">
        <f t="shared" si="38"/>
        <v>0</v>
      </c>
      <c r="V10" s="1758">
        <f>+'[3]Oct midyear Southwest LA Chtr'!E9</f>
        <v>0</v>
      </c>
      <c r="W10" s="1759">
        <f t="shared" si="39"/>
        <v>0</v>
      </c>
      <c r="X10" s="1758">
        <f>'[3]Feb midyear Southwest LA Ch '!E9</f>
        <v>0</v>
      </c>
      <c r="Y10" s="1759">
        <f t="shared" si="40"/>
        <v>0</v>
      </c>
      <c r="Z10" s="1653">
        <f t="shared" si="41"/>
        <v>0</v>
      </c>
      <c r="AA10" s="1486">
        <f t="shared" si="42"/>
        <v>0</v>
      </c>
      <c r="AB10" s="937">
        <f t="shared" si="43"/>
        <v>0</v>
      </c>
      <c r="AC10" s="899">
        <f t="shared" si="44"/>
        <v>0</v>
      </c>
      <c r="AD10" s="1830">
        <v>0</v>
      </c>
      <c r="AE10" s="899">
        <f t="shared" si="45"/>
        <v>0</v>
      </c>
      <c r="AF10" s="1834">
        <f>+'[4]Table 5C1H-Southwest LA Charter'!T9*8</f>
        <v>0</v>
      </c>
      <c r="AG10" s="1834">
        <f t="shared" si="46"/>
        <v>0</v>
      </c>
      <c r="AH10" s="899">
        <f t="shared" si="47"/>
        <v>0</v>
      </c>
      <c r="AI10" s="900">
        <f t="shared" si="27"/>
        <v>0</v>
      </c>
      <c r="AJ10" s="900">
        <f t="shared" si="48"/>
        <v>0</v>
      </c>
      <c r="AL10" s="49">
        <f>-'[4]Table 5C1H-Southwest LA Charter'!P9</f>
        <v>0</v>
      </c>
      <c r="AM10" s="49">
        <f t="shared" si="49"/>
        <v>0</v>
      </c>
      <c r="AN10" s="49">
        <f t="shared" si="50"/>
        <v>0</v>
      </c>
    </row>
    <row r="11" spans="1:40">
      <c r="A11" s="876">
        <v>4</v>
      </c>
      <c r="B11" s="877" t="s">
        <v>95</v>
      </c>
      <c r="C11" s="969">
        <f>'2-1-13 SIS'!G10</f>
        <v>0</v>
      </c>
      <c r="D11" s="878">
        <f>'Table 3 Levels 1&amp;2'!AL11</f>
        <v>5987.4993535453223</v>
      </c>
      <c r="E11" s="919">
        <f t="shared" si="28"/>
        <v>0</v>
      </c>
      <c r="F11" s="919">
        <f>'Table 4 Level 3'!P9</f>
        <v>585.76</v>
      </c>
      <c r="G11" s="919">
        <f t="shared" si="29"/>
        <v>0</v>
      </c>
      <c r="H11" s="898">
        <f t="shared" si="30"/>
        <v>0</v>
      </c>
      <c r="I11" s="1732">
        <f>+'[3]Oct midyear Southwest LA Chtr'!K10</f>
        <v>0</v>
      </c>
      <c r="J11" s="1732">
        <f>'[3]Feb midyear Southwest LA Ch '!K10</f>
        <v>0</v>
      </c>
      <c r="K11" s="1543">
        <f t="shared" si="31"/>
        <v>0</v>
      </c>
      <c r="L11" s="1485">
        <f t="shared" si="32"/>
        <v>0</v>
      </c>
      <c r="M11" s="929">
        <f t="shared" si="33"/>
        <v>0</v>
      </c>
      <c r="N11" s="898">
        <f t="shared" si="34"/>
        <v>0</v>
      </c>
      <c r="O11" s="878">
        <v>0</v>
      </c>
      <c r="P11" s="1550">
        <f t="shared" si="35"/>
        <v>0</v>
      </c>
      <c r="Q11" s="1732">
        <f>+'[4]Table 5C1H-Southwest LA Charter'!M10*8</f>
        <v>0</v>
      </c>
      <c r="R11" s="1732">
        <f t="shared" si="36"/>
        <v>0</v>
      </c>
      <c r="S11" s="1550">
        <f t="shared" si="37"/>
        <v>0</v>
      </c>
      <c r="T11" s="1802">
        <f>'Table 5C1A-Madison Prep'!T11</f>
        <v>3507</v>
      </c>
      <c r="U11" s="1555">
        <f t="shared" si="38"/>
        <v>0</v>
      </c>
      <c r="V11" s="1758">
        <f>+'[3]Oct midyear Southwest LA Chtr'!E10</f>
        <v>0</v>
      </c>
      <c r="W11" s="1759">
        <f t="shared" si="39"/>
        <v>0</v>
      </c>
      <c r="X11" s="1758">
        <f>'[3]Feb midyear Southwest LA Ch '!E10</f>
        <v>0</v>
      </c>
      <c r="Y11" s="1759">
        <f t="shared" si="40"/>
        <v>0</v>
      </c>
      <c r="Z11" s="1653">
        <f t="shared" si="41"/>
        <v>0</v>
      </c>
      <c r="AA11" s="1486">
        <f t="shared" si="42"/>
        <v>0</v>
      </c>
      <c r="AB11" s="937">
        <f t="shared" si="43"/>
        <v>0</v>
      </c>
      <c r="AC11" s="899">
        <f t="shared" si="44"/>
        <v>0</v>
      </c>
      <c r="AD11" s="1830">
        <v>0</v>
      </c>
      <c r="AE11" s="899">
        <f t="shared" si="45"/>
        <v>0</v>
      </c>
      <c r="AF11" s="1834">
        <f>+'[4]Table 5C1H-Southwest LA Charter'!T10*8</f>
        <v>0</v>
      </c>
      <c r="AG11" s="1834">
        <f t="shared" si="46"/>
        <v>0</v>
      </c>
      <c r="AH11" s="899">
        <f t="shared" si="47"/>
        <v>0</v>
      </c>
      <c r="AI11" s="900">
        <f t="shared" si="27"/>
        <v>0</v>
      </c>
      <c r="AJ11" s="900">
        <f t="shared" si="48"/>
        <v>0</v>
      </c>
      <c r="AL11" s="49">
        <f>-'[4]Table 5C1H-Southwest LA Charter'!P10</f>
        <v>0</v>
      </c>
      <c r="AM11" s="49">
        <f t="shared" si="49"/>
        <v>0</v>
      </c>
      <c r="AN11" s="49">
        <f t="shared" si="50"/>
        <v>0</v>
      </c>
    </row>
    <row r="12" spans="1:40">
      <c r="A12" s="879">
        <v>5</v>
      </c>
      <c r="B12" s="880" t="s">
        <v>96</v>
      </c>
      <c r="C12" s="970">
        <f>'2-1-13 SIS'!G11</f>
        <v>0</v>
      </c>
      <c r="D12" s="881">
        <f>'Table 3 Levels 1&amp;2'!AL12</f>
        <v>4986.8166927080074</v>
      </c>
      <c r="E12" s="920">
        <f t="shared" si="28"/>
        <v>0</v>
      </c>
      <c r="F12" s="920">
        <f>'Table 4 Level 3'!P10</f>
        <v>555.91</v>
      </c>
      <c r="G12" s="920">
        <f t="shared" si="29"/>
        <v>0</v>
      </c>
      <c r="H12" s="901">
        <f t="shared" si="30"/>
        <v>0</v>
      </c>
      <c r="I12" s="1733">
        <f>+'[3]Oct midyear Southwest LA Chtr'!K11</f>
        <v>0</v>
      </c>
      <c r="J12" s="1733">
        <f>'[3]Feb midyear Southwest LA Ch '!K11</f>
        <v>0</v>
      </c>
      <c r="K12" s="1544">
        <f t="shared" si="31"/>
        <v>0</v>
      </c>
      <c r="L12" s="1487">
        <f t="shared" si="32"/>
        <v>0</v>
      </c>
      <c r="M12" s="930">
        <f t="shared" si="33"/>
        <v>0</v>
      </c>
      <c r="N12" s="901">
        <f t="shared" si="34"/>
        <v>0</v>
      </c>
      <c r="O12" s="881">
        <v>0</v>
      </c>
      <c r="P12" s="1551">
        <f t="shared" si="35"/>
        <v>0</v>
      </c>
      <c r="Q12" s="1733">
        <f>+'[4]Table 5C1H-Southwest LA Charter'!M11*8</f>
        <v>0</v>
      </c>
      <c r="R12" s="1733">
        <f t="shared" si="36"/>
        <v>0</v>
      </c>
      <c r="S12" s="1551">
        <f t="shared" si="37"/>
        <v>0</v>
      </c>
      <c r="T12" s="1807">
        <f>'Table 5C1A-Madison Prep'!T12</f>
        <v>2086</v>
      </c>
      <c r="U12" s="1556">
        <f t="shared" si="38"/>
        <v>0</v>
      </c>
      <c r="V12" s="1762">
        <f>+'[3]Oct midyear Southwest LA Chtr'!E11</f>
        <v>0</v>
      </c>
      <c r="W12" s="1763">
        <f t="shared" si="39"/>
        <v>0</v>
      </c>
      <c r="X12" s="1762">
        <f>'[3]Feb midyear Southwest LA Ch '!E11</f>
        <v>0</v>
      </c>
      <c r="Y12" s="1763">
        <f t="shared" si="40"/>
        <v>0</v>
      </c>
      <c r="Z12" s="1654">
        <f t="shared" si="41"/>
        <v>0</v>
      </c>
      <c r="AA12" s="1488">
        <f t="shared" si="42"/>
        <v>0</v>
      </c>
      <c r="AB12" s="938">
        <f t="shared" si="43"/>
        <v>0</v>
      </c>
      <c r="AC12" s="903">
        <f t="shared" si="44"/>
        <v>0</v>
      </c>
      <c r="AD12" s="1831">
        <v>0</v>
      </c>
      <c r="AE12" s="903">
        <f t="shared" si="45"/>
        <v>0</v>
      </c>
      <c r="AF12" s="1835">
        <f>+'[4]Table 5C1H-Southwest LA Charter'!T11*8</f>
        <v>0</v>
      </c>
      <c r="AG12" s="1835">
        <f t="shared" si="46"/>
        <v>0</v>
      </c>
      <c r="AH12" s="903">
        <f t="shared" si="47"/>
        <v>0</v>
      </c>
      <c r="AI12" s="904">
        <f t="shared" si="27"/>
        <v>0</v>
      </c>
      <c r="AJ12" s="904">
        <f t="shared" si="48"/>
        <v>0</v>
      </c>
      <c r="AL12" s="49">
        <f>-'[4]Table 5C1H-Southwest LA Charter'!P11</f>
        <v>0</v>
      </c>
      <c r="AM12" s="49">
        <f t="shared" si="49"/>
        <v>0</v>
      </c>
      <c r="AN12" s="49">
        <f t="shared" si="50"/>
        <v>0</v>
      </c>
    </row>
    <row r="13" spans="1:40">
      <c r="A13" s="870">
        <v>6</v>
      </c>
      <c r="B13" s="871" t="s">
        <v>97</v>
      </c>
      <c r="C13" s="971">
        <f>'2-1-13 SIS'!G12</f>
        <v>0</v>
      </c>
      <c r="D13" s="872">
        <f>'Table 3 Levels 1&amp;2'!AL13</f>
        <v>5412.7883404260592</v>
      </c>
      <c r="E13" s="918">
        <f t="shared" si="28"/>
        <v>0</v>
      </c>
      <c r="F13" s="918">
        <f>'Table 4 Level 3'!P11</f>
        <v>545.4799999999999</v>
      </c>
      <c r="G13" s="918">
        <f t="shared" si="29"/>
        <v>0</v>
      </c>
      <c r="H13" s="873">
        <f t="shared" si="30"/>
        <v>0</v>
      </c>
      <c r="I13" s="1718">
        <f>+'[3]Oct midyear Southwest LA Chtr'!K12</f>
        <v>0</v>
      </c>
      <c r="J13" s="1718">
        <f>'[3]Feb midyear Southwest LA Ch '!K12</f>
        <v>0</v>
      </c>
      <c r="K13" s="1542">
        <f t="shared" si="31"/>
        <v>0</v>
      </c>
      <c r="L13" s="1520">
        <f t="shared" si="32"/>
        <v>0</v>
      </c>
      <c r="M13" s="928">
        <f t="shared" si="33"/>
        <v>0</v>
      </c>
      <c r="N13" s="873">
        <f t="shared" si="34"/>
        <v>0</v>
      </c>
      <c r="O13" s="872">
        <v>0</v>
      </c>
      <c r="P13" s="998">
        <f t="shared" si="35"/>
        <v>0</v>
      </c>
      <c r="Q13" s="1718">
        <f>+'[4]Table 5C1H-Southwest LA Charter'!M12*8</f>
        <v>0</v>
      </c>
      <c r="R13" s="1718">
        <f t="shared" si="36"/>
        <v>0</v>
      </c>
      <c r="S13" s="998">
        <f t="shared" si="37"/>
        <v>0</v>
      </c>
      <c r="T13" s="1802">
        <f>'Table 5C1A-Madison Prep'!T13</f>
        <v>3683</v>
      </c>
      <c r="U13" s="999">
        <f t="shared" si="38"/>
        <v>0</v>
      </c>
      <c r="V13" s="1754">
        <f>+'[3]Oct midyear Southwest LA Chtr'!E12</f>
        <v>0</v>
      </c>
      <c r="W13" s="1755">
        <f t="shared" si="39"/>
        <v>0</v>
      </c>
      <c r="X13" s="1754">
        <f>'[3]Feb midyear Southwest LA Ch '!E12</f>
        <v>0</v>
      </c>
      <c r="Y13" s="1755">
        <f t="shared" si="40"/>
        <v>0</v>
      </c>
      <c r="Z13" s="1652">
        <f t="shared" si="41"/>
        <v>0</v>
      </c>
      <c r="AA13" s="1521">
        <f t="shared" si="42"/>
        <v>0</v>
      </c>
      <c r="AB13" s="936">
        <f t="shared" si="43"/>
        <v>0</v>
      </c>
      <c r="AC13" s="874">
        <f t="shared" si="44"/>
        <v>0</v>
      </c>
      <c r="AD13" s="1829">
        <v>0</v>
      </c>
      <c r="AE13" s="874">
        <f t="shared" si="45"/>
        <v>0</v>
      </c>
      <c r="AF13" s="1829">
        <f>+'[4]Table 5C1H-Southwest LA Charter'!T12*8</f>
        <v>0</v>
      </c>
      <c r="AG13" s="1829">
        <f t="shared" si="46"/>
        <v>0</v>
      </c>
      <c r="AH13" s="874">
        <f t="shared" si="47"/>
        <v>0</v>
      </c>
      <c r="AI13" s="875">
        <f t="shared" si="27"/>
        <v>0</v>
      </c>
      <c r="AJ13" s="875">
        <f t="shared" si="48"/>
        <v>0</v>
      </c>
      <c r="AL13" s="49">
        <f>-'[4]Table 5C1H-Southwest LA Charter'!P12</f>
        <v>0</v>
      </c>
      <c r="AM13" s="49">
        <f t="shared" si="49"/>
        <v>0</v>
      </c>
      <c r="AN13" s="49">
        <f t="shared" si="50"/>
        <v>0</v>
      </c>
    </row>
    <row r="14" spans="1:40">
      <c r="A14" s="876">
        <v>7</v>
      </c>
      <c r="B14" s="877" t="s">
        <v>98</v>
      </c>
      <c r="C14" s="969">
        <f>'2-1-13 SIS'!G13</f>
        <v>0</v>
      </c>
      <c r="D14" s="878">
        <f>'Table 3 Levels 1&amp;2'!AL14</f>
        <v>1766.1023604176123</v>
      </c>
      <c r="E14" s="919">
        <f t="shared" si="28"/>
        <v>0</v>
      </c>
      <c r="F14" s="919">
        <f>'Table 4 Level 3'!P12</f>
        <v>756.91999999999985</v>
      </c>
      <c r="G14" s="919">
        <f t="shared" si="29"/>
        <v>0</v>
      </c>
      <c r="H14" s="898">
        <f t="shared" si="30"/>
        <v>0</v>
      </c>
      <c r="I14" s="1732">
        <f>+'[3]Oct midyear Southwest LA Chtr'!K13</f>
        <v>0</v>
      </c>
      <c r="J14" s="1732">
        <f>'[3]Feb midyear Southwest LA Ch '!K13</f>
        <v>0</v>
      </c>
      <c r="K14" s="1543">
        <f t="shared" si="31"/>
        <v>0</v>
      </c>
      <c r="L14" s="1485">
        <f t="shared" si="32"/>
        <v>0</v>
      </c>
      <c r="M14" s="929">
        <f t="shared" si="33"/>
        <v>0</v>
      </c>
      <c r="N14" s="898">
        <f t="shared" si="34"/>
        <v>0</v>
      </c>
      <c r="O14" s="878">
        <v>0</v>
      </c>
      <c r="P14" s="1550">
        <f t="shared" si="35"/>
        <v>0</v>
      </c>
      <c r="Q14" s="1732">
        <f>+'[4]Table 5C1H-Southwest LA Charter'!M13*8</f>
        <v>0</v>
      </c>
      <c r="R14" s="1732">
        <f t="shared" si="36"/>
        <v>0</v>
      </c>
      <c r="S14" s="1550">
        <f t="shared" si="37"/>
        <v>0</v>
      </c>
      <c r="T14" s="1802">
        <f>'Table 5C1A-Madison Prep'!T14</f>
        <v>11801</v>
      </c>
      <c r="U14" s="1555">
        <f t="shared" si="38"/>
        <v>0</v>
      </c>
      <c r="V14" s="1758">
        <f>+'[3]Oct midyear Southwest LA Chtr'!E13</f>
        <v>0</v>
      </c>
      <c r="W14" s="1759">
        <f t="shared" si="39"/>
        <v>0</v>
      </c>
      <c r="X14" s="1758">
        <f>'[3]Feb midyear Southwest LA Ch '!E13</f>
        <v>0</v>
      </c>
      <c r="Y14" s="1759">
        <f t="shared" si="40"/>
        <v>0</v>
      </c>
      <c r="Z14" s="1653">
        <f t="shared" si="41"/>
        <v>0</v>
      </c>
      <c r="AA14" s="1486">
        <f t="shared" si="42"/>
        <v>0</v>
      </c>
      <c r="AB14" s="937">
        <f t="shared" si="43"/>
        <v>0</v>
      </c>
      <c r="AC14" s="899">
        <f t="shared" si="44"/>
        <v>0</v>
      </c>
      <c r="AD14" s="1830">
        <v>0</v>
      </c>
      <c r="AE14" s="899">
        <f t="shared" si="45"/>
        <v>0</v>
      </c>
      <c r="AF14" s="1834">
        <f>+'[4]Table 5C1H-Southwest LA Charter'!T13*8</f>
        <v>0</v>
      </c>
      <c r="AG14" s="1834">
        <f t="shared" si="46"/>
        <v>0</v>
      </c>
      <c r="AH14" s="899">
        <f t="shared" si="47"/>
        <v>0</v>
      </c>
      <c r="AI14" s="900">
        <f t="shared" si="27"/>
        <v>0</v>
      </c>
      <c r="AJ14" s="900">
        <f t="shared" si="48"/>
        <v>0</v>
      </c>
      <c r="AL14" s="49">
        <f>-'[4]Table 5C1H-Southwest LA Charter'!P13</f>
        <v>0</v>
      </c>
      <c r="AM14" s="49">
        <f t="shared" si="49"/>
        <v>0</v>
      </c>
      <c r="AN14" s="49">
        <f t="shared" si="50"/>
        <v>0</v>
      </c>
    </row>
    <row r="15" spans="1:40">
      <c r="A15" s="876">
        <v>8</v>
      </c>
      <c r="B15" s="877" t="s">
        <v>99</v>
      </c>
      <c r="C15" s="969">
        <f>'2-1-13 SIS'!G14</f>
        <v>0</v>
      </c>
      <c r="D15" s="878">
        <f>'Table 3 Levels 1&amp;2'!AL15</f>
        <v>4289.5073606712331</v>
      </c>
      <c r="E15" s="919">
        <f t="shared" si="28"/>
        <v>0</v>
      </c>
      <c r="F15" s="919">
        <f>'Table 4 Level 3'!P13</f>
        <v>725.76</v>
      </c>
      <c r="G15" s="919">
        <f t="shared" si="29"/>
        <v>0</v>
      </c>
      <c r="H15" s="898">
        <f t="shared" si="30"/>
        <v>0</v>
      </c>
      <c r="I15" s="1732">
        <f>+'[3]Oct midyear Southwest LA Chtr'!K14</f>
        <v>0</v>
      </c>
      <c r="J15" s="1732">
        <f>'[3]Feb midyear Southwest LA Ch '!K14</f>
        <v>0</v>
      </c>
      <c r="K15" s="1543">
        <f t="shared" si="31"/>
        <v>0</v>
      </c>
      <c r="L15" s="1485">
        <f t="shared" si="32"/>
        <v>0</v>
      </c>
      <c r="M15" s="929">
        <f t="shared" si="33"/>
        <v>0</v>
      </c>
      <c r="N15" s="898">
        <f t="shared" si="34"/>
        <v>0</v>
      </c>
      <c r="O15" s="878">
        <v>0</v>
      </c>
      <c r="P15" s="1550">
        <f t="shared" si="35"/>
        <v>0</v>
      </c>
      <c r="Q15" s="1732">
        <f>+'[4]Table 5C1H-Southwest LA Charter'!M14*8</f>
        <v>0</v>
      </c>
      <c r="R15" s="1732">
        <f t="shared" si="36"/>
        <v>0</v>
      </c>
      <c r="S15" s="1550">
        <f t="shared" si="37"/>
        <v>0</v>
      </c>
      <c r="T15" s="1802">
        <f>'Table 5C1A-Madison Prep'!T15</f>
        <v>3988</v>
      </c>
      <c r="U15" s="1555">
        <f t="shared" si="38"/>
        <v>0</v>
      </c>
      <c r="V15" s="1758">
        <f>+'[3]Oct midyear Southwest LA Chtr'!E14</f>
        <v>0</v>
      </c>
      <c r="W15" s="1759">
        <f t="shared" si="39"/>
        <v>0</v>
      </c>
      <c r="X15" s="1758">
        <f>'[3]Feb midyear Southwest LA Ch '!E14</f>
        <v>0</v>
      </c>
      <c r="Y15" s="1759">
        <f t="shared" si="40"/>
        <v>0</v>
      </c>
      <c r="Z15" s="1653">
        <f t="shared" si="41"/>
        <v>0</v>
      </c>
      <c r="AA15" s="1486">
        <f t="shared" si="42"/>
        <v>0</v>
      </c>
      <c r="AB15" s="937">
        <f t="shared" si="43"/>
        <v>0</v>
      </c>
      <c r="AC15" s="899">
        <f t="shared" si="44"/>
        <v>0</v>
      </c>
      <c r="AD15" s="1830">
        <v>0</v>
      </c>
      <c r="AE15" s="899">
        <f t="shared" si="45"/>
        <v>0</v>
      </c>
      <c r="AF15" s="1834">
        <f>+'[4]Table 5C1H-Southwest LA Charter'!T14*8</f>
        <v>0</v>
      </c>
      <c r="AG15" s="1834">
        <f t="shared" si="46"/>
        <v>0</v>
      </c>
      <c r="AH15" s="899">
        <f t="shared" si="47"/>
        <v>0</v>
      </c>
      <c r="AI15" s="900">
        <f t="shared" si="27"/>
        <v>0</v>
      </c>
      <c r="AJ15" s="900">
        <f t="shared" si="48"/>
        <v>0</v>
      </c>
      <c r="AL15" s="49">
        <f>-'[4]Table 5C1H-Southwest LA Charter'!P14</f>
        <v>0</v>
      </c>
      <c r="AM15" s="49">
        <f t="shared" si="49"/>
        <v>0</v>
      </c>
      <c r="AN15" s="49">
        <f t="shared" si="50"/>
        <v>0</v>
      </c>
    </row>
    <row r="16" spans="1:40">
      <c r="A16" s="876">
        <v>9</v>
      </c>
      <c r="B16" s="877" t="s">
        <v>100</v>
      </c>
      <c r="C16" s="969">
        <f>'2-1-13 SIS'!G15</f>
        <v>0</v>
      </c>
      <c r="D16" s="878">
        <f>'Table 3 Levels 1&amp;2'!AL16</f>
        <v>4395.6154516889328</v>
      </c>
      <c r="E16" s="919">
        <f t="shared" si="28"/>
        <v>0</v>
      </c>
      <c r="F16" s="919">
        <f>'Table 4 Level 3'!P14</f>
        <v>744.76</v>
      </c>
      <c r="G16" s="919">
        <f t="shared" si="29"/>
        <v>0</v>
      </c>
      <c r="H16" s="898">
        <f t="shared" si="30"/>
        <v>0</v>
      </c>
      <c r="I16" s="1732">
        <f>+'[3]Oct midyear Southwest LA Chtr'!K15</f>
        <v>0</v>
      </c>
      <c r="J16" s="1732">
        <f>'[3]Feb midyear Southwest LA Ch '!K15</f>
        <v>0</v>
      </c>
      <c r="K16" s="1543">
        <f t="shared" si="31"/>
        <v>0</v>
      </c>
      <c r="L16" s="1485">
        <f t="shared" si="32"/>
        <v>0</v>
      </c>
      <c r="M16" s="929">
        <f t="shared" si="33"/>
        <v>0</v>
      </c>
      <c r="N16" s="898">
        <f t="shared" si="34"/>
        <v>0</v>
      </c>
      <c r="O16" s="878">
        <v>0</v>
      </c>
      <c r="P16" s="1550">
        <f t="shared" si="35"/>
        <v>0</v>
      </c>
      <c r="Q16" s="1732">
        <f>+'[4]Table 5C1H-Southwest LA Charter'!M15*8</f>
        <v>0</v>
      </c>
      <c r="R16" s="1732">
        <f t="shared" si="36"/>
        <v>0</v>
      </c>
      <c r="S16" s="1550">
        <f t="shared" si="37"/>
        <v>0</v>
      </c>
      <c r="T16" s="1802">
        <f>'Table 5C1A-Madison Prep'!T16</f>
        <v>4677</v>
      </c>
      <c r="U16" s="1555">
        <f t="shared" si="38"/>
        <v>0</v>
      </c>
      <c r="V16" s="1758">
        <f>+'[3]Oct midyear Southwest LA Chtr'!E15</f>
        <v>0</v>
      </c>
      <c r="W16" s="1759">
        <f t="shared" si="39"/>
        <v>0</v>
      </c>
      <c r="X16" s="1758">
        <f>'[3]Feb midyear Southwest LA Ch '!E15</f>
        <v>0</v>
      </c>
      <c r="Y16" s="1759">
        <f t="shared" si="40"/>
        <v>0</v>
      </c>
      <c r="Z16" s="1653">
        <f t="shared" si="41"/>
        <v>0</v>
      </c>
      <c r="AA16" s="1486">
        <f t="shared" si="42"/>
        <v>0</v>
      </c>
      <c r="AB16" s="937">
        <f t="shared" si="43"/>
        <v>0</v>
      </c>
      <c r="AC16" s="899">
        <f t="shared" si="44"/>
        <v>0</v>
      </c>
      <c r="AD16" s="1830">
        <v>0</v>
      </c>
      <c r="AE16" s="899">
        <f t="shared" si="45"/>
        <v>0</v>
      </c>
      <c r="AF16" s="1834">
        <f>+'[4]Table 5C1H-Southwest LA Charter'!T15*8</f>
        <v>0</v>
      </c>
      <c r="AG16" s="1834">
        <f t="shared" si="46"/>
        <v>0</v>
      </c>
      <c r="AH16" s="899">
        <f t="shared" si="47"/>
        <v>0</v>
      </c>
      <c r="AI16" s="900">
        <f t="shared" si="27"/>
        <v>0</v>
      </c>
      <c r="AJ16" s="900">
        <f t="shared" si="48"/>
        <v>0</v>
      </c>
      <c r="AL16" s="49">
        <f>-'[4]Table 5C1H-Southwest LA Charter'!P15</f>
        <v>0</v>
      </c>
      <c r="AM16" s="49">
        <f t="shared" si="49"/>
        <v>0</v>
      </c>
      <c r="AN16" s="49">
        <f t="shared" si="50"/>
        <v>0</v>
      </c>
    </row>
    <row r="17" spans="1:40">
      <c r="A17" s="879">
        <v>10</v>
      </c>
      <c r="B17" s="880" t="s">
        <v>101</v>
      </c>
      <c r="C17" s="970">
        <f>'2-1-13 SIS'!G16</f>
        <v>523</v>
      </c>
      <c r="D17" s="881">
        <f>'Table 3 Levels 1&amp;2'!AL17</f>
        <v>4253.5980618992444</v>
      </c>
      <c r="E17" s="920">
        <f t="shared" si="28"/>
        <v>2224631.7863733047</v>
      </c>
      <c r="F17" s="920">
        <f>'Table 4 Level 3'!P15</f>
        <v>608.04000000000008</v>
      </c>
      <c r="G17" s="920">
        <f t="shared" si="29"/>
        <v>318004.92000000004</v>
      </c>
      <c r="H17" s="901">
        <f t="shared" si="30"/>
        <v>2542636.7063733046</v>
      </c>
      <c r="I17" s="1733">
        <f>+'[3]Oct midyear Southwest LA Chtr'!K16</f>
        <v>758415.53765628207</v>
      </c>
      <c r="J17" s="1733">
        <f>'[3]Feb midyear Southwest LA Ch '!K16</f>
        <v>-19446.552247596977</v>
      </c>
      <c r="K17" s="1544">
        <f t="shared" si="31"/>
        <v>738968.98540868505</v>
      </c>
      <c r="L17" s="1487">
        <f t="shared" si="32"/>
        <v>3281605.6917819898</v>
      </c>
      <c r="M17" s="930">
        <f t="shared" si="33"/>
        <v>-8204.0142294549751</v>
      </c>
      <c r="N17" s="901">
        <f t="shared" si="34"/>
        <v>3273401.6775525347</v>
      </c>
      <c r="O17" s="881">
        <v>0</v>
      </c>
      <c r="P17" s="1551">
        <f t="shared" si="35"/>
        <v>3273401.6775525347</v>
      </c>
      <c r="Q17" s="1733">
        <f>+'[4]Table 5C1H-Southwest LA Charter'!M16*8</f>
        <v>1690853.4097382475</v>
      </c>
      <c r="R17" s="1733">
        <f t="shared" si="36"/>
        <v>1582548.2678142872</v>
      </c>
      <c r="S17" s="1551">
        <f t="shared" si="37"/>
        <v>395637</v>
      </c>
      <c r="T17" s="1807">
        <f>'Table 5C1A-Madison Prep'!T17</f>
        <v>4502</v>
      </c>
      <c r="U17" s="1556">
        <f t="shared" si="38"/>
        <v>2354546</v>
      </c>
      <c r="V17" s="1762">
        <f>+'[3]Oct midyear Southwest LA Chtr'!E16</f>
        <v>156</v>
      </c>
      <c r="W17" s="1763">
        <f t="shared" si="39"/>
        <v>702312</v>
      </c>
      <c r="X17" s="1762">
        <f>'[3]Feb midyear Southwest LA Ch '!E16</f>
        <v>-8</v>
      </c>
      <c r="Y17" s="1763">
        <f t="shared" si="40"/>
        <v>-18008</v>
      </c>
      <c r="Z17" s="1654">
        <f t="shared" si="41"/>
        <v>684304</v>
      </c>
      <c r="AA17" s="1488">
        <f t="shared" si="42"/>
        <v>3038850</v>
      </c>
      <c r="AB17" s="938">
        <f t="shared" si="43"/>
        <v>-7597.125</v>
      </c>
      <c r="AC17" s="903">
        <f t="shared" si="44"/>
        <v>3031252.875</v>
      </c>
      <c r="AD17" s="1831">
        <v>0</v>
      </c>
      <c r="AE17" s="903">
        <f t="shared" si="45"/>
        <v>3031252.875</v>
      </c>
      <c r="AF17" s="1835">
        <f>+'[4]Table 5C1H-Southwest LA Charter'!T16*8</f>
        <v>1560903.96</v>
      </c>
      <c r="AG17" s="1835">
        <f t="shared" si="46"/>
        <v>1470348.915</v>
      </c>
      <c r="AH17" s="903">
        <f t="shared" si="47"/>
        <v>367587</v>
      </c>
      <c r="AI17" s="904">
        <f t="shared" si="27"/>
        <v>6304654.5525525343</v>
      </c>
      <c r="AJ17" s="904">
        <f t="shared" si="48"/>
        <v>763224</v>
      </c>
      <c r="AL17" s="49">
        <f>-'[4]Table 5C1H-Southwest LA Charter'!P16</f>
        <v>5868.06</v>
      </c>
      <c r="AM17" s="49">
        <f t="shared" si="49"/>
        <v>-7597.125</v>
      </c>
      <c r="AN17" s="49">
        <f t="shared" si="50"/>
        <v>-1729.0649999999996</v>
      </c>
    </row>
    <row r="18" spans="1:40">
      <c r="A18" s="870">
        <v>11</v>
      </c>
      <c r="B18" s="871" t="s">
        <v>102</v>
      </c>
      <c r="C18" s="971">
        <f>'2-1-13 SIS'!G17</f>
        <v>0</v>
      </c>
      <c r="D18" s="872">
        <f>'Table 3 Levels 1&amp;2'!AL18</f>
        <v>6852.9138435383502</v>
      </c>
      <c r="E18" s="918">
        <f t="shared" si="28"/>
        <v>0</v>
      </c>
      <c r="F18" s="918">
        <f>'Table 4 Level 3'!P16</f>
        <v>706.55</v>
      </c>
      <c r="G18" s="918">
        <f t="shared" si="29"/>
        <v>0</v>
      </c>
      <c r="H18" s="873">
        <f t="shared" si="30"/>
        <v>0</v>
      </c>
      <c r="I18" s="1718">
        <f>+'[3]Oct midyear Southwest LA Chtr'!K17</f>
        <v>0</v>
      </c>
      <c r="J18" s="1718">
        <f>'[3]Feb midyear Southwest LA Ch '!K17</f>
        <v>0</v>
      </c>
      <c r="K18" s="1542">
        <f t="shared" si="31"/>
        <v>0</v>
      </c>
      <c r="L18" s="1520">
        <f t="shared" si="32"/>
        <v>0</v>
      </c>
      <c r="M18" s="928">
        <f t="shared" si="33"/>
        <v>0</v>
      </c>
      <c r="N18" s="873">
        <f t="shared" si="34"/>
        <v>0</v>
      </c>
      <c r="O18" s="872">
        <v>0</v>
      </c>
      <c r="P18" s="998">
        <f t="shared" si="35"/>
        <v>0</v>
      </c>
      <c r="Q18" s="1718">
        <f>+'[4]Table 5C1H-Southwest LA Charter'!M17*8</f>
        <v>0</v>
      </c>
      <c r="R18" s="1718">
        <f t="shared" si="36"/>
        <v>0</v>
      </c>
      <c r="S18" s="998">
        <f t="shared" si="37"/>
        <v>0</v>
      </c>
      <c r="T18" s="1802">
        <f>'Table 5C1A-Madison Prep'!T18</f>
        <v>3776</v>
      </c>
      <c r="U18" s="999">
        <f t="shared" si="38"/>
        <v>0</v>
      </c>
      <c r="V18" s="1754">
        <f>+'[3]Oct midyear Southwest LA Chtr'!E17</f>
        <v>0</v>
      </c>
      <c r="W18" s="1755">
        <f t="shared" si="39"/>
        <v>0</v>
      </c>
      <c r="X18" s="1754">
        <f>'[3]Feb midyear Southwest LA Ch '!E17</f>
        <v>0</v>
      </c>
      <c r="Y18" s="1755">
        <f t="shared" si="40"/>
        <v>0</v>
      </c>
      <c r="Z18" s="1652">
        <f t="shared" si="41"/>
        <v>0</v>
      </c>
      <c r="AA18" s="1521">
        <f t="shared" si="42"/>
        <v>0</v>
      </c>
      <c r="AB18" s="936">
        <f t="shared" si="43"/>
        <v>0</v>
      </c>
      <c r="AC18" s="874">
        <f t="shared" si="44"/>
        <v>0</v>
      </c>
      <c r="AD18" s="1829">
        <v>0</v>
      </c>
      <c r="AE18" s="874">
        <f t="shared" si="45"/>
        <v>0</v>
      </c>
      <c r="AF18" s="1829">
        <f>+'[4]Table 5C1H-Southwest LA Charter'!T17*8</f>
        <v>0</v>
      </c>
      <c r="AG18" s="1829">
        <f t="shared" si="46"/>
        <v>0</v>
      </c>
      <c r="AH18" s="874">
        <f t="shared" si="47"/>
        <v>0</v>
      </c>
      <c r="AI18" s="875">
        <f t="shared" si="27"/>
        <v>0</v>
      </c>
      <c r="AJ18" s="875">
        <f t="shared" si="48"/>
        <v>0</v>
      </c>
      <c r="AL18" s="49">
        <f>-'[4]Table 5C1H-Southwest LA Charter'!P17</f>
        <v>0</v>
      </c>
      <c r="AM18" s="49">
        <f t="shared" si="49"/>
        <v>0</v>
      </c>
      <c r="AN18" s="49">
        <f t="shared" si="50"/>
        <v>0</v>
      </c>
    </row>
    <row r="19" spans="1:40">
      <c r="A19" s="876">
        <v>12</v>
      </c>
      <c r="B19" s="877" t="s">
        <v>103</v>
      </c>
      <c r="C19" s="969">
        <f>'2-1-13 SIS'!G18</f>
        <v>0</v>
      </c>
      <c r="D19" s="878">
        <f>'Table 3 Levels 1&amp;2'!AL19</f>
        <v>1733.9056059356967</v>
      </c>
      <c r="E19" s="919">
        <f t="shared" si="28"/>
        <v>0</v>
      </c>
      <c r="F19" s="919">
        <f>'Table 4 Level 3'!P17</f>
        <v>1063.31</v>
      </c>
      <c r="G19" s="919">
        <f t="shared" si="29"/>
        <v>0</v>
      </c>
      <c r="H19" s="898">
        <f t="shared" si="30"/>
        <v>0</v>
      </c>
      <c r="I19" s="1732">
        <f>+'[3]Oct midyear Southwest LA Chtr'!K18</f>
        <v>0</v>
      </c>
      <c r="J19" s="1732">
        <f>'[3]Feb midyear Southwest LA Ch '!K18</f>
        <v>0</v>
      </c>
      <c r="K19" s="1543">
        <f t="shared" si="31"/>
        <v>0</v>
      </c>
      <c r="L19" s="1485">
        <f t="shared" si="32"/>
        <v>0</v>
      </c>
      <c r="M19" s="929">
        <f t="shared" si="33"/>
        <v>0</v>
      </c>
      <c r="N19" s="898">
        <f t="shared" si="34"/>
        <v>0</v>
      </c>
      <c r="O19" s="878">
        <v>0</v>
      </c>
      <c r="P19" s="1550">
        <f t="shared" si="35"/>
        <v>0</v>
      </c>
      <c r="Q19" s="1732">
        <f>+'[4]Table 5C1H-Southwest LA Charter'!M18*8</f>
        <v>0</v>
      </c>
      <c r="R19" s="1732">
        <f t="shared" si="36"/>
        <v>0</v>
      </c>
      <c r="S19" s="1550">
        <f t="shared" si="37"/>
        <v>0</v>
      </c>
      <c r="T19" s="1802">
        <f>'Table 5C1A-Madison Prep'!T19</f>
        <v>13312</v>
      </c>
      <c r="U19" s="1555">
        <f t="shared" si="38"/>
        <v>0</v>
      </c>
      <c r="V19" s="1758">
        <f>+'[3]Oct midyear Southwest LA Chtr'!E18</f>
        <v>0</v>
      </c>
      <c r="W19" s="1759">
        <f t="shared" si="39"/>
        <v>0</v>
      </c>
      <c r="X19" s="1758">
        <f>'[3]Feb midyear Southwest LA Ch '!E18</f>
        <v>0</v>
      </c>
      <c r="Y19" s="1759">
        <f t="shared" si="40"/>
        <v>0</v>
      </c>
      <c r="Z19" s="1653">
        <f t="shared" si="41"/>
        <v>0</v>
      </c>
      <c r="AA19" s="1486">
        <f t="shared" si="42"/>
        <v>0</v>
      </c>
      <c r="AB19" s="937">
        <f t="shared" si="43"/>
        <v>0</v>
      </c>
      <c r="AC19" s="899">
        <f t="shared" si="44"/>
        <v>0</v>
      </c>
      <c r="AD19" s="1830">
        <v>0</v>
      </c>
      <c r="AE19" s="899">
        <f t="shared" si="45"/>
        <v>0</v>
      </c>
      <c r="AF19" s="1834">
        <f>+'[4]Table 5C1H-Southwest LA Charter'!T18*8</f>
        <v>0</v>
      </c>
      <c r="AG19" s="1834">
        <f t="shared" si="46"/>
        <v>0</v>
      </c>
      <c r="AH19" s="899">
        <f t="shared" si="47"/>
        <v>0</v>
      </c>
      <c r="AI19" s="900">
        <f t="shared" si="27"/>
        <v>0</v>
      </c>
      <c r="AJ19" s="900">
        <f t="shared" si="48"/>
        <v>0</v>
      </c>
      <c r="AL19" s="49">
        <f>-'[4]Table 5C1H-Southwest LA Charter'!P18</f>
        <v>0</v>
      </c>
      <c r="AM19" s="49">
        <f t="shared" si="49"/>
        <v>0</v>
      </c>
      <c r="AN19" s="49">
        <f t="shared" si="50"/>
        <v>0</v>
      </c>
    </row>
    <row r="20" spans="1:40">
      <c r="A20" s="876">
        <v>13</v>
      </c>
      <c r="B20" s="877" t="s">
        <v>104</v>
      </c>
      <c r="C20" s="969">
        <f>'2-1-13 SIS'!G19</f>
        <v>0</v>
      </c>
      <c r="D20" s="878">
        <f>'Table 3 Levels 1&amp;2'!AL20</f>
        <v>6254.1238637730876</v>
      </c>
      <c r="E20" s="919">
        <f t="shared" si="28"/>
        <v>0</v>
      </c>
      <c r="F20" s="919">
        <f>'Table 4 Level 3'!P18</f>
        <v>749.43000000000006</v>
      </c>
      <c r="G20" s="919">
        <f t="shared" si="29"/>
        <v>0</v>
      </c>
      <c r="H20" s="898">
        <f t="shared" si="30"/>
        <v>0</v>
      </c>
      <c r="I20" s="1732">
        <f>+'[3]Oct midyear Southwest LA Chtr'!K19</f>
        <v>0</v>
      </c>
      <c r="J20" s="1732">
        <f>'[3]Feb midyear Southwest LA Ch '!K19</f>
        <v>0</v>
      </c>
      <c r="K20" s="1543">
        <f t="shared" si="31"/>
        <v>0</v>
      </c>
      <c r="L20" s="1485">
        <f t="shared" si="32"/>
        <v>0</v>
      </c>
      <c r="M20" s="929">
        <f t="shared" si="33"/>
        <v>0</v>
      </c>
      <c r="N20" s="898">
        <f t="shared" si="34"/>
        <v>0</v>
      </c>
      <c r="O20" s="878">
        <v>0</v>
      </c>
      <c r="P20" s="1550">
        <f t="shared" si="35"/>
        <v>0</v>
      </c>
      <c r="Q20" s="1732">
        <f>+'[4]Table 5C1H-Southwest LA Charter'!M19*8</f>
        <v>0</v>
      </c>
      <c r="R20" s="1732">
        <f t="shared" si="36"/>
        <v>0</v>
      </c>
      <c r="S20" s="1550">
        <f t="shared" si="37"/>
        <v>0</v>
      </c>
      <c r="T20" s="1802">
        <f>'Table 5C1A-Madison Prep'!T20</f>
        <v>2671</v>
      </c>
      <c r="U20" s="1555">
        <f t="shared" si="38"/>
        <v>0</v>
      </c>
      <c r="V20" s="1758">
        <f>+'[3]Oct midyear Southwest LA Chtr'!E19</f>
        <v>0</v>
      </c>
      <c r="W20" s="1759">
        <f t="shared" si="39"/>
        <v>0</v>
      </c>
      <c r="X20" s="1758">
        <f>'[3]Feb midyear Southwest LA Ch '!E19</f>
        <v>0</v>
      </c>
      <c r="Y20" s="1759">
        <f t="shared" si="40"/>
        <v>0</v>
      </c>
      <c r="Z20" s="1653">
        <f t="shared" si="41"/>
        <v>0</v>
      </c>
      <c r="AA20" s="1486">
        <f t="shared" si="42"/>
        <v>0</v>
      </c>
      <c r="AB20" s="937">
        <f t="shared" si="43"/>
        <v>0</v>
      </c>
      <c r="AC20" s="899">
        <f t="shared" si="44"/>
        <v>0</v>
      </c>
      <c r="AD20" s="1830">
        <v>0</v>
      </c>
      <c r="AE20" s="899">
        <f t="shared" si="45"/>
        <v>0</v>
      </c>
      <c r="AF20" s="1834">
        <f>+'[4]Table 5C1H-Southwest LA Charter'!T19*8</f>
        <v>0</v>
      </c>
      <c r="AG20" s="1834">
        <f t="shared" si="46"/>
        <v>0</v>
      </c>
      <c r="AH20" s="899">
        <f t="shared" si="47"/>
        <v>0</v>
      </c>
      <c r="AI20" s="900">
        <f t="shared" si="27"/>
        <v>0</v>
      </c>
      <c r="AJ20" s="900">
        <f t="shared" si="48"/>
        <v>0</v>
      </c>
      <c r="AL20" s="49">
        <f>-'[4]Table 5C1H-Southwest LA Charter'!P19</f>
        <v>0</v>
      </c>
      <c r="AM20" s="49">
        <f t="shared" si="49"/>
        <v>0</v>
      </c>
      <c r="AN20" s="49">
        <f t="shared" si="50"/>
        <v>0</v>
      </c>
    </row>
    <row r="21" spans="1:40">
      <c r="A21" s="876">
        <v>14</v>
      </c>
      <c r="B21" s="877" t="s">
        <v>105</v>
      </c>
      <c r="C21" s="969">
        <f>'2-1-13 SIS'!G20</f>
        <v>0</v>
      </c>
      <c r="D21" s="878">
        <f>'Table 3 Levels 1&amp;2'!AL21</f>
        <v>5377.9187438545459</v>
      </c>
      <c r="E21" s="919">
        <f t="shared" si="28"/>
        <v>0</v>
      </c>
      <c r="F21" s="919">
        <f>'Table 4 Level 3'!P19</f>
        <v>809.9799999999999</v>
      </c>
      <c r="G21" s="919">
        <f t="shared" si="29"/>
        <v>0</v>
      </c>
      <c r="H21" s="898">
        <f t="shared" si="30"/>
        <v>0</v>
      </c>
      <c r="I21" s="1732">
        <f>+'[3]Oct midyear Southwest LA Chtr'!K20</f>
        <v>0</v>
      </c>
      <c r="J21" s="1732">
        <f>'[3]Feb midyear Southwest LA Ch '!K20</f>
        <v>0</v>
      </c>
      <c r="K21" s="1543">
        <f t="shared" si="31"/>
        <v>0</v>
      </c>
      <c r="L21" s="1485">
        <f t="shared" si="32"/>
        <v>0</v>
      </c>
      <c r="M21" s="929">
        <f t="shared" si="33"/>
        <v>0</v>
      </c>
      <c r="N21" s="898">
        <f t="shared" si="34"/>
        <v>0</v>
      </c>
      <c r="O21" s="878">
        <v>0</v>
      </c>
      <c r="P21" s="1550">
        <f t="shared" si="35"/>
        <v>0</v>
      </c>
      <c r="Q21" s="1732">
        <f>+'[4]Table 5C1H-Southwest LA Charter'!M20*8</f>
        <v>0</v>
      </c>
      <c r="R21" s="1732">
        <f t="shared" si="36"/>
        <v>0</v>
      </c>
      <c r="S21" s="1550">
        <f t="shared" si="37"/>
        <v>0</v>
      </c>
      <c r="T21" s="1802">
        <f>'Table 5C1A-Madison Prep'!T21</f>
        <v>4439</v>
      </c>
      <c r="U21" s="1555">
        <f t="shared" si="38"/>
        <v>0</v>
      </c>
      <c r="V21" s="1758">
        <f>+'[3]Oct midyear Southwest LA Chtr'!E20</f>
        <v>0</v>
      </c>
      <c r="W21" s="1759">
        <f t="shared" si="39"/>
        <v>0</v>
      </c>
      <c r="X21" s="1758">
        <f>'[3]Feb midyear Southwest LA Ch '!E20</f>
        <v>0</v>
      </c>
      <c r="Y21" s="1759">
        <f t="shared" si="40"/>
        <v>0</v>
      </c>
      <c r="Z21" s="1653">
        <f t="shared" si="41"/>
        <v>0</v>
      </c>
      <c r="AA21" s="1486">
        <f t="shared" si="42"/>
        <v>0</v>
      </c>
      <c r="AB21" s="937">
        <f t="shared" si="43"/>
        <v>0</v>
      </c>
      <c r="AC21" s="899">
        <f t="shared" si="44"/>
        <v>0</v>
      </c>
      <c r="AD21" s="1830">
        <v>0</v>
      </c>
      <c r="AE21" s="899">
        <f t="shared" si="45"/>
        <v>0</v>
      </c>
      <c r="AF21" s="1834">
        <f>+'[4]Table 5C1H-Southwest LA Charter'!T20*8</f>
        <v>0</v>
      </c>
      <c r="AG21" s="1834">
        <f t="shared" si="46"/>
        <v>0</v>
      </c>
      <c r="AH21" s="899">
        <f t="shared" si="47"/>
        <v>0</v>
      </c>
      <c r="AI21" s="900">
        <f t="shared" si="27"/>
        <v>0</v>
      </c>
      <c r="AJ21" s="900">
        <f t="shared" si="48"/>
        <v>0</v>
      </c>
      <c r="AL21" s="49">
        <f>-'[4]Table 5C1H-Southwest LA Charter'!P20</f>
        <v>0</v>
      </c>
      <c r="AM21" s="49">
        <f t="shared" si="49"/>
        <v>0</v>
      </c>
      <c r="AN21" s="49">
        <f t="shared" si="50"/>
        <v>0</v>
      </c>
    </row>
    <row r="22" spans="1:40">
      <c r="A22" s="879">
        <v>15</v>
      </c>
      <c r="B22" s="880" t="s">
        <v>106</v>
      </c>
      <c r="C22" s="970">
        <f>'2-1-13 SIS'!G21</f>
        <v>0</v>
      </c>
      <c r="D22" s="881">
        <f>'Table 3 Levels 1&amp;2'!AL22</f>
        <v>5527.7651197617861</v>
      </c>
      <c r="E22" s="920">
        <f t="shared" si="28"/>
        <v>0</v>
      </c>
      <c r="F22" s="920">
        <f>'Table 4 Level 3'!P20</f>
        <v>553.79999999999995</v>
      </c>
      <c r="G22" s="920">
        <f t="shared" si="29"/>
        <v>0</v>
      </c>
      <c r="H22" s="901">
        <f t="shared" si="30"/>
        <v>0</v>
      </c>
      <c r="I22" s="1733">
        <f>+'[3]Oct midyear Southwest LA Chtr'!K21</f>
        <v>0</v>
      </c>
      <c r="J22" s="1733">
        <f>'[3]Feb midyear Southwest LA Ch '!K21</f>
        <v>0</v>
      </c>
      <c r="K22" s="1544">
        <f t="shared" si="31"/>
        <v>0</v>
      </c>
      <c r="L22" s="1487">
        <f t="shared" si="32"/>
        <v>0</v>
      </c>
      <c r="M22" s="930">
        <f t="shared" si="33"/>
        <v>0</v>
      </c>
      <c r="N22" s="901">
        <f t="shared" si="34"/>
        <v>0</v>
      </c>
      <c r="O22" s="881">
        <v>0</v>
      </c>
      <c r="P22" s="1551">
        <f t="shared" si="35"/>
        <v>0</v>
      </c>
      <c r="Q22" s="1733">
        <f>+'[4]Table 5C1H-Southwest LA Charter'!M21*8</f>
        <v>0</v>
      </c>
      <c r="R22" s="1733">
        <f t="shared" si="36"/>
        <v>0</v>
      </c>
      <c r="S22" s="1551">
        <f t="shared" si="37"/>
        <v>0</v>
      </c>
      <c r="T22" s="1807">
        <f>'Table 5C1A-Madison Prep'!T22</f>
        <v>2800</v>
      </c>
      <c r="U22" s="1556">
        <f t="shared" si="38"/>
        <v>0</v>
      </c>
      <c r="V22" s="1762">
        <f>+'[3]Oct midyear Southwest LA Chtr'!E21</f>
        <v>0</v>
      </c>
      <c r="W22" s="1763">
        <f t="shared" si="39"/>
        <v>0</v>
      </c>
      <c r="X22" s="1762">
        <f>'[3]Feb midyear Southwest LA Ch '!E21</f>
        <v>0</v>
      </c>
      <c r="Y22" s="1763">
        <f t="shared" si="40"/>
        <v>0</v>
      </c>
      <c r="Z22" s="1654">
        <f t="shared" si="41"/>
        <v>0</v>
      </c>
      <c r="AA22" s="1488">
        <f t="shared" si="42"/>
        <v>0</v>
      </c>
      <c r="AB22" s="938">
        <f t="shared" si="43"/>
        <v>0</v>
      </c>
      <c r="AC22" s="903">
        <f t="shared" si="44"/>
        <v>0</v>
      </c>
      <c r="AD22" s="1831">
        <v>0</v>
      </c>
      <c r="AE22" s="903">
        <f t="shared" si="45"/>
        <v>0</v>
      </c>
      <c r="AF22" s="1835">
        <f>+'[4]Table 5C1H-Southwest LA Charter'!T21*8</f>
        <v>0</v>
      </c>
      <c r="AG22" s="1835">
        <f t="shared" si="46"/>
        <v>0</v>
      </c>
      <c r="AH22" s="903">
        <f t="shared" si="47"/>
        <v>0</v>
      </c>
      <c r="AI22" s="904">
        <f t="shared" si="27"/>
        <v>0</v>
      </c>
      <c r="AJ22" s="904">
        <f t="shared" si="48"/>
        <v>0</v>
      </c>
      <c r="AL22" s="49">
        <f>-'[4]Table 5C1H-Southwest LA Charter'!P21</f>
        <v>0</v>
      </c>
      <c r="AM22" s="49">
        <f t="shared" si="49"/>
        <v>0</v>
      </c>
      <c r="AN22" s="49">
        <f t="shared" si="50"/>
        <v>0</v>
      </c>
    </row>
    <row r="23" spans="1:40">
      <c r="A23" s="870">
        <v>16</v>
      </c>
      <c r="B23" s="871" t="s">
        <v>107</v>
      </c>
      <c r="C23" s="971">
        <f>'2-1-13 SIS'!G22</f>
        <v>0</v>
      </c>
      <c r="D23" s="872">
        <f>'Table 3 Levels 1&amp;2'!AL23</f>
        <v>1530.3678845377474</v>
      </c>
      <c r="E23" s="918">
        <f t="shared" si="28"/>
        <v>0</v>
      </c>
      <c r="F23" s="918">
        <f>'Table 4 Level 3'!P21</f>
        <v>686.73</v>
      </c>
      <c r="G23" s="918">
        <f t="shared" si="29"/>
        <v>0</v>
      </c>
      <c r="H23" s="873">
        <f t="shared" si="30"/>
        <v>0</v>
      </c>
      <c r="I23" s="1718">
        <f>+'[3]Oct midyear Southwest LA Chtr'!K22</f>
        <v>0</v>
      </c>
      <c r="J23" s="1718">
        <f>'[3]Feb midyear Southwest LA Ch '!K22</f>
        <v>0</v>
      </c>
      <c r="K23" s="1542">
        <f t="shared" si="31"/>
        <v>0</v>
      </c>
      <c r="L23" s="1520">
        <f t="shared" si="32"/>
        <v>0</v>
      </c>
      <c r="M23" s="928">
        <f t="shared" si="33"/>
        <v>0</v>
      </c>
      <c r="N23" s="873">
        <f t="shared" si="34"/>
        <v>0</v>
      </c>
      <c r="O23" s="872">
        <v>0</v>
      </c>
      <c r="P23" s="998">
        <f t="shared" si="35"/>
        <v>0</v>
      </c>
      <c r="Q23" s="1718">
        <f>+'[4]Table 5C1H-Southwest LA Charter'!M22*8</f>
        <v>0</v>
      </c>
      <c r="R23" s="1718">
        <f t="shared" si="36"/>
        <v>0</v>
      </c>
      <c r="S23" s="998">
        <f t="shared" si="37"/>
        <v>0</v>
      </c>
      <c r="T23" s="1802">
        <f>'Table 5C1A-Madison Prep'!T23</f>
        <v>12312</v>
      </c>
      <c r="U23" s="999">
        <f t="shared" si="38"/>
        <v>0</v>
      </c>
      <c r="V23" s="1754">
        <f>+'[3]Oct midyear Southwest LA Chtr'!E22</f>
        <v>0</v>
      </c>
      <c r="W23" s="1755">
        <f t="shared" si="39"/>
        <v>0</v>
      </c>
      <c r="X23" s="1754">
        <f>'[3]Feb midyear Southwest LA Ch '!E22</f>
        <v>0</v>
      </c>
      <c r="Y23" s="1755">
        <f t="shared" si="40"/>
        <v>0</v>
      </c>
      <c r="Z23" s="1652">
        <f t="shared" si="41"/>
        <v>0</v>
      </c>
      <c r="AA23" s="1521">
        <f t="shared" si="42"/>
        <v>0</v>
      </c>
      <c r="AB23" s="936">
        <f t="shared" si="43"/>
        <v>0</v>
      </c>
      <c r="AC23" s="874">
        <f t="shared" si="44"/>
        <v>0</v>
      </c>
      <c r="AD23" s="1829">
        <v>0</v>
      </c>
      <c r="AE23" s="874">
        <f t="shared" si="45"/>
        <v>0</v>
      </c>
      <c r="AF23" s="1829">
        <f>+'[4]Table 5C1H-Southwest LA Charter'!T22*8</f>
        <v>0</v>
      </c>
      <c r="AG23" s="1829">
        <f t="shared" si="46"/>
        <v>0</v>
      </c>
      <c r="AH23" s="874">
        <f t="shared" si="47"/>
        <v>0</v>
      </c>
      <c r="AI23" s="875">
        <f t="shared" si="27"/>
        <v>0</v>
      </c>
      <c r="AJ23" s="875">
        <f t="shared" si="48"/>
        <v>0</v>
      </c>
      <c r="AL23" s="49">
        <f>-'[4]Table 5C1H-Southwest LA Charter'!P22</f>
        <v>0</v>
      </c>
      <c r="AM23" s="49">
        <f t="shared" si="49"/>
        <v>0</v>
      </c>
      <c r="AN23" s="49">
        <f t="shared" si="50"/>
        <v>0</v>
      </c>
    </row>
    <row r="24" spans="1:40">
      <c r="A24" s="876">
        <v>17</v>
      </c>
      <c r="B24" s="877" t="s">
        <v>108</v>
      </c>
      <c r="C24" s="969">
        <f>'2-1-13 SIS'!G23</f>
        <v>0</v>
      </c>
      <c r="D24" s="878">
        <f>'Table 3 Levels 1&amp;2'!AL24</f>
        <v>3313.0666313017805</v>
      </c>
      <c r="E24" s="919">
        <f t="shared" si="28"/>
        <v>0</v>
      </c>
      <c r="F24" s="919">
        <f>'Table 5B2_RSD_LA'!F7</f>
        <v>801.47762416806802</v>
      </c>
      <c r="G24" s="919">
        <f t="shared" si="29"/>
        <v>0</v>
      </c>
      <c r="H24" s="898">
        <f t="shared" si="30"/>
        <v>0</v>
      </c>
      <c r="I24" s="1732">
        <f>+'[3]Oct midyear Southwest LA Chtr'!K23</f>
        <v>0</v>
      </c>
      <c r="J24" s="1732">
        <f>'[3]Feb midyear Southwest LA Ch '!K23</f>
        <v>0</v>
      </c>
      <c r="K24" s="1543">
        <f t="shared" si="31"/>
        <v>0</v>
      </c>
      <c r="L24" s="1485">
        <f t="shared" si="32"/>
        <v>0</v>
      </c>
      <c r="M24" s="929">
        <f t="shared" si="33"/>
        <v>0</v>
      </c>
      <c r="N24" s="898">
        <f t="shared" si="34"/>
        <v>0</v>
      </c>
      <c r="O24" s="878">
        <v>0</v>
      </c>
      <c r="P24" s="1550">
        <f t="shared" si="35"/>
        <v>0</v>
      </c>
      <c r="Q24" s="1732">
        <f>+'[4]Table 5C1H-Southwest LA Charter'!M23*8</f>
        <v>0</v>
      </c>
      <c r="R24" s="1732">
        <f t="shared" si="36"/>
        <v>0</v>
      </c>
      <c r="S24" s="1550">
        <f t="shared" si="37"/>
        <v>0</v>
      </c>
      <c r="T24" s="1802">
        <f>'Table 5C1A-Madison Prep'!T24</f>
        <v>6866</v>
      </c>
      <c r="U24" s="1555">
        <f t="shared" si="38"/>
        <v>0</v>
      </c>
      <c r="V24" s="1758">
        <f>+'[3]Oct midyear Southwest LA Chtr'!E23</f>
        <v>0</v>
      </c>
      <c r="W24" s="1759">
        <f t="shared" si="39"/>
        <v>0</v>
      </c>
      <c r="X24" s="1758">
        <f>'[3]Feb midyear Southwest LA Ch '!E23</f>
        <v>0</v>
      </c>
      <c r="Y24" s="1759">
        <f t="shared" si="40"/>
        <v>0</v>
      </c>
      <c r="Z24" s="1653">
        <f t="shared" si="41"/>
        <v>0</v>
      </c>
      <c r="AA24" s="1486">
        <f t="shared" si="42"/>
        <v>0</v>
      </c>
      <c r="AB24" s="937">
        <f t="shared" si="43"/>
        <v>0</v>
      </c>
      <c r="AC24" s="899">
        <f t="shared" si="44"/>
        <v>0</v>
      </c>
      <c r="AD24" s="1830">
        <v>0</v>
      </c>
      <c r="AE24" s="899">
        <f t="shared" si="45"/>
        <v>0</v>
      </c>
      <c r="AF24" s="1834">
        <f>+'[4]Table 5C1H-Southwest LA Charter'!T23*8</f>
        <v>0</v>
      </c>
      <c r="AG24" s="1834">
        <f t="shared" si="46"/>
        <v>0</v>
      </c>
      <c r="AH24" s="899">
        <f t="shared" si="47"/>
        <v>0</v>
      </c>
      <c r="AI24" s="900">
        <f t="shared" si="27"/>
        <v>0</v>
      </c>
      <c r="AJ24" s="900">
        <f t="shared" si="48"/>
        <v>0</v>
      </c>
      <c r="AL24" s="49">
        <f>-'[4]Table 5C1H-Southwest LA Charter'!P23</f>
        <v>0</v>
      </c>
      <c r="AM24" s="49">
        <f t="shared" si="49"/>
        <v>0</v>
      </c>
      <c r="AN24" s="49">
        <f t="shared" si="50"/>
        <v>0</v>
      </c>
    </row>
    <row r="25" spans="1:40">
      <c r="A25" s="876">
        <v>18</v>
      </c>
      <c r="B25" s="877" t="s">
        <v>109</v>
      </c>
      <c r="C25" s="969">
        <f>'2-1-13 SIS'!G24</f>
        <v>0</v>
      </c>
      <c r="D25" s="878">
        <f>'Table 3 Levels 1&amp;2'!AL25</f>
        <v>5989.1351892854573</v>
      </c>
      <c r="E25" s="919">
        <f t="shared" si="28"/>
        <v>0</v>
      </c>
      <c r="F25" s="919">
        <f>'Table 4 Level 3'!P23</f>
        <v>845.94999999999993</v>
      </c>
      <c r="G25" s="919">
        <f t="shared" si="29"/>
        <v>0</v>
      </c>
      <c r="H25" s="898">
        <f t="shared" si="30"/>
        <v>0</v>
      </c>
      <c r="I25" s="1732">
        <f>+'[3]Oct midyear Southwest LA Chtr'!K24</f>
        <v>0</v>
      </c>
      <c r="J25" s="1732">
        <f>'[3]Feb midyear Southwest LA Ch '!K24</f>
        <v>0</v>
      </c>
      <c r="K25" s="1543">
        <f t="shared" si="31"/>
        <v>0</v>
      </c>
      <c r="L25" s="1485">
        <f t="shared" si="32"/>
        <v>0</v>
      </c>
      <c r="M25" s="929">
        <f t="shared" si="33"/>
        <v>0</v>
      </c>
      <c r="N25" s="898">
        <f t="shared" si="34"/>
        <v>0</v>
      </c>
      <c r="O25" s="878">
        <v>0</v>
      </c>
      <c r="P25" s="1550">
        <f t="shared" si="35"/>
        <v>0</v>
      </c>
      <c r="Q25" s="1732">
        <f>+'[4]Table 5C1H-Southwest LA Charter'!M24*8</f>
        <v>0</v>
      </c>
      <c r="R25" s="1732">
        <f t="shared" si="36"/>
        <v>0</v>
      </c>
      <c r="S25" s="1550">
        <f t="shared" si="37"/>
        <v>0</v>
      </c>
      <c r="T25" s="1802">
        <f>'Table 5C1A-Madison Prep'!T25</f>
        <v>3071</v>
      </c>
      <c r="U25" s="1555">
        <f t="shared" si="38"/>
        <v>0</v>
      </c>
      <c r="V25" s="1758">
        <f>+'[3]Oct midyear Southwest LA Chtr'!E24</f>
        <v>0</v>
      </c>
      <c r="W25" s="1759">
        <f t="shared" si="39"/>
        <v>0</v>
      </c>
      <c r="X25" s="1758">
        <f>'[3]Feb midyear Southwest LA Ch '!E24</f>
        <v>0</v>
      </c>
      <c r="Y25" s="1759">
        <f t="shared" si="40"/>
        <v>0</v>
      </c>
      <c r="Z25" s="1653">
        <f t="shared" si="41"/>
        <v>0</v>
      </c>
      <c r="AA25" s="1486">
        <f t="shared" si="42"/>
        <v>0</v>
      </c>
      <c r="AB25" s="937">
        <f t="shared" si="43"/>
        <v>0</v>
      </c>
      <c r="AC25" s="899">
        <f t="shared" si="44"/>
        <v>0</v>
      </c>
      <c r="AD25" s="1830">
        <v>0</v>
      </c>
      <c r="AE25" s="899">
        <f t="shared" si="45"/>
        <v>0</v>
      </c>
      <c r="AF25" s="1834">
        <f>+'[4]Table 5C1H-Southwest LA Charter'!T24*8</f>
        <v>0</v>
      </c>
      <c r="AG25" s="1834">
        <f t="shared" si="46"/>
        <v>0</v>
      </c>
      <c r="AH25" s="899">
        <f t="shared" si="47"/>
        <v>0</v>
      </c>
      <c r="AI25" s="900">
        <f t="shared" si="27"/>
        <v>0</v>
      </c>
      <c r="AJ25" s="900">
        <f t="shared" si="48"/>
        <v>0</v>
      </c>
      <c r="AL25" s="49">
        <f>-'[4]Table 5C1H-Southwest LA Charter'!P24</f>
        <v>0</v>
      </c>
      <c r="AM25" s="49">
        <f t="shared" si="49"/>
        <v>0</v>
      </c>
      <c r="AN25" s="49">
        <f t="shared" si="50"/>
        <v>0</v>
      </c>
    </row>
    <row r="26" spans="1:40">
      <c r="A26" s="876">
        <v>19</v>
      </c>
      <c r="B26" s="877" t="s">
        <v>110</v>
      </c>
      <c r="C26" s="969">
        <f>'2-1-13 SIS'!G25</f>
        <v>0</v>
      </c>
      <c r="D26" s="878">
        <f>'Table 3 Levels 1&amp;2'!AL26</f>
        <v>5315.8913399708035</v>
      </c>
      <c r="E26" s="919">
        <f t="shared" si="28"/>
        <v>0</v>
      </c>
      <c r="F26" s="919">
        <f>'Table 4 Level 3'!P24</f>
        <v>905.43</v>
      </c>
      <c r="G26" s="919">
        <f t="shared" si="29"/>
        <v>0</v>
      </c>
      <c r="H26" s="898">
        <f t="shared" si="30"/>
        <v>0</v>
      </c>
      <c r="I26" s="1732">
        <f>+'[3]Oct midyear Southwest LA Chtr'!K25</f>
        <v>0</v>
      </c>
      <c r="J26" s="1732">
        <f>'[3]Feb midyear Southwest LA Ch '!K25</f>
        <v>0</v>
      </c>
      <c r="K26" s="1543">
        <f t="shared" si="31"/>
        <v>0</v>
      </c>
      <c r="L26" s="1485">
        <f t="shared" si="32"/>
        <v>0</v>
      </c>
      <c r="M26" s="929">
        <f t="shared" si="33"/>
        <v>0</v>
      </c>
      <c r="N26" s="898">
        <f t="shared" si="34"/>
        <v>0</v>
      </c>
      <c r="O26" s="878">
        <v>0</v>
      </c>
      <c r="P26" s="1550">
        <f t="shared" si="35"/>
        <v>0</v>
      </c>
      <c r="Q26" s="1732">
        <f>+'[4]Table 5C1H-Southwest LA Charter'!M25*8</f>
        <v>0</v>
      </c>
      <c r="R26" s="1732">
        <f t="shared" si="36"/>
        <v>0</v>
      </c>
      <c r="S26" s="1550">
        <f t="shared" si="37"/>
        <v>0</v>
      </c>
      <c r="T26" s="1802">
        <f>'Table 5C1A-Madison Prep'!T26</f>
        <v>2566</v>
      </c>
      <c r="U26" s="1555">
        <f t="shared" si="38"/>
        <v>0</v>
      </c>
      <c r="V26" s="1758">
        <f>+'[3]Oct midyear Southwest LA Chtr'!E25</f>
        <v>0</v>
      </c>
      <c r="W26" s="1759">
        <f t="shared" si="39"/>
        <v>0</v>
      </c>
      <c r="X26" s="1758">
        <f>'[3]Feb midyear Southwest LA Ch '!E25</f>
        <v>0</v>
      </c>
      <c r="Y26" s="1759">
        <f t="shared" si="40"/>
        <v>0</v>
      </c>
      <c r="Z26" s="1653">
        <f t="shared" si="41"/>
        <v>0</v>
      </c>
      <c r="AA26" s="1486">
        <f t="shared" si="42"/>
        <v>0</v>
      </c>
      <c r="AB26" s="937">
        <f t="shared" si="43"/>
        <v>0</v>
      </c>
      <c r="AC26" s="899">
        <f t="shared" si="44"/>
        <v>0</v>
      </c>
      <c r="AD26" s="1830">
        <v>0</v>
      </c>
      <c r="AE26" s="899">
        <f t="shared" si="45"/>
        <v>0</v>
      </c>
      <c r="AF26" s="1834">
        <f>+'[4]Table 5C1H-Southwest LA Charter'!T25*8</f>
        <v>0</v>
      </c>
      <c r="AG26" s="1834">
        <f t="shared" si="46"/>
        <v>0</v>
      </c>
      <c r="AH26" s="899">
        <f t="shared" si="47"/>
        <v>0</v>
      </c>
      <c r="AI26" s="900">
        <f t="shared" si="27"/>
        <v>0</v>
      </c>
      <c r="AJ26" s="900">
        <f t="shared" si="48"/>
        <v>0</v>
      </c>
      <c r="AL26" s="49">
        <f>-'[4]Table 5C1H-Southwest LA Charter'!P25</f>
        <v>0</v>
      </c>
      <c r="AM26" s="49">
        <f t="shared" si="49"/>
        <v>0</v>
      </c>
      <c r="AN26" s="49">
        <f t="shared" si="50"/>
        <v>0</v>
      </c>
    </row>
    <row r="27" spans="1:40">
      <c r="A27" s="879">
        <v>20</v>
      </c>
      <c r="B27" s="880" t="s">
        <v>111</v>
      </c>
      <c r="C27" s="970">
        <f>'2-1-13 SIS'!G26</f>
        <v>0</v>
      </c>
      <c r="D27" s="881">
        <f>'Table 3 Levels 1&amp;2'!AL27</f>
        <v>5420.2042919205833</v>
      </c>
      <c r="E27" s="920">
        <f t="shared" si="28"/>
        <v>0</v>
      </c>
      <c r="F27" s="920">
        <f>'Table 4 Level 3'!P25</f>
        <v>586.16999999999996</v>
      </c>
      <c r="G27" s="920">
        <f t="shared" si="29"/>
        <v>0</v>
      </c>
      <c r="H27" s="901">
        <f t="shared" si="30"/>
        <v>0</v>
      </c>
      <c r="I27" s="1733">
        <f>+'[3]Oct midyear Southwest LA Chtr'!K26</f>
        <v>0</v>
      </c>
      <c r="J27" s="1733">
        <f>'[3]Feb midyear Southwest LA Ch '!K26</f>
        <v>0</v>
      </c>
      <c r="K27" s="1544">
        <f t="shared" si="31"/>
        <v>0</v>
      </c>
      <c r="L27" s="1487">
        <f t="shared" si="32"/>
        <v>0</v>
      </c>
      <c r="M27" s="930">
        <f t="shared" si="33"/>
        <v>0</v>
      </c>
      <c r="N27" s="901">
        <f t="shared" si="34"/>
        <v>0</v>
      </c>
      <c r="O27" s="881">
        <v>0</v>
      </c>
      <c r="P27" s="1551">
        <f t="shared" si="35"/>
        <v>0</v>
      </c>
      <c r="Q27" s="1733">
        <f>+'[4]Table 5C1H-Southwest LA Charter'!M26*8</f>
        <v>0</v>
      </c>
      <c r="R27" s="1733">
        <f t="shared" si="36"/>
        <v>0</v>
      </c>
      <c r="S27" s="1551">
        <f t="shared" si="37"/>
        <v>0</v>
      </c>
      <c r="T27" s="1807">
        <f>'Table 5C1A-Madison Prep'!T27</f>
        <v>2621</v>
      </c>
      <c r="U27" s="1556">
        <f t="shared" si="38"/>
        <v>0</v>
      </c>
      <c r="V27" s="1762">
        <f>+'[3]Oct midyear Southwest LA Chtr'!E26</f>
        <v>0</v>
      </c>
      <c r="W27" s="1763">
        <f t="shared" si="39"/>
        <v>0</v>
      </c>
      <c r="X27" s="1762">
        <f>'[3]Feb midyear Southwest LA Ch '!E26</f>
        <v>0</v>
      </c>
      <c r="Y27" s="1763">
        <f t="shared" si="40"/>
        <v>0</v>
      </c>
      <c r="Z27" s="1654">
        <f t="shared" si="41"/>
        <v>0</v>
      </c>
      <c r="AA27" s="1488">
        <f t="shared" si="42"/>
        <v>0</v>
      </c>
      <c r="AB27" s="938">
        <f t="shared" si="43"/>
        <v>0</v>
      </c>
      <c r="AC27" s="903">
        <f t="shared" si="44"/>
        <v>0</v>
      </c>
      <c r="AD27" s="1831">
        <v>0</v>
      </c>
      <c r="AE27" s="903">
        <f t="shared" si="45"/>
        <v>0</v>
      </c>
      <c r="AF27" s="1835">
        <f>+'[4]Table 5C1H-Southwest LA Charter'!T26*8</f>
        <v>0</v>
      </c>
      <c r="AG27" s="1835">
        <f t="shared" si="46"/>
        <v>0</v>
      </c>
      <c r="AH27" s="903">
        <f t="shared" si="47"/>
        <v>0</v>
      </c>
      <c r="AI27" s="904">
        <f t="shared" si="27"/>
        <v>0</v>
      </c>
      <c r="AJ27" s="904">
        <f t="shared" si="48"/>
        <v>0</v>
      </c>
      <c r="AL27" s="49">
        <f>-'[4]Table 5C1H-Southwest LA Charter'!P26</f>
        <v>0</v>
      </c>
      <c r="AM27" s="49">
        <f t="shared" si="49"/>
        <v>0</v>
      </c>
      <c r="AN27" s="49">
        <f t="shared" si="50"/>
        <v>0</v>
      </c>
    </row>
    <row r="28" spans="1:40">
      <c r="A28" s="870">
        <v>21</v>
      </c>
      <c r="B28" s="871" t="s">
        <v>112</v>
      </c>
      <c r="C28" s="971">
        <f>'2-1-13 SIS'!G27</f>
        <v>0</v>
      </c>
      <c r="D28" s="872">
        <f>'Table 3 Levels 1&amp;2'!AL28</f>
        <v>5724.5404916279067</v>
      </c>
      <c r="E28" s="918">
        <f t="shared" si="28"/>
        <v>0</v>
      </c>
      <c r="F28" s="918">
        <f>'Table 4 Level 3'!P26</f>
        <v>610.35</v>
      </c>
      <c r="G28" s="918">
        <f t="shared" si="29"/>
        <v>0</v>
      </c>
      <c r="H28" s="873">
        <f t="shared" si="30"/>
        <v>0</v>
      </c>
      <c r="I28" s="1718">
        <f>+'[3]Oct midyear Southwest LA Chtr'!K27</f>
        <v>0</v>
      </c>
      <c r="J28" s="1718">
        <f>'[3]Feb midyear Southwest LA Ch '!K27</f>
        <v>0</v>
      </c>
      <c r="K28" s="1542">
        <f t="shared" si="31"/>
        <v>0</v>
      </c>
      <c r="L28" s="1520">
        <f t="shared" si="32"/>
        <v>0</v>
      </c>
      <c r="M28" s="928">
        <f t="shared" si="33"/>
        <v>0</v>
      </c>
      <c r="N28" s="873">
        <f t="shared" si="34"/>
        <v>0</v>
      </c>
      <c r="O28" s="872">
        <v>0</v>
      </c>
      <c r="P28" s="998">
        <f t="shared" si="35"/>
        <v>0</v>
      </c>
      <c r="Q28" s="1718">
        <f>+'[4]Table 5C1H-Southwest LA Charter'!M27*8</f>
        <v>0</v>
      </c>
      <c r="R28" s="1718">
        <f t="shared" si="36"/>
        <v>0</v>
      </c>
      <c r="S28" s="998">
        <f t="shared" si="37"/>
        <v>0</v>
      </c>
      <c r="T28" s="1802">
        <f>'Table 5C1A-Madison Prep'!T28</f>
        <v>2445</v>
      </c>
      <c r="U28" s="999">
        <f t="shared" si="38"/>
        <v>0</v>
      </c>
      <c r="V28" s="1754">
        <f>+'[3]Oct midyear Southwest LA Chtr'!E27</f>
        <v>0</v>
      </c>
      <c r="W28" s="1755">
        <f t="shared" si="39"/>
        <v>0</v>
      </c>
      <c r="X28" s="1754">
        <f>'[3]Feb midyear Southwest LA Ch '!E27</f>
        <v>0</v>
      </c>
      <c r="Y28" s="1755">
        <f t="shared" si="40"/>
        <v>0</v>
      </c>
      <c r="Z28" s="1652">
        <f t="shared" si="41"/>
        <v>0</v>
      </c>
      <c r="AA28" s="1521">
        <f t="shared" si="42"/>
        <v>0</v>
      </c>
      <c r="AB28" s="936">
        <f t="shared" si="43"/>
        <v>0</v>
      </c>
      <c r="AC28" s="874">
        <f t="shared" si="44"/>
        <v>0</v>
      </c>
      <c r="AD28" s="1829">
        <v>0</v>
      </c>
      <c r="AE28" s="874">
        <f t="shared" si="45"/>
        <v>0</v>
      </c>
      <c r="AF28" s="1829">
        <f>+'[4]Table 5C1H-Southwest LA Charter'!T27*8</f>
        <v>0</v>
      </c>
      <c r="AG28" s="1829">
        <f t="shared" si="46"/>
        <v>0</v>
      </c>
      <c r="AH28" s="874">
        <f t="shared" si="47"/>
        <v>0</v>
      </c>
      <c r="AI28" s="875">
        <f t="shared" si="27"/>
        <v>0</v>
      </c>
      <c r="AJ28" s="875">
        <f t="shared" si="48"/>
        <v>0</v>
      </c>
      <c r="AL28" s="49">
        <f>-'[4]Table 5C1H-Southwest LA Charter'!P27</f>
        <v>0</v>
      </c>
      <c r="AM28" s="49">
        <f t="shared" si="49"/>
        <v>0</v>
      </c>
      <c r="AN28" s="49">
        <f t="shared" si="50"/>
        <v>0</v>
      </c>
    </row>
    <row r="29" spans="1:40">
      <c r="A29" s="876">
        <v>22</v>
      </c>
      <c r="B29" s="877" t="s">
        <v>113</v>
      </c>
      <c r="C29" s="969">
        <f>'2-1-13 SIS'!G28</f>
        <v>0</v>
      </c>
      <c r="D29" s="878">
        <f>'Table 3 Levels 1&amp;2'!AL29</f>
        <v>6203.2933768722742</v>
      </c>
      <c r="E29" s="919">
        <f t="shared" si="28"/>
        <v>0</v>
      </c>
      <c r="F29" s="919">
        <f>'Table 4 Level 3'!P27</f>
        <v>496.36</v>
      </c>
      <c r="G29" s="919">
        <f t="shared" si="29"/>
        <v>0</v>
      </c>
      <c r="H29" s="898">
        <f t="shared" si="30"/>
        <v>0</v>
      </c>
      <c r="I29" s="1732">
        <f>+'[3]Oct midyear Southwest LA Chtr'!K28</f>
        <v>0</v>
      </c>
      <c r="J29" s="1732">
        <f>'[3]Feb midyear Southwest LA Ch '!K28</f>
        <v>0</v>
      </c>
      <c r="K29" s="1543">
        <f t="shared" si="31"/>
        <v>0</v>
      </c>
      <c r="L29" s="1485">
        <f t="shared" si="32"/>
        <v>0</v>
      </c>
      <c r="M29" s="929">
        <f t="shared" si="33"/>
        <v>0</v>
      </c>
      <c r="N29" s="898">
        <f t="shared" si="34"/>
        <v>0</v>
      </c>
      <c r="O29" s="878">
        <v>0</v>
      </c>
      <c r="P29" s="1550">
        <f t="shared" si="35"/>
        <v>0</v>
      </c>
      <c r="Q29" s="1732">
        <f>+'[4]Table 5C1H-Southwest LA Charter'!M28*8</f>
        <v>0</v>
      </c>
      <c r="R29" s="1732">
        <f t="shared" si="36"/>
        <v>0</v>
      </c>
      <c r="S29" s="1550">
        <f t="shared" si="37"/>
        <v>0</v>
      </c>
      <c r="T29" s="1802">
        <f>'Table 5C1A-Madison Prep'!T29</f>
        <v>1519</v>
      </c>
      <c r="U29" s="1555">
        <f t="shared" si="38"/>
        <v>0</v>
      </c>
      <c r="V29" s="1758">
        <f>+'[3]Oct midyear Southwest LA Chtr'!E28</f>
        <v>0</v>
      </c>
      <c r="W29" s="1759">
        <f t="shared" si="39"/>
        <v>0</v>
      </c>
      <c r="X29" s="1758">
        <f>'[3]Feb midyear Southwest LA Ch '!E28</f>
        <v>0</v>
      </c>
      <c r="Y29" s="1759">
        <f t="shared" si="40"/>
        <v>0</v>
      </c>
      <c r="Z29" s="1653">
        <f t="shared" si="41"/>
        <v>0</v>
      </c>
      <c r="AA29" s="1486">
        <f t="shared" si="42"/>
        <v>0</v>
      </c>
      <c r="AB29" s="937">
        <f t="shared" si="43"/>
        <v>0</v>
      </c>
      <c r="AC29" s="899">
        <f t="shared" si="44"/>
        <v>0</v>
      </c>
      <c r="AD29" s="1830">
        <v>0</v>
      </c>
      <c r="AE29" s="899">
        <f t="shared" si="45"/>
        <v>0</v>
      </c>
      <c r="AF29" s="1834">
        <f>+'[4]Table 5C1H-Southwest LA Charter'!T28*8</f>
        <v>0</v>
      </c>
      <c r="AG29" s="1834">
        <f t="shared" si="46"/>
        <v>0</v>
      </c>
      <c r="AH29" s="899">
        <f t="shared" si="47"/>
        <v>0</v>
      </c>
      <c r="AI29" s="900">
        <f t="shared" si="27"/>
        <v>0</v>
      </c>
      <c r="AJ29" s="900">
        <f t="shared" si="48"/>
        <v>0</v>
      </c>
      <c r="AL29" s="49">
        <f>-'[4]Table 5C1H-Southwest LA Charter'!P28</f>
        <v>0</v>
      </c>
      <c r="AM29" s="49">
        <f t="shared" si="49"/>
        <v>0</v>
      </c>
      <c r="AN29" s="49">
        <f t="shared" si="50"/>
        <v>0</v>
      </c>
    </row>
    <row r="30" spans="1:40">
      <c r="A30" s="876">
        <v>23</v>
      </c>
      <c r="B30" s="877" t="s">
        <v>114</v>
      </c>
      <c r="C30" s="969">
        <f>'2-1-13 SIS'!G29</f>
        <v>0</v>
      </c>
      <c r="D30" s="878">
        <f>'Table 3 Levels 1&amp;2'!AL30</f>
        <v>4846.0802490067681</v>
      </c>
      <c r="E30" s="919">
        <f t="shared" si="28"/>
        <v>0</v>
      </c>
      <c r="F30" s="919">
        <f>'Table 4 Level 3'!P28</f>
        <v>688.58</v>
      </c>
      <c r="G30" s="919">
        <f t="shared" si="29"/>
        <v>0</v>
      </c>
      <c r="H30" s="898">
        <f t="shared" si="30"/>
        <v>0</v>
      </c>
      <c r="I30" s="1732">
        <f>+'[3]Oct midyear Southwest LA Chtr'!K29</f>
        <v>0</v>
      </c>
      <c r="J30" s="1732">
        <f>'[3]Feb midyear Southwest LA Ch '!K29</f>
        <v>0</v>
      </c>
      <c r="K30" s="1543">
        <f t="shared" si="31"/>
        <v>0</v>
      </c>
      <c r="L30" s="1485">
        <f t="shared" si="32"/>
        <v>0</v>
      </c>
      <c r="M30" s="929">
        <f t="shared" si="33"/>
        <v>0</v>
      </c>
      <c r="N30" s="898">
        <f t="shared" si="34"/>
        <v>0</v>
      </c>
      <c r="O30" s="878">
        <v>0</v>
      </c>
      <c r="P30" s="1550">
        <f t="shared" si="35"/>
        <v>0</v>
      </c>
      <c r="Q30" s="1732">
        <f>+'[4]Table 5C1H-Southwest LA Charter'!M29*8</f>
        <v>0</v>
      </c>
      <c r="R30" s="1732">
        <f t="shared" si="36"/>
        <v>0</v>
      </c>
      <c r="S30" s="1550">
        <f t="shared" si="37"/>
        <v>0</v>
      </c>
      <c r="T30" s="1802">
        <f>'Table 5C1A-Madison Prep'!T30</f>
        <v>3365</v>
      </c>
      <c r="U30" s="1555">
        <f t="shared" si="38"/>
        <v>0</v>
      </c>
      <c r="V30" s="1758">
        <f>+'[3]Oct midyear Southwest LA Chtr'!E29</f>
        <v>0</v>
      </c>
      <c r="W30" s="1759">
        <f t="shared" si="39"/>
        <v>0</v>
      </c>
      <c r="X30" s="1758">
        <f>'[3]Feb midyear Southwest LA Ch '!E29</f>
        <v>0</v>
      </c>
      <c r="Y30" s="1759">
        <f t="shared" si="40"/>
        <v>0</v>
      </c>
      <c r="Z30" s="1653">
        <f t="shared" si="41"/>
        <v>0</v>
      </c>
      <c r="AA30" s="1486">
        <f t="shared" si="42"/>
        <v>0</v>
      </c>
      <c r="AB30" s="937">
        <f t="shared" si="43"/>
        <v>0</v>
      </c>
      <c r="AC30" s="899">
        <f t="shared" si="44"/>
        <v>0</v>
      </c>
      <c r="AD30" s="1830">
        <v>0</v>
      </c>
      <c r="AE30" s="899">
        <f t="shared" si="45"/>
        <v>0</v>
      </c>
      <c r="AF30" s="1834">
        <f>+'[4]Table 5C1H-Southwest LA Charter'!T29*8</f>
        <v>0</v>
      </c>
      <c r="AG30" s="1834">
        <f t="shared" si="46"/>
        <v>0</v>
      </c>
      <c r="AH30" s="899">
        <f t="shared" si="47"/>
        <v>0</v>
      </c>
      <c r="AI30" s="900">
        <f t="shared" si="27"/>
        <v>0</v>
      </c>
      <c r="AJ30" s="900">
        <f t="shared" si="48"/>
        <v>0</v>
      </c>
      <c r="AL30" s="49">
        <f>-'[4]Table 5C1H-Southwest LA Charter'!P29</f>
        <v>0</v>
      </c>
      <c r="AM30" s="49">
        <f t="shared" si="49"/>
        <v>0</v>
      </c>
      <c r="AN30" s="49">
        <f t="shared" si="50"/>
        <v>0</v>
      </c>
    </row>
    <row r="31" spans="1:40">
      <c r="A31" s="876">
        <v>24</v>
      </c>
      <c r="B31" s="877" t="s">
        <v>115</v>
      </c>
      <c r="C31" s="969">
        <f>'2-1-13 SIS'!G30</f>
        <v>0</v>
      </c>
      <c r="D31" s="878">
        <f>'Table 3 Levels 1&amp;2'!AL31</f>
        <v>2764.1216755319151</v>
      </c>
      <c r="E31" s="919">
        <f t="shared" si="28"/>
        <v>0</v>
      </c>
      <c r="F31" s="919">
        <f>'Table 4 Level 3'!P29</f>
        <v>854.24999999999989</v>
      </c>
      <c r="G31" s="919">
        <f t="shared" si="29"/>
        <v>0</v>
      </c>
      <c r="H31" s="898">
        <f t="shared" si="30"/>
        <v>0</v>
      </c>
      <c r="I31" s="1732">
        <f>+'[3]Oct midyear Southwest LA Chtr'!K30</f>
        <v>0</v>
      </c>
      <c r="J31" s="1732">
        <f>'[3]Feb midyear Southwest LA Ch '!K30</f>
        <v>0</v>
      </c>
      <c r="K31" s="1543">
        <f t="shared" si="31"/>
        <v>0</v>
      </c>
      <c r="L31" s="1485">
        <f t="shared" si="32"/>
        <v>0</v>
      </c>
      <c r="M31" s="929">
        <f t="shared" si="33"/>
        <v>0</v>
      </c>
      <c r="N31" s="898">
        <f t="shared" si="34"/>
        <v>0</v>
      </c>
      <c r="O31" s="878">
        <v>0</v>
      </c>
      <c r="P31" s="1550">
        <f t="shared" si="35"/>
        <v>0</v>
      </c>
      <c r="Q31" s="1732">
        <f>+'[4]Table 5C1H-Southwest LA Charter'!M30*8</f>
        <v>0</v>
      </c>
      <c r="R31" s="1732">
        <f t="shared" si="36"/>
        <v>0</v>
      </c>
      <c r="S31" s="1550">
        <f t="shared" si="37"/>
        <v>0</v>
      </c>
      <c r="T31" s="1802">
        <f>'Table 5C1A-Madison Prep'!T31</f>
        <v>10907</v>
      </c>
      <c r="U31" s="1555">
        <f t="shared" si="38"/>
        <v>0</v>
      </c>
      <c r="V31" s="1758">
        <f>+'[3]Oct midyear Southwest LA Chtr'!E30</f>
        <v>0</v>
      </c>
      <c r="W31" s="1759">
        <f t="shared" si="39"/>
        <v>0</v>
      </c>
      <c r="X31" s="1758">
        <f>'[3]Feb midyear Southwest LA Ch '!E30</f>
        <v>0</v>
      </c>
      <c r="Y31" s="1759">
        <f t="shared" si="40"/>
        <v>0</v>
      </c>
      <c r="Z31" s="1653">
        <f t="shared" si="41"/>
        <v>0</v>
      </c>
      <c r="AA31" s="1486">
        <f t="shared" si="42"/>
        <v>0</v>
      </c>
      <c r="AB31" s="937">
        <f t="shared" si="43"/>
        <v>0</v>
      </c>
      <c r="AC31" s="899">
        <f t="shared" si="44"/>
        <v>0</v>
      </c>
      <c r="AD31" s="1830">
        <v>0</v>
      </c>
      <c r="AE31" s="899">
        <f t="shared" si="45"/>
        <v>0</v>
      </c>
      <c r="AF31" s="1834">
        <f>+'[4]Table 5C1H-Southwest LA Charter'!T30*8</f>
        <v>0</v>
      </c>
      <c r="AG31" s="1834">
        <f t="shared" si="46"/>
        <v>0</v>
      </c>
      <c r="AH31" s="899">
        <f t="shared" si="47"/>
        <v>0</v>
      </c>
      <c r="AI31" s="900">
        <f t="shared" si="27"/>
        <v>0</v>
      </c>
      <c r="AJ31" s="900">
        <f t="shared" si="48"/>
        <v>0</v>
      </c>
      <c r="AL31" s="49">
        <f>-'[4]Table 5C1H-Southwest LA Charter'!P30</f>
        <v>0</v>
      </c>
      <c r="AM31" s="49">
        <f t="shared" si="49"/>
        <v>0</v>
      </c>
      <c r="AN31" s="49">
        <f t="shared" si="50"/>
        <v>0</v>
      </c>
    </row>
    <row r="32" spans="1:40">
      <c r="A32" s="879">
        <v>25</v>
      </c>
      <c r="B32" s="880" t="s">
        <v>116</v>
      </c>
      <c r="C32" s="970">
        <f>'2-1-13 SIS'!G31</f>
        <v>0</v>
      </c>
      <c r="D32" s="881">
        <f>'Table 3 Levels 1&amp;2'!AL32</f>
        <v>3867.4480692053257</v>
      </c>
      <c r="E32" s="920">
        <f t="shared" si="28"/>
        <v>0</v>
      </c>
      <c r="F32" s="920">
        <f>'Table 4 Level 3'!P30</f>
        <v>653.73</v>
      </c>
      <c r="G32" s="920">
        <f t="shared" si="29"/>
        <v>0</v>
      </c>
      <c r="H32" s="901">
        <f t="shared" si="30"/>
        <v>0</v>
      </c>
      <c r="I32" s="1733">
        <f>+'[3]Oct midyear Southwest LA Chtr'!K31</f>
        <v>0</v>
      </c>
      <c r="J32" s="1733">
        <f>'[3]Feb midyear Southwest LA Ch '!K31</f>
        <v>0</v>
      </c>
      <c r="K32" s="1544">
        <f t="shared" si="31"/>
        <v>0</v>
      </c>
      <c r="L32" s="1487">
        <f t="shared" si="32"/>
        <v>0</v>
      </c>
      <c r="M32" s="930">
        <f t="shared" si="33"/>
        <v>0</v>
      </c>
      <c r="N32" s="901">
        <f t="shared" si="34"/>
        <v>0</v>
      </c>
      <c r="O32" s="881">
        <v>0</v>
      </c>
      <c r="P32" s="1551">
        <f t="shared" si="35"/>
        <v>0</v>
      </c>
      <c r="Q32" s="1733">
        <f>+'[4]Table 5C1H-Southwest LA Charter'!M31*8</f>
        <v>0</v>
      </c>
      <c r="R32" s="1733">
        <f t="shared" si="36"/>
        <v>0</v>
      </c>
      <c r="S32" s="1551">
        <f t="shared" si="37"/>
        <v>0</v>
      </c>
      <c r="T32" s="1807">
        <f>'Table 5C1A-Madison Prep'!T32</f>
        <v>5156</v>
      </c>
      <c r="U32" s="1556">
        <f t="shared" si="38"/>
        <v>0</v>
      </c>
      <c r="V32" s="1762">
        <f>+'[3]Oct midyear Southwest LA Chtr'!E31</f>
        <v>0</v>
      </c>
      <c r="W32" s="1763">
        <f t="shared" si="39"/>
        <v>0</v>
      </c>
      <c r="X32" s="1762">
        <f>'[3]Feb midyear Southwest LA Ch '!E31</f>
        <v>0</v>
      </c>
      <c r="Y32" s="1763">
        <f t="shared" si="40"/>
        <v>0</v>
      </c>
      <c r="Z32" s="1654">
        <f t="shared" si="41"/>
        <v>0</v>
      </c>
      <c r="AA32" s="1488">
        <f t="shared" si="42"/>
        <v>0</v>
      </c>
      <c r="AB32" s="938">
        <f t="shared" si="43"/>
        <v>0</v>
      </c>
      <c r="AC32" s="903">
        <f t="shared" si="44"/>
        <v>0</v>
      </c>
      <c r="AD32" s="1831">
        <v>0</v>
      </c>
      <c r="AE32" s="903">
        <f t="shared" si="45"/>
        <v>0</v>
      </c>
      <c r="AF32" s="1835">
        <f>+'[4]Table 5C1H-Southwest LA Charter'!T31*8</f>
        <v>0</v>
      </c>
      <c r="AG32" s="1835">
        <f t="shared" si="46"/>
        <v>0</v>
      </c>
      <c r="AH32" s="903">
        <f t="shared" si="47"/>
        <v>0</v>
      </c>
      <c r="AI32" s="904">
        <f t="shared" si="27"/>
        <v>0</v>
      </c>
      <c r="AJ32" s="904">
        <f t="shared" si="48"/>
        <v>0</v>
      </c>
      <c r="AL32" s="49">
        <f>-'[4]Table 5C1H-Southwest LA Charter'!P31</f>
        <v>0</v>
      </c>
      <c r="AM32" s="49">
        <f t="shared" si="49"/>
        <v>0</v>
      </c>
      <c r="AN32" s="49">
        <f t="shared" si="50"/>
        <v>0</v>
      </c>
    </row>
    <row r="33" spans="1:40">
      <c r="A33" s="870">
        <v>26</v>
      </c>
      <c r="B33" s="871" t="s">
        <v>117</v>
      </c>
      <c r="C33" s="971">
        <f>'2-1-13 SIS'!G32</f>
        <v>0</v>
      </c>
      <c r="D33" s="872">
        <f>'Table 3 Levels 1&amp;2'!AL33</f>
        <v>3293.481526790355</v>
      </c>
      <c r="E33" s="918">
        <f t="shared" si="28"/>
        <v>0</v>
      </c>
      <c r="F33" s="918">
        <f>'Table 4 Level 3'!P31</f>
        <v>836.83</v>
      </c>
      <c r="G33" s="918">
        <f t="shared" si="29"/>
        <v>0</v>
      </c>
      <c r="H33" s="873">
        <f t="shared" si="30"/>
        <v>0</v>
      </c>
      <c r="I33" s="1718">
        <f>+'[3]Oct midyear Southwest LA Chtr'!K32</f>
        <v>0</v>
      </c>
      <c r="J33" s="1718">
        <f>'[3]Feb midyear Southwest LA Ch '!K32</f>
        <v>0</v>
      </c>
      <c r="K33" s="1542">
        <f t="shared" si="31"/>
        <v>0</v>
      </c>
      <c r="L33" s="1520">
        <f t="shared" si="32"/>
        <v>0</v>
      </c>
      <c r="M33" s="928">
        <f t="shared" si="33"/>
        <v>0</v>
      </c>
      <c r="N33" s="873">
        <f t="shared" si="34"/>
        <v>0</v>
      </c>
      <c r="O33" s="872">
        <v>0</v>
      </c>
      <c r="P33" s="998">
        <f t="shared" si="35"/>
        <v>0</v>
      </c>
      <c r="Q33" s="1718">
        <f>+'[4]Table 5C1H-Southwest LA Charter'!M32*8</f>
        <v>0</v>
      </c>
      <c r="R33" s="1718">
        <f t="shared" si="36"/>
        <v>0</v>
      </c>
      <c r="S33" s="998">
        <f t="shared" si="37"/>
        <v>0</v>
      </c>
      <c r="T33" s="1802">
        <f>'Table 5C1A-Madison Prep'!T33</f>
        <v>5344</v>
      </c>
      <c r="U33" s="999">
        <f t="shared" si="38"/>
        <v>0</v>
      </c>
      <c r="V33" s="1754">
        <f>+'[3]Oct midyear Southwest LA Chtr'!E32</f>
        <v>0</v>
      </c>
      <c r="W33" s="1755">
        <f t="shared" si="39"/>
        <v>0</v>
      </c>
      <c r="X33" s="1754">
        <f>'[3]Feb midyear Southwest LA Ch '!E32</f>
        <v>0</v>
      </c>
      <c r="Y33" s="1755">
        <f t="shared" si="40"/>
        <v>0</v>
      </c>
      <c r="Z33" s="1652">
        <f t="shared" si="41"/>
        <v>0</v>
      </c>
      <c r="AA33" s="1521">
        <f t="shared" si="42"/>
        <v>0</v>
      </c>
      <c r="AB33" s="936">
        <f t="shared" si="43"/>
        <v>0</v>
      </c>
      <c r="AC33" s="874">
        <f t="shared" si="44"/>
        <v>0</v>
      </c>
      <c r="AD33" s="1829">
        <v>0</v>
      </c>
      <c r="AE33" s="874">
        <f t="shared" si="45"/>
        <v>0</v>
      </c>
      <c r="AF33" s="1829">
        <f>+'[4]Table 5C1H-Southwest LA Charter'!T32*8</f>
        <v>0</v>
      </c>
      <c r="AG33" s="1829">
        <f t="shared" si="46"/>
        <v>0</v>
      </c>
      <c r="AH33" s="874">
        <f t="shared" si="47"/>
        <v>0</v>
      </c>
      <c r="AI33" s="875">
        <f t="shared" si="27"/>
        <v>0</v>
      </c>
      <c r="AJ33" s="875">
        <f t="shared" si="48"/>
        <v>0</v>
      </c>
      <c r="AL33" s="49">
        <f>-'[4]Table 5C1H-Southwest LA Charter'!P32</f>
        <v>0</v>
      </c>
      <c r="AM33" s="49">
        <f t="shared" si="49"/>
        <v>0</v>
      </c>
      <c r="AN33" s="49">
        <f t="shared" si="50"/>
        <v>0</v>
      </c>
    </row>
    <row r="34" spans="1:40">
      <c r="A34" s="876">
        <v>27</v>
      </c>
      <c r="B34" s="877" t="s">
        <v>118</v>
      </c>
      <c r="C34" s="972">
        <f>'2-1-13 SIS'!G33</f>
        <v>8</v>
      </c>
      <c r="D34" s="882">
        <f>'Table 3 Levels 1&amp;2'!AL34</f>
        <v>5680.7727517381973</v>
      </c>
      <c r="E34" s="921">
        <f t="shared" si="28"/>
        <v>45446.182013905578</v>
      </c>
      <c r="F34" s="921">
        <f>'Table 4 Level 3'!P32</f>
        <v>693.06</v>
      </c>
      <c r="G34" s="921">
        <f t="shared" si="29"/>
        <v>5544.48</v>
      </c>
      <c r="H34" s="905">
        <f t="shared" si="30"/>
        <v>50990.662013905574</v>
      </c>
      <c r="I34" s="1734">
        <f>+'[3]Oct midyear Southwest LA Chtr'!K33</f>
        <v>-50990.662013905574</v>
      </c>
      <c r="J34" s="1734">
        <f>'[3]Feb midyear Southwest LA Ch '!K33</f>
        <v>0</v>
      </c>
      <c r="K34" s="1545">
        <f t="shared" si="31"/>
        <v>-50990.662013905574</v>
      </c>
      <c r="L34" s="1489">
        <f t="shared" si="32"/>
        <v>0</v>
      </c>
      <c r="M34" s="931">
        <f t="shared" si="33"/>
        <v>0</v>
      </c>
      <c r="N34" s="905">
        <f t="shared" si="34"/>
        <v>0</v>
      </c>
      <c r="O34" s="882">
        <v>0</v>
      </c>
      <c r="P34" s="1552">
        <f t="shared" si="35"/>
        <v>0</v>
      </c>
      <c r="Q34" s="1734">
        <f>+'[4]Table 5C1H-Southwest LA Charter'!M33*8</f>
        <v>33908.79023924721</v>
      </c>
      <c r="R34" s="1734">
        <f t="shared" si="36"/>
        <v>-33908.79023924721</v>
      </c>
      <c r="S34" s="1552">
        <f t="shared" si="37"/>
        <v>-8477</v>
      </c>
      <c r="T34" s="1802">
        <f>'Table 5C1A-Madison Prep'!T34</f>
        <v>3271</v>
      </c>
      <c r="U34" s="1555">
        <f t="shared" si="38"/>
        <v>26168</v>
      </c>
      <c r="V34" s="1758">
        <f>+'[3]Oct midyear Southwest LA Chtr'!E33</f>
        <v>-8</v>
      </c>
      <c r="W34" s="1759">
        <f t="shared" si="39"/>
        <v>-26168</v>
      </c>
      <c r="X34" s="1758">
        <f>'[3]Feb midyear Southwest LA Ch '!E33</f>
        <v>0</v>
      </c>
      <c r="Y34" s="1759">
        <f t="shared" si="40"/>
        <v>0</v>
      </c>
      <c r="Z34" s="1653">
        <f t="shared" si="41"/>
        <v>-26168</v>
      </c>
      <c r="AA34" s="1486">
        <f t="shared" si="42"/>
        <v>0</v>
      </c>
      <c r="AB34" s="937">
        <f t="shared" si="43"/>
        <v>0</v>
      </c>
      <c r="AC34" s="899">
        <f t="shared" si="44"/>
        <v>0</v>
      </c>
      <c r="AD34" s="1830">
        <v>0</v>
      </c>
      <c r="AE34" s="899">
        <f t="shared" si="45"/>
        <v>0</v>
      </c>
      <c r="AF34" s="1834">
        <f>+'[4]Table 5C1H-Southwest LA Charter'!T33*8</f>
        <v>17295.32</v>
      </c>
      <c r="AG34" s="1834">
        <f t="shared" si="46"/>
        <v>-17295.32</v>
      </c>
      <c r="AH34" s="899">
        <f t="shared" si="47"/>
        <v>-4324</v>
      </c>
      <c r="AI34" s="900">
        <f t="shared" si="27"/>
        <v>0</v>
      </c>
      <c r="AJ34" s="900">
        <f t="shared" si="48"/>
        <v>-12801</v>
      </c>
      <c r="AL34" s="49">
        <f>-'[4]Table 5C1H-Southwest LA Charter'!P33</f>
        <v>65.02</v>
      </c>
      <c r="AM34" s="49">
        <f t="shared" si="49"/>
        <v>0</v>
      </c>
      <c r="AN34" s="49">
        <f t="shared" si="50"/>
        <v>65.02</v>
      </c>
    </row>
    <row r="35" spans="1:40">
      <c r="A35" s="876">
        <v>28</v>
      </c>
      <c r="B35" s="877" t="s">
        <v>119</v>
      </c>
      <c r="C35" s="972">
        <f>'2-1-13 SIS'!G34</f>
        <v>0</v>
      </c>
      <c r="D35" s="882">
        <f>'Table 3 Levels 1&amp;2'!AL35</f>
        <v>3163.1694438483169</v>
      </c>
      <c r="E35" s="921">
        <f t="shared" si="28"/>
        <v>0</v>
      </c>
      <c r="F35" s="921">
        <f>'Table 4 Level 3'!P33</f>
        <v>694.4</v>
      </c>
      <c r="G35" s="921">
        <f t="shared" si="29"/>
        <v>0</v>
      </c>
      <c r="H35" s="905">
        <f t="shared" si="30"/>
        <v>0</v>
      </c>
      <c r="I35" s="1734">
        <f>+'[3]Oct midyear Southwest LA Chtr'!K34</f>
        <v>0</v>
      </c>
      <c r="J35" s="1734">
        <f>'[3]Feb midyear Southwest LA Ch '!K34</f>
        <v>0</v>
      </c>
      <c r="K35" s="1545">
        <f t="shared" si="31"/>
        <v>0</v>
      </c>
      <c r="L35" s="1489">
        <f t="shared" si="32"/>
        <v>0</v>
      </c>
      <c r="M35" s="931">
        <f t="shared" si="33"/>
        <v>0</v>
      </c>
      <c r="N35" s="905">
        <f t="shared" si="34"/>
        <v>0</v>
      </c>
      <c r="O35" s="882">
        <v>0</v>
      </c>
      <c r="P35" s="1552">
        <f t="shared" si="35"/>
        <v>0</v>
      </c>
      <c r="Q35" s="1734">
        <f>+'[4]Table 5C1H-Southwest LA Charter'!M34*8</f>
        <v>0</v>
      </c>
      <c r="R35" s="1734">
        <f t="shared" si="36"/>
        <v>0</v>
      </c>
      <c r="S35" s="1552">
        <f t="shared" si="37"/>
        <v>0</v>
      </c>
      <c r="T35" s="1802">
        <f>'Table 5C1A-Madison Prep'!T35</f>
        <v>5647</v>
      </c>
      <c r="U35" s="1555">
        <f t="shared" si="38"/>
        <v>0</v>
      </c>
      <c r="V35" s="1758">
        <f>+'[3]Oct midyear Southwest LA Chtr'!E34</f>
        <v>0</v>
      </c>
      <c r="W35" s="1759">
        <f t="shared" si="39"/>
        <v>0</v>
      </c>
      <c r="X35" s="1758">
        <f>'[3]Feb midyear Southwest LA Ch '!E34</f>
        <v>0</v>
      </c>
      <c r="Y35" s="1759">
        <f t="shared" si="40"/>
        <v>0</v>
      </c>
      <c r="Z35" s="1653">
        <f t="shared" si="41"/>
        <v>0</v>
      </c>
      <c r="AA35" s="1486">
        <f t="shared" si="42"/>
        <v>0</v>
      </c>
      <c r="AB35" s="937">
        <f t="shared" si="43"/>
        <v>0</v>
      </c>
      <c r="AC35" s="899">
        <f t="shared" si="44"/>
        <v>0</v>
      </c>
      <c r="AD35" s="1830">
        <v>0</v>
      </c>
      <c r="AE35" s="899">
        <f t="shared" si="45"/>
        <v>0</v>
      </c>
      <c r="AF35" s="1834">
        <f>+'[4]Table 5C1H-Southwest LA Charter'!T34*8</f>
        <v>0</v>
      </c>
      <c r="AG35" s="1834">
        <f t="shared" si="46"/>
        <v>0</v>
      </c>
      <c r="AH35" s="899">
        <f t="shared" si="47"/>
        <v>0</v>
      </c>
      <c r="AI35" s="900">
        <f t="shared" si="27"/>
        <v>0</v>
      </c>
      <c r="AJ35" s="900">
        <f t="shared" si="48"/>
        <v>0</v>
      </c>
      <c r="AL35" s="49">
        <f>-'[4]Table 5C1H-Southwest LA Charter'!P34</f>
        <v>0</v>
      </c>
      <c r="AM35" s="49">
        <f t="shared" si="49"/>
        <v>0</v>
      </c>
      <c r="AN35" s="49">
        <f t="shared" si="50"/>
        <v>0</v>
      </c>
    </row>
    <row r="36" spans="1:40">
      <c r="A36" s="876">
        <v>29</v>
      </c>
      <c r="B36" s="877" t="s">
        <v>120</v>
      </c>
      <c r="C36" s="972">
        <f>'2-1-13 SIS'!G35</f>
        <v>0</v>
      </c>
      <c r="D36" s="882">
        <f>'Table 3 Levels 1&amp;2'!AL36</f>
        <v>3952.5586133052648</v>
      </c>
      <c r="E36" s="921">
        <f t="shared" si="28"/>
        <v>0</v>
      </c>
      <c r="F36" s="921">
        <f>'Table 4 Level 3'!P34</f>
        <v>754.94999999999993</v>
      </c>
      <c r="G36" s="921">
        <f t="shared" si="29"/>
        <v>0</v>
      </c>
      <c r="H36" s="905">
        <f t="shared" si="30"/>
        <v>0</v>
      </c>
      <c r="I36" s="1734">
        <f>+'[3]Oct midyear Southwest LA Chtr'!K35</f>
        <v>0</v>
      </c>
      <c r="J36" s="1734">
        <f>'[3]Feb midyear Southwest LA Ch '!K35</f>
        <v>0</v>
      </c>
      <c r="K36" s="1545">
        <f t="shared" si="31"/>
        <v>0</v>
      </c>
      <c r="L36" s="1489">
        <f t="shared" si="32"/>
        <v>0</v>
      </c>
      <c r="M36" s="931">
        <f t="shared" si="33"/>
        <v>0</v>
      </c>
      <c r="N36" s="905">
        <f t="shared" si="34"/>
        <v>0</v>
      </c>
      <c r="O36" s="882">
        <v>0</v>
      </c>
      <c r="P36" s="1552">
        <f t="shared" si="35"/>
        <v>0</v>
      </c>
      <c r="Q36" s="1734">
        <f>+'[4]Table 5C1H-Southwest LA Charter'!M35*8</f>
        <v>0</v>
      </c>
      <c r="R36" s="1734">
        <f t="shared" si="36"/>
        <v>0</v>
      </c>
      <c r="S36" s="1552">
        <f t="shared" si="37"/>
        <v>0</v>
      </c>
      <c r="T36" s="1802">
        <f>'Table 5C1A-Madison Prep'!T36</f>
        <v>4826</v>
      </c>
      <c r="U36" s="1555">
        <f t="shared" si="38"/>
        <v>0</v>
      </c>
      <c r="V36" s="1758">
        <f>+'[3]Oct midyear Southwest LA Chtr'!E35</f>
        <v>0</v>
      </c>
      <c r="W36" s="1759">
        <f t="shared" si="39"/>
        <v>0</v>
      </c>
      <c r="X36" s="1758">
        <f>'[3]Feb midyear Southwest LA Ch '!E35</f>
        <v>0</v>
      </c>
      <c r="Y36" s="1759">
        <f t="shared" si="40"/>
        <v>0</v>
      </c>
      <c r="Z36" s="1653">
        <f t="shared" si="41"/>
        <v>0</v>
      </c>
      <c r="AA36" s="1486">
        <f t="shared" si="42"/>
        <v>0</v>
      </c>
      <c r="AB36" s="937">
        <f t="shared" si="43"/>
        <v>0</v>
      </c>
      <c r="AC36" s="899">
        <f t="shared" si="44"/>
        <v>0</v>
      </c>
      <c r="AD36" s="1830">
        <v>0</v>
      </c>
      <c r="AE36" s="899">
        <f t="shared" si="45"/>
        <v>0</v>
      </c>
      <c r="AF36" s="1834">
        <f>+'[4]Table 5C1H-Southwest LA Charter'!T35*8</f>
        <v>0</v>
      </c>
      <c r="AG36" s="1834">
        <f t="shared" si="46"/>
        <v>0</v>
      </c>
      <c r="AH36" s="899">
        <f t="shared" si="47"/>
        <v>0</v>
      </c>
      <c r="AI36" s="900">
        <f t="shared" si="27"/>
        <v>0</v>
      </c>
      <c r="AJ36" s="900">
        <f t="shared" si="48"/>
        <v>0</v>
      </c>
      <c r="AL36" s="49">
        <f>-'[4]Table 5C1H-Southwest LA Charter'!P35</f>
        <v>0</v>
      </c>
      <c r="AM36" s="49">
        <f t="shared" si="49"/>
        <v>0</v>
      </c>
      <c r="AN36" s="49">
        <f t="shared" si="50"/>
        <v>0</v>
      </c>
    </row>
    <row r="37" spans="1:40">
      <c r="A37" s="879">
        <v>30</v>
      </c>
      <c r="B37" s="880" t="s">
        <v>121</v>
      </c>
      <c r="C37" s="973">
        <f>'2-1-13 SIS'!G36</f>
        <v>0</v>
      </c>
      <c r="D37" s="883">
        <f>'Table 3 Levels 1&amp;2'!AL37</f>
        <v>5648.6510465852989</v>
      </c>
      <c r="E37" s="922">
        <f t="shared" si="28"/>
        <v>0</v>
      </c>
      <c r="F37" s="922">
        <f>'Table 4 Level 3'!P35</f>
        <v>727.17</v>
      </c>
      <c r="G37" s="922">
        <f t="shared" si="29"/>
        <v>0</v>
      </c>
      <c r="H37" s="906">
        <f t="shared" si="30"/>
        <v>0</v>
      </c>
      <c r="I37" s="1735">
        <f>+'[3]Oct midyear Southwest LA Chtr'!K36</f>
        <v>0</v>
      </c>
      <c r="J37" s="1735">
        <f>'[3]Feb midyear Southwest LA Ch '!K36</f>
        <v>0</v>
      </c>
      <c r="K37" s="1546">
        <f t="shared" si="31"/>
        <v>0</v>
      </c>
      <c r="L37" s="1490">
        <f t="shared" si="32"/>
        <v>0</v>
      </c>
      <c r="M37" s="932">
        <f t="shared" si="33"/>
        <v>0</v>
      </c>
      <c r="N37" s="906">
        <f t="shared" si="34"/>
        <v>0</v>
      </c>
      <c r="O37" s="883">
        <v>0</v>
      </c>
      <c r="P37" s="1553">
        <f t="shared" si="35"/>
        <v>0</v>
      </c>
      <c r="Q37" s="1735">
        <f>+'[4]Table 5C1H-Southwest LA Charter'!M36*8</f>
        <v>0</v>
      </c>
      <c r="R37" s="1735">
        <f t="shared" si="36"/>
        <v>0</v>
      </c>
      <c r="S37" s="1553">
        <f t="shared" si="37"/>
        <v>0</v>
      </c>
      <c r="T37" s="1807">
        <f>'Table 5C1A-Madison Prep'!T37</f>
        <v>4193</v>
      </c>
      <c r="U37" s="1556">
        <f t="shared" si="38"/>
        <v>0</v>
      </c>
      <c r="V37" s="1762">
        <f>+'[3]Oct midyear Southwest LA Chtr'!E36</f>
        <v>0</v>
      </c>
      <c r="W37" s="1763">
        <f t="shared" si="39"/>
        <v>0</v>
      </c>
      <c r="X37" s="1762">
        <f>'[3]Feb midyear Southwest LA Ch '!E36</f>
        <v>0</v>
      </c>
      <c r="Y37" s="1763">
        <f t="shared" si="40"/>
        <v>0</v>
      </c>
      <c r="Z37" s="1654">
        <f t="shared" si="41"/>
        <v>0</v>
      </c>
      <c r="AA37" s="1488">
        <f t="shared" si="42"/>
        <v>0</v>
      </c>
      <c r="AB37" s="938">
        <f t="shared" si="43"/>
        <v>0</v>
      </c>
      <c r="AC37" s="903">
        <f t="shared" si="44"/>
        <v>0</v>
      </c>
      <c r="AD37" s="1831">
        <v>0</v>
      </c>
      <c r="AE37" s="903">
        <f t="shared" si="45"/>
        <v>0</v>
      </c>
      <c r="AF37" s="1835">
        <f>+'[4]Table 5C1H-Southwest LA Charter'!T36*8</f>
        <v>0</v>
      </c>
      <c r="AG37" s="1835">
        <f t="shared" si="46"/>
        <v>0</v>
      </c>
      <c r="AH37" s="903">
        <f t="shared" si="47"/>
        <v>0</v>
      </c>
      <c r="AI37" s="904">
        <f t="shared" si="27"/>
        <v>0</v>
      </c>
      <c r="AJ37" s="904">
        <f t="shared" si="48"/>
        <v>0</v>
      </c>
      <c r="AL37" s="49">
        <f>-'[4]Table 5C1H-Southwest LA Charter'!P36</f>
        <v>0</v>
      </c>
      <c r="AM37" s="49">
        <f t="shared" si="49"/>
        <v>0</v>
      </c>
      <c r="AN37" s="49">
        <f t="shared" si="50"/>
        <v>0</v>
      </c>
    </row>
    <row r="38" spans="1:40">
      <c r="A38" s="870">
        <v>31</v>
      </c>
      <c r="B38" s="871" t="s">
        <v>122</v>
      </c>
      <c r="C38" s="974">
        <f>'2-1-13 SIS'!G37</f>
        <v>0</v>
      </c>
      <c r="D38" s="884">
        <f>'Table 3 Levels 1&amp;2'!AL38</f>
        <v>4348.9307899232972</v>
      </c>
      <c r="E38" s="923">
        <f t="shared" si="28"/>
        <v>0</v>
      </c>
      <c r="F38" s="923">
        <f>'Table 4 Level 3'!P36</f>
        <v>620.83000000000004</v>
      </c>
      <c r="G38" s="923">
        <f t="shared" si="29"/>
        <v>0</v>
      </c>
      <c r="H38" s="907">
        <f t="shared" si="30"/>
        <v>0</v>
      </c>
      <c r="I38" s="1723">
        <f>+'[3]Oct midyear Southwest LA Chtr'!K37</f>
        <v>0</v>
      </c>
      <c r="J38" s="1723">
        <f>'[3]Feb midyear Southwest LA Ch '!K37</f>
        <v>0</v>
      </c>
      <c r="K38" s="1547">
        <f t="shared" si="31"/>
        <v>0</v>
      </c>
      <c r="L38" s="1491">
        <f t="shared" si="32"/>
        <v>0</v>
      </c>
      <c r="M38" s="933">
        <f t="shared" si="33"/>
        <v>0</v>
      </c>
      <c r="N38" s="907">
        <f t="shared" si="34"/>
        <v>0</v>
      </c>
      <c r="O38" s="884">
        <v>0</v>
      </c>
      <c r="P38" s="996">
        <f t="shared" si="35"/>
        <v>0</v>
      </c>
      <c r="Q38" s="1723">
        <f>+'[4]Table 5C1H-Southwest LA Charter'!M37*8</f>
        <v>0</v>
      </c>
      <c r="R38" s="1723">
        <f t="shared" si="36"/>
        <v>0</v>
      </c>
      <c r="S38" s="996">
        <f t="shared" si="37"/>
        <v>0</v>
      </c>
      <c r="T38" s="1802">
        <f>'Table 5C1A-Madison Prep'!T38</f>
        <v>4901</v>
      </c>
      <c r="U38" s="999">
        <f t="shared" si="38"/>
        <v>0</v>
      </c>
      <c r="V38" s="1754">
        <f>+'[3]Oct midyear Southwest LA Chtr'!E37</f>
        <v>0</v>
      </c>
      <c r="W38" s="1755">
        <f t="shared" si="39"/>
        <v>0</v>
      </c>
      <c r="X38" s="1754">
        <f>'[3]Feb midyear Southwest LA Ch '!E37</f>
        <v>0</v>
      </c>
      <c r="Y38" s="1755">
        <f t="shared" si="40"/>
        <v>0</v>
      </c>
      <c r="Z38" s="1652">
        <f t="shared" si="41"/>
        <v>0</v>
      </c>
      <c r="AA38" s="1521">
        <f t="shared" si="42"/>
        <v>0</v>
      </c>
      <c r="AB38" s="936">
        <f t="shared" si="43"/>
        <v>0</v>
      </c>
      <c r="AC38" s="874">
        <f t="shared" si="44"/>
        <v>0</v>
      </c>
      <c r="AD38" s="1829">
        <v>0</v>
      </c>
      <c r="AE38" s="874">
        <f t="shared" si="45"/>
        <v>0</v>
      </c>
      <c r="AF38" s="1829">
        <f>+'[4]Table 5C1H-Southwest LA Charter'!T37*8</f>
        <v>0</v>
      </c>
      <c r="AG38" s="1829">
        <f t="shared" si="46"/>
        <v>0</v>
      </c>
      <c r="AH38" s="874">
        <f t="shared" si="47"/>
        <v>0</v>
      </c>
      <c r="AI38" s="875">
        <f t="shared" si="27"/>
        <v>0</v>
      </c>
      <c r="AJ38" s="875">
        <f t="shared" si="48"/>
        <v>0</v>
      </c>
      <c r="AL38" s="49">
        <f>-'[4]Table 5C1H-Southwest LA Charter'!P37</f>
        <v>0</v>
      </c>
      <c r="AM38" s="49">
        <f t="shared" si="49"/>
        <v>0</v>
      </c>
      <c r="AN38" s="49">
        <f t="shared" si="50"/>
        <v>0</v>
      </c>
    </row>
    <row r="39" spans="1:40">
      <c r="A39" s="876">
        <v>32</v>
      </c>
      <c r="B39" s="877" t="s">
        <v>123</v>
      </c>
      <c r="C39" s="972">
        <f>'2-1-13 SIS'!G38</f>
        <v>0</v>
      </c>
      <c r="D39" s="882">
        <f>'Table 3 Levels 1&amp;2'!AL39</f>
        <v>5531.5157655456787</v>
      </c>
      <c r="E39" s="921">
        <f t="shared" si="28"/>
        <v>0</v>
      </c>
      <c r="F39" s="921">
        <f>'Table 4 Level 3'!P37</f>
        <v>559.77</v>
      </c>
      <c r="G39" s="921">
        <f t="shared" si="29"/>
        <v>0</v>
      </c>
      <c r="H39" s="905">
        <f t="shared" si="30"/>
        <v>0</v>
      </c>
      <c r="I39" s="1734">
        <f>+'[3]Oct midyear Southwest LA Chtr'!K38</f>
        <v>0</v>
      </c>
      <c r="J39" s="1734">
        <f>'[3]Feb midyear Southwest LA Ch '!K38</f>
        <v>0</v>
      </c>
      <c r="K39" s="1545">
        <f t="shared" si="31"/>
        <v>0</v>
      </c>
      <c r="L39" s="1489">
        <f t="shared" si="32"/>
        <v>0</v>
      </c>
      <c r="M39" s="931">
        <f t="shared" si="33"/>
        <v>0</v>
      </c>
      <c r="N39" s="905">
        <f t="shared" si="34"/>
        <v>0</v>
      </c>
      <c r="O39" s="882">
        <v>0</v>
      </c>
      <c r="P39" s="1552">
        <f t="shared" si="35"/>
        <v>0</v>
      </c>
      <c r="Q39" s="1734">
        <f>+'[4]Table 5C1H-Southwest LA Charter'!M38*8</f>
        <v>0</v>
      </c>
      <c r="R39" s="1734">
        <f t="shared" si="36"/>
        <v>0</v>
      </c>
      <c r="S39" s="1552">
        <f t="shared" si="37"/>
        <v>0</v>
      </c>
      <c r="T39" s="1802">
        <f>'Table 5C1A-Madison Prep'!T39</f>
        <v>2074</v>
      </c>
      <c r="U39" s="1555">
        <f t="shared" si="38"/>
        <v>0</v>
      </c>
      <c r="V39" s="1758">
        <f>+'[3]Oct midyear Southwest LA Chtr'!E38</f>
        <v>0</v>
      </c>
      <c r="W39" s="1759">
        <f t="shared" si="39"/>
        <v>0</v>
      </c>
      <c r="X39" s="1758">
        <f>'[3]Feb midyear Southwest LA Ch '!E38</f>
        <v>0</v>
      </c>
      <c r="Y39" s="1759">
        <f t="shared" si="40"/>
        <v>0</v>
      </c>
      <c r="Z39" s="1653">
        <f t="shared" si="41"/>
        <v>0</v>
      </c>
      <c r="AA39" s="1486">
        <f t="shared" si="42"/>
        <v>0</v>
      </c>
      <c r="AB39" s="937">
        <f t="shared" si="43"/>
        <v>0</v>
      </c>
      <c r="AC39" s="899">
        <f t="shared" si="44"/>
        <v>0</v>
      </c>
      <c r="AD39" s="1830">
        <v>0</v>
      </c>
      <c r="AE39" s="899">
        <f t="shared" si="45"/>
        <v>0</v>
      </c>
      <c r="AF39" s="1834">
        <f>+'[4]Table 5C1H-Southwest LA Charter'!T38*8</f>
        <v>0</v>
      </c>
      <c r="AG39" s="1834">
        <f t="shared" si="46"/>
        <v>0</v>
      </c>
      <c r="AH39" s="899">
        <f t="shared" si="47"/>
        <v>0</v>
      </c>
      <c r="AI39" s="900">
        <f t="shared" si="27"/>
        <v>0</v>
      </c>
      <c r="AJ39" s="900">
        <f t="shared" si="48"/>
        <v>0</v>
      </c>
      <c r="AL39" s="49">
        <f>-'[4]Table 5C1H-Southwest LA Charter'!P38</f>
        <v>0</v>
      </c>
      <c r="AM39" s="49">
        <f t="shared" si="49"/>
        <v>0</v>
      </c>
      <c r="AN39" s="49">
        <f t="shared" si="50"/>
        <v>0</v>
      </c>
    </row>
    <row r="40" spans="1:40">
      <c r="A40" s="876">
        <v>33</v>
      </c>
      <c r="B40" s="877" t="s">
        <v>124</v>
      </c>
      <c r="C40" s="972">
        <f>'2-1-13 SIS'!G39</f>
        <v>0</v>
      </c>
      <c r="D40" s="882">
        <f>'Table 3 Levels 1&amp;2'!AL40</f>
        <v>5329.5444226517857</v>
      </c>
      <c r="E40" s="921">
        <f t="shared" si="28"/>
        <v>0</v>
      </c>
      <c r="F40" s="921">
        <f>'Table 4 Level 3'!P38</f>
        <v>655.31000000000006</v>
      </c>
      <c r="G40" s="921">
        <f t="shared" si="29"/>
        <v>0</v>
      </c>
      <c r="H40" s="905">
        <f t="shared" si="30"/>
        <v>0</v>
      </c>
      <c r="I40" s="1734">
        <f>+'[3]Oct midyear Southwest LA Chtr'!K39</f>
        <v>0</v>
      </c>
      <c r="J40" s="1734">
        <f>'[3]Feb midyear Southwest LA Ch '!K39</f>
        <v>0</v>
      </c>
      <c r="K40" s="1545">
        <f t="shared" si="31"/>
        <v>0</v>
      </c>
      <c r="L40" s="1489">
        <f t="shared" si="32"/>
        <v>0</v>
      </c>
      <c r="M40" s="931">
        <f t="shared" si="33"/>
        <v>0</v>
      </c>
      <c r="N40" s="905">
        <f t="shared" si="34"/>
        <v>0</v>
      </c>
      <c r="O40" s="882">
        <v>0</v>
      </c>
      <c r="P40" s="1552">
        <f t="shared" si="35"/>
        <v>0</v>
      </c>
      <c r="Q40" s="1734">
        <f>+'[4]Table 5C1H-Southwest LA Charter'!M39*8</f>
        <v>0</v>
      </c>
      <c r="R40" s="1734">
        <f t="shared" si="36"/>
        <v>0</v>
      </c>
      <c r="S40" s="1552">
        <f t="shared" si="37"/>
        <v>0</v>
      </c>
      <c r="T40" s="1802">
        <f>'Table 5C1A-Madison Prep'!T40</f>
        <v>3501</v>
      </c>
      <c r="U40" s="1555">
        <f t="shared" si="38"/>
        <v>0</v>
      </c>
      <c r="V40" s="1758">
        <f>+'[3]Oct midyear Southwest LA Chtr'!E39</f>
        <v>0</v>
      </c>
      <c r="W40" s="1759">
        <f t="shared" si="39"/>
        <v>0</v>
      </c>
      <c r="X40" s="1758">
        <f>'[3]Feb midyear Southwest LA Ch '!E39</f>
        <v>0</v>
      </c>
      <c r="Y40" s="1759">
        <f t="shared" si="40"/>
        <v>0</v>
      </c>
      <c r="Z40" s="1653">
        <f t="shared" si="41"/>
        <v>0</v>
      </c>
      <c r="AA40" s="1486">
        <f t="shared" si="42"/>
        <v>0</v>
      </c>
      <c r="AB40" s="937">
        <f t="shared" si="43"/>
        <v>0</v>
      </c>
      <c r="AC40" s="899">
        <f t="shared" si="44"/>
        <v>0</v>
      </c>
      <c r="AD40" s="1830">
        <v>0</v>
      </c>
      <c r="AE40" s="899">
        <f t="shared" si="45"/>
        <v>0</v>
      </c>
      <c r="AF40" s="1834">
        <f>+'[4]Table 5C1H-Southwest LA Charter'!T39*8</f>
        <v>0</v>
      </c>
      <c r="AG40" s="1834">
        <f t="shared" si="46"/>
        <v>0</v>
      </c>
      <c r="AH40" s="899">
        <f t="shared" si="47"/>
        <v>0</v>
      </c>
      <c r="AI40" s="900">
        <f t="shared" ref="AI40:AI76" si="51">P40+AE40</f>
        <v>0</v>
      </c>
      <c r="AJ40" s="900">
        <f t="shared" si="48"/>
        <v>0</v>
      </c>
      <c r="AL40" s="49">
        <f>-'[4]Table 5C1H-Southwest LA Charter'!P39</f>
        <v>0</v>
      </c>
      <c r="AM40" s="49">
        <f t="shared" si="49"/>
        <v>0</v>
      </c>
      <c r="AN40" s="49">
        <f t="shared" si="50"/>
        <v>0</v>
      </c>
    </row>
    <row r="41" spans="1:40">
      <c r="A41" s="876">
        <v>34</v>
      </c>
      <c r="B41" s="877" t="s">
        <v>125</v>
      </c>
      <c r="C41" s="972">
        <f>'2-1-13 SIS'!G40</f>
        <v>0</v>
      </c>
      <c r="D41" s="882">
        <f>'Table 3 Levels 1&amp;2'!AL41</f>
        <v>6003.632932007491</v>
      </c>
      <c r="E41" s="921">
        <f t="shared" si="28"/>
        <v>0</v>
      </c>
      <c r="F41" s="921">
        <f>'Table 4 Level 3'!P39</f>
        <v>644.11000000000013</v>
      </c>
      <c r="G41" s="921">
        <f t="shared" si="29"/>
        <v>0</v>
      </c>
      <c r="H41" s="905">
        <f t="shared" si="30"/>
        <v>0</v>
      </c>
      <c r="I41" s="1734">
        <f>+'[3]Oct midyear Southwest LA Chtr'!K40</f>
        <v>0</v>
      </c>
      <c r="J41" s="1734">
        <f>'[3]Feb midyear Southwest LA Ch '!K40</f>
        <v>0</v>
      </c>
      <c r="K41" s="1545">
        <f t="shared" si="31"/>
        <v>0</v>
      </c>
      <c r="L41" s="1489">
        <f t="shared" si="32"/>
        <v>0</v>
      </c>
      <c r="M41" s="931">
        <f t="shared" si="33"/>
        <v>0</v>
      </c>
      <c r="N41" s="905">
        <f t="shared" si="34"/>
        <v>0</v>
      </c>
      <c r="O41" s="882">
        <v>0</v>
      </c>
      <c r="P41" s="1552">
        <f t="shared" si="35"/>
        <v>0</v>
      </c>
      <c r="Q41" s="1734">
        <f>+'[4]Table 5C1H-Southwest LA Charter'!M40*8</f>
        <v>0</v>
      </c>
      <c r="R41" s="1734">
        <f t="shared" si="36"/>
        <v>0</v>
      </c>
      <c r="S41" s="1552">
        <f t="shared" si="37"/>
        <v>0</v>
      </c>
      <c r="T41" s="1802">
        <f>'Table 5C1A-Madison Prep'!T41</f>
        <v>2772</v>
      </c>
      <c r="U41" s="1555">
        <f t="shared" si="38"/>
        <v>0</v>
      </c>
      <c r="V41" s="1758">
        <f>+'[3]Oct midyear Southwest LA Chtr'!E40</f>
        <v>0</v>
      </c>
      <c r="W41" s="1759">
        <f t="shared" si="39"/>
        <v>0</v>
      </c>
      <c r="X41" s="1758">
        <f>'[3]Feb midyear Southwest LA Ch '!E40</f>
        <v>0</v>
      </c>
      <c r="Y41" s="1759">
        <f t="shared" si="40"/>
        <v>0</v>
      </c>
      <c r="Z41" s="1653">
        <f t="shared" si="41"/>
        <v>0</v>
      </c>
      <c r="AA41" s="1486">
        <f t="shared" si="42"/>
        <v>0</v>
      </c>
      <c r="AB41" s="937">
        <f t="shared" si="43"/>
        <v>0</v>
      </c>
      <c r="AC41" s="899">
        <f t="shared" si="44"/>
        <v>0</v>
      </c>
      <c r="AD41" s="1830">
        <v>0</v>
      </c>
      <c r="AE41" s="899">
        <f t="shared" si="45"/>
        <v>0</v>
      </c>
      <c r="AF41" s="1834">
        <f>+'[4]Table 5C1H-Southwest LA Charter'!T40*8</f>
        <v>0</v>
      </c>
      <c r="AG41" s="1834">
        <f t="shared" si="46"/>
        <v>0</v>
      </c>
      <c r="AH41" s="899">
        <f t="shared" si="47"/>
        <v>0</v>
      </c>
      <c r="AI41" s="900">
        <f t="shared" si="51"/>
        <v>0</v>
      </c>
      <c r="AJ41" s="900">
        <f t="shared" si="48"/>
        <v>0</v>
      </c>
      <c r="AL41" s="49">
        <f>-'[4]Table 5C1H-Southwest LA Charter'!P40</f>
        <v>0</v>
      </c>
      <c r="AM41" s="49">
        <f t="shared" si="49"/>
        <v>0</v>
      </c>
      <c r="AN41" s="49">
        <f t="shared" si="50"/>
        <v>0</v>
      </c>
    </row>
    <row r="42" spans="1:40">
      <c r="A42" s="879">
        <v>35</v>
      </c>
      <c r="B42" s="880" t="s">
        <v>126</v>
      </c>
      <c r="C42" s="973">
        <f>'2-1-13 SIS'!G41</f>
        <v>0</v>
      </c>
      <c r="D42" s="883">
        <f>'Table 3 Levels 1&amp;2'!AL42</f>
        <v>4607.1606416222867</v>
      </c>
      <c r="E42" s="922">
        <f t="shared" si="28"/>
        <v>0</v>
      </c>
      <c r="F42" s="922">
        <f>'Table 4 Level 3'!P40</f>
        <v>537.96</v>
      </c>
      <c r="G42" s="922">
        <f t="shared" si="29"/>
        <v>0</v>
      </c>
      <c r="H42" s="906">
        <f t="shared" si="30"/>
        <v>0</v>
      </c>
      <c r="I42" s="1735">
        <f>+'[3]Oct midyear Southwest LA Chtr'!K41</f>
        <v>0</v>
      </c>
      <c r="J42" s="1735">
        <f>'[3]Feb midyear Southwest LA Ch '!K41</f>
        <v>0</v>
      </c>
      <c r="K42" s="1546">
        <f t="shared" si="31"/>
        <v>0</v>
      </c>
      <c r="L42" s="1490">
        <f t="shared" si="32"/>
        <v>0</v>
      </c>
      <c r="M42" s="932">
        <f t="shared" si="33"/>
        <v>0</v>
      </c>
      <c r="N42" s="906">
        <f t="shared" si="34"/>
        <v>0</v>
      </c>
      <c r="O42" s="883">
        <v>0</v>
      </c>
      <c r="P42" s="1553">
        <f t="shared" si="35"/>
        <v>0</v>
      </c>
      <c r="Q42" s="1735">
        <f>+'[4]Table 5C1H-Southwest LA Charter'!M41*8</f>
        <v>0</v>
      </c>
      <c r="R42" s="1735">
        <f t="shared" si="36"/>
        <v>0</v>
      </c>
      <c r="S42" s="1553">
        <f t="shared" si="37"/>
        <v>0</v>
      </c>
      <c r="T42" s="1807">
        <f>'Table 5C1A-Madison Prep'!T42</f>
        <v>3140</v>
      </c>
      <c r="U42" s="1556">
        <f t="shared" si="38"/>
        <v>0</v>
      </c>
      <c r="V42" s="1762">
        <f>+'[3]Oct midyear Southwest LA Chtr'!E41</f>
        <v>0</v>
      </c>
      <c r="W42" s="1763">
        <f t="shared" si="39"/>
        <v>0</v>
      </c>
      <c r="X42" s="1762">
        <f>'[3]Feb midyear Southwest LA Ch '!E41</f>
        <v>0</v>
      </c>
      <c r="Y42" s="1763">
        <f t="shared" si="40"/>
        <v>0</v>
      </c>
      <c r="Z42" s="1654">
        <f t="shared" si="41"/>
        <v>0</v>
      </c>
      <c r="AA42" s="1488">
        <f t="shared" si="42"/>
        <v>0</v>
      </c>
      <c r="AB42" s="938">
        <f t="shared" si="43"/>
        <v>0</v>
      </c>
      <c r="AC42" s="903">
        <f t="shared" si="44"/>
        <v>0</v>
      </c>
      <c r="AD42" s="1831">
        <v>0</v>
      </c>
      <c r="AE42" s="903">
        <f t="shared" si="45"/>
        <v>0</v>
      </c>
      <c r="AF42" s="1835">
        <f>+'[4]Table 5C1H-Southwest LA Charter'!T41*8</f>
        <v>0</v>
      </c>
      <c r="AG42" s="1835">
        <f t="shared" si="46"/>
        <v>0</v>
      </c>
      <c r="AH42" s="903">
        <f t="shared" si="47"/>
        <v>0</v>
      </c>
      <c r="AI42" s="904">
        <f t="shared" si="51"/>
        <v>0</v>
      </c>
      <c r="AJ42" s="904">
        <f t="shared" si="48"/>
        <v>0</v>
      </c>
      <c r="AL42" s="49">
        <f>-'[4]Table 5C1H-Southwest LA Charter'!P41</f>
        <v>0</v>
      </c>
      <c r="AM42" s="49">
        <f t="shared" si="49"/>
        <v>0</v>
      </c>
      <c r="AN42" s="49">
        <f t="shared" si="50"/>
        <v>0</v>
      </c>
    </row>
    <row r="43" spans="1:40">
      <c r="A43" s="870">
        <v>36</v>
      </c>
      <c r="B43" s="871" t="s">
        <v>127</v>
      </c>
      <c r="C43" s="974">
        <f>'2-1-13 SIS'!G42</f>
        <v>0</v>
      </c>
      <c r="D43" s="884">
        <f>'Table 3 Levels 1&amp;2'!AL43</f>
        <v>3520.4894337711748</v>
      </c>
      <c r="E43" s="923">
        <f t="shared" si="28"/>
        <v>0</v>
      </c>
      <c r="F43" s="923">
        <f>'Table 5B1_RSD_Orleans'!F78</f>
        <v>746.0335616438357</v>
      </c>
      <c r="G43" s="923">
        <f t="shared" si="29"/>
        <v>0</v>
      </c>
      <c r="H43" s="907">
        <f t="shared" si="30"/>
        <v>0</v>
      </c>
      <c r="I43" s="1723">
        <f>+'[3]Oct midyear Southwest LA Chtr'!K42</f>
        <v>0</v>
      </c>
      <c r="J43" s="1723">
        <f>'[3]Feb midyear Southwest LA Ch '!K42</f>
        <v>0</v>
      </c>
      <c r="K43" s="1547">
        <f t="shared" si="31"/>
        <v>0</v>
      </c>
      <c r="L43" s="1491">
        <f t="shared" si="32"/>
        <v>0</v>
      </c>
      <c r="M43" s="933">
        <f t="shared" si="33"/>
        <v>0</v>
      </c>
      <c r="N43" s="907">
        <f t="shared" si="34"/>
        <v>0</v>
      </c>
      <c r="O43" s="884">
        <v>0</v>
      </c>
      <c r="P43" s="996">
        <f t="shared" si="35"/>
        <v>0</v>
      </c>
      <c r="Q43" s="1723">
        <f>+'[4]Table 5C1H-Southwest LA Charter'!M42*8</f>
        <v>0</v>
      </c>
      <c r="R43" s="1723">
        <f t="shared" si="36"/>
        <v>0</v>
      </c>
      <c r="S43" s="996">
        <f t="shared" si="37"/>
        <v>0</v>
      </c>
      <c r="T43" s="1802">
        <f>'Table 5C1A-Madison Prep'!T43</f>
        <v>5433</v>
      </c>
      <c r="U43" s="999">
        <f t="shared" si="38"/>
        <v>0</v>
      </c>
      <c r="V43" s="1754">
        <f>+'[3]Oct midyear Southwest LA Chtr'!E42</f>
        <v>0</v>
      </c>
      <c r="W43" s="1755">
        <f t="shared" si="39"/>
        <v>0</v>
      </c>
      <c r="X43" s="1754">
        <f>'[3]Feb midyear Southwest LA Ch '!E42</f>
        <v>0</v>
      </c>
      <c r="Y43" s="1755">
        <f t="shared" si="40"/>
        <v>0</v>
      </c>
      <c r="Z43" s="1652">
        <f t="shared" si="41"/>
        <v>0</v>
      </c>
      <c r="AA43" s="1521">
        <f t="shared" si="42"/>
        <v>0</v>
      </c>
      <c r="AB43" s="936">
        <f t="shared" si="43"/>
        <v>0</v>
      </c>
      <c r="AC43" s="874">
        <f t="shared" si="44"/>
        <v>0</v>
      </c>
      <c r="AD43" s="1829">
        <v>0</v>
      </c>
      <c r="AE43" s="874">
        <f t="shared" si="45"/>
        <v>0</v>
      </c>
      <c r="AF43" s="1829">
        <f>+'[4]Table 5C1H-Southwest LA Charter'!T42*8</f>
        <v>0</v>
      </c>
      <c r="AG43" s="1829">
        <f t="shared" si="46"/>
        <v>0</v>
      </c>
      <c r="AH43" s="874">
        <f t="shared" si="47"/>
        <v>0</v>
      </c>
      <c r="AI43" s="875">
        <f t="shared" si="51"/>
        <v>0</v>
      </c>
      <c r="AJ43" s="875">
        <f t="shared" si="48"/>
        <v>0</v>
      </c>
      <c r="AL43" s="49">
        <f>-'[4]Table 5C1H-Southwest LA Charter'!P42</f>
        <v>0</v>
      </c>
      <c r="AM43" s="49">
        <f t="shared" si="49"/>
        <v>0</v>
      </c>
      <c r="AN43" s="49">
        <f t="shared" si="50"/>
        <v>0</v>
      </c>
    </row>
    <row r="44" spans="1:40">
      <c r="A44" s="876">
        <v>37</v>
      </c>
      <c r="B44" s="877" t="s">
        <v>128</v>
      </c>
      <c r="C44" s="972">
        <f>'2-1-13 SIS'!G43</f>
        <v>0</v>
      </c>
      <c r="D44" s="882">
        <f>'Table 3 Levels 1&amp;2'!AL44</f>
        <v>5503.7595641818853</v>
      </c>
      <c r="E44" s="921">
        <f t="shared" si="28"/>
        <v>0</v>
      </c>
      <c r="F44" s="921">
        <f>'Table 4 Level 3'!P42</f>
        <v>653.61</v>
      </c>
      <c r="G44" s="921">
        <f t="shared" si="29"/>
        <v>0</v>
      </c>
      <c r="H44" s="905">
        <f t="shared" si="30"/>
        <v>0</v>
      </c>
      <c r="I44" s="1734">
        <f>+'[3]Oct midyear Southwest LA Chtr'!K43</f>
        <v>0</v>
      </c>
      <c r="J44" s="1734">
        <f>'[3]Feb midyear Southwest LA Ch '!K43</f>
        <v>0</v>
      </c>
      <c r="K44" s="1545">
        <f t="shared" si="31"/>
        <v>0</v>
      </c>
      <c r="L44" s="1489">
        <f t="shared" si="32"/>
        <v>0</v>
      </c>
      <c r="M44" s="931">
        <f t="shared" si="33"/>
        <v>0</v>
      </c>
      <c r="N44" s="905">
        <f t="shared" si="34"/>
        <v>0</v>
      </c>
      <c r="O44" s="882">
        <v>0</v>
      </c>
      <c r="P44" s="1552">
        <f t="shared" si="35"/>
        <v>0</v>
      </c>
      <c r="Q44" s="1734">
        <f>+'[4]Table 5C1H-Southwest LA Charter'!M43*8</f>
        <v>0</v>
      </c>
      <c r="R44" s="1734">
        <f t="shared" si="36"/>
        <v>0</v>
      </c>
      <c r="S44" s="1552">
        <f t="shared" si="37"/>
        <v>0</v>
      </c>
      <c r="T44" s="1802">
        <f>'Table 5C1A-Madison Prep'!T44</f>
        <v>3310</v>
      </c>
      <c r="U44" s="1555">
        <f t="shared" si="38"/>
        <v>0</v>
      </c>
      <c r="V44" s="1758">
        <f>+'[3]Oct midyear Southwest LA Chtr'!E43</f>
        <v>0</v>
      </c>
      <c r="W44" s="1759">
        <f t="shared" si="39"/>
        <v>0</v>
      </c>
      <c r="X44" s="1758">
        <f>'[3]Feb midyear Southwest LA Ch '!E43</f>
        <v>0</v>
      </c>
      <c r="Y44" s="1759">
        <f t="shared" si="40"/>
        <v>0</v>
      </c>
      <c r="Z44" s="1653">
        <f t="shared" si="41"/>
        <v>0</v>
      </c>
      <c r="AA44" s="1486">
        <f t="shared" si="42"/>
        <v>0</v>
      </c>
      <c r="AB44" s="937">
        <f t="shared" si="43"/>
        <v>0</v>
      </c>
      <c r="AC44" s="899">
        <f t="shared" si="44"/>
        <v>0</v>
      </c>
      <c r="AD44" s="1830">
        <v>0</v>
      </c>
      <c r="AE44" s="899">
        <f t="shared" si="45"/>
        <v>0</v>
      </c>
      <c r="AF44" s="1834">
        <f>+'[4]Table 5C1H-Southwest LA Charter'!T43*8</f>
        <v>0</v>
      </c>
      <c r="AG44" s="1834">
        <f t="shared" si="46"/>
        <v>0</v>
      </c>
      <c r="AH44" s="899">
        <f t="shared" si="47"/>
        <v>0</v>
      </c>
      <c r="AI44" s="900">
        <f t="shared" si="51"/>
        <v>0</v>
      </c>
      <c r="AJ44" s="900">
        <f t="shared" si="48"/>
        <v>0</v>
      </c>
      <c r="AL44" s="49">
        <f>-'[4]Table 5C1H-Southwest LA Charter'!P43</f>
        <v>0</v>
      </c>
      <c r="AM44" s="49">
        <f t="shared" si="49"/>
        <v>0</v>
      </c>
      <c r="AN44" s="49">
        <f t="shared" si="50"/>
        <v>0</v>
      </c>
    </row>
    <row r="45" spans="1:40">
      <c r="A45" s="876">
        <v>38</v>
      </c>
      <c r="B45" s="877" t="s">
        <v>129</v>
      </c>
      <c r="C45" s="972">
        <f>'2-1-13 SIS'!G44</f>
        <v>0</v>
      </c>
      <c r="D45" s="882">
        <f>'Table 3 Levels 1&amp;2'!AL45</f>
        <v>2192.7545275590551</v>
      </c>
      <c r="E45" s="921">
        <f t="shared" si="28"/>
        <v>0</v>
      </c>
      <c r="F45" s="921">
        <f>'Table 4 Level 3'!P43</f>
        <v>829.92000000000007</v>
      </c>
      <c r="G45" s="921">
        <f t="shared" si="29"/>
        <v>0</v>
      </c>
      <c r="H45" s="905">
        <f t="shared" si="30"/>
        <v>0</v>
      </c>
      <c r="I45" s="1734">
        <f>+'[3]Oct midyear Southwest LA Chtr'!K44</f>
        <v>0</v>
      </c>
      <c r="J45" s="1734">
        <f>'[3]Feb midyear Southwest LA Ch '!K44</f>
        <v>0</v>
      </c>
      <c r="K45" s="1545">
        <f t="shared" si="31"/>
        <v>0</v>
      </c>
      <c r="L45" s="1489">
        <f t="shared" si="32"/>
        <v>0</v>
      </c>
      <c r="M45" s="931">
        <f t="shared" si="33"/>
        <v>0</v>
      </c>
      <c r="N45" s="905">
        <f t="shared" si="34"/>
        <v>0</v>
      </c>
      <c r="O45" s="882">
        <v>0</v>
      </c>
      <c r="P45" s="1552">
        <f t="shared" si="35"/>
        <v>0</v>
      </c>
      <c r="Q45" s="1734">
        <f>+'[4]Table 5C1H-Southwest LA Charter'!M44*8</f>
        <v>0</v>
      </c>
      <c r="R45" s="1734">
        <f t="shared" si="36"/>
        <v>0</v>
      </c>
      <c r="S45" s="1552">
        <f t="shared" si="37"/>
        <v>0</v>
      </c>
      <c r="T45" s="1802">
        <f>'Table 5C1A-Madison Prep'!T45</f>
        <v>12521</v>
      </c>
      <c r="U45" s="1555">
        <f t="shared" si="38"/>
        <v>0</v>
      </c>
      <c r="V45" s="1758">
        <f>+'[3]Oct midyear Southwest LA Chtr'!E44</f>
        <v>0</v>
      </c>
      <c r="W45" s="1759">
        <f t="shared" si="39"/>
        <v>0</v>
      </c>
      <c r="X45" s="1758">
        <f>'[3]Feb midyear Southwest LA Ch '!E44</f>
        <v>0</v>
      </c>
      <c r="Y45" s="1759">
        <f t="shared" si="40"/>
        <v>0</v>
      </c>
      <c r="Z45" s="1653">
        <f t="shared" si="41"/>
        <v>0</v>
      </c>
      <c r="AA45" s="1486">
        <f t="shared" si="42"/>
        <v>0</v>
      </c>
      <c r="AB45" s="937">
        <f t="shared" si="43"/>
        <v>0</v>
      </c>
      <c r="AC45" s="899">
        <f t="shared" si="44"/>
        <v>0</v>
      </c>
      <c r="AD45" s="1830">
        <v>0</v>
      </c>
      <c r="AE45" s="899">
        <f t="shared" si="45"/>
        <v>0</v>
      </c>
      <c r="AF45" s="1834">
        <f>+'[4]Table 5C1H-Southwest LA Charter'!T44*8</f>
        <v>0</v>
      </c>
      <c r="AG45" s="1834">
        <f t="shared" si="46"/>
        <v>0</v>
      </c>
      <c r="AH45" s="899">
        <f t="shared" si="47"/>
        <v>0</v>
      </c>
      <c r="AI45" s="900">
        <f t="shared" si="51"/>
        <v>0</v>
      </c>
      <c r="AJ45" s="900">
        <f t="shared" si="48"/>
        <v>0</v>
      </c>
      <c r="AL45" s="49">
        <f>-'[4]Table 5C1H-Southwest LA Charter'!P44</f>
        <v>0</v>
      </c>
      <c r="AM45" s="49">
        <f t="shared" si="49"/>
        <v>0</v>
      </c>
      <c r="AN45" s="49">
        <f t="shared" si="50"/>
        <v>0</v>
      </c>
    </row>
    <row r="46" spans="1:40">
      <c r="A46" s="876">
        <v>39</v>
      </c>
      <c r="B46" s="877" t="s">
        <v>130</v>
      </c>
      <c r="C46" s="972">
        <f>'2-1-13 SIS'!G45</f>
        <v>0</v>
      </c>
      <c r="D46" s="882">
        <f>'Table 3 Levels 1&amp;2'!AL46</f>
        <v>3639.9942778062696</v>
      </c>
      <c r="E46" s="921">
        <f t="shared" si="28"/>
        <v>0</v>
      </c>
      <c r="F46" s="921">
        <f>'Table 5B2_RSD_LA'!F21</f>
        <v>779.65573042776441</v>
      </c>
      <c r="G46" s="921">
        <f t="shared" si="29"/>
        <v>0</v>
      </c>
      <c r="H46" s="905">
        <f t="shared" si="30"/>
        <v>0</v>
      </c>
      <c r="I46" s="1734">
        <f>+'[3]Oct midyear Southwest LA Chtr'!K45</f>
        <v>0</v>
      </c>
      <c r="J46" s="1734">
        <f>'[3]Feb midyear Southwest LA Ch '!K45</f>
        <v>0</v>
      </c>
      <c r="K46" s="1545">
        <f t="shared" si="31"/>
        <v>0</v>
      </c>
      <c r="L46" s="1489">
        <f t="shared" si="32"/>
        <v>0</v>
      </c>
      <c r="M46" s="931">
        <f t="shared" si="33"/>
        <v>0</v>
      </c>
      <c r="N46" s="905">
        <f t="shared" si="34"/>
        <v>0</v>
      </c>
      <c r="O46" s="882">
        <v>0</v>
      </c>
      <c r="P46" s="1552">
        <f t="shared" si="35"/>
        <v>0</v>
      </c>
      <c r="Q46" s="1734">
        <f>+'[4]Table 5C1H-Southwest LA Charter'!M45*8</f>
        <v>0</v>
      </c>
      <c r="R46" s="1734">
        <f t="shared" si="36"/>
        <v>0</v>
      </c>
      <c r="S46" s="1552">
        <f t="shared" si="37"/>
        <v>0</v>
      </c>
      <c r="T46" s="1802">
        <f>'Table 5C1A-Madison Prep'!T46</f>
        <v>4436</v>
      </c>
      <c r="U46" s="1555">
        <f t="shared" si="38"/>
        <v>0</v>
      </c>
      <c r="V46" s="1758">
        <f>+'[3]Oct midyear Southwest LA Chtr'!E45</f>
        <v>0</v>
      </c>
      <c r="W46" s="1759">
        <f t="shared" si="39"/>
        <v>0</v>
      </c>
      <c r="X46" s="1758">
        <f>'[3]Feb midyear Southwest LA Ch '!E45</f>
        <v>0</v>
      </c>
      <c r="Y46" s="1759">
        <f t="shared" si="40"/>
        <v>0</v>
      </c>
      <c r="Z46" s="1653">
        <f t="shared" si="41"/>
        <v>0</v>
      </c>
      <c r="AA46" s="1486">
        <f t="shared" si="42"/>
        <v>0</v>
      </c>
      <c r="AB46" s="937">
        <f t="shared" si="43"/>
        <v>0</v>
      </c>
      <c r="AC46" s="899">
        <f t="shared" si="44"/>
        <v>0</v>
      </c>
      <c r="AD46" s="1830">
        <v>0</v>
      </c>
      <c r="AE46" s="899">
        <f t="shared" si="45"/>
        <v>0</v>
      </c>
      <c r="AF46" s="1834">
        <f>+'[4]Table 5C1H-Southwest LA Charter'!T45*8</f>
        <v>0</v>
      </c>
      <c r="AG46" s="1834">
        <f t="shared" si="46"/>
        <v>0</v>
      </c>
      <c r="AH46" s="899">
        <f t="shared" si="47"/>
        <v>0</v>
      </c>
      <c r="AI46" s="900">
        <f t="shared" si="51"/>
        <v>0</v>
      </c>
      <c r="AJ46" s="900">
        <f t="shared" si="48"/>
        <v>0</v>
      </c>
      <c r="AL46" s="49">
        <f>-'[4]Table 5C1H-Southwest LA Charter'!P45</f>
        <v>0</v>
      </c>
      <c r="AM46" s="49">
        <f t="shared" si="49"/>
        <v>0</v>
      </c>
      <c r="AN46" s="49">
        <f t="shared" si="50"/>
        <v>0</v>
      </c>
    </row>
    <row r="47" spans="1:40">
      <c r="A47" s="879">
        <v>40</v>
      </c>
      <c r="B47" s="880" t="s">
        <v>131</v>
      </c>
      <c r="C47" s="973">
        <f>'2-1-13 SIS'!G46</f>
        <v>0</v>
      </c>
      <c r="D47" s="883">
        <f>'Table 3 Levels 1&amp;2'!AL47</f>
        <v>4928.4974462701202</v>
      </c>
      <c r="E47" s="922">
        <f t="shared" si="28"/>
        <v>0</v>
      </c>
      <c r="F47" s="922">
        <f>'Table 4 Level 3'!P45</f>
        <v>700.2700000000001</v>
      </c>
      <c r="G47" s="922">
        <f t="shared" si="29"/>
        <v>0</v>
      </c>
      <c r="H47" s="906">
        <f t="shared" si="30"/>
        <v>0</v>
      </c>
      <c r="I47" s="1735">
        <f>+'[3]Oct midyear Southwest LA Chtr'!K46</f>
        <v>0</v>
      </c>
      <c r="J47" s="1735">
        <f>'[3]Feb midyear Southwest LA Ch '!K46</f>
        <v>0</v>
      </c>
      <c r="K47" s="1546">
        <f t="shared" si="31"/>
        <v>0</v>
      </c>
      <c r="L47" s="1490">
        <f t="shared" si="32"/>
        <v>0</v>
      </c>
      <c r="M47" s="932">
        <f t="shared" si="33"/>
        <v>0</v>
      </c>
      <c r="N47" s="906">
        <f t="shared" si="34"/>
        <v>0</v>
      </c>
      <c r="O47" s="883">
        <v>0</v>
      </c>
      <c r="P47" s="1553">
        <f t="shared" si="35"/>
        <v>0</v>
      </c>
      <c r="Q47" s="1735">
        <f>+'[4]Table 5C1H-Southwest LA Charter'!M46*8</f>
        <v>0</v>
      </c>
      <c r="R47" s="1735">
        <f t="shared" si="36"/>
        <v>0</v>
      </c>
      <c r="S47" s="1553">
        <f t="shared" si="37"/>
        <v>0</v>
      </c>
      <c r="T47" s="1807">
        <f>'Table 5C1A-Madison Prep'!T47</f>
        <v>3019</v>
      </c>
      <c r="U47" s="1556">
        <f t="shared" si="38"/>
        <v>0</v>
      </c>
      <c r="V47" s="1762">
        <f>+'[3]Oct midyear Southwest LA Chtr'!E46</f>
        <v>0</v>
      </c>
      <c r="W47" s="1763">
        <f t="shared" si="39"/>
        <v>0</v>
      </c>
      <c r="X47" s="1762">
        <f>'[3]Feb midyear Southwest LA Ch '!E46</f>
        <v>0</v>
      </c>
      <c r="Y47" s="1763">
        <f t="shared" si="40"/>
        <v>0</v>
      </c>
      <c r="Z47" s="1654">
        <f t="shared" si="41"/>
        <v>0</v>
      </c>
      <c r="AA47" s="1488">
        <f t="shared" si="42"/>
        <v>0</v>
      </c>
      <c r="AB47" s="938">
        <f t="shared" si="43"/>
        <v>0</v>
      </c>
      <c r="AC47" s="903">
        <f t="shared" si="44"/>
        <v>0</v>
      </c>
      <c r="AD47" s="1831">
        <v>0</v>
      </c>
      <c r="AE47" s="903">
        <f t="shared" si="45"/>
        <v>0</v>
      </c>
      <c r="AF47" s="1835">
        <f>+'[4]Table 5C1H-Southwest LA Charter'!T46*8</f>
        <v>0</v>
      </c>
      <c r="AG47" s="1835">
        <f t="shared" si="46"/>
        <v>0</v>
      </c>
      <c r="AH47" s="903">
        <f t="shared" si="47"/>
        <v>0</v>
      </c>
      <c r="AI47" s="904">
        <f t="shared" si="51"/>
        <v>0</v>
      </c>
      <c r="AJ47" s="904">
        <f t="shared" si="48"/>
        <v>0</v>
      </c>
      <c r="AL47" s="49">
        <f>-'[4]Table 5C1H-Southwest LA Charter'!P46</f>
        <v>0</v>
      </c>
      <c r="AM47" s="49">
        <f t="shared" si="49"/>
        <v>0</v>
      </c>
      <c r="AN47" s="49">
        <f t="shared" si="50"/>
        <v>0</v>
      </c>
    </row>
    <row r="48" spans="1:40">
      <c r="A48" s="870">
        <v>41</v>
      </c>
      <c r="B48" s="871" t="s">
        <v>132</v>
      </c>
      <c r="C48" s="974">
        <f>'2-1-13 SIS'!G47</f>
        <v>0</v>
      </c>
      <c r="D48" s="884">
        <f>'Table 3 Levels 1&amp;2'!AL48</f>
        <v>1615.6013465627216</v>
      </c>
      <c r="E48" s="923">
        <f t="shared" si="28"/>
        <v>0</v>
      </c>
      <c r="F48" s="923">
        <f>'Table 4 Level 3'!P46</f>
        <v>886.22</v>
      </c>
      <c r="G48" s="923">
        <f t="shared" si="29"/>
        <v>0</v>
      </c>
      <c r="H48" s="907">
        <f t="shared" si="30"/>
        <v>0</v>
      </c>
      <c r="I48" s="1723">
        <f>+'[3]Oct midyear Southwest LA Chtr'!K47</f>
        <v>0</v>
      </c>
      <c r="J48" s="1723">
        <f>'[3]Feb midyear Southwest LA Ch '!K47</f>
        <v>0</v>
      </c>
      <c r="K48" s="1547">
        <f t="shared" si="31"/>
        <v>0</v>
      </c>
      <c r="L48" s="1491">
        <f t="shared" si="32"/>
        <v>0</v>
      </c>
      <c r="M48" s="933">
        <f t="shared" si="33"/>
        <v>0</v>
      </c>
      <c r="N48" s="907">
        <f t="shared" si="34"/>
        <v>0</v>
      </c>
      <c r="O48" s="884">
        <v>0</v>
      </c>
      <c r="P48" s="996">
        <f t="shared" si="35"/>
        <v>0</v>
      </c>
      <c r="Q48" s="1723">
        <f>+'[4]Table 5C1H-Southwest LA Charter'!M47*8</f>
        <v>0</v>
      </c>
      <c r="R48" s="1723">
        <f t="shared" si="36"/>
        <v>0</v>
      </c>
      <c r="S48" s="996">
        <f t="shared" si="37"/>
        <v>0</v>
      </c>
      <c r="T48" s="1802">
        <f>'Table 5C1A-Madison Prep'!T48</f>
        <v>8964</v>
      </c>
      <c r="U48" s="999">
        <f t="shared" si="38"/>
        <v>0</v>
      </c>
      <c r="V48" s="1754">
        <f>+'[3]Oct midyear Southwest LA Chtr'!E47</f>
        <v>0</v>
      </c>
      <c r="W48" s="1755">
        <f t="shared" si="39"/>
        <v>0</v>
      </c>
      <c r="X48" s="1754">
        <f>'[3]Feb midyear Southwest LA Ch '!E47</f>
        <v>0</v>
      </c>
      <c r="Y48" s="1755">
        <f t="shared" si="40"/>
        <v>0</v>
      </c>
      <c r="Z48" s="1652">
        <f t="shared" si="41"/>
        <v>0</v>
      </c>
      <c r="AA48" s="1521">
        <f t="shared" si="42"/>
        <v>0</v>
      </c>
      <c r="AB48" s="936">
        <f t="shared" si="43"/>
        <v>0</v>
      </c>
      <c r="AC48" s="874">
        <f t="shared" si="44"/>
        <v>0</v>
      </c>
      <c r="AD48" s="1829">
        <v>0</v>
      </c>
      <c r="AE48" s="874">
        <f t="shared" si="45"/>
        <v>0</v>
      </c>
      <c r="AF48" s="1829">
        <f>+'[4]Table 5C1H-Southwest LA Charter'!T47*8</f>
        <v>0</v>
      </c>
      <c r="AG48" s="1829">
        <f t="shared" si="46"/>
        <v>0</v>
      </c>
      <c r="AH48" s="874">
        <f t="shared" si="47"/>
        <v>0</v>
      </c>
      <c r="AI48" s="875">
        <f t="shared" si="51"/>
        <v>0</v>
      </c>
      <c r="AJ48" s="875">
        <f t="shared" si="48"/>
        <v>0</v>
      </c>
      <c r="AL48" s="49">
        <f>-'[4]Table 5C1H-Southwest LA Charter'!P47</f>
        <v>0</v>
      </c>
      <c r="AM48" s="49">
        <f t="shared" si="49"/>
        <v>0</v>
      </c>
      <c r="AN48" s="49">
        <f t="shared" si="50"/>
        <v>0</v>
      </c>
    </row>
    <row r="49" spans="1:40">
      <c r="A49" s="876">
        <v>42</v>
      </c>
      <c r="B49" s="877" t="s">
        <v>133</v>
      </c>
      <c r="C49" s="972">
        <f>'2-1-13 SIS'!G48</f>
        <v>0</v>
      </c>
      <c r="D49" s="882">
        <f>'Table 3 Levels 1&amp;2'!AL49</f>
        <v>5087.4730460987803</v>
      </c>
      <c r="E49" s="921">
        <f t="shared" si="28"/>
        <v>0</v>
      </c>
      <c r="F49" s="921">
        <f>'Table 4 Level 3'!P47</f>
        <v>534.28</v>
      </c>
      <c r="G49" s="921">
        <f t="shared" si="29"/>
        <v>0</v>
      </c>
      <c r="H49" s="905">
        <f t="shared" si="30"/>
        <v>0</v>
      </c>
      <c r="I49" s="1734">
        <f>+'[3]Oct midyear Southwest LA Chtr'!K48</f>
        <v>0</v>
      </c>
      <c r="J49" s="1734">
        <f>'[3]Feb midyear Southwest LA Ch '!K48</f>
        <v>0</v>
      </c>
      <c r="K49" s="1545">
        <f t="shared" si="31"/>
        <v>0</v>
      </c>
      <c r="L49" s="1489">
        <f t="shared" si="32"/>
        <v>0</v>
      </c>
      <c r="M49" s="931">
        <f t="shared" si="33"/>
        <v>0</v>
      </c>
      <c r="N49" s="905">
        <f t="shared" si="34"/>
        <v>0</v>
      </c>
      <c r="O49" s="882">
        <v>0</v>
      </c>
      <c r="P49" s="1552">
        <f t="shared" si="35"/>
        <v>0</v>
      </c>
      <c r="Q49" s="1734">
        <f>+'[4]Table 5C1H-Southwest LA Charter'!M48*8</f>
        <v>0</v>
      </c>
      <c r="R49" s="1734">
        <f t="shared" si="36"/>
        <v>0</v>
      </c>
      <c r="S49" s="1552">
        <f t="shared" si="37"/>
        <v>0</v>
      </c>
      <c r="T49" s="1802">
        <f>'Table 5C1A-Madison Prep'!T49</f>
        <v>3535</v>
      </c>
      <c r="U49" s="1555">
        <f t="shared" si="38"/>
        <v>0</v>
      </c>
      <c r="V49" s="1758">
        <f>+'[3]Oct midyear Southwest LA Chtr'!E48</f>
        <v>0</v>
      </c>
      <c r="W49" s="1759">
        <f t="shared" si="39"/>
        <v>0</v>
      </c>
      <c r="X49" s="1758">
        <f>'[3]Feb midyear Southwest LA Ch '!E48</f>
        <v>0</v>
      </c>
      <c r="Y49" s="1759">
        <f t="shared" si="40"/>
        <v>0</v>
      </c>
      <c r="Z49" s="1653">
        <f t="shared" si="41"/>
        <v>0</v>
      </c>
      <c r="AA49" s="1486">
        <f t="shared" si="42"/>
        <v>0</v>
      </c>
      <c r="AB49" s="937">
        <f t="shared" si="43"/>
        <v>0</v>
      </c>
      <c r="AC49" s="899">
        <f t="shared" si="44"/>
        <v>0</v>
      </c>
      <c r="AD49" s="1830">
        <v>0</v>
      </c>
      <c r="AE49" s="899">
        <f t="shared" si="45"/>
        <v>0</v>
      </c>
      <c r="AF49" s="1834">
        <f>+'[4]Table 5C1H-Southwest LA Charter'!T48*8</f>
        <v>0</v>
      </c>
      <c r="AG49" s="1834">
        <f t="shared" si="46"/>
        <v>0</v>
      </c>
      <c r="AH49" s="899">
        <f t="shared" si="47"/>
        <v>0</v>
      </c>
      <c r="AI49" s="900">
        <f t="shared" si="51"/>
        <v>0</v>
      </c>
      <c r="AJ49" s="900">
        <f t="shared" si="48"/>
        <v>0</v>
      </c>
      <c r="AL49" s="49">
        <f>-'[4]Table 5C1H-Southwest LA Charter'!P48</f>
        <v>0</v>
      </c>
      <c r="AM49" s="49">
        <f t="shared" si="49"/>
        <v>0</v>
      </c>
      <c r="AN49" s="49">
        <f t="shared" si="50"/>
        <v>0</v>
      </c>
    </row>
    <row r="50" spans="1:40">
      <c r="A50" s="876">
        <v>43</v>
      </c>
      <c r="B50" s="877" t="s">
        <v>134</v>
      </c>
      <c r="C50" s="972">
        <f>'2-1-13 SIS'!G49</f>
        <v>0</v>
      </c>
      <c r="D50" s="882">
        <f>'Table 3 Levels 1&amp;2'!AL50</f>
        <v>4717.8414352725031</v>
      </c>
      <c r="E50" s="921">
        <f t="shared" si="28"/>
        <v>0</v>
      </c>
      <c r="F50" s="921">
        <f>'Table 4 Level 3'!P48</f>
        <v>574.6099999999999</v>
      </c>
      <c r="G50" s="921">
        <f t="shared" si="29"/>
        <v>0</v>
      </c>
      <c r="H50" s="905">
        <f t="shared" si="30"/>
        <v>0</v>
      </c>
      <c r="I50" s="1734">
        <f>+'[3]Oct midyear Southwest LA Chtr'!K49</f>
        <v>0</v>
      </c>
      <c r="J50" s="1734">
        <f>'[3]Feb midyear Southwest LA Ch '!K49</f>
        <v>0</v>
      </c>
      <c r="K50" s="1545">
        <f t="shared" si="31"/>
        <v>0</v>
      </c>
      <c r="L50" s="1489">
        <f t="shared" si="32"/>
        <v>0</v>
      </c>
      <c r="M50" s="931">
        <f t="shared" si="33"/>
        <v>0</v>
      </c>
      <c r="N50" s="905">
        <f t="shared" si="34"/>
        <v>0</v>
      </c>
      <c r="O50" s="882">
        <v>0</v>
      </c>
      <c r="P50" s="1552">
        <f t="shared" si="35"/>
        <v>0</v>
      </c>
      <c r="Q50" s="1734">
        <f>+'[4]Table 5C1H-Southwest LA Charter'!M49*8</f>
        <v>0</v>
      </c>
      <c r="R50" s="1734">
        <f t="shared" si="36"/>
        <v>0</v>
      </c>
      <c r="S50" s="1552">
        <f t="shared" si="37"/>
        <v>0</v>
      </c>
      <c r="T50" s="1802">
        <f>'Table 5C1A-Madison Prep'!T50</f>
        <v>3593</v>
      </c>
      <c r="U50" s="1555">
        <f t="shared" si="38"/>
        <v>0</v>
      </c>
      <c r="V50" s="1758">
        <f>+'[3]Oct midyear Southwest LA Chtr'!E49</f>
        <v>0</v>
      </c>
      <c r="W50" s="1759">
        <f t="shared" si="39"/>
        <v>0</v>
      </c>
      <c r="X50" s="1758">
        <f>'[3]Feb midyear Southwest LA Ch '!E49</f>
        <v>0</v>
      </c>
      <c r="Y50" s="1759">
        <f t="shared" si="40"/>
        <v>0</v>
      </c>
      <c r="Z50" s="1653">
        <f t="shared" si="41"/>
        <v>0</v>
      </c>
      <c r="AA50" s="1486">
        <f t="shared" si="42"/>
        <v>0</v>
      </c>
      <c r="AB50" s="937">
        <f t="shared" si="43"/>
        <v>0</v>
      </c>
      <c r="AC50" s="899">
        <f t="shared" si="44"/>
        <v>0</v>
      </c>
      <c r="AD50" s="1830">
        <v>0</v>
      </c>
      <c r="AE50" s="899">
        <f t="shared" si="45"/>
        <v>0</v>
      </c>
      <c r="AF50" s="1834">
        <f>+'[4]Table 5C1H-Southwest LA Charter'!T49*8</f>
        <v>0</v>
      </c>
      <c r="AG50" s="1834">
        <f t="shared" si="46"/>
        <v>0</v>
      </c>
      <c r="AH50" s="899">
        <f t="shared" si="47"/>
        <v>0</v>
      </c>
      <c r="AI50" s="900">
        <f t="shared" si="51"/>
        <v>0</v>
      </c>
      <c r="AJ50" s="900">
        <f t="shared" si="48"/>
        <v>0</v>
      </c>
      <c r="AL50" s="49">
        <f>-'[4]Table 5C1H-Southwest LA Charter'!P49</f>
        <v>0</v>
      </c>
      <c r="AM50" s="49">
        <f t="shared" si="49"/>
        <v>0</v>
      </c>
      <c r="AN50" s="49">
        <f t="shared" si="50"/>
        <v>0</v>
      </c>
    </row>
    <row r="51" spans="1:40">
      <c r="A51" s="876">
        <v>44</v>
      </c>
      <c r="B51" s="877" t="s">
        <v>135</v>
      </c>
      <c r="C51" s="972">
        <f>'2-1-13 SIS'!G50</f>
        <v>0</v>
      </c>
      <c r="D51" s="882">
        <f>'Table 3 Levels 1&amp;2'!AL51</f>
        <v>4696.6221228259064</v>
      </c>
      <c r="E51" s="921">
        <f t="shared" si="28"/>
        <v>0</v>
      </c>
      <c r="F51" s="921">
        <f>'Table 4 Level 3'!P49</f>
        <v>663.16000000000008</v>
      </c>
      <c r="G51" s="921">
        <f t="shared" si="29"/>
        <v>0</v>
      </c>
      <c r="H51" s="905">
        <f t="shared" si="30"/>
        <v>0</v>
      </c>
      <c r="I51" s="1734">
        <f>+'[3]Oct midyear Southwest LA Chtr'!K50</f>
        <v>0</v>
      </c>
      <c r="J51" s="1734">
        <f>'[3]Feb midyear Southwest LA Ch '!K50</f>
        <v>0</v>
      </c>
      <c r="K51" s="1545">
        <f t="shared" si="31"/>
        <v>0</v>
      </c>
      <c r="L51" s="1489">
        <f t="shared" si="32"/>
        <v>0</v>
      </c>
      <c r="M51" s="931">
        <f t="shared" si="33"/>
        <v>0</v>
      </c>
      <c r="N51" s="905">
        <f t="shared" si="34"/>
        <v>0</v>
      </c>
      <c r="O51" s="882">
        <v>0</v>
      </c>
      <c r="P51" s="1552">
        <f t="shared" si="35"/>
        <v>0</v>
      </c>
      <c r="Q51" s="1734">
        <f>+'[4]Table 5C1H-Southwest LA Charter'!M50*8</f>
        <v>0</v>
      </c>
      <c r="R51" s="1734">
        <f t="shared" si="36"/>
        <v>0</v>
      </c>
      <c r="S51" s="1552">
        <f t="shared" si="37"/>
        <v>0</v>
      </c>
      <c r="T51" s="1802">
        <f>'Table 5C1A-Madison Prep'!T51</f>
        <v>4323</v>
      </c>
      <c r="U51" s="1555">
        <f t="shared" si="38"/>
        <v>0</v>
      </c>
      <c r="V51" s="1758">
        <f>+'[3]Oct midyear Southwest LA Chtr'!E50</f>
        <v>0</v>
      </c>
      <c r="W51" s="1759">
        <f t="shared" si="39"/>
        <v>0</v>
      </c>
      <c r="X51" s="1758">
        <f>'[3]Feb midyear Southwest LA Ch '!E50</f>
        <v>0</v>
      </c>
      <c r="Y51" s="1759">
        <f t="shared" si="40"/>
        <v>0</v>
      </c>
      <c r="Z51" s="1653">
        <f t="shared" si="41"/>
        <v>0</v>
      </c>
      <c r="AA51" s="1486">
        <f t="shared" si="42"/>
        <v>0</v>
      </c>
      <c r="AB51" s="937">
        <f t="shared" si="43"/>
        <v>0</v>
      </c>
      <c r="AC51" s="899">
        <f t="shared" si="44"/>
        <v>0</v>
      </c>
      <c r="AD51" s="1830">
        <v>0</v>
      </c>
      <c r="AE51" s="899">
        <f t="shared" si="45"/>
        <v>0</v>
      </c>
      <c r="AF51" s="1834">
        <f>+'[4]Table 5C1H-Southwest LA Charter'!T50*8</f>
        <v>0</v>
      </c>
      <c r="AG51" s="1834">
        <f t="shared" si="46"/>
        <v>0</v>
      </c>
      <c r="AH51" s="899">
        <f t="shared" si="47"/>
        <v>0</v>
      </c>
      <c r="AI51" s="900">
        <f t="shared" si="51"/>
        <v>0</v>
      </c>
      <c r="AJ51" s="900">
        <f t="shared" si="48"/>
        <v>0</v>
      </c>
      <c r="AL51" s="49">
        <f>-'[4]Table 5C1H-Southwest LA Charter'!P50</f>
        <v>0</v>
      </c>
      <c r="AM51" s="49">
        <f t="shared" si="49"/>
        <v>0</v>
      </c>
      <c r="AN51" s="49">
        <f t="shared" si="50"/>
        <v>0</v>
      </c>
    </row>
    <row r="52" spans="1:40">
      <c r="A52" s="879">
        <v>45</v>
      </c>
      <c r="B52" s="880" t="s">
        <v>136</v>
      </c>
      <c r="C52" s="973">
        <f>'2-1-13 SIS'!G51</f>
        <v>0</v>
      </c>
      <c r="D52" s="883">
        <f>'Table 3 Levels 1&amp;2'!AL52</f>
        <v>2192.4914538932262</v>
      </c>
      <c r="E52" s="922">
        <f t="shared" si="28"/>
        <v>0</v>
      </c>
      <c r="F52" s="922">
        <f>'Table 4 Level 3'!P50</f>
        <v>753.96000000000015</v>
      </c>
      <c r="G52" s="922">
        <f t="shared" si="29"/>
        <v>0</v>
      </c>
      <c r="H52" s="906">
        <f t="shared" si="30"/>
        <v>0</v>
      </c>
      <c r="I52" s="1735">
        <f>+'[3]Oct midyear Southwest LA Chtr'!K51</f>
        <v>0</v>
      </c>
      <c r="J52" s="1735">
        <f>'[3]Feb midyear Southwest LA Ch '!K51</f>
        <v>0</v>
      </c>
      <c r="K52" s="1546">
        <f t="shared" si="31"/>
        <v>0</v>
      </c>
      <c r="L52" s="1490">
        <f t="shared" si="32"/>
        <v>0</v>
      </c>
      <c r="M52" s="932">
        <f t="shared" si="33"/>
        <v>0</v>
      </c>
      <c r="N52" s="906">
        <f t="shared" si="34"/>
        <v>0</v>
      </c>
      <c r="O52" s="883">
        <v>0</v>
      </c>
      <c r="P52" s="1553">
        <f t="shared" si="35"/>
        <v>0</v>
      </c>
      <c r="Q52" s="1735">
        <f>+'[4]Table 5C1H-Southwest LA Charter'!M51*8</f>
        <v>0</v>
      </c>
      <c r="R52" s="1735">
        <f t="shared" si="36"/>
        <v>0</v>
      </c>
      <c r="S52" s="1553">
        <f t="shared" si="37"/>
        <v>0</v>
      </c>
      <c r="T52" s="1807">
        <f>'Table 5C1A-Madison Prep'!T52</f>
        <v>12792</v>
      </c>
      <c r="U52" s="1556">
        <f t="shared" si="38"/>
        <v>0</v>
      </c>
      <c r="V52" s="1762">
        <f>+'[3]Oct midyear Southwest LA Chtr'!E51</f>
        <v>0</v>
      </c>
      <c r="W52" s="1763">
        <f t="shared" si="39"/>
        <v>0</v>
      </c>
      <c r="X52" s="1762">
        <f>'[3]Feb midyear Southwest LA Ch '!E51</f>
        <v>0</v>
      </c>
      <c r="Y52" s="1763">
        <f t="shared" si="40"/>
        <v>0</v>
      </c>
      <c r="Z52" s="1654">
        <f t="shared" si="41"/>
        <v>0</v>
      </c>
      <c r="AA52" s="1488">
        <f t="shared" si="42"/>
        <v>0</v>
      </c>
      <c r="AB52" s="938">
        <f t="shared" si="43"/>
        <v>0</v>
      </c>
      <c r="AC52" s="903">
        <f t="shared" si="44"/>
        <v>0</v>
      </c>
      <c r="AD52" s="1831">
        <v>0</v>
      </c>
      <c r="AE52" s="903">
        <f t="shared" si="45"/>
        <v>0</v>
      </c>
      <c r="AF52" s="1835">
        <f>+'[4]Table 5C1H-Southwest LA Charter'!T51*8</f>
        <v>0</v>
      </c>
      <c r="AG52" s="1835">
        <f t="shared" si="46"/>
        <v>0</v>
      </c>
      <c r="AH52" s="903">
        <f t="shared" si="47"/>
        <v>0</v>
      </c>
      <c r="AI52" s="904">
        <f t="shared" si="51"/>
        <v>0</v>
      </c>
      <c r="AJ52" s="904">
        <f t="shared" si="48"/>
        <v>0</v>
      </c>
      <c r="AL52" s="49">
        <f>-'[4]Table 5C1H-Southwest LA Charter'!P51</f>
        <v>0</v>
      </c>
      <c r="AM52" s="49">
        <f t="shared" si="49"/>
        <v>0</v>
      </c>
      <c r="AN52" s="49">
        <f t="shared" si="50"/>
        <v>0</v>
      </c>
    </row>
    <row r="53" spans="1:40">
      <c r="A53" s="870">
        <v>46</v>
      </c>
      <c r="B53" s="871" t="s">
        <v>137</v>
      </c>
      <c r="C53" s="974">
        <f>'2-1-13 SIS'!G52</f>
        <v>0</v>
      </c>
      <c r="D53" s="884">
        <f>'Table 3 Levels 1&amp;2'!AL53</f>
        <v>5644.6599115241634</v>
      </c>
      <c r="E53" s="923">
        <f t="shared" si="28"/>
        <v>0</v>
      </c>
      <c r="F53" s="923">
        <f>'Table 4 Level 3'!P51</f>
        <v>728.06</v>
      </c>
      <c r="G53" s="923">
        <f t="shared" si="29"/>
        <v>0</v>
      </c>
      <c r="H53" s="907">
        <f t="shared" si="30"/>
        <v>0</v>
      </c>
      <c r="I53" s="1723">
        <f>+'[3]Oct midyear Southwest LA Chtr'!K52</f>
        <v>0</v>
      </c>
      <c r="J53" s="1723">
        <f>'[3]Feb midyear Southwest LA Ch '!K52</f>
        <v>0</v>
      </c>
      <c r="K53" s="1547">
        <f t="shared" si="31"/>
        <v>0</v>
      </c>
      <c r="L53" s="1491">
        <f t="shared" si="32"/>
        <v>0</v>
      </c>
      <c r="M53" s="933">
        <f t="shared" si="33"/>
        <v>0</v>
      </c>
      <c r="N53" s="907">
        <f t="shared" si="34"/>
        <v>0</v>
      </c>
      <c r="O53" s="884">
        <v>0</v>
      </c>
      <c r="P53" s="996">
        <f t="shared" si="35"/>
        <v>0</v>
      </c>
      <c r="Q53" s="1723">
        <f>+'[4]Table 5C1H-Southwest LA Charter'!M52*8</f>
        <v>0</v>
      </c>
      <c r="R53" s="1723">
        <f t="shared" si="36"/>
        <v>0</v>
      </c>
      <c r="S53" s="996">
        <f t="shared" si="37"/>
        <v>0</v>
      </c>
      <c r="T53" s="1802">
        <f>'Table 5C1A-Madison Prep'!T53</f>
        <v>2423</v>
      </c>
      <c r="U53" s="999">
        <f t="shared" si="38"/>
        <v>0</v>
      </c>
      <c r="V53" s="1754">
        <f>+'[3]Oct midyear Southwest LA Chtr'!E52</f>
        <v>0</v>
      </c>
      <c r="W53" s="1755">
        <f t="shared" si="39"/>
        <v>0</v>
      </c>
      <c r="X53" s="1754">
        <f>'[3]Feb midyear Southwest LA Ch '!E52</f>
        <v>0</v>
      </c>
      <c r="Y53" s="1755">
        <f t="shared" si="40"/>
        <v>0</v>
      </c>
      <c r="Z53" s="1652">
        <f t="shared" si="41"/>
        <v>0</v>
      </c>
      <c r="AA53" s="1521">
        <f t="shared" si="42"/>
        <v>0</v>
      </c>
      <c r="AB53" s="936">
        <f t="shared" si="43"/>
        <v>0</v>
      </c>
      <c r="AC53" s="874">
        <f t="shared" si="44"/>
        <v>0</v>
      </c>
      <c r="AD53" s="1829">
        <v>0</v>
      </c>
      <c r="AE53" s="874">
        <f t="shared" si="45"/>
        <v>0</v>
      </c>
      <c r="AF53" s="1829">
        <f>+'[4]Table 5C1H-Southwest LA Charter'!T52*8</f>
        <v>0</v>
      </c>
      <c r="AG53" s="1829">
        <f t="shared" si="46"/>
        <v>0</v>
      </c>
      <c r="AH53" s="874">
        <f t="shared" si="47"/>
        <v>0</v>
      </c>
      <c r="AI53" s="875">
        <f t="shared" si="51"/>
        <v>0</v>
      </c>
      <c r="AJ53" s="875">
        <f t="shared" si="48"/>
        <v>0</v>
      </c>
      <c r="AL53" s="49">
        <f>-'[4]Table 5C1H-Southwest LA Charter'!P52</f>
        <v>0</v>
      </c>
      <c r="AM53" s="49">
        <f t="shared" si="49"/>
        <v>0</v>
      </c>
      <c r="AN53" s="49">
        <f t="shared" si="50"/>
        <v>0</v>
      </c>
    </row>
    <row r="54" spans="1:40">
      <c r="A54" s="876">
        <v>47</v>
      </c>
      <c r="B54" s="877" t="s">
        <v>138</v>
      </c>
      <c r="C54" s="972">
        <f>'2-1-13 SIS'!G53</f>
        <v>0</v>
      </c>
      <c r="D54" s="882">
        <f>'Table 3 Levels 1&amp;2'!AL54</f>
        <v>2731.2444076222037</v>
      </c>
      <c r="E54" s="921">
        <f t="shared" si="28"/>
        <v>0</v>
      </c>
      <c r="F54" s="921">
        <f>'Table 4 Level 3'!P52</f>
        <v>910.76</v>
      </c>
      <c r="G54" s="921">
        <f t="shared" si="29"/>
        <v>0</v>
      </c>
      <c r="H54" s="905">
        <f t="shared" si="30"/>
        <v>0</v>
      </c>
      <c r="I54" s="1734">
        <f>+'[3]Oct midyear Southwest LA Chtr'!K53</f>
        <v>0</v>
      </c>
      <c r="J54" s="1734">
        <f>'[3]Feb midyear Southwest LA Ch '!K53</f>
        <v>0</v>
      </c>
      <c r="K54" s="1545">
        <f t="shared" si="31"/>
        <v>0</v>
      </c>
      <c r="L54" s="1489">
        <f t="shared" si="32"/>
        <v>0</v>
      </c>
      <c r="M54" s="931">
        <f t="shared" si="33"/>
        <v>0</v>
      </c>
      <c r="N54" s="905">
        <f t="shared" si="34"/>
        <v>0</v>
      </c>
      <c r="O54" s="882">
        <v>0</v>
      </c>
      <c r="P54" s="1552">
        <f t="shared" si="35"/>
        <v>0</v>
      </c>
      <c r="Q54" s="1734">
        <f>+'[4]Table 5C1H-Southwest LA Charter'!M53*8</f>
        <v>0</v>
      </c>
      <c r="R54" s="1734">
        <f t="shared" si="36"/>
        <v>0</v>
      </c>
      <c r="S54" s="1552">
        <f t="shared" si="37"/>
        <v>0</v>
      </c>
      <c r="T54" s="1802">
        <f>'Table 5C1A-Madison Prep'!T54</f>
        <v>12963</v>
      </c>
      <c r="U54" s="1555">
        <f t="shared" si="38"/>
        <v>0</v>
      </c>
      <c r="V54" s="1758">
        <f>+'[3]Oct midyear Southwest LA Chtr'!E53</f>
        <v>0</v>
      </c>
      <c r="W54" s="1759">
        <f t="shared" si="39"/>
        <v>0</v>
      </c>
      <c r="X54" s="1758">
        <f>'[3]Feb midyear Southwest LA Ch '!E53</f>
        <v>0</v>
      </c>
      <c r="Y54" s="1759">
        <f t="shared" si="40"/>
        <v>0</v>
      </c>
      <c r="Z54" s="1653">
        <f t="shared" si="41"/>
        <v>0</v>
      </c>
      <c r="AA54" s="1486">
        <f t="shared" si="42"/>
        <v>0</v>
      </c>
      <c r="AB54" s="937">
        <f t="shared" si="43"/>
        <v>0</v>
      </c>
      <c r="AC54" s="899">
        <f t="shared" si="44"/>
        <v>0</v>
      </c>
      <c r="AD54" s="1830">
        <v>0</v>
      </c>
      <c r="AE54" s="899">
        <f t="shared" si="45"/>
        <v>0</v>
      </c>
      <c r="AF54" s="1834">
        <f>+'[4]Table 5C1H-Southwest LA Charter'!T53*8</f>
        <v>0</v>
      </c>
      <c r="AG54" s="1834">
        <f t="shared" si="46"/>
        <v>0</v>
      </c>
      <c r="AH54" s="899">
        <f t="shared" si="47"/>
        <v>0</v>
      </c>
      <c r="AI54" s="900">
        <f t="shared" si="51"/>
        <v>0</v>
      </c>
      <c r="AJ54" s="900">
        <f t="shared" si="48"/>
        <v>0</v>
      </c>
      <c r="AL54" s="49">
        <f>-'[4]Table 5C1H-Southwest LA Charter'!P53</f>
        <v>0</v>
      </c>
      <c r="AM54" s="49">
        <f t="shared" si="49"/>
        <v>0</v>
      </c>
      <c r="AN54" s="49">
        <f t="shared" si="50"/>
        <v>0</v>
      </c>
    </row>
    <row r="55" spans="1:40">
      <c r="A55" s="876">
        <v>48</v>
      </c>
      <c r="B55" s="877" t="s">
        <v>195</v>
      </c>
      <c r="C55" s="972">
        <f>'2-1-13 SIS'!G54</f>
        <v>0</v>
      </c>
      <c r="D55" s="882">
        <f>'Table 3 Levels 1&amp;2'!AL55</f>
        <v>4272.723323083942</v>
      </c>
      <c r="E55" s="921">
        <f t="shared" si="28"/>
        <v>0</v>
      </c>
      <c r="F55" s="921">
        <f>'Table 4 Level 3'!P53</f>
        <v>871.07</v>
      </c>
      <c r="G55" s="921">
        <f t="shared" si="29"/>
        <v>0</v>
      </c>
      <c r="H55" s="905">
        <f t="shared" si="30"/>
        <v>0</v>
      </c>
      <c r="I55" s="1734">
        <f>+'[3]Oct midyear Southwest LA Chtr'!K54</f>
        <v>0</v>
      </c>
      <c r="J55" s="1734">
        <f>'[3]Feb midyear Southwest LA Ch '!K54</f>
        <v>0</v>
      </c>
      <c r="K55" s="1545">
        <f t="shared" si="31"/>
        <v>0</v>
      </c>
      <c r="L55" s="1489">
        <f t="shared" si="32"/>
        <v>0</v>
      </c>
      <c r="M55" s="931">
        <f t="shared" si="33"/>
        <v>0</v>
      </c>
      <c r="N55" s="905">
        <f t="shared" si="34"/>
        <v>0</v>
      </c>
      <c r="O55" s="882">
        <v>0</v>
      </c>
      <c r="P55" s="1552">
        <f t="shared" si="35"/>
        <v>0</v>
      </c>
      <c r="Q55" s="1734">
        <f>+'[4]Table 5C1H-Southwest LA Charter'!M54*8</f>
        <v>0</v>
      </c>
      <c r="R55" s="1734">
        <f t="shared" si="36"/>
        <v>0</v>
      </c>
      <c r="S55" s="1552">
        <f t="shared" si="37"/>
        <v>0</v>
      </c>
      <c r="T55" s="1802">
        <f>'Table 5C1A-Madison Prep'!T55</f>
        <v>6585</v>
      </c>
      <c r="U55" s="1555">
        <f t="shared" si="38"/>
        <v>0</v>
      </c>
      <c r="V55" s="1758">
        <f>+'[3]Oct midyear Southwest LA Chtr'!E54</f>
        <v>0</v>
      </c>
      <c r="W55" s="1759">
        <f t="shared" si="39"/>
        <v>0</v>
      </c>
      <c r="X55" s="1758">
        <f>'[3]Feb midyear Southwest LA Ch '!E54</f>
        <v>0</v>
      </c>
      <c r="Y55" s="1759">
        <f t="shared" si="40"/>
        <v>0</v>
      </c>
      <c r="Z55" s="1653">
        <f t="shared" si="41"/>
        <v>0</v>
      </c>
      <c r="AA55" s="1486">
        <f t="shared" si="42"/>
        <v>0</v>
      </c>
      <c r="AB55" s="937">
        <f t="shared" si="43"/>
        <v>0</v>
      </c>
      <c r="AC55" s="899">
        <f t="shared" si="44"/>
        <v>0</v>
      </c>
      <c r="AD55" s="1830">
        <v>0</v>
      </c>
      <c r="AE55" s="899">
        <f t="shared" si="45"/>
        <v>0</v>
      </c>
      <c r="AF55" s="1834">
        <f>+'[4]Table 5C1H-Southwest LA Charter'!T54*8</f>
        <v>0</v>
      </c>
      <c r="AG55" s="1834">
        <f t="shared" si="46"/>
        <v>0</v>
      </c>
      <c r="AH55" s="899">
        <f t="shared" si="47"/>
        <v>0</v>
      </c>
      <c r="AI55" s="900">
        <f t="shared" si="51"/>
        <v>0</v>
      </c>
      <c r="AJ55" s="900">
        <f t="shared" si="48"/>
        <v>0</v>
      </c>
      <c r="AL55" s="49">
        <f>-'[4]Table 5C1H-Southwest LA Charter'!P54</f>
        <v>0</v>
      </c>
      <c r="AM55" s="49">
        <f t="shared" si="49"/>
        <v>0</v>
      </c>
      <c r="AN55" s="49">
        <f t="shared" si="50"/>
        <v>0</v>
      </c>
    </row>
    <row r="56" spans="1:40">
      <c r="A56" s="876">
        <v>49</v>
      </c>
      <c r="B56" s="877" t="s">
        <v>139</v>
      </c>
      <c r="C56" s="972">
        <f>'2-1-13 SIS'!G55</f>
        <v>0</v>
      </c>
      <c r="D56" s="882">
        <f>'Table 3 Levels 1&amp;2'!AL56</f>
        <v>4836.7092570332552</v>
      </c>
      <c r="E56" s="921">
        <f t="shared" si="28"/>
        <v>0</v>
      </c>
      <c r="F56" s="921">
        <f>'Table 4 Level 3'!P54</f>
        <v>574.43999999999994</v>
      </c>
      <c r="G56" s="921">
        <f t="shared" si="29"/>
        <v>0</v>
      </c>
      <c r="H56" s="905">
        <f t="shared" si="30"/>
        <v>0</v>
      </c>
      <c r="I56" s="1734">
        <f>+'[3]Oct midyear Southwest LA Chtr'!K55</f>
        <v>0</v>
      </c>
      <c r="J56" s="1734">
        <f>'[3]Feb midyear Southwest LA Ch '!K55</f>
        <v>0</v>
      </c>
      <c r="K56" s="1545">
        <f t="shared" si="31"/>
        <v>0</v>
      </c>
      <c r="L56" s="1489">
        <f t="shared" si="32"/>
        <v>0</v>
      </c>
      <c r="M56" s="931">
        <f t="shared" si="33"/>
        <v>0</v>
      </c>
      <c r="N56" s="905">
        <f t="shared" si="34"/>
        <v>0</v>
      </c>
      <c r="O56" s="882">
        <v>0</v>
      </c>
      <c r="P56" s="1552">
        <f t="shared" si="35"/>
        <v>0</v>
      </c>
      <c r="Q56" s="1734">
        <f>+'[4]Table 5C1H-Southwest LA Charter'!M55*8</f>
        <v>0</v>
      </c>
      <c r="R56" s="1734">
        <f t="shared" si="36"/>
        <v>0</v>
      </c>
      <c r="S56" s="1552">
        <f t="shared" si="37"/>
        <v>0</v>
      </c>
      <c r="T56" s="1802">
        <f>'Table 5C1A-Madison Prep'!T56</f>
        <v>2402</v>
      </c>
      <c r="U56" s="1555">
        <f t="shared" si="38"/>
        <v>0</v>
      </c>
      <c r="V56" s="1758">
        <f>+'[3]Oct midyear Southwest LA Chtr'!E55</f>
        <v>0</v>
      </c>
      <c r="W56" s="1759">
        <f t="shared" si="39"/>
        <v>0</v>
      </c>
      <c r="X56" s="1758">
        <f>'[3]Feb midyear Southwest LA Ch '!E55</f>
        <v>0</v>
      </c>
      <c r="Y56" s="1759">
        <f t="shared" si="40"/>
        <v>0</v>
      </c>
      <c r="Z56" s="1653">
        <f t="shared" si="41"/>
        <v>0</v>
      </c>
      <c r="AA56" s="1486">
        <f t="shared" si="42"/>
        <v>0</v>
      </c>
      <c r="AB56" s="937">
        <f t="shared" si="43"/>
        <v>0</v>
      </c>
      <c r="AC56" s="899">
        <f t="shared" si="44"/>
        <v>0</v>
      </c>
      <c r="AD56" s="1830">
        <v>0</v>
      </c>
      <c r="AE56" s="899">
        <f t="shared" si="45"/>
        <v>0</v>
      </c>
      <c r="AF56" s="1834">
        <f>+'[4]Table 5C1H-Southwest LA Charter'!T55*8</f>
        <v>0</v>
      </c>
      <c r="AG56" s="1834">
        <f t="shared" si="46"/>
        <v>0</v>
      </c>
      <c r="AH56" s="899">
        <f t="shared" si="47"/>
        <v>0</v>
      </c>
      <c r="AI56" s="900">
        <f t="shared" si="51"/>
        <v>0</v>
      </c>
      <c r="AJ56" s="900">
        <f t="shared" si="48"/>
        <v>0</v>
      </c>
      <c r="AL56" s="49">
        <f>-'[4]Table 5C1H-Southwest LA Charter'!P55</f>
        <v>0</v>
      </c>
      <c r="AM56" s="49">
        <f t="shared" si="49"/>
        <v>0</v>
      </c>
      <c r="AN56" s="49">
        <f t="shared" si="50"/>
        <v>0</v>
      </c>
    </row>
    <row r="57" spans="1:40">
      <c r="A57" s="879">
        <v>50</v>
      </c>
      <c r="B57" s="880" t="s">
        <v>140</v>
      </c>
      <c r="C57" s="973">
        <f>'2-1-13 SIS'!G56</f>
        <v>0</v>
      </c>
      <c r="D57" s="883">
        <f>'Table 3 Levels 1&amp;2'!AL57</f>
        <v>5032.6862895017111</v>
      </c>
      <c r="E57" s="922">
        <f t="shared" si="28"/>
        <v>0</v>
      </c>
      <c r="F57" s="922">
        <f>'Table 4 Level 3'!P55</f>
        <v>634.46</v>
      </c>
      <c r="G57" s="922">
        <f t="shared" si="29"/>
        <v>0</v>
      </c>
      <c r="H57" s="906">
        <f t="shared" si="30"/>
        <v>0</v>
      </c>
      <c r="I57" s="1735">
        <f>+'[3]Oct midyear Southwest LA Chtr'!K56</f>
        <v>0</v>
      </c>
      <c r="J57" s="1735">
        <f>'[3]Feb midyear Southwest LA Ch '!K56</f>
        <v>0</v>
      </c>
      <c r="K57" s="1546">
        <f t="shared" si="31"/>
        <v>0</v>
      </c>
      <c r="L57" s="1490">
        <f t="shared" si="32"/>
        <v>0</v>
      </c>
      <c r="M57" s="932">
        <f t="shared" si="33"/>
        <v>0</v>
      </c>
      <c r="N57" s="906">
        <f t="shared" si="34"/>
        <v>0</v>
      </c>
      <c r="O57" s="883">
        <v>0</v>
      </c>
      <c r="P57" s="1553">
        <f t="shared" si="35"/>
        <v>0</v>
      </c>
      <c r="Q57" s="1735">
        <f>+'[4]Table 5C1H-Southwest LA Charter'!M56*8</f>
        <v>0</v>
      </c>
      <c r="R57" s="1735">
        <f t="shared" si="36"/>
        <v>0</v>
      </c>
      <c r="S57" s="1553">
        <f t="shared" si="37"/>
        <v>0</v>
      </c>
      <c r="T57" s="1807">
        <f>'Table 5C1A-Madison Prep'!T57</f>
        <v>3143</v>
      </c>
      <c r="U57" s="1556">
        <f t="shared" si="38"/>
        <v>0</v>
      </c>
      <c r="V57" s="1762">
        <f>+'[3]Oct midyear Southwest LA Chtr'!E56</f>
        <v>0</v>
      </c>
      <c r="W57" s="1763">
        <f t="shared" si="39"/>
        <v>0</v>
      </c>
      <c r="X57" s="1762">
        <f>'[3]Feb midyear Southwest LA Ch '!E56</f>
        <v>0</v>
      </c>
      <c r="Y57" s="1763">
        <f t="shared" si="40"/>
        <v>0</v>
      </c>
      <c r="Z57" s="1654">
        <f t="shared" si="41"/>
        <v>0</v>
      </c>
      <c r="AA57" s="1488">
        <f t="shared" si="42"/>
        <v>0</v>
      </c>
      <c r="AB57" s="938">
        <f t="shared" si="43"/>
        <v>0</v>
      </c>
      <c r="AC57" s="903">
        <f t="shared" si="44"/>
        <v>0</v>
      </c>
      <c r="AD57" s="1831">
        <v>0</v>
      </c>
      <c r="AE57" s="903">
        <f t="shared" si="45"/>
        <v>0</v>
      </c>
      <c r="AF57" s="1835">
        <f>+'[4]Table 5C1H-Southwest LA Charter'!T56*8</f>
        <v>0</v>
      </c>
      <c r="AG57" s="1835">
        <f t="shared" si="46"/>
        <v>0</v>
      </c>
      <c r="AH57" s="903">
        <f t="shared" si="47"/>
        <v>0</v>
      </c>
      <c r="AI57" s="904">
        <f t="shared" si="51"/>
        <v>0</v>
      </c>
      <c r="AJ57" s="904">
        <f t="shared" si="48"/>
        <v>0</v>
      </c>
      <c r="AL57" s="49">
        <f>-'[4]Table 5C1H-Southwest LA Charter'!P56</f>
        <v>0</v>
      </c>
      <c r="AM57" s="49">
        <f t="shared" si="49"/>
        <v>0</v>
      </c>
      <c r="AN57" s="49">
        <f t="shared" si="50"/>
        <v>0</v>
      </c>
    </row>
    <row r="58" spans="1:40">
      <c r="A58" s="870">
        <v>51</v>
      </c>
      <c r="B58" s="871" t="s">
        <v>141</v>
      </c>
      <c r="C58" s="974">
        <f>'2-1-13 SIS'!G57</f>
        <v>0</v>
      </c>
      <c r="D58" s="884">
        <f>'Table 3 Levels 1&amp;2'!AL58</f>
        <v>4246.0339872793602</v>
      </c>
      <c r="E58" s="923">
        <f t="shared" si="28"/>
        <v>0</v>
      </c>
      <c r="F58" s="923">
        <f>'Table 4 Level 3'!P56</f>
        <v>706.66</v>
      </c>
      <c r="G58" s="923">
        <f t="shared" si="29"/>
        <v>0</v>
      </c>
      <c r="H58" s="907">
        <f t="shared" si="30"/>
        <v>0</v>
      </c>
      <c r="I58" s="1723">
        <f>+'[3]Oct midyear Southwest LA Chtr'!K57</f>
        <v>0</v>
      </c>
      <c r="J58" s="1723">
        <f>'[3]Feb midyear Southwest LA Ch '!K57</f>
        <v>0</v>
      </c>
      <c r="K58" s="1547">
        <f t="shared" si="31"/>
        <v>0</v>
      </c>
      <c r="L58" s="1491">
        <f t="shared" si="32"/>
        <v>0</v>
      </c>
      <c r="M58" s="933">
        <f t="shared" si="33"/>
        <v>0</v>
      </c>
      <c r="N58" s="907">
        <f t="shared" si="34"/>
        <v>0</v>
      </c>
      <c r="O58" s="884">
        <v>0</v>
      </c>
      <c r="P58" s="996">
        <f t="shared" si="35"/>
        <v>0</v>
      </c>
      <c r="Q58" s="1723">
        <f>+'[4]Table 5C1H-Southwest LA Charter'!M57*8</f>
        <v>0</v>
      </c>
      <c r="R58" s="1723">
        <f t="shared" si="36"/>
        <v>0</v>
      </c>
      <c r="S58" s="996">
        <f t="shared" si="37"/>
        <v>0</v>
      </c>
      <c r="T58" s="1802">
        <f>'Table 5C1A-Madison Prep'!T58</f>
        <v>4370</v>
      </c>
      <c r="U58" s="999">
        <f t="shared" si="38"/>
        <v>0</v>
      </c>
      <c r="V58" s="1754">
        <f>+'[3]Oct midyear Southwest LA Chtr'!E57</f>
        <v>0</v>
      </c>
      <c r="W58" s="1755">
        <f t="shared" si="39"/>
        <v>0</v>
      </c>
      <c r="X58" s="1754">
        <f>'[3]Feb midyear Southwest LA Ch '!E57</f>
        <v>0</v>
      </c>
      <c r="Y58" s="1755">
        <f t="shared" si="40"/>
        <v>0</v>
      </c>
      <c r="Z58" s="1652">
        <f t="shared" si="41"/>
        <v>0</v>
      </c>
      <c r="AA58" s="1521">
        <f t="shared" si="42"/>
        <v>0</v>
      </c>
      <c r="AB58" s="936">
        <f t="shared" si="43"/>
        <v>0</v>
      </c>
      <c r="AC58" s="874">
        <f t="shared" si="44"/>
        <v>0</v>
      </c>
      <c r="AD58" s="1829">
        <v>0</v>
      </c>
      <c r="AE58" s="874">
        <f t="shared" si="45"/>
        <v>0</v>
      </c>
      <c r="AF58" s="1829">
        <f>+'[4]Table 5C1H-Southwest LA Charter'!T57*8</f>
        <v>0</v>
      </c>
      <c r="AG58" s="1829">
        <f t="shared" si="46"/>
        <v>0</v>
      </c>
      <c r="AH58" s="874">
        <f t="shared" si="47"/>
        <v>0</v>
      </c>
      <c r="AI58" s="875">
        <f t="shared" si="51"/>
        <v>0</v>
      </c>
      <c r="AJ58" s="875">
        <f t="shared" si="48"/>
        <v>0</v>
      </c>
      <c r="AL58" s="49">
        <f>-'[4]Table 5C1H-Southwest LA Charter'!P57</f>
        <v>0</v>
      </c>
      <c r="AM58" s="49">
        <f t="shared" si="49"/>
        <v>0</v>
      </c>
      <c r="AN58" s="49">
        <f t="shared" si="50"/>
        <v>0</v>
      </c>
    </row>
    <row r="59" spans="1:40">
      <c r="A59" s="876">
        <v>52</v>
      </c>
      <c r="B59" s="877" t="s">
        <v>142</v>
      </c>
      <c r="C59" s="972">
        <f>'2-1-13 SIS'!G58</f>
        <v>0</v>
      </c>
      <c r="D59" s="882">
        <f>'Table 3 Levels 1&amp;2'!AL59</f>
        <v>5013.4438050113249</v>
      </c>
      <c r="E59" s="921">
        <f t="shared" si="28"/>
        <v>0</v>
      </c>
      <c r="F59" s="921">
        <f>'Table 4 Level 3'!P57</f>
        <v>658.37</v>
      </c>
      <c r="G59" s="921">
        <f t="shared" si="29"/>
        <v>0</v>
      </c>
      <c r="H59" s="905">
        <f t="shared" si="30"/>
        <v>0</v>
      </c>
      <c r="I59" s="1734">
        <f>+'[3]Oct midyear Southwest LA Chtr'!K58</f>
        <v>0</v>
      </c>
      <c r="J59" s="1734">
        <f>'[3]Feb midyear Southwest LA Ch '!K58</f>
        <v>0</v>
      </c>
      <c r="K59" s="1545">
        <f t="shared" si="31"/>
        <v>0</v>
      </c>
      <c r="L59" s="1489">
        <f t="shared" si="32"/>
        <v>0</v>
      </c>
      <c r="M59" s="931">
        <f t="shared" si="33"/>
        <v>0</v>
      </c>
      <c r="N59" s="905">
        <f t="shared" si="34"/>
        <v>0</v>
      </c>
      <c r="O59" s="882">
        <v>0</v>
      </c>
      <c r="P59" s="1552">
        <f t="shared" si="35"/>
        <v>0</v>
      </c>
      <c r="Q59" s="1734">
        <f>+'[4]Table 5C1H-Southwest LA Charter'!M58*8</f>
        <v>0</v>
      </c>
      <c r="R59" s="1734">
        <f t="shared" si="36"/>
        <v>0</v>
      </c>
      <c r="S59" s="1552">
        <f t="shared" si="37"/>
        <v>0</v>
      </c>
      <c r="T59" s="1802">
        <f>'Table 5C1A-Madison Prep'!T59</f>
        <v>5143</v>
      </c>
      <c r="U59" s="1555">
        <f t="shared" si="38"/>
        <v>0</v>
      </c>
      <c r="V59" s="1758">
        <f>+'[3]Oct midyear Southwest LA Chtr'!E58</f>
        <v>0</v>
      </c>
      <c r="W59" s="1759">
        <f t="shared" si="39"/>
        <v>0</v>
      </c>
      <c r="X59" s="1758">
        <f>'[3]Feb midyear Southwest LA Ch '!E58</f>
        <v>0</v>
      </c>
      <c r="Y59" s="1759">
        <f t="shared" si="40"/>
        <v>0</v>
      </c>
      <c r="Z59" s="1653">
        <f t="shared" si="41"/>
        <v>0</v>
      </c>
      <c r="AA59" s="1486">
        <f t="shared" si="42"/>
        <v>0</v>
      </c>
      <c r="AB59" s="937">
        <f t="shared" si="43"/>
        <v>0</v>
      </c>
      <c r="AC59" s="899">
        <f t="shared" si="44"/>
        <v>0</v>
      </c>
      <c r="AD59" s="1830">
        <v>0</v>
      </c>
      <c r="AE59" s="899">
        <f t="shared" si="45"/>
        <v>0</v>
      </c>
      <c r="AF59" s="1834">
        <f>+'[4]Table 5C1H-Southwest LA Charter'!T58*8</f>
        <v>0</v>
      </c>
      <c r="AG59" s="1834">
        <f t="shared" si="46"/>
        <v>0</v>
      </c>
      <c r="AH59" s="899">
        <f t="shared" si="47"/>
        <v>0</v>
      </c>
      <c r="AI59" s="900">
        <f t="shared" si="51"/>
        <v>0</v>
      </c>
      <c r="AJ59" s="900">
        <f t="shared" si="48"/>
        <v>0</v>
      </c>
      <c r="AL59" s="49">
        <f>-'[4]Table 5C1H-Southwest LA Charter'!P58</f>
        <v>0</v>
      </c>
      <c r="AM59" s="49">
        <f t="shared" si="49"/>
        <v>0</v>
      </c>
      <c r="AN59" s="49">
        <f t="shared" si="50"/>
        <v>0</v>
      </c>
    </row>
    <row r="60" spans="1:40">
      <c r="A60" s="876">
        <v>53</v>
      </c>
      <c r="B60" s="877" t="s">
        <v>143</v>
      </c>
      <c r="C60" s="972">
        <f>'2-1-13 SIS'!G59</f>
        <v>0</v>
      </c>
      <c r="D60" s="882">
        <f>'Table 3 Levels 1&amp;2'!AL60</f>
        <v>4775.5877635581091</v>
      </c>
      <c r="E60" s="921">
        <f t="shared" si="28"/>
        <v>0</v>
      </c>
      <c r="F60" s="921">
        <f>'Table 4 Level 3'!P58</f>
        <v>689.74</v>
      </c>
      <c r="G60" s="921">
        <f t="shared" si="29"/>
        <v>0</v>
      </c>
      <c r="H60" s="905">
        <f t="shared" si="30"/>
        <v>0</v>
      </c>
      <c r="I60" s="1734">
        <f>+'[3]Oct midyear Southwest LA Chtr'!K59</f>
        <v>0</v>
      </c>
      <c r="J60" s="1734">
        <f>'[3]Feb midyear Southwest LA Ch '!K59</f>
        <v>0</v>
      </c>
      <c r="K60" s="1545">
        <f t="shared" si="31"/>
        <v>0</v>
      </c>
      <c r="L60" s="1489">
        <f t="shared" si="32"/>
        <v>0</v>
      </c>
      <c r="M60" s="931">
        <f t="shared" si="33"/>
        <v>0</v>
      </c>
      <c r="N60" s="905">
        <f t="shared" si="34"/>
        <v>0</v>
      </c>
      <c r="O60" s="882">
        <v>0</v>
      </c>
      <c r="P60" s="1552">
        <f t="shared" si="35"/>
        <v>0</v>
      </c>
      <c r="Q60" s="1734">
        <f>+'[4]Table 5C1H-Southwest LA Charter'!M59*8</f>
        <v>0</v>
      </c>
      <c r="R60" s="1734">
        <f t="shared" si="36"/>
        <v>0</v>
      </c>
      <c r="S60" s="1552">
        <f t="shared" si="37"/>
        <v>0</v>
      </c>
      <c r="T60" s="1802">
        <f>'Table 5C1A-Madison Prep'!T60</f>
        <v>2109</v>
      </c>
      <c r="U60" s="1555">
        <f t="shared" si="38"/>
        <v>0</v>
      </c>
      <c r="V60" s="1758">
        <f>+'[3]Oct midyear Southwest LA Chtr'!E59</f>
        <v>0</v>
      </c>
      <c r="W60" s="1759">
        <f t="shared" si="39"/>
        <v>0</v>
      </c>
      <c r="X60" s="1758">
        <f>'[3]Feb midyear Southwest LA Ch '!E59</f>
        <v>0</v>
      </c>
      <c r="Y60" s="1759">
        <f t="shared" si="40"/>
        <v>0</v>
      </c>
      <c r="Z60" s="1653">
        <f t="shared" si="41"/>
        <v>0</v>
      </c>
      <c r="AA60" s="1486">
        <f t="shared" si="42"/>
        <v>0</v>
      </c>
      <c r="AB60" s="937">
        <f t="shared" si="43"/>
        <v>0</v>
      </c>
      <c r="AC60" s="899">
        <f t="shared" si="44"/>
        <v>0</v>
      </c>
      <c r="AD60" s="1830">
        <v>0</v>
      </c>
      <c r="AE60" s="899">
        <f t="shared" si="45"/>
        <v>0</v>
      </c>
      <c r="AF60" s="1834">
        <f>+'[4]Table 5C1H-Southwest LA Charter'!T59*8</f>
        <v>0</v>
      </c>
      <c r="AG60" s="1834">
        <f t="shared" si="46"/>
        <v>0</v>
      </c>
      <c r="AH60" s="899">
        <f t="shared" si="47"/>
        <v>0</v>
      </c>
      <c r="AI60" s="900">
        <f t="shared" si="51"/>
        <v>0</v>
      </c>
      <c r="AJ60" s="900">
        <f t="shared" si="48"/>
        <v>0</v>
      </c>
      <c r="AL60" s="49">
        <f>-'[4]Table 5C1H-Southwest LA Charter'!P59</f>
        <v>0</v>
      </c>
      <c r="AM60" s="49">
        <f t="shared" si="49"/>
        <v>0</v>
      </c>
      <c r="AN60" s="49">
        <f t="shared" si="50"/>
        <v>0</v>
      </c>
    </row>
    <row r="61" spans="1:40">
      <c r="A61" s="876">
        <v>54</v>
      </c>
      <c r="B61" s="877" t="s">
        <v>144</v>
      </c>
      <c r="C61" s="972">
        <f>'2-1-13 SIS'!G60</f>
        <v>0</v>
      </c>
      <c r="D61" s="882">
        <f>'Table 3 Levels 1&amp;2'!AL61</f>
        <v>5951.8009386275662</v>
      </c>
      <c r="E61" s="921">
        <f t="shared" si="28"/>
        <v>0</v>
      </c>
      <c r="F61" s="921">
        <f>'Table 4 Level 3'!P59</f>
        <v>951.45</v>
      </c>
      <c r="G61" s="921">
        <f t="shared" si="29"/>
        <v>0</v>
      </c>
      <c r="H61" s="905">
        <f t="shared" si="30"/>
        <v>0</v>
      </c>
      <c r="I61" s="1734">
        <f>+'[3]Oct midyear Southwest LA Chtr'!K60</f>
        <v>0</v>
      </c>
      <c r="J61" s="1734">
        <f>'[3]Feb midyear Southwest LA Ch '!K60</f>
        <v>0</v>
      </c>
      <c r="K61" s="1545">
        <f t="shared" si="31"/>
        <v>0</v>
      </c>
      <c r="L61" s="1489">
        <f t="shared" si="32"/>
        <v>0</v>
      </c>
      <c r="M61" s="931">
        <f t="shared" si="33"/>
        <v>0</v>
      </c>
      <c r="N61" s="905">
        <f t="shared" si="34"/>
        <v>0</v>
      </c>
      <c r="O61" s="882">
        <v>0</v>
      </c>
      <c r="P61" s="1552">
        <f t="shared" si="35"/>
        <v>0</v>
      </c>
      <c r="Q61" s="1734">
        <f>+'[4]Table 5C1H-Southwest LA Charter'!M60*8</f>
        <v>0</v>
      </c>
      <c r="R61" s="1734">
        <f t="shared" si="36"/>
        <v>0</v>
      </c>
      <c r="S61" s="1552">
        <f t="shared" si="37"/>
        <v>0</v>
      </c>
      <c r="T61" s="1802">
        <f>'Table 5C1A-Madison Prep'!T61</f>
        <v>3760</v>
      </c>
      <c r="U61" s="1555">
        <f t="shared" si="38"/>
        <v>0</v>
      </c>
      <c r="V61" s="1758">
        <f>+'[3]Oct midyear Southwest LA Chtr'!E60</f>
        <v>0</v>
      </c>
      <c r="W61" s="1759">
        <f t="shared" si="39"/>
        <v>0</v>
      </c>
      <c r="X61" s="1758">
        <f>'[3]Feb midyear Southwest LA Ch '!E60</f>
        <v>0</v>
      </c>
      <c r="Y61" s="1759">
        <f t="shared" si="40"/>
        <v>0</v>
      </c>
      <c r="Z61" s="1653">
        <f t="shared" si="41"/>
        <v>0</v>
      </c>
      <c r="AA61" s="1486">
        <f t="shared" si="42"/>
        <v>0</v>
      </c>
      <c r="AB61" s="937">
        <f t="shared" si="43"/>
        <v>0</v>
      </c>
      <c r="AC61" s="899">
        <f t="shared" si="44"/>
        <v>0</v>
      </c>
      <c r="AD61" s="1830">
        <v>0</v>
      </c>
      <c r="AE61" s="899">
        <f t="shared" si="45"/>
        <v>0</v>
      </c>
      <c r="AF61" s="1834">
        <f>+'[4]Table 5C1H-Southwest LA Charter'!T60*8</f>
        <v>0</v>
      </c>
      <c r="AG61" s="1834">
        <f t="shared" si="46"/>
        <v>0</v>
      </c>
      <c r="AH61" s="899">
        <f t="shared" si="47"/>
        <v>0</v>
      </c>
      <c r="AI61" s="900">
        <f t="shared" si="51"/>
        <v>0</v>
      </c>
      <c r="AJ61" s="900">
        <f t="shared" si="48"/>
        <v>0</v>
      </c>
      <c r="AL61" s="49">
        <f>-'[4]Table 5C1H-Southwest LA Charter'!P60</f>
        <v>0</v>
      </c>
      <c r="AM61" s="49">
        <f t="shared" si="49"/>
        <v>0</v>
      </c>
      <c r="AN61" s="49">
        <f t="shared" si="50"/>
        <v>0</v>
      </c>
    </row>
    <row r="62" spans="1:40">
      <c r="A62" s="879">
        <v>55</v>
      </c>
      <c r="B62" s="880" t="s">
        <v>145</v>
      </c>
      <c r="C62" s="973">
        <f>'2-1-13 SIS'!G61</f>
        <v>0</v>
      </c>
      <c r="D62" s="883">
        <f>'Table 3 Levels 1&amp;2'!AL62</f>
        <v>4171.0434735233157</v>
      </c>
      <c r="E62" s="922">
        <f t="shared" si="28"/>
        <v>0</v>
      </c>
      <c r="F62" s="922">
        <f>'Table 4 Level 3'!P60</f>
        <v>795.14</v>
      </c>
      <c r="G62" s="922">
        <f t="shared" si="29"/>
        <v>0</v>
      </c>
      <c r="H62" s="906">
        <f t="shared" si="30"/>
        <v>0</v>
      </c>
      <c r="I62" s="1735">
        <f>+'[3]Oct midyear Southwest LA Chtr'!K61</f>
        <v>0</v>
      </c>
      <c r="J62" s="1735">
        <f>'[3]Feb midyear Southwest LA Ch '!K61</f>
        <v>0</v>
      </c>
      <c r="K62" s="1546">
        <f t="shared" si="31"/>
        <v>0</v>
      </c>
      <c r="L62" s="1490">
        <f t="shared" si="32"/>
        <v>0</v>
      </c>
      <c r="M62" s="932">
        <f t="shared" si="33"/>
        <v>0</v>
      </c>
      <c r="N62" s="906">
        <f t="shared" si="34"/>
        <v>0</v>
      </c>
      <c r="O62" s="883">
        <v>0</v>
      </c>
      <c r="P62" s="1553">
        <f t="shared" si="35"/>
        <v>0</v>
      </c>
      <c r="Q62" s="1735">
        <f>+'[4]Table 5C1H-Southwest LA Charter'!M61*8</f>
        <v>0</v>
      </c>
      <c r="R62" s="1735">
        <f t="shared" si="36"/>
        <v>0</v>
      </c>
      <c r="S62" s="1553">
        <f t="shared" si="37"/>
        <v>0</v>
      </c>
      <c r="T62" s="1807">
        <f>'Table 5C1A-Madison Prep'!T62</f>
        <v>3359</v>
      </c>
      <c r="U62" s="1556">
        <f t="shared" si="38"/>
        <v>0</v>
      </c>
      <c r="V62" s="1762">
        <f>+'[3]Oct midyear Southwest LA Chtr'!E61</f>
        <v>0</v>
      </c>
      <c r="W62" s="1763">
        <f t="shared" si="39"/>
        <v>0</v>
      </c>
      <c r="X62" s="1762">
        <f>'[3]Feb midyear Southwest LA Ch '!E61</f>
        <v>0</v>
      </c>
      <c r="Y62" s="1763">
        <f t="shared" si="40"/>
        <v>0</v>
      </c>
      <c r="Z62" s="1654">
        <f t="shared" si="41"/>
        <v>0</v>
      </c>
      <c r="AA62" s="1488">
        <f t="shared" si="42"/>
        <v>0</v>
      </c>
      <c r="AB62" s="938">
        <f t="shared" si="43"/>
        <v>0</v>
      </c>
      <c r="AC62" s="903">
        <f t="shared" si="44"/>
        <v>0</v>
      </c>
      <c r="AD62" s="1831">
        <v>0</v>
      </c>
      <c r="AE62" s="903">
        <f t="shared" si="45"/>
        <v>0</v>
      </c>
      <c r="AF62" s="1835">
        <f>+'[4]Table 5C1H-Southwest LA Charter'!T61*8</f>
        <v>0</v>
      </c>
      <c r="AG62" s="1835">
        <f t="shared" si="46"/>
        <v>0</v>
      </c>
      <c r="AH62" s="903">
        <f t="shared" si="47"/>
        <v>0</v>
      </c>
      <c r="AI62" s="904">
        <f t="shared" si="51"/>
        <v>0</v>
      </c>
      <c r="AJ62" s="904">
        <f t="shared" si="48"/>
        <v>0</v>
      </c>
      <c r="AL62" s="49">
        <f>-'[4]Table 5C1H-Southwest LA Charter'!P61</f>
        <v>0</v>
      </c>
      <c r="AM62" s="49">
        <f t="shared" si="49"/>
        <v>0</v>
      </c>
      <c r="AN62" s="49">
        <f t="shared" si="50"/>
        <v>0</v>
      </c>
    </row>
    <row r="63" spans="1:40">
      <c r="A63" s="870">
        <v>56</v>
      </c>
      <c r="B63" s="871" t="s">
        <v>146</v>
      </c>
      <c r="C63" s="974">
        <f>'2-1-13 SIS'!G62</f>
        <v>0</v>
      </c>
      <c r="D63" s="884">
        <f>'Table 3 Levels 1&amp;2'!AL63</f>
        <v>4968.593189672727</v>
      </c>
      <c r="E63" s="923">
        <f t="shared" si="28"/>
        <v>0</v>
      </c>
      <c r="F63" s="923">
        <f>'Table 4 Level 3'!P61</f>
        <v>614.66000000000008</v>
      </c>
      <c r="G63" s="923">
        <f t="shared" si="29"/>
        <v>0</v>
      </c>
      <c r="H63" s="907">
        <f t="shared" si="30"/>
        <v>0</v>
      </c>
      <c r="I63" s="1723">
        <f>+'[3]Oct midyear Southwest LA Chtr'!K62</f>
        <v>0</v>
      </c>
      <c r="J63" s="1723">
        <f>'[3]Feb midyear Southwest LA Ch '!K62</f>
        <v>0</v>
      </c>
      <c r="K63" s="1547">
        <f t="shared" si="31"/>
        <v>0</v>
      </c>
      <c r="L63" s="1491">
        <f t="shared" si="32"/>
        <v>0</v>
      </c>
      <c r="M63" s="933">
        <f t="shared" si="33"/>
        <v>0</v>
      </c>
      <c r="N63" s="907">
        <f t="shared" si="34"/>
        <v>0</v>
      </c>
      <c r="O63" s="884">
        <v>0</v>
      </c>
      <c r="P63" s="996">
        <f t="shared" si="35"/>
        <v>0</v>
      </c>
      <c r="Q63" s="1723">
        <f>+'[4]Table 5C1H-Southwest LA Charter'!M62*8</f>
        <v>0</v>
      </c>
      <c r="R63" s="1723">
        <f t="shared" si="36"/>
        <v>0</v>
      </c>
      <c r="S63" s="996">
        <f t="shared" si="37"/>
        <v>0</v>
      </c>
      <c r="T63" s="1802">
        <f>'Table 5C1A-Madison Prep'!T63</f>
        <v>2853</v>
      </c>
      <c r="U63" s="999">
        <f t="shared" si="38"/>
        <v>0</v>
      </c>
      <c r="V63" s="1754">
        <f>+'[3]Oct midyear Southwest LA Chtr'!E62</f>
        <v>0</v>
      </c>
      <c r="W63" s="1755">
        <f t="shared" si="39"/>
        <v>0</v>
      </c>
      <c r="X63" s="1754">
        <f>'[3]Feb midyear Southwest LA Ch '!E62</f>
        <v>0</v>
      </c>
      <c r="Y63" s="1755">
        <f t="shared" si="40"/>
        <v>0</v>
      </c>
      <c r="Z63" s="1652">
        <f t="shared" si="41"/>
        <v>0</v>
      </c>
      <c r="AA63" s="1521">
        <f t="shared" si="42"/>
        <v>0</v>
      </c>
      <c r="AB63" s="936">
        <f t="shared" si="43"/>
        <v>0</v>
      </c>
      <c r="AC63" s="874">
        <f t="shared" si="44"/>
        <v>0</v>
      </c>
      <c r="AD63" s="1829">
        <v>0</v>
      </c>
      <c r="AE63" s="874">
        <f t="shared" si="45"/>
        <v>0</v>
      </c>
      <c r="AF63" s="1829">
        <f>+'[4]Table 5C1H-Southwest LA Charter'!T62*8</f>
        <v>0</v>
      </c>
      <c r="AG63" s="1829">
        <f t="shared" si="46"/>
        <v>0</v>
      </c>
      <c r="AH63" s="874">
        <f t="shared" si="47"/>
        <v>0</v>
      </c>
      <c r="AI63" s="875">
        <f t="shared" si="51"/>
        <v>0</v>
      </c>
      <c r="AJ63" s="875">
        <f t="shared" si="48"/>
        <v>0</v>
      </c>
      <c r="AL63" s="49">
        <f>-'[4]Table 5C1H-Southwest LA Charter'!P62</f>
        <v>0</v>
      </c>
      <c r="AM63" s="49">
        <f t="shared" si="49"/>
        <v>0</v>
      </c>
      <c r="AN63" s="49">
        <f t="shared" si="50"/>
        <v>0</v>
      </c>
    </row>
    <row r="64" spans="1:40">
      <c r="A64" s="876">
        <v>57</v>
      </c>
      <c r="B64" s="877" t="s">
        <v>147</v>
      </c>
      <c r="C64" s="972">
        <f>'2-1-13 SIS'!G63</f>
        <v>0</v>
      </c>
      <c r="D64" s="882">
        <f>'Table 3 Levels 1&amp;2'!AL64</f>
        <v>4485.7073020218859</v>
      </c>
      <c r="E64" s="921">
        <f t="shared" si="28"/>
        <v>0</v>
      </c>
      <c r="F64" s="921">
        <f>'Table 4 Level 3'!P62</f>
        <v>764.51</v>
      </c>
      <c r="G64" s="921">
        <f t="shared" si="29"/>
        <v>0</v>
      </c>
      <c r="H64" s="905">
        <f t="shared" si="30"/>
        <v>0</v>
      </c>
      <c r="I64" s="1734">
        <f>+'[3]Oct midyear Southwest LA Chtr'!K63</f>
        <v>0</v>
      </c>
      <c r="J64" s="1734">
        <f>'[3]Feb midyear Southwest LA Ch '!K63</f>
        <v>0</v>
      </c>
      <c r="K64" s="1545">
        <f t="shared" si="31"/>
        <v>0</v>
      </c>
      <c r="L64" s="1489">
        <f t="shared" si="32"/>
        <v>0</v>
      </c>
      <c r="M64" s="931">
        <f t="shared" si="33"/>
        <v>0</v>
      </c>
      <c r="N64" s="905">
        <f t="shared" si="34"/>
        <v>0</v>
      </c>
      <c r="O64" s="882">
        <v>0</v>
      </c>
      <c r="P64" s="1552">
        <f t="shared" si="35"/>
        <v>0</v>
      </c>
      <c r="Q64" s="1734">
        <f>+'[4]Table 5C1H-Southwest LA Charter'!M63*8</f>
        <v>0</v>
      </c>
      <c r="R64" s="1734">
        <f t="shared" si="36"/>
        <v>0</v>
      </c>
      <c r="S64" s="1552">
        <f t="shared" si="37"/>
        <v>0</v>
      </c>
      <c r="T64" s="1802">
        <f>'Table 5C1A-Madison Prep'!T64</f>
        <v>3178</v>
      </c>
      <c r="U64" s="1555">
        <f t="shared" si="38"/>
        <v>0</v>
      </c>
      <c r="V64" s="1758">
        <f>+'[3]Oct midyear Southwest LA Chtr'!E63</f>
        <v>0</v>
      </c>
      <c r="W64" s="1759">
        <f t="shared" si="39"/>
        <v>0</v>
      </c>
      <c r="X64" s="1758">
        <f>'[3]Feb midyear Southwest LA Ch '!E63</f>
        <v>0</v>
      </c>
      <c r="Y64" s="1759">
        <f t="shared" si="40"/>
        <v>0</v>
      </c>
      <c r="Z64" s="1653">
        <f t="shared" si="41"/>
        <v>0</v>
      </c>
      <c r="AA64" s="1486">
        <f t="shared" si="42"/>
        <v>0</v>
      </c>
      <c r="AB64" s="937">
        <f t="shared" si="43"/>
        <v>0</v>
      </c>
      <c r="AC64" s="899">
        <f t="shared" si="44"/>
        <v>0</v>
      </c>
      <c r="AD64" s="1830">
        <v>0</v>
      </c>
      <c r="AE64" s="899">
        <f t="shared" si="45"/>
        <v>0</v>
      </c>
      <c r="AF64" s="1834">
        <f>+'[4]Table 5C1H-Southwest LA Charter'!T63*8</f>
        <v>0</v>
      </c>
      <c r="AG64" s="1834">
        <f t="shared" si="46"/>
        <v>0</v>
      </c>
      <c r="AH64" s="899">
        <f t="shared" si="47"/>
        <v>0</v>
      </c>
      <c r="AI64" s="900">
        <f t="shared" si="51"/>
        <v>0</v>
      </c>
      <c r="AJ64" s="900">
        <f t="shared" si="48"/>
        <v>0</v>
      </c>
      <c r="AL64" s="49">
        <f>-'[4]Table 5C1H-Southwest LA Charter'!P63</f>
        <v>0</v>
      </c>
      <c r="AM64" s="49">
        <f t="shared" si="49"/>
        <v>0</v>
      </c>
      <c r="AN64" s="49">
        <f t="shared" si="50"/>
        <v>0</v>
      </c>
    </row>
    <row r="65" spans="1:40">
      <c r="A65" s="876">
        <v>58</v>
      </c>
      <c r="B65" s="877" t="s">
        <v>148</v>
      </c>
      <c r="C65" s="972">
        <f>'2-1-13 SIS'!G64</f>
        <v>0</v>
      </c>
      <c r="D65" s="882">
        <f>'Table 3 Levels 1&amp;2'!AL65</f>
        <v>5457.8662803476354</v>
      </c>
      <c r="E65" s="921">
        <f t="shared" si="28"/>
        <v>0</v>
      </c>
      <c r="F65" s="921">
        <f>'Table 4 Level 3'!P63</f>
        <v>697.04</v>
      </c>
      <c r="G65" s="921">
        <f t="shared" si="29"/>
        <v>0</v>
      </c>
      <c r="H65" s="905">
        <f t="shared" si="30"/>
        <v>0</v>
      </c>
      <c r="I65" s="1734">
        <f>+'[3]Oct midyear Southwest LA Chtr'!K64</f>
        <v>0</v>
      </c>
      <c r="J65" s="1734">
        <f>'[3]Feb midyear Southwest LA Ch '!K64</f>
        <v>0</v>
      </c>
      <c r="K65" s="1545">
        <f t="shared" si="31"/>
        <v>0</v>
      </c>
      <c r="L65" s="1489">
        <f t="shared" si="32"/>
        <v>0</v>
      </c>
      <c r="M65" s="931">
        <f t="shared" si="33"/>
        <v>0</v>
      </c>
      <c r="N65" s="905">
        <f t="shared" si="34"/>
        <v>0</v>
      </c>
      <c r="O65" s="882">
        <v>0</v>
      </c>
      <c r="P65" s="1552">
        <f t="shared" si="35"/>
        <v>0</v>
      </c>
      <c r="Q65" s="1734">
        <f>+'[4]Table 5C1H-Southwest LA Charter'!M64*8</f>
        <v>0</v>
      </c>
      <c r="R65" s="1734">
        <f t="shared" si="36"/>
        <v>0</v>
      </c>
      <c r="S65" s="1552">
        <f t="shared" si="37"/>
        <v>0</v>
      </c>
      <c r="T65" s="1802">
        <f>'Table 5C1A-Madison Prep'!T65</f>
        <v>2127</v>
      </c>
      <c r="U65" s="1555">
        <f t="shared" si="38"/>
        <v>0</v>
      </c>
      <c r="V65" s="1758">
        <f>+'[3]Oct midyear Southwest LA Chtr'!E64</f>
        <v>0</v>
      </c>
      <c r="W65" s="1759">
        <f t="shared" si="39"/>
        <v>0</v>
      </c>
      <c r="X65" s="1758">
        <f>'[3]Feb midyear Southwest LA Ch '!E64</f>
        <v>0</v>
      </c>
      <c r="Y65" s="1759">
        <f t="shared" si="40"/>
        <v>0</v>
      </c>
      <c r="Z65" s="1653">
        <f t="shared" si="41"/>
        <v>0</v>
      </c>
      <c r="AA65" s="1486">
        <f t="shared" si="42"/>
        <v>0</v>
      </c>
      <c r="AB65" s="937">
        <f t="shared" si="43"/>
        <v>0</v>
      </c>
      <c r="AC65" s="899">
        <f t="shared" si="44"/>
        <v>0</v>
      </c>
      <c r="AD65" s="1830">
        <v>0</v>
      </c>
      <c r="AE65" s="899">
        <f t="shared" si="45"/>
        <v>0</v>
      </c>
      <c r="AF65" s="1834">
        <f>+'[4]Table 5C1H-Southwest LA Charter'!T64*8</f>
        <v>0</v>
      </c>
      <c r="AG65" s="1834">
        <f t="shared" si="46"/>
        <v>0</v>
      </c>
      <c r="AH65" s="899">
        <f t="shared" si="47"/>
        <v>0</v>
      </c>
      <c r="AI65" s="900">
        <f t="shared" si="51"/>
        <v>0</v>
      </c>
      <c r="AJ65" s="900">
        <f t="shared" si="48"/>
        <v>0</v>
      </c>
      <c r="AL65" s="49">
        <f>-'[4]Table 5C1H-Southwest LA Charter'!P64</f>
        <v>0</v>
      </c>
      <c r="AM65" s="49">
        <f t="shared" si="49"/>
        <v>0</v>
      </c>
      <c r="AN65" s="49">
        <f t="shared" si="50"/>
        <v>0</v>
      </c>
    </row>
    <row r="66" spans="1:40">
      <c r="A66" s="876">
        <v>59</v>
      </c>
      <c r="B66" s="877" t="s">
        <v>149</v>
      </c>
      <c r="C66" s="972">
        <f>'2-1-13 SIS'!G65</f>
        <v>0</v>
      </c>
      <c r="D66" s="882">
        <f>'Table 3 Levels 1&amp;2'!AL66</f>
        <v>6274.2786338006481</v>
      </c>
      <c r="E66" s="921">
        <f t="shared" si="28"/>
        <v>0</v>
      </c>
      <c r="F66" s="921">
        <f>'Table 4 Level 3'!P64</f>
        <v>689.52</v>
      </c>
      <c r="G66" s="921">
        <f t="shared" si="29"/>
        <v>0</v>
      </c>
      <c r="H66" s="905">
        <f t="shared" si="30"/>
        <v>0</v>
      </c>
      <c r="I66" s="1734">
        <f>+'[3]Oct midyear Southwest LA Chtr'!K65</f>
        <v>0</v>
      </c>
      <c r="J66" s="1734">
        <f>'[3]Feb midyear Southwest LA Ch '!K65</f>
        <v>0</v>
      </c>
      <c r="K66" s="1545">
        <f t="shared" si="31"/>
        <v>0</v>
      </c>
      <c r="L66" s="1489">
        <f t="shared" si="32"/>
        <v>0</v>
      </c>
      <c r="M66" s="931">
        <f t="shared" si="33"/>
        <v>0</v>
      </c>
      <c r="N66" s="905">
        <f t="shared" si="34"/>
        <v>0</v>
      </c>
      <c r="O66" s="882">
        <v>0</v>
      </c>
      <c r="P66" s="1552">
        <f t="shared" si="35"/>
        <v>0</v>
      </c>
      <c r="Q66" s="1734">
        <f>+'[4]Table 5C1H-Southwest LA Charter'!M65*8</f>
        <v>0</v>
      </c>
      <c r="R66" s="1734">
        <f t="shared" si="36"/>
        <v>0</v>
      </c>
      <c r="S66" s="1552">
        <f t="shared" si="37"/>
        <v>0</v>
      </c>
      <c r="T66" s="1802">
        <f>'Table 5C1A-Madison Prep'!T66</f>
        <v>1729</v>
      </c>
      <c r="U66" s="1555">
        <f t="shared" si="38"/>
        <v>0</v>
      </c>
      <c r="V66" s="1758">
        <f>+'[3]Oct midyear Southwest LA Chtr'!E65</f>
        <v>0</v>
      </c>
      <c r="W66" s="1759">
        <f t="shared" si="39"/>
        <v>0</v>
      </c>
      <c r="X66" s="1758">
        <f>'[3]Feb midyear Southwest LA Ch '!E65</f>
        <v>0</v>
      </c>
      <c r="Y66" s="1759">
        <f t="shared" si="40"/>
        <v>0</v>
      </c>
      <c r="Z66" s="1653">
        <f t="shared" si="41"/>
        <v>0</v>
      </c>
      <c r="AA66" s="1486">
        <f t="shared" si="42"/>
        <v>0</v>
      </c>
      <c r="AB66" s="937">
        <f t="shared" si="43"/>
        <v>0</v>
      </c>
      <c r="AC66" s="899">
        <f t="shared" si="44"/>
        <v>0</v>
      </c>
      <c r="AD66" s="1830">
        <v>0</v>
      </c>
      <c r="AE66" s="899">
        <f t="shared" si="45"/>
        <v>0</v>
      </c>
      <c r="AF66" s="1834">
        <f>+'[4]Table 5C1H-Southwest LA Charter'!T65*8</f>
        <v>0</v>
      </c>
      <c r="AG66" s="1834">
        <f t="shared" si="46"/>
        <v>0</v>
      </c>
      <c r="AH66" s="899">
        <f t="shared" si="47"/>
        <v>0</v>
      </c>
      <c r="AI66" s="900">
        <f t="shared" si="51"/>
        <v>0</v>
      </c>
      <c r="AJ66" s="900">
        <f t="shared" si="48"/>
        <v>0</v>
      </c>
      <c r="AL66" s="49">
        <f>-'[4]Table 5C1H-Southwest LA Charter'!P65</f>
        <v>0</v>
      </c>
      <c r="AM66" s="49">
        <f t="shared" si="49"/>
        <v>0</v>
      </c>
      <c r="AN66" s="49">
        <f t="shared" si="50"/>
        <v>0</v>
      </c>
    </row>
    <row r="67" spans="1:40">
      <c r="A67" s="879">
        <v>60</v>
      </c>
      <c r="B67" s="880" t="s">
        <v>150</v>
      </c>
      <c r="C67" s="973">
        <f>'2-1-13 SIS'!G66</f>
        <v>0</v>
      </c>
      <c r="D67" s="883">
        <f>'Table 3 Levels 1&amp;2'!AL67</f>
        <v>4940.9166775610411</v>
      </c>
      <c r="E67" s="922">
        <f t="shared" si="28"/>
        <v>0</v>
      </c>
      <c r="F67" s="922">
        <f>'Table 4 Level 3'!P65</f>
        <v>594.04</v>
      </c>
      <c r="G67" s="922">
        <f t="shared" si="29"/>
        <v>0</v>
      </c>
      <c r="H67" s="906">
        <f t="shared" si="30"/>
        <v>0</v>
      </c>
      <c r="I67" s="1735">
        <f>+'[3]Oct midyear Southwest LA Chtr'!K66</f>
        <v>0</v>
      </c>
      <c r="J67" s="1735">
        <f>'[3]Feb midyear Southwest LA Ch '!K66</f>
        <v>0</v>
      </c>
      <c r="K67" s="1546">
        <f t="shared" si="31"/>
        <v>0</v>
      </c>
      <c r="L67" s="1490">
        <f t="shared" si="32"/>
        <v>0</v>
      </c>
      <c r="M67" s="932">
        <f t="shared" si="33"/>
        <v>0</v>
      </c>
      <c r="N67" s="906">
        <f t="shared" si="34"/>
        <v>0</v>
      </c>
      <c r="O67" s="883">
        <v>0</v>
      </c>
      <c r="P67" s="1553">
        <f t="shared" si="35"/>
        <v>0</v>
      </c>
      <c r="Q67" s="1735">
        <f>+'[4]Table 5C1H-Southwest LA Charter'!M66*8</f>
        <v>0</v>
      </c>
      <c r="R67" s="1735">
        <f t="shared" si="36"/>
        <v>0</v>
      </c>
      <c r="S67" s="1553">
        <f t="shared" si="37"/>
        <v>0</v>
      </c>
      <c r="T67" s="1807">
        <f>'Table 5C1A-Madison Prep'!T67</f>
        <v>3801</v>
      </c>
      <c r="U67" s="1556">
        <f t="shared" si="38"/>
        <v>0</v>
      </c>
      <c r="V67" s="1762">
        <f>+'[3]Oct midyear Southwest LA Chtr'!E66</f>
        <v>0</v>
      </c>
      <c r="W67" s="1763">
        <f t="shared" si="39"/>
        <v>0</v>
      </c>
      <c r="X67" s="1762">
        <f>'[3]Feb midyear Southwest LA Ch '!E66</f>
        <v>0</v>
      </c>
      <c r="Y67" s="1763">
        <f t="shared" si="40"/>
        <v>0</v>
      </c>
      <c r="Z67" s="1654">
        <f t="shared" si="41"/>
        <v>0</v>
      </c>
      <c r="AA67" s="1488">
        <f t="shared" si="42"/>
        <v>0</v>
      </c>
      <c r="AB67" s="938">
        <f t="shared" si="43"/>
        <v>0</v>
      </c>
      <c r="AC67" s="903">
        <f t="shared" si="44"/>
        <v>0</v>
      </c>
      <c r="AD67" s="1831">
        <v>0</v>
      </c>
      <c r="AE67" s="903">
        <f t="shared" si="45"/>
        <v>0</v>
      </c>
      <c r="AF67" s="1835">
        <f>+'[4]Table 5C1H-Southwest LA Charter'!T66*8</f>
        <v>0</v>
      </c>
      <c r="AG67" s="1835">
        <f t="shared" si="46"/>
        <v>0</v>
      </c>
      <c r="AH67" s="903">
        <f t="shared" si="47"/>
        <v>0</v>
      </c>
      <c r="AI67" s="904">
        <f t="shared" si="51"/>
        <v>0</v>
      </c>
      <c r="AJ67" s="904">
        <f t="shared" si="48"/>
        <v>0</v>
      </c>
      <c r="AL67" s="49">
        <f>-'[4]Table 5C1H-Southwest LA Charter'!P66</f>
        <v>0</v>
      </c>
      <c r="AM67" s="49">
        <f t="shared" si="49"/>
        <v>0</v>
      </c>
      <c r="AN67" s="49">
        <f t="shared" si="50"/>
        <v>0</v>
      </c>
    </row>
    <row r="68" spans="1:40">
      <c r="A68" s="870">
        <v>61</v>
      </c>
      <c r="B68" s="871" t="s">
        <v>151</v>
      </c>
      <c r="C68" s="974">
        <f>'2-1-13 SIS'!G67</f>
        <v>0</v>
      </c>
      <c r="D68" s="884">
        <f>'Table 3 Levels 1&amp;2'!AL68</f>
        <v>2908.0344869339228</v>
      </c>
      <c r="E68" s="923">
        <f t="shared" si="28"/>
        <v>0</v>
      </c>
      <c r="F68" s="923">
        <f>'Table 4 Level 3'!P66</f>
        <v>833.70999999999992</v>
      </c>
      <c r="G68" s="923">
        <f t="shared" si="29"/>
        <v>0</v>
      </c>
      <c r="H68" s="907">
        <f t="shared" si="30"/>
        <v>0</v>
      </c>
      <c r="I68" s="1723">
        <f>+'[3]Oct midyear Southwest LA Chtr'!K67</f>
        <v>0</v>
      </c>
      <c r="J68" s="1723">
        <f>'[3]Feb midyear Southwest LA Ch '!K67</f>
        <v>0</v>
      </c>
      <c r="K68" s="1547">
        <f t="shared" si="31"/>
        <v>0</v>
      </c>
      <c r="L68" s="1491">
        <f t="shared" si="32"/>
        <v>0</v>
      </c>
      <c r="M68" s="933">
        <f t="shared" si="33"/>
        <v>0</v>
      </c>
      <c r="N68" s="907">
        <f t="shared" si="34"/>
        <v>0</v>
      </c>
      <c r="O68" s="884">
        <v>0</v>
      </c>
      <c r="P68" s="996">
        <f t="shared" si="35"/>
        <v>0</v>
      </c>
      <c r="Q68" s="1723">
        <f>+'[4]Table 5C1H-Southwest LA Charter'!M67*8</f>
        <v>0</v>
      </c>
      <c r="R68" s="1723">
        <f t="shared" si="36"/>
        <v>0</v>
      </c>
      <c r="S68" s="996">
        <f t="shared" si="37"/>
        <v>0</v>
      </c>
      <c r="T68" s="1802">
        <f>'Table 5C1A-Madison Prep'!T68</f>
        <v>6597</v>
      </c>
      <c r="U68" s="999">
        <f t="shared" si="38"/>
        <v>0</v>
      </c>
      <c r="V68" s="1754">
        <f>+'[3]Oct midyear Southwest LA Chtr'!E67</f>
        <v>0</v>
      </c>
      <c r="W68" s="1755">
        <f t="shared" si="39"/>
        <v>0</v>
      </c>
      <c r="X68" s="1754">
        <f>'[3]Feb midyear Southwest LA Ch '!E67</f>
        <v>0</v>
      </c>
      <c r="Y68" s="1755">
        <f t="shared" si="40"/>
        <v>0</v>
      </c>
      <c r="Z68" s="1652">
        <f t="shared" si="41"/>
        <v>0</v>
      </c>
      <c r="AA68" s="1521">
        <f t="shared" si="42"/>
        <v>0</v>
      </c>
      <c r="AB68" s="936">
        <f t="shared" si="43"/>
        <v>0</v>
      </c>
      <c r="AC68" s="874">
        <f t="shared" si="44"/>
        <v>0</v>
      </c>
      <c r="AD68" s="1829">
        <v>0</v>
      </c>
      <c r="AE68" s="874">
        <f t="shared" si="45"/>
        <v>0</v>
      </c>
      <c r="AF68" s="1829">
        <f>+'[4]Table 5C1H-Southwest LA Charter'!T67*8</f>
        <v>0</v>
      </c>
      <c r="AG68" s="1829">
        <f t="shared" si="46"/>
        <v>0</v>
      </c>
      <c r="AH68" s="874">
        <f t="shared" si="47"/>
        <v>0</v>
      </c>
      <c r="AI68" s="875">
        <f t="shared" si="51"/>
        <v>0</v>
      </c>
      <c r="AJ68" s="875">
        <f t="shared" si="48"/>
        <v>0</v>
      </c>
      <c r="AL68" s="49">
        <f>-'[4]Table 5C1H-Southwest LA Charter'!P67</f>
        <v>0</v>
      </c>
      <c r="AM68" s="49">
        <f t="shared" si="49"/>
        <v>0</v>
      </c>
      <c r="AN68" s="49">
        <f t="shared" si="50"/>
        <v>0</v>
      </c>
    </row>
    <row r="69" spans="1:40">
      <c r="A69" s="876">
        <v>62</v>
      </c>
      <c r="B69" s="877" t="s">
        <v>152</v>
      </c>
      <c r="C69" s="972">
        <f>'2-1-13 SIS'!G68</f>
        <v>0</v>
      </c>
      <c r="D69" s="882">
        <f>'Table 3 Levels 1&amp;2'!AL69</f>
        <v>5652.1730736722093</v>
      </c>
      <c r="E69" s="921">
        <f t="shared" si="28"/>
        <v>0</v>
      </c>
      <c r="F69" s="921">
        <f>'Table 4 Level 3'!P67</f>
        <v>516.08000000000004</v>
      </c>
      <c r="G69" s="921">
        <f t="shared" si="29"/>
        <v>0</v>
      </c>
      <c r="H69" s="905">
        <f t="shared" si="30"/>
        <v>0</v>
      </c>
      <c r="I69" s="1734">
        <f>+'[3]Oct midyear Southwest LA Chtr'!K68</f>
        <v>0</v>
      </c>
      <c r="J69" s="1734">
        <f>'[3]Feb midyear Southwest LA Ch '!K68</f>
        <v>0</v>
      </c>
      <c r="K69" s="1545">
        <f t="shared" si="31"/>
        <v>0</v>
      </c>
      <c r="L69" s="1489">
        <f t="shared" si="32"/>
        <v>0</v>
      </c>
      <c r="M69" s="931">
        <f t="shared" si="33"/>
        <v>0</v>
      </c>
      <c r="N69" s="905">
        <f t="shared" si="34"/>
        <v>0</v>
      </c>
      <c r="O69" s="882">
        <v>0</v>
      </c>
      <c r="P69" s="1552">
        <f t="shared" si="35"/>
        <v>0</v>
      </c>
      <c r="Q69" s="1734">
        <f>+'[4]Table 5C1H-Southwest LA Charter'!M68*8</f>
        <v>0</v>
      </c>
      <c r="R69" s="1734">
        <f t="shared" si="36"/>
        <v>0</v>
      </c>
      <c r="S69" s="1552">
        <f t="shared" si="37"/>
        <v>0</v>
      </c>
      <c r="T69" s="1802">
        <f>'Table 5C1A-Madison Prep'!T69</f>
        <v>1998</v>
      </c>
      <c r="U69" s="1555">
        <f t="shared" si="38"/>
        <v>0</v>
      </c>
      <c r="V69" s="1758">
        <f>+'[3]Oct midyear Southwest LA Chtr'!E68</f>
        <v>0</v>
      </c>
      <c r="W69" s="1759">
        <f t="shared" si="39"/>
        <v>0</v>
      </c>
      <c r="X69" s="1758">
        <f>'[3]Feb midyear Southwest LA Ch '!E68</f>
        <v>0</v>
      </c>
      <c r="Y69" s="1759">
        <f t="shared" si="40"/>
        <v>0</v>
      </c>
      <c r="Z69" s="1653">
        <f t="shared" si="41"/>
        <v>0</v>
      </c>
      <c r="AA69" s="1486">
        <f t="shared" si="42"/>
        <v>0</v>
      </c>
      <c r="AB69" s="937">
        <f t="shared" si="43"/>
        <v>0</v>
      </c>
      <c r="AC69" s="899">
        <f t="shared" si="44"/>
        <v>0</v>
      </c>
      <c r="AD69" s="1830">
        <v>0</v>
      </c>
      <c r="AE69" s="899">
        <f t="shared" si="45"/>
        <v>0</v>
      </c>
      <c r="AF69" s="1834">
        <f>+'[4]Table 5C1H-Southwest LA Charter'!T68*8</f>
        <v>0</v>
      </c>
      <c r="AG69" s="1834">
        <f t="shared" si="46"/>
        <v>0</v>
      </c>
      <c r="AH69" s="899">
        <f t="shared" si="47"/>
        <v>0</v>
      </c>
      <c r="AI69" s="900">
        <f t="shared" si="51"/>
        <v>0</v>
      </c>
      <c r="AJ69" s="900">
        <f t="shared" si="48"/>
        <v>0</v>
      </c>
      <c r="AL69" s="49">
        <f>-'[4]Table 5C1H-Southwest LA Charter'!P68</f>
        <v>0</v>
      </c>
      <c r="AM69" s="49">
        <f t="shared" si="49"/>
        <v>0</v>
      </c>
      <c r="AN69" s="49">
        <f t="shared" si="50"/>
        <v>0</v>
      </c>
    </row>
    <row r="70" spans="1:40">
      <c r="A70" s="876">
        <v>63</v>
      </c>
      <c r="B70" s="877" t="s">
        <v>153</v>
      </c>
      <c r="C70" s="972">
        <f>'2-1-13 SIS'!G69</f>
        <v>0</v>
      </c>
      <c r="D70" s="882">
        <f>'Table 3 Levels 1&amp;2'!AL70</f>
        <v>4362.300753810403</v>
      </c>
      <c r="E70" s="921">
        <f t="shared" si="28"/>
        <v>0</v>
      </c>
      <c r="F70" s="921">
        <f>'Table 4 Level 3'!P68</f>
        <v>756.79</v>
      </c>
      <c r="G70" s="921">
        <f t="shared" si="29"/>
        <v>0</v>
      </c>
      <c r="H70" s="905">
        <f t="shared" si="30"/>
        <v>0</v>
      </c>
      <c r="I70" s="1734">
        <f>+'[3]Oct midyear Southwest LA Chtr'!K69</f>
        <v>0</v>
      </c>
      <c r="J70" s="1734">
        <f>'[3]Feb midyear Southwest LA Ch '!K69</f>
        <v>0</v>
      </c>
      <c r="K70" s="1545">
        <f t="shared" si="31"/>
        <v>0</v>
      </c>
      <c r="L70" s="1489">
        <f t="shared" si="32"/>
        <v>0</v>
      </c>
      <c r="M70" s="931">
        <f t="shared" si="33"/>
        <v>0</v>
      </c>
      <c r="N70" s="905">
        <f t="shared" si="34"/>
        <v>0</v>
      </c>
      <c r="O70" s="882">
        <v>0</v>
      </c>
      <c r="P70" s="1552">
        <f t="shared" si="35"/>
        <v>0</v>
      </c>
      <c r="Q70" s="1734">
        <f>+'[4]Table 5C1H-Southwest LA Charter'!M69*8</f>
        <v>0</v>
      </c>
      <c r="R70" s="1734">
        <f t="shared" si="36"/>
        <v>0</v>
      </c>
      <c r="S70" s="1552">
        <f t="shared" si="37"/>
        <v>0</v>
      </c>
      <c r="T70" s="1802">
        <f>'Table 5C1A-Madison Prep'!T70</f>
        <v>7391</v>
      </c>
      <c r="U70" s="1555">
        <f t="shared" si="38"/>
        <v>0</v>
      </c>
      <c r="V70" s="1758">
        <f>+'[3]Oct midyear Southwest LA Chtr'!E69</f>
        <v>0</v>
      </c>
      <c r="W70" s="1759">
        <f t="shared" si="39"/>
        <v>0</v>
      </c>
      <c r="X70" s="1758">
        <f>'[3]Feb midyear Southwest LA Ch '!E69</f>
        <v>0</v>
      </c>
      <c r="Y70" s="1759">
        <f t="shared" si="40"/>
        <v>0</v>
      </c>
      <c r="Z70" s="1653">
        <f t="shared" si="41"/>
        <v>0</v>
      </c>
      <c r="AA70" s="1486">
        <f t="shared" si="42"/>
        <v>0</v>
      </c>
      <c r="AB70" s="937">
        <f t="shared" si="43"/>
        <v>0</v>
      </c>
      <c r="AC70" s="899">
        <f t="shared" si="44"/>
        <v>0</v>
      </c>
      <c r="AD70" s="1830">
        <v>0</v>
      </c>
      <c r="AE70" s="899">
        <f t="shared" si="45"/>
        <v>0</v>
      </c>
      <c r="AF70" s="1834">
        <f>+'[4]Table 5C1H-Southwest LA Charter'!T69*8</f>
        <v>0</v>
      </c>
      <c r="AG70" s="1834">
        <f t="shared" si="46"/>
        <v>0</v>
      </c>
      <c r="AH70" s="899">
        <f t="shared" si="47"/>
        <v>0</v>
      </c>
      <c r="AI70" s="900">
        <f t="shared" si="51"/>
        <v>0</v>
      </c>
      <c r="AJ70" s="900">
        <f t="shared" si="48"/>
        <v>0</v>
      </c>
      <c r="AL70" s="49">
        <f>-'[4]Table 5C1H-Southwest LA Charter'!P69</f>
        <v>0</v>
      </c>
      <c r="AM70" s="49">
        <f t="shared" si="49"/>
        <v>0</v>
      </c>
      <c r="AN70" s="49">
        <f t="shared" si="50"/>
        <v>0</v>
      </c>
    </row>
    <row r="71" spans="1:40">
      <c r="A71" s="876">
        <v>64</v>
      </c>
      <c r="B71" s="877" t="s">
        <v>154</v>
      </c>
      <c r="C71" s="972">
        <f>'2-1-13 SIS'!G70</f>
        <v>0</v>
      </c>
      <c r="D71" s="882">
        <f>'Table 3 Levels 1&amp;2'!AL71</f>
        <v>5960.2049072003338</v>
      </c>
      <c r="E71" s="921">
        <f t="shared" si="28"/>
        <v>0</v>
      </c>
      <c r="F71" s="921">
        <f>'Table 4 Level 3'!P69</f>
        <v>592.66</v>
      </c>
      <c r="G71" s="921">
        <f t="shared" si="29"/>
        <v>0</v>
      </c>
      <c r="H71" s="905">
        <f t="shared" si="30"/>
        <v>0</v>
      </c>
      <c r="I71" s="1734">
        <f>+'[3]Oct midyear Southwest LA Chtr'!K70</f>
        <v>0</v>
      </c>
      <c r="J71" s="1734">
        <f>'[3]Feb midyear Southwest LA Ch '!K70</f>
        <v>0</v>
      </c>
      <c r="K71" s="1545">
        <f t="shared" si="31"/>
        <v>0</v>
      </c>
      <c r="L71" s="1489">
        <f t="shared" si="32"/>
        <v>0</v>
      </c>
      <c r="M71" s="931">
        <f t="shared" si="33"/>
        <v>0</v>
      </c>
      <c r="N71" s="905">
        <f t="shared" si="34"/>
        <v>0</v>
      </c>
      <c r="O71" s="882">
        <v>0</v>
      </c>
      <c r="P71" s="1552">
        <f t="shared" si="35"/>
        <v>0</v>
      </c>
      <c r="Q71" s="1734">
        <f>+'[4]Table 5C1H-Southwest LA Charter'!M70*8</f>
        <v>0</v>
      </c>
      <c r="R71" s="1734">
        <f t="shared" si="36"/>
        <v>0</v>
      </c>
      <c r="S71" s="1552">
        <f t="shared" si="37"/>
        <v>0</v>
      </c>
      <c r="T71" s="1802">
        <f>'Table 5C1A-Madison Prep'!T71</f>
        <v>2902</v>
      </c>
      <c r="U71" s="1555">
        <f t="shared" si="38"/>
        <v>0</v>
      </c>
      <c r="V71" s="1758">
        <f>+'[3]Oct midyear Southwest LA Chtr'!E70</f>
        <v>0</v>
      </c>
      <c r="W71" s="1759">
        <f t="shared" si="39"/>
        <v>0</v>
      </c>
      <c r="X71" s="1758">
        <f>'[3]Feb midyear Southwest LA Ch '!E70</f>
        <v>0</v>
      </c>
      <c r="Y71" s="1759">
        <f t="shared" si="40"/>
        <v>0</v>
      </c>
      <c r="Z71" s="1653">
        <f t="shared" si="41"/>
        <v>0</v>
      </c>
      <c r="AA71" s="1486">
        <f t="shared" si="42"/>
        <v>0</v>
      </c>
      <c r="AB71" s="937">
        <f t="shared" si="43"/>
        <v>0</v>
      </c>
      <c r="AC71" s="899">
        <f t="shared" si="44"/>
        <v>0</v>
      </c>
      <c r="AD71" s="1830">
        <v>0</v>
      </c>
      <c r="AE71" s="899">
        <f t="shared" si="45"/>
        <v>0</v>
      </c>
      <c r="AF71" s="1834">
        <f>+'[4]Table 5C1H-Southwest LA Charter'!T70*8</f>
        <v>0</v>
      </c>
      <c r="AG71" s="1834">
        <f t="shared" si="46"/>
        <v>0</v>
      </c>
      <c r="AH71" s="899">
        <f t="shared" si="47"/>
        <v>0</v>
      </c>
      <c r="AI71" s="900">
        <f t="shared" si="51"/>
        <v>0</v>
      </c>
      <c r="AJ71" s="900">
        <f t="shared" si="48"/>
        <v>0</v>
      </c>
      <c r="AL71" s="49">
        <f>-'[4]Table 5C1H-Southwest LA Charter'!P70</f>
        <v>0</v>
      </c>
      <c r="AM71" s="49">
        <f t="shared" si="49"/>
        <v>0</v>
      </c>
      <c r="AN71" s="49">
        <f t="shared" si="50"/>
        <v>0</v>
      </c>
    </row>
    <row r="72" spans="1:40">
      <c r="A72" s="879">
        <v>65</v>
      </c>
      <c r="B72" s="880" t="s">
        <v>155</v>
      </c>
      <c r="C72" s="973">
        <f>'2-1-13 SIS'!G71</f>
        <v>0</v>
      </c>
      <c r="D72" s="883">
        <f>'Table 3 Levels 1&amp;2'!AL72</f>
        <v>4579.2772303106676</v>
      </c>
      <c r="E72" s="922">
        <f t="shared" si="28"/>
        <v>0</v>
      </c>
      <c r="F72" s="922">
        <f>'Table 4 Level 3'!P70</f>
        <v>829.12</v>
      </c>
      <c r="G72" s="922">
        <f t="shared" si="29"/>
        <v>0</v>
      </c>
      <c r="H72" s="906">
        <f t="shared" si="30"/>
        <v>0</v>
      </c>
      <c r="I72" s="1735">
        <f>+'[3]Oct midyear Southwest LA Chtr'!K71</f>
        <v>0</v>
      </c>
      <c r="J72" s="1735">
        <f>'[3]Feb midyear Southwest LA Ch '!K71</f>
        <v>0</v>
      </c>
      <c r="K72" s="1546">
        <f t="shared" si="31"/>
        <v>0</v>
      </c>
      <c r="L72" s="1490">
        <f t="shared" si="32"/>
        <v>0</v>
      </c>
      <c r="M72" s="932">
        <f t="shared" si="33"/>
        <v>0</v>
      </c>
      <c r="N72" s="906">
        <f t="shared" si="34"/>
        <v>0</v>
      </c>
      <c r="O72" s="883">
        <v>0</v>
      </c>
      <c r="P72" s="1553">
        <f t="shared" si="35"/>
        <v>0</v>
      </c>
      <c r="Q72" s="1735">
        <f>+'[4]Table 5C1H-Southwest LA Charter'!M71*8</f>
        <v>0</v>
      </c>
      <c r="R72" s="1735">
        <f t="shared" si="36"/>
        <v>0</v>
      </c>
      <c r="S72" s="1553">
        <f t="shared" si="37"/>
        <v>0</v>
      </c>
      <c r="T72" s="1807">
        <f>'Table 5C1A-Madison Prep'!T72</f>
        <v>4823</v>
      </c>
      <c r="U72" s="1556">
        <f t="shared" si="38"/>
        <v>0</v>
      </c>
      <c r="V72" s="1762">
        <f>+'[3]Oct midyear Southwest LA Chtr'!E71</f>
        <v>0</v>
      </c>
      <c r="W72" s="1763">
        <f t="shared" si="39"/>
        <v>0</v>
      </c>
      <c r="X72" s="1762">
        <f>'[3]Feb midyear Southwest LA Ch '!E71</f>
        <v>0</v>
      </c>
      <c r="Y72" s="1763">
        <f t="shared" si="40"/>
        <v>0</v>
      </c>
      <c r="Z72" s="1654">
        <f t="shared" si="41"/>
        <v>0</v>
      </c>
      <c r="AA72" s="1488">
        <f t="shared" si="42"/>
        <v>0</v>
      </c>
      <c r="AB72" s="938">
        <f t="shared" si="43"/>
        <v>0</v>
      </c>
      <c r="AC72" s="903">
        <f t="shared" si="44"/>
        <v>0</v>
      </c>
      <c r="AD72" s="1831">
        <v>0</v>
      </c>
      <c r="AE72" s="903">
        <f t="shared" si="45"/>
        <v>0</v>
      </c>
      <c r="AF72" s="1835">
        <f>+'[4]Table 5C1H-Southwest LA Charter'!T71*8</f>
        <v>0</v>
      </c>
      <c r="AG72" s="1835">
        <f t="shared" si="46"/>
        <v>0</v>
      </c>
      <c r="AH72" s="903">
        <f t="shared" si="47"/>
        <v>0</v>
      </c>
      <c r="AI72" s="904">
        <f t="shared" si="51"/>
        <v>0</v>
      </c>
      <c r="AJ72" s="904">
        <f t="shared" si="48"/>
        <v>0</v>
      </c>
      <c r="AL72" s="49">
        <f>-'[4]Table 5C1H-Southwest LA Charter'!P71</f>
        <v>0</v>
      </c>
      <c r="AM72" s="49">
        <f t="shared" si="49"/>
        <v>0</v>
      </c>
      <c r="AN72" s="49">
        <f t="shared" si="50"/>
        <v>0</v>
      </c>
    </row>
    <row r="73" spans="1:40">
      <c r="A73" s="870">
        <v>66</v>
      </c>
      <c r="B73" s="871" t="s">
        <v>156</v>
      </c>
      <c r="C73" s="974">
        <f>'2-1-13 SIS'!G72</f>
        <v>0</v>
      </c>
      <c r="D73" s="884">
        <f>'Table 3 Levels 1&amp;2'!AL73</f>
        <v>6370.8108195713585</v>
      </c>
      <c r="E73" s="923">
        <f t="shared" ref="E73:E76" si="52">C73*D73</f>
        <v>0</v>
      </c>
      <c r="F73" s="923">
        <f>'Table 4 Level 3'!P71</f>
        <v>730.06</v>
      </c>
      <c r="G73" s="923">
        <f t="shared" ref="G73:G76" si="53">C73*F73</f>
        <v>0</v>
      </c>
      <c r="H73" s="907">
        <f t="shared" ref="H73:H76" si="54">E73+G73</f>
        <v>0</v>
      </c>
      <c r="I73" s="1723">
        <f>+'[3]Oct midyear Southwest LA Chtr'!K72</f>
        <v>0</v>
      </c>
      <c r="J73" s="1723">
        <f>'[3]Feb midyear Southwest LA Ch '!K72</f>
        <v>0</v>
      </c>
      <c r="K73" s="1547">
        <f t="shared" ref="K73:K76" si="55">+I73+J73</f>
        <v>0</v>
      </c>
      <c r="L73" s="1491">
        <f t="shared" ref="L73:L76" si="56">+H73+K73</f>
        <v>0</v>
      </c>
      <c r="M73" s="933">
        <f t="shared" ref="M73:M76" si="57">-(0.25%*L73)</f>
        <v>0</v>
      </c>
      <c r="N73" s="907">
        <f t="shared" ref="N73:N76" si="58">SUM(L73:M73)</f>
        <v>0</v>
      </c>
      <c r="O73" s="884">
        <v>0</v>
      </c>
      <c r="P73" s="996">
        <f t="shared" ref="P73:P76" si="59">SUM(N73:O73)</f>
        <v>0</v>
      </c>
      <c r="Q73" s="1723">
        <f>+'[4]Table 5C1H-Southwest LA Charter'!M72*8</f>
        <v>0</v>
      </c>
      <c r="R73" s="1723">
        <f t="shared" ref="R73:R76" si="60">+P73-Q73</f>
        <v>0</v>
      </c>
      <c r="S73" s="996">
        <f t="shared" ref="S73:S76" si="61">ROUND(R73/4,0)</f>
        <v>0</v>
      </c>
      <c r="T73" s="1802">
        <f>'Table 5C1A-Madison Prep'!T73</f>
        <v>3524</v>
      </c>
      <c r="U73" s="999">
        <f t="shared" ref="U73:U76" si="62">C73*T73</f>
        <v>0</v>
      </c>
      <c r="V73" s="1754">
        <f>+'[3]Oct midyear Southwest LA Chtr'!E72</f>
        <v>0</v>
      </c>
      <c r="W73" s="1755">
        <f t="shared" ref="W73:W76" si="63">+T73*V73</f>
        <v>0</v>
      </c>
      <c r="X73" s="1754">
        <f>'[3]Feb midyear Southwest LA Ch '!E72</f>
        <v>0</v>
      </c>
      <c r="Y73" s="1755">
        <f t="shared" ref="Y73:Y76" si="64">(T73*X73)*0.5</f>
        <v>0</v>
      </c>
      <c r="Z73" s="1652">
        <f t="shared" ref="Z73:Z76" si="65">+W73+Y73</f>
        <v>0</v>
      </c>
      <c r="AA73" s="1521">
        <f t="shared" ref="AA73:AA76" si="66">+Z73+U73</f>
        <v>0</v>
      </c>
      <c r="AB73" s="936">
        <f t="shared" ref="AB73:AB76" si="67">-(0.25%*AA73)</f>
        <v>0</v>
      </c>
      <c r="AC73" s="874">
        <f t="shared" ref="AC73:AC76" si="68">SUM(AA73:AB73)</f>
        <v>0</v>
      </c>
      <c r="AD73" s="1829">
        <v>0</v>
      </c>
      <c r="AE73" s="874">
        <f t="shared" ref="AE73:AE76" si="69">SUM(AC73:AD73)</f>
        <v>0</v>
      </c>
      <c r="AF73" s="1829">
        <f>+'[4]Table 5C1H-Southwest LA Charter'!T72*8</f>
        <v>0</v>
      </c>
      <c r="AG73" s="1829">
        <f t="shared" ref="AG73:AG76" si="70">+AE73-AF73</f>
        <v>0</v>
      </c>
      <c r="AH73" s="874">
        <f t="shared" ref="AH73:AH76" si="71">ROUND(AG73/4,0)</f>
        <v>0</v>
      </c>
      <c r="AI73" s="875">
        <f t="shared" si="51"/>
        <v>0</v>
      </c>
      <c r="AJ73" s="875">
        <f t="shared" ref="AJ73:AJ76" si="72">S73+AH73</f>
        <v>0</v>
      </c>
      <c r="AL73" s="49">
        <f>-'[4]Table 5C1H-Southwest LA Charter'!P72</f>
        <v>0</v>
      </c>
      <c r="AM73" s="49">
        <f t="shared" ref="AM73:AM76" si="73">AB73</f>
        <v>0</v>
      </c>
      <c r="AN73" s="49">
        <f t="shared" ref="AN73:AN76" si="74">SUM(AL73:AM73)</f>
        <v>0</v>
      </c>
    </row>
    <row r="74" spans="1:40">
      <c r="A74" s="876">
        <v>67</v>
      </c>
      <c r="B74" s="877" t="s">
        <v>32</v>
      </c>
      <c r="C74" s="972">
        <f>'2-1-13 SIS'!G73</f>
        <v>0</v>
      </c>
      <c r="D74" s="882">
        <f>'Table 3 Levels 1&amp;2'!AL74</f>
        <v>4951.6009932106244</v>
      </c>
      <c r="E74" s="921">
        <f t="shared" si="52"/>
        <v>0</v>
      </c>
      <c r="F74" s="921">
        <f>'Table 4 Level 3'!P72</f>
        <v>715.61</v>
      </c>
      <c r="G74" s="921">
        <f t="shared" si="53"/>
        <v>0</v>
      </c>
      <c r="H74" s="905">
        <f t="shared" si="54"/>
        <v>0</v>
      </c>
      <c r="I74" s="1734">
        <f>+'[3]Oct midyear Southwest LA Chtr'!K73</f>
        <v>0</v>
      </c>
      <c r="J74" s="1734">
        <f>'[3]Feb midyear Southwest LA Ch '!K73</f>
        <v>0</v>
      </c>
      <c r="K74" s="1545">
        <f t="shared" si="55"/>
        <v>0</v>
      </c>
      <c r="L74" s="1489">
        <f t="shared" si="56"/>
        <v>0</v>
      </c>
      <c r="M74" s="931">
        <f t="shared" si="57"/>
        <v>0</v>
      </c>
      <c r="N74" s="905">
        <f t="shared" si="58"/>
        <v>0</v>
      </c>
      <c r="O74" s="882">
        <v>0</v>
      </c>
      <c r="P74" s="1552">
        <f t="shared" si="59"/>
        <v>0</v>
      </c>
      <c r="Q74" s="1734">
        <f>+'[4]Table 5C1H-Southwest LA Charter'!M73*8</f>
        <v>0</v>
      </c>
      <c r="R74" s="1734">
        <f t="shared" si="60"/>
        <v>0</v>
      </c>
      <c r="S74" s="1552">
        <f t="shared" si="61"/>
        <v>0</v>
      </c>
      <c r="T74" s="1802">
        <f>'Table 5C1A-Madison Prep'!T74</f>
        <v>5007</v>
      </c>
      <c r="U74" s="1555">
        <f t="shared" si="62"/>
        <v>0</v>
      </c>
      <c r="V74" s="1758">
        <f>+'[3]Oct midyear Southwest LA Chtr'!E73</f>
        <v>0</v>
      </c>
      <c r="W74" s="1759">
        <f t="shared" si="63"/>
        <v>0</v>
      </c>
      <c r="X74" s="1758">
        <f>'[3]Feb midyear Southwest LA Ch '!E73</f>
        <v>0</v>
      </c>
      <c r="Y74" s="1759">
        <f t="shared" si="64"/>
        <v>0</v>
      </c>
      <c r="Z74" s="1653">
        <f t="shared" si="65"/>
        <v>0</v>
      </c>
      <c r="AA74" s="1486">
        <f t="shared" si="66"/>
        <v>0</v>
      </c>
      <c r="AB74" s="937">
        <f t="shared" si="67"/>
        <v>0</v>
      </c>
      <c r="AC74" s="899">
        <f t="shared" si="68"/>
        <v>0</v>
      </c>
      <c r="AD74" s="1830">
        <v>0</v>
      </c>
      <c r="AE74" s="899">
        <f t="shared" si="69"/>
        <v>0</v>
      </c>
      <c r="AF74" s="1834">
        <f>+'[4]Table 5C1H-Southwest LA Charter'!T73*8</f>
        <v>0</v>
      </c>
      <c r="AG74" s="1834">
        <f t="shared" si="70"/>
        <v>0</v>
      </c>
      <c r="AH74" s="899">
        <f t="shared" si="71"/>
        <v>0</v>
      </c>
      <c r="AI74" s="900">
        <f t="shared" si="51"/>
        <v>0</v>
      </c>
      <c r="AJ74" s="900">
        <f t="shared" si="72"/>
        <v>0</v>
      </c>
      <c r="AL74" s="49">
        <f>-'[4]Table 5C1H-Southwest LA Charter'!P73</f>
        <v>0</v>
      </c>
      <c r="AM74" s="49">
        <f t="shared" si="73"/>
        <v>0</v>
      </c>
      <c r="AN74" s="49">
        <f t="shared" si="74"/>
        <v>0</v>
      </c>
    </row>
    <row r="75" spans="1:40">
      <c r="A75" s="876">
        <v>68</v>
      </c>
      <c r="B75" s="877" t="s">
        <v>30</v>
      </c>
      <c r="C75" s="972">
        <f>'2-1-13 SIS'!G74</f>
        <v>0</v>
      </c>
      <c r="D75" s="882">
        <f>'Table 3 Levels 1&amp;2'!AL75</f>
        <v>6077.2398733698947</v>
      </c>
      <c r="E75" s="921">
        <f t="shared" si="52"/>
        <v>0</v>
      </c>
      <c r="F75" s="921">
        <f>'Table 4 Level 3'!P73</f>
        <v>798.7</v>
      </c>
      <c r="G75" s="921">
        <f t="shared" si="53"/>
        <v>0</v>
      </c>
      <c r="H75" s="905">
        <f t="shared" si="54"/>
        <v>0</v>
      </c>
      <c r="I75" s="1734">
        <f>+'[3]Oct midyear Southwest LA Chtr'!K74</f>
        <v>0</v>
      </c>
      <c r="J75" s="1734">
        <f>'[3]Feb midyear Southwest LA Ch '!K74</f>
        <v>0</v>
      </c>
      <c r="K75" s="1545">
        <f t="shared" si="55"/>
        <v>0</v>
      </c>
      <c r="L75" s="1489">
        <f t="shared" si="56"/>
        <v>0</v>
      </c>
      <c r="M75" s="931">
        <f t="shared" si="57"/>
        <v>0</v>
      </c>
      <c r="N75" s="905">
        <f t="shared" si="58"/>
        <v>0</v>
      </c>
      <c r="O75" s="882">
        <v>0</v>
      </c>
      <c r="P75" s="1552">
        <f t="shared" si="59"/>
        <v>0</v>
      </c>
      <c r="Q75" s="1734">
        <f>+'[4]Table 5C1H-Southwest LA Charter'!M74*8</f>
        <v>0</v>
      </c>
      <c r="R75" s="1734">
        <f t="shared" si="60"/>
        <v>0</v>
      </c>
      <c r="S75" s="1552">
        <f t="shared" si="61"/>
        <v>0</v>
      </c>
      <c r="T75" s="1802">
        <f>'Table 5C1A-Madison Prep'!T75</f>
        <v>2927</v>
      </c>
      <c r="U75" s="1555">
        <f t="shared" si="62"/>
        <v>0</v>
      </c>
      <c r="V75" s="1758">
        <f>+'[3]Oct midyear Southwest LA Chtr'!E74</f>
        <v>0</v>
      </c>
      <c r="W75" s="1759">
        <f t="shared" si="63"/>
        <v>0</v>
      </c>
      <c r="X75" s="1758">
        <f>'[3]Feb midyear Southwest LA Ch '!E74</f>
        <v>0</v>
      </c>
      <c r="Y75" s="1759">
        <f t="shared" si="64"/>
        <v>0</v>
      </c>
      <c r="Z75" s="1653">
        <f t="shared" si="65"/>
        <v>0</v>
      </c>
      <c r="AA75" s="1486">
        <f t="shared" si="66"/>
        <v>0</v>
      </c>
      <c r="AB75" s="937">
        <f t="shared" si="67"/>
        <v>0</v>
      </c>
      <c r="AC75" s="899">
        <f t="shared" si="68"/>
        <v>0</v>
      </c>
      <c r="AD75" s="1830">
        <v>0</v>
      </c>
      <c r="AE75" s="899">
        <f t="shared" si="69"/>
        <v>0</v>
      </c>
      <c r="AF75" s="1834">
        <f>+'[4]Table 5C1H-Southwest LA Charter'!T74*8</f>
        <v>0</v>
      </c>
      <c r="AG75" s="1834">
        <f t="shared" si="70"/>
        <v>0</v>
      </c>
      <c r="AH75" s="899">
        <f t="shared" si="71"/>
        <v>0</v>
      </c>
      <c r="AI75" s="900">
        <f t="shared" si="51"/>
        <v>0</v>
      </c>
      <c r="AJ75" s="900">
        <f t="shared" si="72"/>
        <v>0</v>
      </c>
      <c r="AL75" s="49">
        <f>-'[4]Table 5C1H-Southwest LA Charter'!P74</f>
        <v>0</v>
      </c>
      <c r="AM75" s="49">
        <f t="shared" si="73"/>
        <v>0</v>
      </c>
      <c r="AN75" s="49">
        <f t="shared" si="74"/>
        <v>0</v>
      </c>
    </row>
    <row r="76" spans="1:40">
      <c r="A76" s="885">
        <v>69</v>
      </c>
      <c r="B76" s="886" t="s">
        <v>205</v>
      </c>
      <c r="C76" s="975">
        <f>'2-1-13 SIS'!G75</f>
        <v>0</v>
      </c>
      <c r="D76" s="887">
        <f>'Table 3 Levels 1&amp;2'!AL76</f>
        <v>5585.8253106686579</v>
      </c>
      <c r="E76" s="924">
        <f t="shared" si="52"/>
        <v>0</v>
      </c>
      <c r="F76" s="924">
        <f>'Table 4 Level 3'!P74</f>
        <v>705.67</v>
      </c>
      <c r="G76" s="924">
        <f t="shared" si="53"/>
        <v>0</v>
      </c>
      <c r="H76" s="908">
        <f t="shared" si="54"/>
        <v>0</v>
      </c>
      <c r="I76" s="1736">
        <f>+'[3]Oct midyear Southwest LA Chtr'!K75</f>
        <v>0</v>
      </c>
      <c r="J76" s="1736">
        <f>'[3]Feb midyear Southwest LA Ch '!K75</f>
        <v>0</v>
      </c>
      <c r="K76" s="1548">
        <f t="shared" si="55"/>
        <v>0</v>
      </c>
      <c r="L76" s="1492">
        <f t="shared" si="56"/>
        <v>0</v>
      </c>
      <c r="M76" s="934">
        <f t="shared" si="57"/>
        <v>0</v>
      </c>
      <c r="N76" s="908">
        <f t="shared" si="58"/>
        <v>0</v>
      </c>
      <c r="O76" s="887">
        <v>0</v>
      </c>
      <c r="P76" s="1554">
        <f t="shared" si="59"/>
        <v>0</v>
      </c>
      <c r="Q76" s="1736">
        <f>+'[4]Table 5C1H-Southwest LA Charter'!M75*8</f>
        <v>0</v>
      </c>
      <c r="R76" s="1736">
        <f t="shared" si="60"/>
        <v>0</v>
      </c>
      <c r="S76" s="1554">
        <f t="shared" si="61"/>
        <v>0</v>
      </c>
      <c r="T76" s="1802">
        <f>'Table 5C1A-Madison Prep'!T76</f>
        <v>3404</v>
      </c>
      <c r="U76" s="1557">
        <f t="shared" si="62"/>
        <v>0</v>
      </c>
      <c r="V76" s="1766">
        <f>+'[3]Oct midyear Southwest LA Chtr'!E75</f>
        <v>0</v>
      </c>
      <c r="W76" s="1767">
        <f t="shared" si="63"/>
        <v>0</v>
      </c>
      <c r="X76" s="1766">
        <f>'[3]Feb midyear Southwest LA Ch '!E75</f>
        <v>0</v>
      </c>
      <c r="Y76" s="1767">
        <f t="shared" si="64"/>
        <v>0</v>
      </c>
      <c r="Z76" s="1655">
        <f t="shared" si="65"/>
        <v>0</v>
      </c>
      <c r="AA76" s="1493">
        <f t="shared" si="66"/>
        <v>0</v>
      </c>
      <c r="AB76" s="939">
        <f t="shared" si="67"/>
        <v>0</v>
      </c>
      <c r="AC76" s="909">
        <f t="shared" si="68"/>
        <v>0</v>
      </c>
      <c r="AD76" s="1832">
        <v>0</v>
      </c>
      <c r="AE76" s="909">
        <f t="shared" si="69"/>
        <v>0</v>
      </c>
      <c r="AF76" s="1836">
        <f>+'[4]Table 5C1H-Southwest LA Charter'!T75*8</f>
        <v>0</v>
      </c>
      <c r="AG76" s="1836">
        <f t="shared" si="70"/>
        <v>0</v>
      </c>
      <c r="AH76" s="909">
        <f t="shared" si="71"/>
        <v>0</v>
      </c>
      <c r="AI76" s="910">
        <f t="shared" si="51"/>
        <v>0</v>
      </c>
      <c r="AJ76" s="910">
        <f t="shared" si="72"/>
        <v>0</v>
      </c>
      <c r="AL76" s="49">
        <f>-'[4]Table 5C1H-Southwest LA Charter'!P75</f>
        <v>0</v>
      </c>
      <c r="AM76" s="49">
        <f t="shared" si="73"/>
        <v>0</v>
      </c>
      <c r="AN76" s="49">
        <f t="shared" si="74"/>
        <v>0</v>
      </c>
    </row>
    <row r="77" spans="1:40" ht="13.5" thickBot="1">
      <c r="A77" s="888"/>
      <c r="B77" s="889" t="s">
        <v>157</v>
      </c>
      <c r="C77" s="890">
        <f>SUM(C8:C76)</f>
        <v>531</v>
      </c>
      <c r="D77" s="891"/>
      <c r="E77" s="925">
        <f>SUM(E8:E76)</f>
        <v>2270077.9683872103</v>
      </c>
      <c r="F77" s="925">
        <f>'Table 4 Level 3'!P75</f>
        <v>704.49059912051428</v>
      </c>
      <c r="G77" s="925">
        <f t="shared" ref="G77:R77" si="75">SUM(G8:G76)</f>
        <v>323549.40000000002</v>
      </c>
      <c r="H77" s="892">
        <f t="shared" si="75"/>
        <v>2593627.3683872102</v>
      </c>
      <c r="I77" s="1737">
        <f t="shared" si="75"/>
        <v>707424.87564237649</v>
      </c>
      <c r="J77" s="1737">
        <f t="shared" si="75"/>
        <v>-19446.552247596977</v>
      </c>
      <c r="K77" s="1549">
        <f t="shared" si="75"/>
        <v>687978.32339477947</v>
      </c>
      <c r="L77" s="1482">
        <f t="shared" si="75"/>
        <v>3281605.6917819898</v>
      </c>
      <c r="M77" s="935">
        <f t="shared" si="75"/>
        <v>-8204.0142294549751</v>
      </c>
      <c r="N77" s="892">
        <f t="shared" si="75"/>
        <v>3273401.6775525347</v>
      </c>
      <c r="O77" s="891">
        <f t="shared" si="75"/>
        <v>0</v>
      </c>
      <c r="P77" s="997">
        <f t="shared" si="75"/>
        <v>3273401.6775525347</v>
      </c>
      <c r="Q77" s="1737">
        <f t="shared" si="75"/>
        <v>1724762.1999774948</v>
      </c>
      <c r="R77" s="1737">
        <f t="shared" si="75"/>
        <v>1548639.47757504</v>
      </c>
      <c r="S77" s="997">
        <f>SUM(S8:S76)</f>
        <v>387160</v>
      </c>
      <c r="T77" s="1812">
        <f>'Table 5C1A-Madison Prep'!T77</f>
        <v>4626</v>
      </c>
      <c r="U77" s="1000">
        <f t="shared" ref="U77:AJ77" si="76">SUM(U8:U76)</f>
        <v>2380714</v>
      </c>
      <c r="V77" s="1770">
        <f t="shared" si="76"/>
        <v>148</v>
      </c>
      <c r="W77" s="1771">
        <f t="shared" si="76"/>
        <v>676144</v>
      </c>
      <c r="X77" s="1770">
        <f t="shared" si="76"/>
        <v>-8</v>
      </c>
      <c r="Y77" s="1771">
        <f t="shared" si="76"/>
        <v>-18008</v>
      </c>
      <c r="Z77" s="1665">
        <f t="shared" si="76"/>
        <v>658136</v>
      </c>
      <c r="AA77" s="1717">
        <f t="shared" si="76"/>
        <v>3038850</v>
      </c>
      <c r="AB77" s="940">
        <f t="shared" si="76"/>
        <v>-7597.125</v>
      </c>
      <c r="AC77" s="1000">
        <f t="shared" si="76"/>
        <v>3031252.875</v>
      </c>
      <c r="AD77" s="1828">
        <f t="shared" si="76"/>
        <v>0</v>
      </c>
      <c r="AE77" s="1000">
        <f t="shared" si="76"/>
        <v>3031252.875</v>
      </c>
      <c r="AF77" s="1771">
        <f t="shared" si="76"/>
        <v>1578199.28</v>
      </c>
      <c r="AG77" s="1771">
        <f t="shared" si="76"/>
        <v>1453053.595</v>
      </c>
      <c r="AH77" s="1000">
        <f t="shared" si="76"/>
        <v>363263</v>
      </c>
      <c r="AI77" s="894">
        <f t="shared" si="76"/>
        <v>6304654.5525525343</v>
      </c>
      <c r="AJ77" s="894">
        <f t="shared" si="76"/>
        <v>750423</v>
      </c>
      <c r="AL77" s="49">
        <f t="shared" ref="AL77:AM77" si="77">SUM(AL8:AL76)</f>
        <v>5933.0800000000008</v>
      </c>
      <c r="AM77" s="49">
        <f t="shared" si="77"/>
        <v>-7597.125</v>
      </c>
      <c r="AN77" s="49">
        <f>SUM(AN8:AN76)</f>
        <v>-1664.0449999999996</v>
      </c>
    </row>
    <row r="78" spans="1:40" ht="9" customHeight="1" thickTop="1"/>
    <row r="79" spans="1:40" hidden="1"/>
    <row r="80" spans="1:40" hidden="1">
      <c r="M80" s="1464" t="s">
        <v>951</v>
      </c>
      <c r="N80" s="49">
        <f>-'[4]Table 5C1H-Southwest LA Charter'!$I$76</f>
        <v>6484.0684209680257</v>
      </c>
    </row>
    <row r="81" spans="13:14" hidden="1">
      <c r="M81" s="1464" t="s">
        <v>952</v>
      </c>
      <c r="N81" s="49">
        <f>M77</f>
        <v>-8204.0142294549751</v>
      </c>
    </row>
    <row r="82" spans="13:14" hidden="1">
      <c r="M82" s="1464" t="s">
        <v>953</v>
      </c>
      <c r="N82" s="49">
        <f>SUM(N80:N81)</f>
        <v>-1719.9458084869493</v>
      </c>
    </row>
    <row r="83" spans="13:14" hidden="1"/>
  </sheetData>
  <mergeCells count="30">
    <mergeCell ref="AI2:AI5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P4:P5"/>
    <mergeCell ref="S4:S5"/>
    <mergeCell ref="T4:T5"/>
    <mergeCell ref="A2:B5"/>
    <mergeCell ref="C2:S2"/>
    <mergeCell ref="T2:AH2"/>
    <mergeCell ref="I3:K3"/>
    <mergeCell ref="I4:I5"/>
    <mergeCell ref="J4:J5"/>
    <mergeCell ref="K4:K5"/>
    <mergeCell ref="L4:L5"/>
    <mergeCell ref="V4:V5"/>
    <mergeCell ref="W4:W5"/>
    <mergeCell ref="X4:X5"/>
    <mergeCell ref="Y4:Y5"/>
    <mergeCell ref="AA4:AA5"/>
    <mergeCell ref="V3:Z3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5C1-H: FY2013-14 MFP Budget Letter (March 2014) 
Southwest LA Charter Academy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80" zoomScaleNormal="100" zoomScaleSheetLayoutView="80" workbookViewId="0">
      <pane xSplit="2" ySplit="7" topLeftCell="C8" activePane="bottomRight" state="frozen"/>
      <selection activeCell="AN13" sqref="AN8:AN77"/>
      <selection pane="topRight" activeCell="AN13" sqref="AN8:AN77"/>
      <selection pane="bottomLeft" activeCell="AN13" sqref="AN8:AN77"/>
      <selection pane="bottomRight"/>
    </sheetView>
  </sheetViews>
  <sheetFormatPr defaultColWidth="8.85546875" defaultRowHeight="12.75"/>
  <cols>
    <col min="1" max="1" width="4.28515625" style="968" customWidth="1"/>
    <col min="2" max="2" width="17.85546875" style="968" customWidth="1"/>
    <col min="3" max="3" width="13.7109375" style="968" customWidth="1"/>
    <col min="4" max="4" width="14" style="968" customWidth="1"/>
    <col min="5" max="5" width="10.7109375" style="968" customWidth="1"/>
    <col min="6" max="6" width="13" style="968" customWidth="1"/>
    <col min="7" max="7" width="13.42578125" style="968" customWidth="1"/>
    <col min="8" max="8" width="12.85546875" style="968" customWidth="1"/>
    <col min="9" max="9" width="12.5703125" style="1509" customWidth="1"/>
    <col min="10" max="10" width="13.28515625" style="1509" bestFit="1" customWidth="1"/>
    <col min="11" max="11" width="12.5703125" style="1509" customWidth="1"/>
    <col min="12" max="12" width="15.140625" style="1509" customWidth="1"/>
    <col min="13" max="13" width="12.140625" style="968" customWidth="1"/>
    <col min="14" max="14" width="13.140625" style="968" customWidth="1"/>
    <col min="15" max="15" width="13.42578125" style="968" bestFit="1" customWidth="1"/>
    <col min="16" max="16" width="14.7109375" style="968" customWidth="1"/>
    <col min="17" max="18" width="14" style="1509" customWidth="1"/>
    <col min="19" max="19" width="10.7109375" style="968" customWidth="1"/>
    <col min="20" max="20" width="11.5703125" style="968" customWidth="1"/>
    <col min="21" max="21" width="10.7109375" style="968" customWidth="1"/>
    <col min="22" max="26" width="12" style="1509" customWidth="1"/>
    <col min="27" max="27" width="13" style="1509" customWidth="1"/>
    <col min="28" max="28" width="12.5703125" style="968" customWidth="1"/>
    <col min="29" max="29" width="13" style="968" customWidth="1"/>
    <col min="30" max="30" width="13.28515625" style="968" customWidth="1"/>
    <col min="31" max="31" width="13" style="968" customWidth="1"/>
    <col min="32" max="33" width="13.140625" style="1509" customWidth="1"/>
    <col min="34" max="34" width="12" style="968" customWidth="1"/>
    <col min="35" max="35" width="11" style="968" customWidth="1"/>
    <col min="36" max="36" width="12.140625" style="968" customWidth="1"/>
    <col min="37" max="37" width="1.85546875" style="968" customWidth="1"/>
    <col min="38" max="38" width="10" style="2034" hidden="1" customWidth="1"/>
    <col min="39" max="39" width="11.42578125" style="968" hidden="1" customWidth="1"/>
    <col min="40" max="40" width="8.85546875" style="968" hidden="1" customWidth="1"/>
    <col min="41" max="16384" width="8.85546875" style="968"/>
  </cols>
  <sheetData>
    <row r="1" spans="1:40"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05"/>
      <c r="O1" s="1105"/>
      <c r="P1" s="1105"/>
      <c r="Q1" s="1105"/>
      <c r="R1" s="1105"/>
      <c r="S1" s="1105"/>
    </row>
    <row r="2" spans="1:40" ht="37.5" customHeight="1">
      <c r="A2" s="2384" t="s">
        <v>748</v>
      </c>
      <c r="B2" s="2385"/>
      <c r="C2" s="2343" t="s">
        <v>543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20"/>
      <c r="W2" s="2320"/>
      <c r="X2" s="2320"/>
      <c r="Y2" s="2320"/>
      <c r="Z2" s="2320"/>
      <c r="AA2" s="2320"/>
      <c r="AB2" s="2318"/>
      <c r="AC2" s="2318"/>
      <c r="AD2" s="2318"/>
      <c r="AE2" s="2318"/>
      <c r="AF2" s="2320"/>
      <c r="AG2" s="2320"/>
      <c r="AH2" s="2321"/>
      <c r="AI2" s="2307" t="s">
        <v>545</v>
      </c>
      <c r="AJ2" s="2307" t="s">
        <v>527</v>
      </c>
    </row>
    <row r="3" spans="1:40" s="1509" customFormat="1" ht="30.75" customHeight="1">
      <c r="A3" s="2386"/>
      <c r="B3" s="2387"/>
      <c r="C3" s="1585"/>
      <c r="D3" s="1579"/>
      <c r="E3" s="1579"/>
      <c r="F3" s="1579"/>
      <c r="G3" s="1579"/>
      <c r="H3" s="1579"/>
      <c r="I3" s="2373" t="s">
        <v>772</v>
      </c>
      <c r="J3" s="2374"/>
      <c r="K3" s="2375"/>
      <c r="L3" s="1579"/>
      <c r="M3" s="1579"/>
      <c r="N3" s="1579"/>
      <c r="O3" s="1579"/>
      <c r="P3" s="1579"/>
      <c r="Q3" s="1579"/>
      <c r="R3" s="1579"/>
      <c r="S3" s="1580"/>
      <c r="T3" s="1584"/>
      <c r="U3" s="1582"/>
      <c r="V3" s="2376" t="s">
        <v>772</v>
      </c>
      <c r="W3" s="2377"/>
      <c r="X3" s="2377"/>
      <c r="Y3" s="2377"/>
      <c r="Z3" s="2378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  <c r="AL3" s="2034"/>
    </row>
    <row r="4" spans="1:40" ht="135" customHeight="1">
      <c r="A4" s="2388"/>
      <c r="B4" s="2387"/>
      <c r="C4" s="2391" t="s">
        <v>834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35" t="s">
        <v>784</v>
      </c>
      <c r="J4" s="2335" t="s">
        <v>785</v>
      </c>
      <c r="K4" s="2335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75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75" t="s">
        <v>808</v>
      </c>
      <c r="AC4" s="2314" t="s">
        <v>805</v>
      </c>
      <c r="AD4" s="2314" t="s">
        <v>794</v>
      </c>
      <c r="AE4" s="2314" t="s">
        <v>806</v>
      </c>
      <c r="AF4" s="1578" t="s">
        <v>807</v>
      </c>
      <c r="AG4" s="1578" t="s">
        <v>795</v>
      </c>
      <c r="AH4" s="1575" t="s">
        <v>540</v>
      </c>
      <c r="AI4" s="2309"/>
      <c r="AJ4" s="2309"/>
    </row>
    <row r="5" spans="1:40" ht="22.15" customHeight="1">
      <c r="A5" s="2389"/>
      <c r="B5" s="2390"/>
      <c r="C5" s="239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76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576"/>
      <c r="AG5" s="1576"/>
      <c r="AH5" s="1576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P6" si="1">E6+1</f>
        <v>4</v>
      </c>
      <c r="G6" s="869">
        <f t="shared" si="1"/>
        <v>5</v>
      </c>
      <c r="H6" s="869">
        <f t="shared" si="1"/>
        <v>6</v>
      </c>
      <c r="I6" s="869">
        <f t="shared" ref="I6" si="2">H6+1</f>
        <v>7</v>
      </c>
      <c r="J6" s="869">
        <f t="shared" ref="J6" si="3">I6+1</f>
        <v>8</v>
      </c>
      <c r="K6" s="869">
        <f t="shared" ref="K6" si="4">J6+1</f>
        <v>9</v>
      </c>
      <c r="L6" s="869">
        <f t="shared" ref="L6" si="5">K6+1</f>
        <v>10</v>
      </c>
      <c r="M6" s="869">
        <f t="shared" ref="M6" si="6">L6+1</f>
        <v>11</v>
      </c>
      <c r="N6" s="869">
        <f t="shared" si="1"/>
        <v>12</v>
      </c>
      <c r="O6" s="869">
        <f t="shared" si="1"/>
        <v>13</v>
      </c>
      <c r="P6" s="869">
        <f t="shared" si="1"/>
        <v>14</v>
      </c>
      <c r="Q6" s="869">
        <f t="shared" ref="Q6" si="7">P6+1</f>
        <v>15</v>
      </c>
      <c r="R6" s="869">
        <f t="shared" ref="R6" si="8">Q6+1</f>
        <v>16</v>
      </c>
      <c r="S6" s="869">
        <f t="shared" ref="S6" si="9">R6+1</f>
        <v>17</v>
      </c>
      <c r="T6" s="869">
        <f t="shared" ref="T6" si="10">S6+1</f>
        <v>18</v>
      </c>
      <c r="U6" s="869">
        <f t="shared" ref="U6" si="11">T6+1</f>
        <v>19</v>
      </c>
      <c r="V6" s="869">
        <f t="shared" ref="V6" si="12">U6+1</f>
        <v>20</v>
      </c>
      <c r="W6" s="869">
        <f t="shared" ref="W6" si="13">V6+1</f>
        <v>21</v>
      </c>
      <c r="X6" s="869">
        <f t="shared" ref="X6" si="14">W6+1</f>
        <v>22</v>
      </c>
      <c r="Y6" s="869">
        <f t="shared" ref="Y6" si="15">X6+1</f>
        <v>23</v>
      </c>
      <c r="Z6" s="869">
        <f t="shared" ref="Z6" si="16">Y6+1</f>
        <v>24</v>
      </c>
      <c r="AA6" s="869">
        <f t="shared" ref="AA6" si="17">Z6+1</f>
        <v>25</v>
      </c>
      <c r="AB6" s="869">
        <f t="shared" ref="AB6" si="18">AA6+1</f>
        <v>26</v>
      </c>
      <c r="AC6" s="869">
        <f t="shared" ref="AC6" si="19">AB6+1</f>
        <v>27</v>
      </c>
      <c r="AD6" s="869">
        <f t="shared" ref="AD6" si="20">AC6+1</f>
        <v>28</v>
      </c>
      <c r="AE6" s="869">
        <f t="shared" ref="AE6" si="21">AD6+1</f>
        <v>29</v>
      </c>
      <c r="AF6" s="869">
        <f t="shared" ref="AF6" si="22">AE6+1</f>
        <v>30</v>
      </c>
      <c r="AG6" s="869">
        <f t="shared" ref="AG6" si="23">AF6+1</f>
        <v>31</v>
      </c>
      <c r="AH6" s="869">
        <f t="shared" ref="AH6" si="24">AG6+1</f>
        <v>32</v>
      </c>
      <c r="AI6" s="869">
        <f t="shared" ref="AI6" si="25">AH6+1</f>
        <v>33</v>
      </c>
      <c r="AJ6" s="869">
        <f t="shared" ref="AJ6" si="26">AI6+1</f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535"/>
      <c r="J7" s="1535"/>
      <c r="K7" s="1535"/>
      <c r="L7" s="1535"/>
      <c r="M7" s="896"/>
      <c r="N7" s="896"/>
      <c r="O7" s="896"/>
      <c r="P7" s="896"/>
      <c r="Q7" s="1535"/>
      <c r="R7" s="1535"/>
      <c r="S7" s="896"/>
      <c r="T7" s="896"/>
      <c r="U7" s="896"/>
      <c r="V7" s="1535"/>
      <c r="W7" s="1535"/>
      <c r="X7" s="1535"/>
      <c r="Y7" s="1535"/>
      <c r="Z7" s="1535"/>
      <c r="AA7" s="1535"/>
      <c r="AB7" s="896"/>
      <c r="AC7" s="896"/>
      <c r="AD7" s="896"/>
      <c r="AE7" s="896"/>
      <c r="AF7" s="1535"/>
      <c r="AG7" s="1535"/>
      <c r="AH7" s="896"/>
      <c r="AI7" s="896"/>
      <c r="AJ7" s="896"/>
      <c r="AL7" s="2041" t="s">
        <v>945</v>
      </c>
      <c r="AM7" s="2035" t="s">
        <v>946</v>
      </c>
      <c r="AN7" s="2035" t="s">
        <v>947</v>
      </c>
    </row>
    <row r="8" spans="1:40">
      <c r="A8" s="870">
        <v>1</v>
      </c>
      <c r="B8" s="871" t="s">
        <v>92</v>
      </c>
      <c r="C8" s="971"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Key Academy'!K7</f>
        <v>0</v>
      </c>
      <c r="J8" s="1718">
        <f>'[3]Feb midyear Key Academy'!K7</f>
        <v>0</v>
      </c>
      <c r="K8" s="1542">
        <f>+I8+J8</f>
        <v>0</v>
      </c>
      <c r="L8" s="1520">
        <f>+H8+K8</f>
        <v>0</v>
      </c>
      <c r="M8" s="928">
        <f>-(0.25%*L8)</f>
        <v>0</v>
      </c>
      <c r="N8" s="873">
        <f>SUM(L8:M8)</f>
        <v>0</v>
      </c>
      <c r="O8" s="872">
        <v>0</v>
      </c>
      <c r="P8" s="998">
        <f>SUM(N8:O8)</f>
        <v>0</v>
      </c>
      <c r="Q8" s="1718">
        <f>+'[4]Table 5C1I-LA Key Academy'!M7*8</f>
        <v>0</v>
      </c>
      <c r="R8" s="1718">
        <f>+P8-Q8</f>
        <v>0</v>
      </c>
      <c r="S8" s="998">
        <f>ROUND(R8/4,0)</f>
        <v>0</v>
      </c>
      <c r="T8" s="1802">
        <f>'Table 5C1A-Madison Prep'!T8</f>
        <v>2180</v>
      </c>
      <c r="U8" s="999">
        <f>C8*T8</f>
        <v>0</v>
      </c>
      <c r="V8" s="1754">
        <f>+'[3]Oct midyear Key Academy'!E7</f>
        <v>0</v>
      </c>
      <c r="W8" s="1755">
        <f>+T8*V8</f>
        <v>0</v>
      </c>
      <c r="X8" s="1754">
        <f>'[3]Feb midyear Key Academy'!E7</f>
        <v>0</v>
      </c>
      <c r="Y8" s="1755">
        <f>(T8*X8)*0.5</f>
        <v>0</v>
      </c>
      <c r="Z8" s="1652">
        <f>+W8+Y8</f>
        <v>0</v>
      </c>
      <c r="AA8" s="1521">
        <f>+U8+Z8</f>
        <v>0</v>
      </c>
      <c r="AB8" s="936">
        <f>-(0.25%*AA8)</f>
        <v>0</v>
      </c>
      <c r="AC8" s="874">
        <f>SUM(AA8:AB8)</f>
        <v>0</v>
      </c>
      <c r="AD8" s="1829">
        <v>0</v>
      </c>
      <c r="AE8" s="874">
        <f>SUM(AC8:AD8)</f>
        <v>0</v>
      </c>
      <c r="AF8" s="1829">
        <f>+'[4]Table 5C1I-LA Key Academy'!T7*8</f>
        <v>0</v>
      </c>
      <c r="AG8" s="1829">
        <f>+AE8-AF8</f>
        <v>0</v>
      </c>
      <c r="AH8" s="874">
        <f>ROUND(AG8/4,0)</f>
        <v>0</v>
      </c>
      <c r="AI8" s="875">
        <f t="shared" ref="AI8:AI39" si="27">P8+AE8</f>
        <v>0</v>
      </c>
      <c r="AJ8" s="875">
        <f>S8+AH8</f>
        <v>0</v>
      </c>
      <c r="AL8" s="2034">
        <f>-'[4]Table 5C1I-LA Key Academy'!P7</f>
        <v>0</v>
      </c>
      <c r="AM8" s="2034">
        <f>AB8</f>
        <v>0</v>
      </c>
      <c r="AN8" s="2034">
        <f>SUM(AL8:AM8)</f>
        <v>0</v>
      </c>
    </row>
    <row r="9" spans="1:40">
      <c r="A9" s="876">
        <v>2</v>
      </c>
      <c r="B9" s="877" t="s">
        <v>93</v>
      </c>
      <c r="C9" s="969">
        <v>0</v>
      </c>
      <c r="D9" s="878">
        <f>'Table 3 Levels 1&amp;2'!AL9</f>
        <v>6182.4313545138375</v>
      </c>
      <c r="E9" s="919">
        <f t="shared" ref="E9:E72" si="28">C9*D9</f>
        <v>0</v>
      </c>
      <c r="F9" s="919">
        <f>'Table 4 Level 3'!P7</f>
        <v>842.32</v>
      </c>
      <c r="G9" s="919">
        <f t="shared" ref="G9:G72" si="29">C9*F9</f>
        <v>0</v>
      </c>
      <c r="H9" s="898">
        <f t="shared" ref="H9:H72" si="30">E9+G9</f>
        <v>0</v>
      </c>
      <c r="I9" s="1732">
        <f>+'[3]Oct midyear Key Academy'!K8</f>
        <v>0</v>
      </c>
      <c r="J9" s="1732">
        <f>'[3]Feb midyear Key Academy'!K8</f>
        <v>0</v>
      </c>
      <c r="K9" s="1543">
        <f t="shared" ref="K9:K72" si="31">+I9+J9</f>
        <v>0</v>
      </c>
      <c r="L9" s="1485">
        <f t="shared" ref="L9:L72" si="32">+H9+K9</f>
        <v>0</v>
      </c>
      <c r="M9" s="929">
        <f t="shared" ref="M9:M72" si="33">-(0.25%*L9)</f>
        <v>0</v>
      </c>
      <c r="N9" s="898">
        <f t="shared" ref="N9:N72" si="34">SUM(L9:M9)</f>
        <v>0</v>
      </c>
      <c r="O9" s="878">
        <v>0</v>
      </c>
      <c r="P9" s="1550">
        <f t="shared" ref="P9:P72" si="35">SUM(N9:O9)</f>
        <v>0</v>
      </c>
      <c r="Q9" s="1732">
        <f>+'[4]Table 5C1I-LA Key Academy'!M8*8</f>
        <v>0</v>
      </c>
      <c r="R9" s="1732">
        <f t="shared" ref="R9:R72" si="36">+P9-Q9</f>
        <v>0</v>
      </c>
      <c r="S9" s="1550">
        <f t="shared" ref="S9:S72" si="37">ROUND(R9/4,0)</f>
        <v>0</v>
      </c>
      <c r="T9" s="1802">
        <f>'Table 5C1A-Madison Prep'!T9</f>
        <v>2759</v>
      </c>
      <c r="U9" s="1555">
        <f t="shared" ref="U9:U72" si="38">C9*T9</f>
        <v>0</v>
      </c>
      <c r="V9" s="1758">
        <f>+'[3]Oct midyear Key Academy'!E8</f>
        <v>0</v>
      </c>
      <c r="W9" s="1759">
        <f t="shared" ref="W9:W72" si="39">+T9*V9</f>
        <v>0</v>
      </c>
      <c r="X9" s="1758">
        <f>'[3]Feb midyear Key Academy'!E8</f>
        <v>0</v>
      </c>
      <c r="Y9" s="1759">
        <f t="shared" ref="Y9:Y72" si="40">(T9*X9)*0.5</f>
        <v>0</v>
      </c>
      <c r="Z9" s="1653">
        <f t="shared" ref="Z9:Z72" si="41">+W9+Y9</f>
        <v>0</v>
      </c>
      <c r="AA9" s="1486">
        <f t="shared" ref="AA9:AA72" si="42">+U9+Z9</f>
        <v>0</v>
      </c>
      <c r="AB9" s="937">
        <f t="shared" ref="AB9:AB72" si="43">-(0.25%*AA9)</f>
        <v>0</v>
      </c>
      <c r="AC9" s="899">
        <f t="shared" ref="AC9:AC72" si="44">SUM(AA9:AB9)</f>
        <v>0</v>
      </c>
      <c r="AD9" s="1830">
        <v>0</v>
      </c>
      <c r="AE9" s="899">
        <f t="shared" ref="AE9:AE72" si="45">SUM(AC9:AD9)</f>
        <v>0</v>
      </c>
      <c r="AF9" s="1834">
        <f>+'[4]Table 5C1I-LA Key Academy'!T8*8</f>
        <v>0</v>
      </c>
      <c r="AG9" s="1834">
        <f t="shared" ref="AG9:AG72" si="46">+AE9-AF9</f>
        <v>0</v>
      </c>
      <c r="AH9" s="899">
        <f t="shared" ref="AH9:AH72" si="47">ROUND(AG9/4,0)</f>
        <v>0</v>
      </c>
      <c r="AI9" s="900">
        <f t="shared" si="27"/>
        <v>0</v>
      </c>
      <c r="AJ9" s="900">
        <f t="shared" ref="AJ9:AJ72" si="48">S9+AH9</f>
        <v>0</v>
      </c>
      <c r="AL9" s="2034">
        <f>-'[4]Table 5C1I-LA Key Academy'!P8</f>
        <v>0</v>
      </c>
      <c r="AM9" s="2034">
        <f t="shared" ref="AM9:AM72" si="49">AB9</f>
        <v>0</v>
      </c>
      <c r="AN9" s="2034">
        <f t="shared" ref="AN9:AN72" si="50">SUM(AL9:AM9)</f>
        <v>0</v>
      </c>
    </row>
    <row r="10" spans="1:40">
      <c r="A10" s="876">
        <v>3</v>
      </c>
      <c r="B10" s="877" t="s">
        <v>94</v>
      </c>
      <c r="C10" s="969">
        <f>ROUND(138*16%,0)</f>
        <v>22</v>
      </c>
      <c r="D10" s="878">
        <f>'Table 3 Levels 1&amp;2'!AL10</f>
        <v>4206.710737685361</v>
      </c>
      <c r="E10" s="919">
        <f t="shared" si="28"/>
        <v>92547.636229077936</v>
      </c>
      <c r="F10" s="919">
        <f>'Table 4 Level 3'!P8</f>
        <v>596.84</v>
      </c>
      <c r="G10" s="919">
        <f t="shared" si="29"/>
        <v>13130.480000000001</v>
      </c>
      <c r="H10" s="898">
        <f t="shared" si="30"/>
        <v>105678.11622907793</v>
      </c>
      <c r="I10" s="1732">
        <f>+'[3]Oct midyear Key Academy'!K9</f>
        <v>-76856.811802965778</v>
      </c>
      <c r="J10" s="1732">
        <f>'[3]Feb midyear Key Academy'!K9</f>
        <v>4803.5507376853611</v>
      </c>
      <c r="K10" s="1543">
        <f t="shared" si="31"/>
        <v>-72053.261065280414</v>
      </c>
      <c r="L10" s="1485">
        <f t="shared" si="32"/>
        <v>33624.855163797518</v>
      </c>
      <c r="M10" s="929">
        <f t="shared" si="33"/>
        <v>-84.062137909493799</v>
      </c>
      <c r="N10" s="898">
        <f t="shared" si="34"/>
        <v>33540.793025888022</v>
      </c>
      <c r="O10" s="878">
        <v>0</v>
      </c>
      <c r="P10" s="1550">
        <f t="shared" si="35"/>
        <v>33540.793025888022</v>
      </c>
      <c r="Q10" s="1732">
        <f>+'[4]Table 5C1I-LA Key Academy'!M9*8</f>
        <v>70275.94729233683</v>
      </c>
      <c r="R10" s="1732">
        <f t="shared" si="36"/>
        <v>-36735.154266448808</v>
      </c>
      <c r="S10" s="1550">
        <f t="shared" si="37"/>
        <v>-9184</v>
      </c>
      <c r="T10" s="1802">
        <f>'Table 5C1A-Madison Prep'!T10</f>
        <v>5538</v>
      </c>
      <c r="U10" s="1555">
        <f t="shared" si="38"/>
        <v>121836</v>
      </c>
      <c r="V10" s="1758">
        <f>+'[3]Oct midyear Key Academy'!E9</f>
        <v>-16</v>
      </c>
      <c r="W10" s="1759">
        <f t="shared" si="39"/>
        <v>-88608</v>
      </c>
      <c r="X10" s="1758">
        <f>'[3]Feb midyear Key Academy'!E9</f>
        <v>2</v>
      </c>
      <c r="Y10" s="1759">
        <f t="shared" si="40"/>
        <v>5538</v>
      </c>
      <c r="Z10" s="1653">
        <f t="shared" si="41"/>
        <v>-83070</v>
      </c>
      <c r="AA10" s="1486">
        <f t="shared" si="42"/>
        <v>38766</v>
      </c>
      <c r="AB10" s="937">
        <f t="shared" si="43"/>
        <v>-96.915000000000006</v>
      </c>
      <c r="AC10" s="899">
        <f t="shared" si="44"/>
        <v>38669.084999999999</v>
      </c>
      <c r="AD10" s="1830">
        <v>0</v>
      </c>
      <c r="AE10" s="899">
        <f t="shared" si="45"/>
        <v>38669.084999999999</v>
      </c>
      <c r="AF10" s="1834">
        <f>+'[4]Table 5C1I-LA Key Academy'!T9*8</f>
        <v>79455.53</v>
      </c>
      <c r="AG10" s="1834">
        <f t="shared" si="46"/>
        <v>-40786.445</v>
      </c>
      <c r="AH10" s="899">
        <f t="shared" si="47"/>
        <v>-10197</v>
      </c>
      <c r="AI10" s="900">
        <f t="shared" si="27"/>
        <v>72209.878025888029</v>
      </c>
      <c r="AJ10" s="900">
        <f t="shared" si="48"/>
        <v>-19381</v>
      </c>
      <c r="AL10" s="2034">
        <f>-'[4]Table 5C1I-LA Key Academy'!P9</f>
        <v>298.70499999999998</v>
      </c>
      <c r="AM10" s="2034">
        <f t="shared" si="49"/>
        <v>-96.915000000000006</v>
      </c>
      <c r="AN10" s="2034">
        <f t="shared" si="50"/>
        <v>201.78999999999996</v>
      </c>
    </row>
    <row r="11" spans="1:40">
      <c r="A11" s="876">
        <v>4</v>
      </c>
      <c r="B11" s="877" t="s">
        <v>95</v>
      </c>
      <c r="C11" s="969">
        <v>0</v>
      </c>
      <c r="D11" s="878">
        <f>'Table 3 Levels 1&amp;2'!AL11</f>
        <v>5987.4993535453223</v>
      </c>
      <c r="E11" s="919">
        <f t="shared" si="28"/>
        <v>0</v>
      </c>
      <c r="F11" s="919">
        <f>'Table 4 Level 3'!P9</f>
        <v>585.76</v>
      </c>
      <c r="G11" s="919">
        <f t="shared" si="29"/>
        <v>0</v>
      </c>
      <c r="H11" s="898">
        <f t="shared" si="30"/>
        <v>0</v>
      </c>
      <c r="I11" s="1732">
        <f>+'[3]Oct midyear Key Academy'!K10</f>
        <v>0</v>
      </c>
      <c r="J11" s="1732">
        <f>'[3]Feb midyear Key Academy'!K10</f>
        <v>0</v>
      </c>
      <c r="K11" s="1543">
        <f t="shared" si="31"/>
        <v>0</v>
      </c>
      <c r="L11" s="1485">
        <f t="shared" si="32"/>
        <v>0</v>
      </c>
      <c r="M11" s="929">
        <f t="shared" si="33"/>
        <v>0</v>
      </c>
      <c r="N11" s="898">
        <f t="shared" si="34"/>
        <v>0</v>
      </c>
      <c r="O11" s="878">
        <v>0</v>
      </c>
      <c r="P11" s="1550">
        <f t="shared" si="35"/>
        <v>0</v>
      </c>
      <c r="Q11" s="1732">
        <f>+'[4]Table 5C1I-LA Key Academy'!M10*8</f>
        <v>0</v>
      </c>
      <c r="R11" s="1732">
        <f t="shared" si="36"/>
        <v>0</v>
      </c>
      <c r="S11" s="1550">
        <f t="shared" si="37"/>
        <v>0</v>
      </c>
      <c r="T11" s="1802">
        <f>'Table 5C1A-Madison Prep'!T11</f>
        <v>3507</v>
      </c>
      <c r="U11" s="1555">
        <f t="shared" si="38"/>
        <v>0</v>
      </c>
      <c r="V11" s="1758">
        <f>+'[3]Oct midyear Key Academy'!E10</f>
        <v>0</v>
      </c>
      <c r="W11" s="1759">
        <f t="shared" si="39"/>
        <v>0</v>
      </c>
      <c r="X11" s="1758">
        <f>'[3]Feb midyear Key Academy'!E10</f>
        <v>0</v>
      </c>
      <c r="Y11" s="1759">
        <f t="shared" si="40"/>
        <v>0</v>
      </c>
      <c r="Z11" s="1653">
        <f t="shared" si="41"/>
        <v>0</v>
      </c>
      <c r="AA11" s="1486">
        <f t="shared" si="42"/>
        <v>0</v>
      </c>
      <c r="AB11" s="937">
        <f t="shared" si="43"/>
        <v>0</v>
      </c>
      <c r="AC11" s="899">
        <f t="shared" si="44"/>
        <v>0</v>
      </c>
      <c r="AD11" s="1830">
        <v>0</v>
      </c>
      <c r="AE11" s="899">
        <f t="shared" si="45"/>
        <v>0</v>
      </c>
      <c r="AF11" s="1834">
        <f>+'[4]Table 5C1I-LA Key Academy'!T10*8</f>
        <v>0</v>
      </c>
      <c r="AG11" s="1834">
        <f t="shared" si="46"/>
        <v>0</v>
      </c>
      <c r="AH11" s="899">
        <f t="shared" si="47"/>
        <v>0</v>
      </c>
      <c r="AI11" s="900">
        <f t="shared" si="27"/>
        <v>0</v>
      </c>
      <c r="AJ11" s="900">
        <f t="shared" si="48"/>
        <v>0</v>
      </c>
      <c r="AL11" s="2034">
        <f>-'[4]Table 5C1I-LA Key Academy'!P10</f>
        <v>0</v>
      </c>
      <c r="AM11" s="2034">
        <f t="shared" si="49"/>
        <v>0</v>
      </c>
      <c r="AN11" s="2034">
        <f t="shared" si="50"/>
        <v>0</v>
      </c>
    </row>
    <row r="12" spans="1:40">
      <c r="A12" s="879">
        <v>5</v>
      </c>
      <c r="B12" s="880" t="s">
        <v>96</v>
      </c>
      <c r="C12" s="970">
        <v>0</v>
      </c>
      <c r="D12" s="881">
        <f>'Table 3 Levels 1&amp;2'!AL12</f>
        <v>4986.8166927080074</v>
      </c>
      <c r="E12" s="920">
        <f t="shared" si="28"/>
        <v>0</v>
      </c>
      <c r="F12" s="920">
        <f>'Table 4 Level 3'!P10</f>
        <v>555.91</v>
      </c>
      <c r="G12" s="920">
        <f t="shared" si="29"/>
        <v>0</v>
      </c>
      <c r="H12" s="901">
        <f t="shared" si="30"/>
        <v>0</v>
      </c>
      <c r="I12" s="1733">
        <f>+'[3]Oct midyear Key Academy'!K11</f>
        <v>0</v>
      </c>
      <c r="J12" s="1733">
        <f>'[3]Feb midyear Key Academy'!K11</f>
        <v>0</v>
      </c>
      <c r="K12" s="1544">
        <f t="shared" si="31"/>
        <v>0</v>
      </c>
      <c r="L12" s="1487">
        <f t="shared" si="32"/>
        <v>0</v>
      </c>
      <c r="M12" s="930">
        <f t="shared" si="33"/>
        <v>0</v>
      </c>
      <c r="N12" s="901">
        <f t="shared" si="34"/>
        <v>0</v>
      </c>
      <c r="O12" s="881">
        <v>0</v>
      </c>
      <c r="P12" s="1551">
        <f t="shared" si="35"/>
        <v>0</v>
      </c>
      <c r="Q12" s="1733">
        <f>+'[4]Table 5C1I-LA Key Academy'!M11*8</f>
        <v>0</v>
      </c>
      <c r="R12" s="1733">
        <f t="shared" si="36"/>
        <v>0</v>
      </c>
      <c r="S12" s="1551">
        <f t="shared" si="37"/>
        <v>0</v>
      </c>
      <c r="T12" s="1807">
        <f>'Table 5C1A-Madison Prep'!T12</f>
        <v>2086</v>
      </c>
      <c r="U12" s="1556">
        <f t="shared" si="38"/>
        <v>0</v>
      </c>
      <c r="V12" s="1762">
        <f>+'[3]Oct midyear Key Academy'!E11</f>
        <v>0</v>
      </c>
      <c r="W12" s="1763">
        <f t="shared" si="39"/>
        <v>0</v>
      </c>
      <c r="X12" s="1762">
        <f>'[3]Feb midyear Key Academy'!E11</f>
        <v>0</v>
      </c>
      <c r="Y12" s="1763">
        <f t="shared" si="40"/>
        <v>0</v>
      </c>
      <c r="Z12" s="1654">
        <f t="shared" si="41"/>
        <v>0</v>
      </c>
      <c r="AA12" s="1488">
        <f t="shared" si="42"/>
        <v>0</v>
      </c>
      <c r="AB12" s="938">
        <f t="shared" si="43"/>
        <v>0</v>
      </c>
      <c r="AC12" s="903">
        <f t="shared" si="44"/>
        <v>0</v>
      </c>
      <c r="AD12" s="1831">
        <v>0</v>
      </c>
      <c r="AE12" s="903">
        <f t="shared" si="45"/>
        <v>0</v>
      </c>
      <c r="AF12" s="1835">
        <f>+'[4]Table 5C1I-LA Key Academy'!T11*8</f>
        <v>0</v>
      </c>
      <c r="AG12" s="1835">
        <f t="shared" si="46"/>
        <v>0</v>
      </c>
      <c r="AH12" s="903">
        <f t="shared" si="47"/>
        <v>0</v>
      </c>
      <c r="AI12" s="904">
        <f t="shared" si="27"/>
        <v>0</v>
      </c>
      <c r="AJ12" s="904">
        <f t="shared" si="48"/>
        <v>0</v>
      </c>
      <c r="AL12" s="2034">
        <f>-'[4]Table 5C1I-LA Key Academy'!P11</f>
        <v>0</v>
      </c>
      <c r="AM12" s="2034">
        <f t="shared" si="49"/>
        <v>0</v>
      </c>
      <c r="AN12" s="2034">
        <f t="shared" si="50"/>
        <v>0</v>
      </c>
    </row>
    <row r="13" spans="1:40">
      <c r="A13" s="870">
        <v>6</v>
      </c>
      <c r="B13" s="871" t="s">
        <v>97</v>
      </c>
      <c r="C13" s="971">
        <v>0</v>
      </c>
      <c r="D13" s="872">
        <f>'Table 3 Levels 1&amp;2'!AL13</f>
        <v>5412.7883404260592</v>
      </c>
      <c r="E13" s="918">
        <f t="shared" si="28"/>
        <v>0</v>
      </c>
      <c r="F13" s="918">
        <f>'Table 4 Level 3'!P11</f>
        <v>545.4799999999999</v>
      </c>
      <c r="G13" s="918">
        <f t="shared" si="29"/>
        <v>0</v>
      </c>
      <c r="H13" s="873">
        <f t="shared" si="30"/>
        <v>0</v>
      </c>
      <c r="I13" s="1718">
        <f>+'[3]Oct midyear Key Academy'!K12</f>
        <v>0</v>
      </c>
      <c r="J13" s="1718">
        <f>'[3]Feb midyear Key Academy'!K12</f>
        <v>0</v>
      </c>
      <c r="K13" s="1542">
        <f t="shared" si="31"/>
        <v>0</v>
      </c>
      <c r="L13" s="1520">
        <f t="shared" si="32"/>
        <v>0</v>
      </c>
      <c r="M13" s="928">
        <f t="shared" si="33"/>
        <v>0</v>
      </c>
      <c r="N13" s="873">
        <f t="shared" si="34"/>
        <v>0</v>
      </c>
      <c r="O13" s="872">
        <v>0</v>
      </c>
      <c r="P13" s="998">
        <f t="shared" si="35"/>
        <v>0</v>
      </c>
      <c r="Q13" s="1718">
        <f>+'[4]Table 5C1I-LA Key Academy'!M12*8</f>
        <v>0</v>
      </c>
      <c r="R13" s="1718">
        <f t="shared" si="36"/>
        <v>0</v>
      </c>
      <c r="S13" s="998">
        <f t="shared" si="37"/>
        <v>0</v>
      </c>
      <c r="T13" s="1802">
        <f>'Table 5C1A-Madison Prep'!T13</f>
        <v>3683</v>
      </c>
      <c r="U13" s="999">
        <f t="shared" si="38"/>
        <v>0</v>
      </c>
      <c r="V13" s="1754">
        <f>+'[3]Oct midyear Key Academy'!E12</f>
        <v>0</v>
      </c>
      <c r="W13" s="1755">
        <f t="shared" si="39"/>
        <v>0</v>
      </c>
      <c r="X13" s="1754">
        <f>'[3]Feb midyear Key Academy'!E12</f>
        <v>0</v>
      </c>
      <c r="Y13" s="1755">
        <f t="shared" si="40"/>
        <v>0</v>
      </c>
      <c r="Z13" s="1652">
        <f t="shared" si="41"/>
        <v>0</v>
      </c>
      <c r="AA13" s="1521">
        <f t="shared" si="42"/>
        <v>0</v>
      </c>
      <c r="AB13" s="936">
        <f t="shared" si="43"/>
        <v>0</v>
      </c>
      <c r="AC13" s="874">
        <f t="shared" si="44"/>
        <v>0</v>
      </c>
      <c r="AD13" s="1829">
        <v>0</v>
      </c>
      <c r="AE13" s="874">
        <f t="shared" si="45"/>
        <v>0</v>
      </c>
      <c r="AF13" s="1829">
        <f>+'[4]Table 5C1I-LA Key Academy'!T12*8</f>
        <v>0</v>
      </c>
      <c r="AG13" s="1829">
        <f t="shared" si="46"/>
        <v>0</v>
      </c>
      <c r="AH13" s="874">
        <f t="shared" si="47"/>
        <v>0</v>
      </c>
      <c r="AI13" s="875">
        <f t="shared" si="27"/>
        <v>0</v>
      </c>
      <c r="AJ13" s="875">
        <f t="shared" si="48"/>
        <v>0</v>
      </c>
      <c r="AL13" s="2034">
        <f>-'[4]Table 5C1I-LA Key Academy'!P12</f>
        <v>0</v>
      </c>
      <c r="AM13" s="2034">
        <f t="shared" si="49"/>
        <v>0</v>
      </c>
      <c r="AN13" s="2034">
        <f t="shared" si="50"/>
        <v>0</v>
      </c>
    </row>
    <row r="14" spans="1:40">
      <c r="A14" s="876">
        <v>7</v>
      </c>
      <c r="B14" s="877" t="s">
        <v>98</v>
      </c>
      <c r="C14" s="969">
        <v>0</v>
      </c>
      <c r="D14" s="878">
        <f>'Table 3 Levels 1&amp;2'!AL14</f>
        <v>1766.1023604176123</v>
      </c>
      <c r="E14" s="919">
        <f t="shared" si="28"/>
        <v>0</v>
      </c>
      <c r="F14" s="919">
        <f>'Table 4 Level 3'!P12</f>
        <v>756.91999999999985</v>
      </c>
      <c r="G14" s="919">
        <f t="shared" si="29"/>
        <v>0</v>
      </c>
      <c r="H14" s="898">
        <f t="shared" si="30"/>
        <v>0</v>
      </c>
      <c r="I14" s="1732">
        <f>+'[3]Oct midyear Key Academy'!K13</f>
        <v>0</v>
      </c>
      <c r="J14" s="1732">
        <f>'[3]Feb midyear Key Academy'!K13</f>
        <v>0</v>
      </c>
      <c r="K14" s="1543">
        <f t="shared" si="31"/>
        <v>0</v>
      </c>
      <c r="L14" s="1485">
        <f t="shared" si="32"/>
        <v>0</v>
      </c>
      <c r="M14" s="929">
        <f t="shared" si="33"/>
        <v>0</v>
      </c>
      <c r="N14" s="898">
        <f t="shared" si="34"/>
        <v>0</v>
      </c>
      <c r="O14" s="878">
        <v>0</v>
      </c>
      <c r="P14" s="1550">
        <f t="shared" si="35"/>
        <v>0</v>
      </c>
      <c r="Q14" s="1732">
        <f>+'[4]Table 5C1I-LA Key Academy'!M13*8</f>
        <v>0</v>
      </c>
      <c r="R14" s="1732">
        <f t="shared" si="36"/>
        <v>0</v>
      </c>
      <c r="S14" s="1550">
        <f t="shared" si="37"/>
        <v>0</v>
      </c>
      <c r="T14" s="1802">
        <f>'Table 5C1A-Madison Prep'!T14</f>
        <v>11801</v>
      </c>
      <c r="U14" s="1555">
        <f t="shared" si="38"/>
        <v>0</v>
      </c>
      <c r="V14" s="1758">
        <f>+'[3]Oct midyear Key Academy'!E13</f>
        <v>0</v>
      </c>
      <c r="W14" s="1759">
        <f t="shared" si="39"/>
        <v>0</v>
      </c>
      <c r="X14" s="1758">
        <f>'[3]Feb midyear Key Academy'!E13</f>
        <v>0</v>
      </c>
      <c r="Y14" s="1759">
        <f t="shared" si="40"/>
        <v>0</v>
      </c>
      <c r="Z14" s="1653">
        <f t="shared" si="41"/>
        <v>0</v>
      </c>
      <c r="AA14" s="1486">
        <f t="shared" si="42"/>
        <v>0</v>
      </c>
      <c r="AB14" s="937">
        <f t="shared" si="43"/>
        <v>0</v>
      </c>
      <c r="AC14" s="899">
        <f t="shared" si="44"/>
        <v>0</v>
      </c>
      <c r="AD14" s="1830">
        <v>0</v>
      </c>
      <c r="AE14" s="899">
        <f t="shared" si="45"/>
        <v>0</v>
      </c>
      <c r="AF14" s="1834">
        <f>+'[4]Table 5C1I-LA Key Academy'!T13*8</f>
        <v>0</v>
      </c>
      <c r="AG14" s="1834">
        <f t="shared" si="46"/>
        <v>0</v>
      </c>
      <c r="AH14" s="899">
        <f t="shared" si="47"/>
        <v>0</v>
      </c>
      <c r="AI14" s="900">
        <f t="shared" si="27"/>
        <v>0</v>
      </c>
      <c r="AJ14" s="900">
        <f t="shared" si="48"/>
        <v>0</v>
      </c>
      <c r="AL14" s="2034">
        <f>-'[4]Table 5C1I-LA Key Academy'!P13</f>
        <v>0</v>
      </c>
      <c r="AM14" s="2034">
        <f t="shared" si="49"/>
        <v>0</v>
      </c>
      <c r="AN14" s="2034">
        <f t="shared" si="50"/>
        <v>0</v>
      </c>
    </row>
    <row r="15" spans="1:40">
      <c r="A15" s="876">
        <v>8</v>
      </c>
      <c r="B15" s="877" t="s">
        <v>99</v>
      </c>
      <c r="C15" s="969">
        <v>0</v>
      </c>
      <c r="D15" s="878">
        <f>'Table 3 Levels 1&amp;2'!AL15</f>
        <v>4289.5073606712331</v>
      </c>
      <c r="E15" s="919">
        <f t="shared" si="28"/>
        <v>0</v>
      </c>
      <c r="F15" s="919">
        <f>'Table 4 Level 3'!P13</f>
        <v>725.76</v>
      </c>
      <c r="G15" s="919">
        <f t="shared" si="29"/>
        <v>0</v>
      </c>
      <c r="H15" s="898">
        <f t="shared" si="30"/>
        <v>0</v>
      </c>
      <c r="I15" s="1732">
        <f>+'[3]Oct midyear Key Academy'!K14</f>
        <v>0</v>
      </c>
      <c r="J15" s="1732">
        <f>'[3]Feb midyear Key Academy'!K14</f>
        <v>0</v>
      </c>
      <c r="K15" s="1543">
        <f t="shared" si="31"/>
        <v>0</v>
      </c>
      <c r="L15" s="1485">
        <f t="shared" si="32"/>
        <v>0</v>
      </c>
      <c r="M15" s="929">
        <f t="shared" si="33"/>
        <v>0</v>
      </c>
      <c r="N15" s="898">
        <f t="shared" si="34"/>
        <v>0</v>
      </c>
      <c r="O15" s="878">
        <v>0</v>
      </c>
      <c r="P15" s="1550">
        <f t="shared" si="35"/>
        <v>0</v>
      </c>
      <c r="Q15" s="1732">
        <f>+'[4]Table 5C1I-LA Key Academy'!M14*8</f>
        <v>0</v>
      </c>
      <c r="R15" s="1732">
        <f t="shared" si="36"/>
        <v>0</v>
      </c>
      <c r="S15" s="1550">
        <f t="shared" si="37"/>
        <v>0</v>
      </c>
      <c r="T15" s="1802">
        <f>'Table 5C1A-Madison Prep'!T15</f>
        <v>3988</v>
      </c>
      <c r="U15" s="1555">
        <f t="shared" si="38"/>
        <v>0</v>
      </c>
      <c r="V15" s="1758">
        <f>+'[3]Oct midyear Key Academy'!E14</f>
        <v>0</v>
      </c>
      <c r="W15" s="1759">
        <f t="shared" si="39"/>
        <v>0</v>
      </c>
      <c r="X15" s="1758">
        <f>'[3]Feb midyear Key Academy'!E14</f>
        <v>0</v>
      </c>
      <c r="Y15" s="1759">
        <f t="shared" si="40"/>
        <v>0</v>
      </c>
      <c r="Z15" s="1653">
        <f t="shared" si="41"/>
        <v>0</v>
      </c>
      <c r="AA15" s="1486">
        <f t="shared" si="42"/>
        <v>0</v>
      </c>
      <c r="AB15" s="937">
        <f t="shared" si="43"/>
        <v>0</v>
      </c>
      <c r="AC15" s="899">
        <f t="shared" si="44"/>
        <v>0</v>
      </c>
      <c r="AD15" s="1830">
        <v>0</v>
      </c>
      <c r="AE15" s="899">
        <f t="shared" si="45"/>
        <v>0</v>
      </c>
      <c r="AF15" s="1834">
        <f>+'[4]Table 5C1I-LA Key Academy'!T14*8</f>
        <v>0</v>
      </c>
      <c r="AG15" s="1834">
        <f t="shared" si="46"/>
        <v>0</v>
      </c>
      <c r="AH15" s="899">
        <f t="shared" si="47"/>
        <v>0</v>
      </c>
      <c r="AI15" s="900">
        <f t="shared" si="27"/>
        <v>0</v>
      </c>
      <c r="AJ15" s="900">
        <f t="shared" si="48"/>
        <v>0</v>
      </c>
      <c r="AL15" s="2034">
        <f>-'[4]Table 5C1I-LA Key Academy'!P14</f>
        <v>0</v>
      </c>
      <c r="AM15" s="2034">
        <f t="shared" si="49"/>
        <v>0</v>
      </c>
      <c r="AN15" s="2034">
        <f t="shared" si="50"/>
        <v>0</v>
      </c>
    </row>
    <row r="16" spans="1:40">
      <c r="A16" s="876">
        <v>9</v>
      </c>
      <c r="B16" s="877" t="s">
        <v>100</v>
      </c>
      <c r="C16" s="969">
        <v>0</v>
      </c>
      <c r="D16" s="878">
        <f>'Table 3 Levels 1&amp;2'!AL16</f>
        <v>4395.6154516889328</v>
      </c>
      <c r="E16" s="919">
        <f t="shared" si="28"/>
        <v>0</v>
      </c>
      <c r="F16" s="919">
        <f>'Table 4 Level 3'!P14</f>
        <v>744.76</v>
      </c>
      <c r="G16" s="919">
        <f t="shared" si="29"/>
        <v>0</v>
      </c>
      <c r="H16" s="898">
        <f t="shared" si="30"/>
        <v>0</v>
      </c>
      <c r="I16" s="1732">
        <f>+'[3]Oct midyear Key Academy'!K15</f>
        <v>0</v>
      </c>
      <c r="J16" s="1732">
        <f>'[3]Feb midyear Key Academy'!K15</f>
        <v>0</v>
      </c>
      <c r="K16" s="1543">
        <f t="shared" si="31"/>
        <v>0</v>
      </c>
      <c r="L16" s="1485">
        <f t="shared" si="32"/>
        <v>0</v>
      </c>
      <c r="M16" s="929">
        <f t="shared" si="33"/>
        <v>0</v>
      </c>
      <c r="N16" s="898">
        <f t="shared" si="34"/>
        <v>0</v>
      </c>
      <c r="O16" s="878">
        <v>0</v>
      </c>
      <c r="P16" s="1550">
        <f t="shared" si="35"/>
        <v>0</v>
      </c>
      <c r="Q16" s="1732">
        <f>+'[4]Table 5C1I-LA Key Academy'!M15*8</f>
        <v>0</v>
      </c>
      <c r="R16" s="1732">
        <f t="shared" si="36"/>
        <v>0</v>
      </c>
      <c r="S16" s="1550">
        <f t="shared" si="37"/>
        <v>0</v>
      </c>
      <c r="T16" s="1802">
        <f>'Table 5C1A-Madison Prep'!T16</f>
        <v>4677</v>
      </c>
      <c r="U16" s="1555">
        <f t="shared" si="38"/>
        <v>0</v>
      </c>
      <c r="V16" s="1758">
        <f>+'[3]Oct midyear Key Academy'!E15</f>
        <v>0</v>
      </c>
      <c r="W16" s="1759">
        <f t="shared" si="39"/>
        <v>0</v>
      </c>
      <c r="X16" s="1758">
        <f>'[3]Feb midyear Key Academy'!E15</f>
        <v>0</v>
      </c>
      <c r="Y16" s="1759">
        <f t="shared" si="40"/>
        <v>0</v>
      </c>
      <c r="Z16" s="1653">
        <f t="shared" si="41"/>
        <v>0</v>
      </c>
      <c r="AA16" s="1486">
        <f t="shared" si="42"/>
        <v>0</v>
      </c>
      <c r="AB16" s="937">
        <f t="shared" si="43"/>
        <v>0</v>
      </c>
      <c r="AC16" s="899">
        <f t="shared" si="44"/>
        <v>0</v>
      </c>
      <c r="AD16" s="1830">
        <v>0</v>
      </c>
      <c r="AE16" s="899">
        <f t="shared" si="45"/>
        <v>0</v>
      </c>
      <c r="AF16" s="1834">
        <f>+'[4]Table 5C1I-LA Key Academy'!T15*8</f>
        <v>0</v>
      </c>
      <c r="AG16" s="1834">
        <f t="shared" si="46"/>
        <v>0</v>
      </c>
      <c r="AH16" s="899">
        <f t="shared" si="47"/>
        <v>0</v>
      </c>
      <c r="AI16" s="900">
        <f t="shared" si="27"/>
        <v>0</v>
      </c>
      <c r="AJ16" s="900">
        <f t="shared" si="48"/>
        <v>0</v>
      </c>
      <c r="AL16" s="2034">
        <f>-'[4]Table 5C1I-LA Key Academy'!P15</f>
        <v>0</v>
      </c>
      <c r="AM16" s="2034">
        <f t="shared" si="49"/>
        <v>0</v>
      </c>
      <c r="AN16" s="2034">
        <f t="shared" si="50"/>
        <v>0</v>
      </c>
    </row>
    <row r="17" spans="1:40">
      <c r="A17" s="879">
        <v>10</v>
      </c>
      <c r="B17" s="880" t="s">
        <v>101</v>
      </c>
      <c r="C17" s="970">
        <v>0</v>
      </c>
      <c r="D17" s="881">
        <f>'Table 3 Levels 1&amp;2'!AL17</f>
        <v>4253.5980618992444</v>
      </c>
      <c r="E17" s="920">
        <f t="shared" si="28"/>
        <v>0</v>
      </c>
      <c r="F17" s="920">
        <f>'Table 4 Level 3'!P15</f>
        <v>608.04000000000008</v>
      </c>
      <c r="G17" s="920">
        <f t="shared" si="29"/>
        <v>0</v>
      </c>
      <c r="H17" s="901">
        <f t="shared" si="30"/>
        <v>0</v>
      </c>
      <c r="I17" s="1733">
        <f>+'[3]Oct midyear Key Academy'!K16</f>
        <v>0</v>
      </c>
      <c r="J17" s="1733">
        <f>'[3]Feb midyear Key Academy'!K16</f>
        <v>0</v>
      </c>
      <c r="K17" s="1544">
        <f t="shared" si="31"/>
        <v>0</v>
      </c>
      <c r="L17" s="1487">
        <f t="shared" si="32"/>
        <v>0</v>
      </c>
      <c r="M17" s="930">
        <f t="shared" si="33"/>
        <v>0</v>
      </c>
      <c r="N17" s="901">
        <f t="shared" si="34"/>
        <v>0</v>
      </c>
      <c r="O17" s="881">
        <v>0</v>
      </c>
      <c r="P17" s="1551">
        <f t="shared" si="35"/>
        <v>0</v>
      </c>
      <c r="Q17" s="1733">
        <f>+'[4]Table 5C1I-LA Key Academy'!M16*8</f>
        <v>0</v>
      </c>
      <c r="R17" s="1733">
        <f t="shared" si="36"/>
        <v>0</v>
      </c>
      <c r="S17" s="1551">
        <f t="shared" si="37"/>
        <v>0</v>
      </c>
      <c r="T17" s="1807">
        <f>'Table 5C1A-Madison Prep'!T17</f>
        <v>4502</v>
      </c>
      <c r="U17" s="1556">
        <f t="shared" si="38"/>
        <v>0</v>
      </c>
      <c r="V17" s="1762">
        <f>+'[3]Oct midyear Key Academy'!E16</f>
        <v>0</v>
      </c>
      <c r="W17" s="1763">
        <f t="shared" si="39"/>
        <v>0</v>
      </c>
      <c r="X17" s="1762">
        <f>'[3]Feb midyear Key Academy'!E16</f>
        <v>0</v>
      </c>
      <c r="Y17" s="1763">
        <f t="shared" si="40"/>
        <v>0</v>
      </c>
      <c r="Z17" s="1654">
        <f t="shared" si="41"/>
        <v>0</v>
      </c>
      <c r="AA17" s="1488">
        <f t="shared" si="42"/>
        <v>0</v>
      </c>
      <c r="AB17" s="938">
        <f t="shared" si="43"/>
        <v>0</v>
      </c>
      <c r="AC17" s="903">
        <f t="shared" si="44"/>
        <v>0</v>
      </c>
      <c r="AD17" s="1831">
        <v>0</v>
      </c>
      <c r="AE17" s="903">
        <f t="shared" si="45"/>
        <v>0</v>
      </c>
      <c r="AF17" s="1835">
        <f>+'[4]Table 5C1I-LA Key Academy'!T16*8</f>
        <v>0</v>
      </c>
      <c r="AG17" s="1835">
        <f t="shared" si="46"/>
        <v>0</v>
      </c>
      <c r="AH17" s="903">
        <f t="shared" si="47"/>
        <v>0</v>
      </c>
      <c r="AI17" s="904">
        <f t="shared" si="27"/>
        <v>0</v>
      </c>
      <c r="AJ17" s="904">
        <f t="shared" si="48"/>
        <v>0</v>
      </c>
      <c r="AL17" s="2034">
        <f>-'[4]Table 5C1I-LA Key Academy'!P16</f>
        <v>0</v>
      </c>
      <c r="AM17" s="2034">
        <f t="shared" si="49"/>
        <v>0</v>
      </c>
      <c r="AN17" s="2034">
        <f t="shared" si="50"/>
        <v>0</v>
      </c>
    </row>
    <row r="18" spans="1:40">
      <c r="A18" s="870">
        <v>11</v>
      </c>
      <c r="B18" s="871" t="s">
        <v>102</v>
      </c>
      <c r="C18" s="971">
        <v>0</v>
      </c>
      <c r="D18" s="872">
        <f>'Table 3 Levels 1&amp;2'!AL18</f>
        <v>6852.9138435383502</v>
      </c>
      <c r="E18" s="918">
        <f t="shared" si="28"/>
        <v>0</v>
      </c>
      <c r="F18" s="918">
        <f>'Table 4 Level 3'!P16</f>
        <v>706.55</v>
      </c>
      <c r="G18" s="918">
        <f t="shared" si="29"/>
        <v>0</v>
      </c>
      <c r="H18" s="873">
        <f t="shared" si="30"/>
        <v>0</v>
      </c>
      <c r="I18" s="1718">
        <f>+'[3]Oct midyear Key Academy'!K17</f>
        <v>0</v>
      </c>
      <c r="J18" s="1718">
        <f>'[3]Feb midyear Key Academy'!K17</f>
        <v>0</v>
      </c>
      <c r="K18" s="1542">
        <f t="shared" si="31"/>
        <v>0</v>
      </c>
      <c r="L18" s="1520">
        <f t="shared" si="32"/>
        <v>0</v>
      </c>
      <c r="M18" s="928">
        <f t="shared" si="33"/>
        <v>0</v>
      </c>
      <c r="N18" s="873">
        <f t="shared" si="34"/>
        <v>0</v>
      </c>
      <c r="O18" s="872">
        <v>0</v>
      </c>
      <c r="P18" s="998">
        <f t="shared" si="35"/>
        <v>0</v>
      </c>
      <c r="Q18" s="1718">
        <f>+'[4]Table 5C1I-LA Key Academy'!M17*8</f>
        <v>0</v>
      </c>
      <c r="R18" s="1718">
        <f t="shared" si="36"/>
        <v>0</v>
      </c>
      <c r="S18" s="998">
        <f t="shared" si="37"/>
        <v>0</v>
      </c>
      <c r="T18" s="1802">
        <f>'Table 5C1A-Madison Prep'!T18</f>
        <v>3776</v>
      </c>
      <c r="U18" s="999">
        <f t="shared" si="38"/>
        <v>0</v>
      </c>
      <c r="V18" s="1754">
        <f>+'[3]Oct midyear Key Academy'!E17</f>
        <v>0</v>
      </c>
      <c r="W18" s="1755">
        <f t="shared" si="39"/>
        <v>0</v>
      </c>
      <c r="X18" s="1754">
        <f>'[3]Feb midyear Key Academy'!E17</f>
        <v>0</v>
      </c>
      <c r="Y18" s="1755">
        <f t="shared" si="40"/>
        <v>0</v>
      </c>
      <c r="Z18" s="1652">
        <f t="shared" si="41"/>
        <v>0</v>
      </c>
      <c r="AA18" s="1521">
        <f t="shared" si="42"/>
        <v>0</v>
      </c>
      <c r="AB18" s="936">
        <f t="shared" si="43"/>
        <v>0</v>
      </c>
      <c r="AC18" s="874">
        <f t="shared" si="44"/>
        <v>0</v>
      </c>
      <c r="AD18" s="1829">
        <v>0</v>
      </c>
      <c r="AE18" s="874">
        <f t="shared" si="45"/>
        <v>0</v>
      </c>
      <c r="AF18" s="1829">
        <f>+'[4]Table 5C1I-LA Key Academy'!T17*8</f>
        <v>0</v>
      </c>
      <c r="AG18" s="1829">
        <f t="shared" si="46"/>
        <v>0</v>
      </c>
      <c r="AH18" s="874">
        <f t="shared" si="47"/>
        <v>0</v>
      </c>
      <c r="AI18" s="875">
        <f t="shared" si="27"/>
        <v>0</v>
      </c>
      <c r="AJ18" s="875">
        <f t="shared" si="48"/>
        <v>0</v>
      </c>
      <c r="AL18" s="2034">
        <f>-'[4]Table 5C1I-LA Key Academy'!P17</f>
        <v>0</v>
      </c>
      <c r="AM18" s="2034">
        <f t="shared" si="49"/>
        <v>0</v>
      </c>
      <c r="AN18" s="2034">
        <f t="shared" si="50"/>
        <v>0</v>
      </c>
    </row>
    <row r="19" spans="1:40">
      <c r="A19" s="876">
        <v>12</v>
      </c>
      <c r="B19" s="877" t="s">
        <v>103</v>
      </c>
      <c r="C19" s="969">
        <v>0</v>
      </c>
      <c r="D19" s="878">
        <f>'Table 3 Levels 1&amp;2'!AL19</f>
        <v>1733.9056059356967</v>
      </c>
      <c r="E19" s="919">
        <f t="shared" si="28"/>
        <v>0</v>
      </c>
      <c r="F19" s="919">
        <f>'Table 4 Level 3'!P17</f>
        <v>1063.31</v>
      </c>
      <c r="G19" s="919">
        <f t="shared" si="29"/>
        <v>0</v>
      </c>
      <c r="H19" s="898">
        <f t="shared" si="30"/>
        <v>0</v>
      </c>
      <c r="I19" s="1732">
        <f>+'[3]Oct midyear Key Academy'!K18</f>
        <v>0</v>
      </c>
      <c r="J19" s="1732">
        <f>'[3]Feb midyear Key Academy'!K18</f>
        <v>0</v>
      </c>
      <c r="K19" s="1543">
        <f t="shared" si="31"/>
        <v>0</v>
      </c>
      <c r="L19" s="1485">
        <f t="shared" si="32"/>
        <v>0</v>
      </c>
      <c r="M19" s="929">
        <f t="shared" si="33"/>
        <v>0</v>
      </c>
      <c r="N19" s="898">
        <f t="shared" si="34"/>
        <v>0</v>
      </c>
      <c r="O19" s="878">
        <v>0</v>
      </c>
      <c r="P19" s="1550">
        <f t="shared" si="35"/>
        <v>0</v>
      </c>
      <c r="Q19" s="1732">
        <f>+'[4]Table 5C1I-LA Key Academy'!M18*8</f>
        <v>0</v>
      </c>
      <c r="R19" s="1732">
        <f t="shared" si="36"/>
        <v>0</v>
      </c>
      <c r="S19" s="1550">
        <f t="shared" si="37"/>
        <v>0</v>
      </c>
      <c r="T19" s="1802">
        <f>'Table 5C1A-Madison Prep'!T19</f>
        <v>13312</v>
      </c>
      <c r="U19" s="1555">
        <f t="shared" si="38"/>
        <v>0</v>
      </c>
      <c r="V19" s="1758">
        <f>+'[3]Oct midyear Key Academy'!E18</f>
        <v>0</v>
      </c>
      <c r="W19" s="1759">
        <f t="shared" si="39"/>
        <v>0</v>
      </c>
      <c r="X19" s="1758">
        <f>'[3]Feb midyear Key Academy'!E18</f>
        <v>0</v>
      </c>
      <c r="Y19" s="1759">
        <f t="shared" si="40"/>
        <v>0</v>
      </c>
      <c r="Z19" s="1653">
        <f t="shared" si="41"/>
        <v>0</v>
      </c>
      <c r="AA19" s="1486">
        <f t="shared" si="42"/>
        <v>0</v>
      </c>
      <c r="AB19" s="937">
        <f t="shared" si="43"/>
        <v>0</v>
      </c>
      <c r="AC19" s="899">
        <f t="shared" si="44"/>
        <v>0</v>
      </c>
      <c r="AD19" s="1830">
        <v>0</v>
      </c>
      <c r="AE19" s="899">
        <f t="shared" si="45"/>
        <v>0</v>
      </c>
      <c r="AF19" s="1834">
        <f>+'[4]Table 5C1I-LA Key Academy'!T18*8</f>
        <v>0</v>
      </c>
      <c r="AG19" s="1834">
        <f t="shared" si="46"/>
        <v>0</v>
      </c>
      <c r="AH19" s="899">
        <f t="shared" si="47"/>
        <v>0</v>
      </c>
      <c r="AI19" s="900">
        <f t="shared" si="27"/>
        <v>0</v>
      </c>
      <c r="AJ19" s="900">
        <f t="shared" si="48"/>
        <v>0</v>
      </c>
      <c r="AL19" s="2034">
        <f>-'[4]Table 5C1I-LA Key Academy'!P18</f>
        <v>0</v>
      </c>
      <c r="AM19" s="2034">
        <f t="shared" si="49"/>
        <v>0</v>
      </c>
      <c r="AN19" s="2034">
        <f t="shared" si="50"/>
        <v>0</v>
      </c>
    </row>
    <row r="20" spans="1:40">
      <c r="A20" s="876">
        <v>13</v>
      </c>
      <c r="B20" s="877" t="s">
        <v>104</v>
      </c>
      <c r="C20" s="969">
        <v>0</v>
      </c>
      <c r="D20" s="878">
        <f>'Table 3 Levels 1&amp;2'!AL20</f>
        <v>6254.1238637730876</v>
      </c>
      <c r="E20" s="919">
        <f t="shared" si="28"/>
        <v>0</v>
      </c>
      <c r="F20" s="919">
        <f>'Table 4 Level 3'!P18</f>
        <v>749.43000000000006</v>
      </c>
      <c r="G20" s="919">
        <f t="shared" si="29"/>
        <v>0</v>
      </c>
      <c r="H20" s="898">
        <f t="shared" si="30"/>
        <v>0</v>
      </c>
      <c r="I20" s="1732">
        <f>+'[3]Oct midyear Key Academy'!K19</f>
        <v>0</v>
      </c>
      <c r="J20" s="1732">
        <f>'[3]Feb midyear Key Academy'!K19</f>
        <v>0</v>
      </c>
      <c r="K20" s="1543">
        <f t="shared" si="31"/>
        <v>0</v>
      </c>
      <c r="L20" s="1485">
        <f t="shared" si="32"/>
        <v>0</v>
      </c>
      <c r="M20" s="929">
        <f t="shared" si="33"/>
        <v>0</v>
      </c>
      <c r="N20" s="898">
        <f t="shared" si="34"/>
        <v>0</v>
      </c>
      <c r="O20" s="878">
        <v>0</v>
      </c>
      <c r="P20" s="1550">
        <f t="shared" si="35"/>
        <v>0</v>
      </c>
      <c r="Q20" s="1732">
        <f>+'[4]Table 5C1I-LA Key Academy'!M19*8</f>
        <v>0</v>
      </c>
      <c r="R20" s="1732">
        <f t="shared" si="36"/>
        <v>0</v>
      </c>
      <c r="S20" s="1550">
        <f t="shared" si="37"/>
        <v>0</v>
      </c>
      <c r="T20" s="1802">
        <f>'Table 5C1A-Madison Prep'!T20</f>
        <v>2671</v>
      </c>
      <c r="U20" s="1555">
        <f t="shared" si="38"/>
        <v>0</v>
      </c>
      <c r="V20" s="1758">
        <f>+'[3]Oct midyear Key Academy'!E19</f>
        <v>0</v>
      </c>
      <c r="W20" s="1759">
        <f t="shared" si="39"/>
        <v>0</v>
      </c>
      <c r="X20" s="1758">
        <f>'[3]Feb midyear Key Academy'!E19</f>
        <v>0</v>
      </c>
      <c r="Y20" s="1759">
        <f t="shared" si="40"/>
        <v>0</v>
      </c>
      <c r="Z20" s="1653">
        <f t="shared" si="41"/>
        <v>0</v>
      </c>
      <c r="AA20" s="1486">
        <f t="shared" si="42"/>
        <v>0</v>
      </c>
      <c r="AB20" s="937">
        <f t="shared" si="43"/>
        <v>0</v>
      </c>
      <c r="AC20" s="899">
        <f t="shared" si="44"/>
        <v>0</v>
      </c>
      <c r="AD20" s="1830">
        <v>0</v>
      </c>
      <c r="AE20" s="899">
        <f t="shared" si="45"/>
        <v>0</v>
      </c>
      <c r="AF20" s="1834">
        <f>+'[4]Table 5C1I-LA Key Academy'!T19*8</f>
        <v>0</v>
      </c>
      <c r="AG20" s="1834">
        <f t="shared" si="46"/>
        <v>0</v>
      </c>
      <c r="AH20" s="899">
        <f t="shared" si="47"/>
        <v>0</v>
      </c>
      <c r="AI20" s="900">
        <f t="shared" si="27"/>
        <v>0</v>
      </c>
      <c r="AJ20" s="900">
        <f t="shared" si="48"/>
        <v>0</v>
      </c>
      <c r="AL20" s="2034">
        <f>-'[4]Table 5C1I-LA Key Academy'!P19</f>
        <v>0</v>
      </c>
      <c r="AM20" s="2034">
        <f t="shared" si="49"/>
        <v>0</v>
      </c>
      <c r="AN20" s="2034">
        <f t="shared" si="50"/>
        <v>0</v>
      </c>
    </row>
    <row r="21" spans="1:40">
      <c r="A21" s="876">
        <v>14</v>
      </c>
      <c r="B21" s="877" t="s">
        <v>105</v>
      </c>
      <c r="C21" s="969">
        <v>0</v>
      </c>
      <c r="D21" s="878">
        <f>'Table 3 Levels 1&amp;2'!AL21</f>
        <v>5377.9187438545459</v>
      </c>
      <c r="E21" s="919">
        <f t="shared" si="28"/>
        <v>0</v>
      </c>
      <c r="F21" s="919">
        <f>'Table 4 Level 3'!P19</f>
        <v>809.9799999999999</v>
      </c>
      <c r="G21" s="919">
        <f t="shared" si="29"/>
        <v>0</v>
      </c>
      <c r="H21" s="898">
        <f t="shared" si="30"/>
        <v>0</v>
      </c>
      <c r="I21" s="1732">
        <f>+'[3]Oct midyear Key Academy'!K20</f>
        <v>0</v>
      </c>
      <c r="J21" s="1732">
        <f>'[3]Feb midyear Key Academy'!K20</f>
        <v>0</v>
      </c>
      <c r="K21" s="1543">
        <f t="shared" si="31"/>
        <v>0</v>
      </c>
      <c r="L21" s="1485">
        <f t="shared" si="32"/>
        <v>0</v>
      </c>
      <c r="M21" s="929">
        <f t="shared" si="33"/>
        <v>0</v>
      </c>
      <c r="N21" s="898">
        <f t="shared" si="34"/>
        <v>0</v>
      </c>
      <c r="O21" s="878">
        <v>0</v>
      </c>
      <c r="P21" s="1550">
        <f t="shared" si="35"/>
        <v>0</v>
      </c>
      <c r="Q21" s="1732">
        <f>+'[4]Table 5C1I-LA Key Academy'!M20*8</f>
        <v>0</v>
      </c>
      <c r="R21" s="1732">
        <f t="shared" si="36"/>
        <v>0</v>
      </c>
      <c r="S21" s="1550">
        <f t="shared" si="37"/>
        <v>0</v>
      </c>
      <c r="T21" s="1802">
        <f>'Table 5C1A-Madison Prep'!T21</f>
        <v>4439</v>
      </c>
      <c r="U21" s="1555">
        <f t="shared" si="38"/>
        <v>0</v>
      </c>
      <c r="V21" s="1758">
        <f>+'[3]Oct midyear Key Academy'!E20</f>
        <v>0</v>
      </c>
      <c r="W21" s="1759">
        <f t="shared" si="39"/>
        <v>0</v>
      </c>
      <c r="X21" s="1758">
        <f>'[3]Feb midyear Key Academy'!E20</f>
        <v>0</v>
      </c>
      <c r="Y21" s="1759">
        <f t="shared" si="40"/>
        <v>0</v>
      </c>
      <c r="Z21" s="1653">
        <f t="shared" si="41"/>
        <v>0</v>
      </c>
      <c r="AA21" s="1486">
        <f t="shared" si="42"/>
        <v>0</v>
      </c>
      <c r="AB21" s="937">
        <f t="shared" si="43"/>
        <v>0</v>
      </c>
      <c r="AC21" s="899">
        <f t="shared" si="44"/>
        <v>0</v>
      </c>
      <c r="AD21" s="1830">
        <v>0</v>
      </c>
      <c r="AE21" s="899">
        <f t="shared" si="45"/>
        <v>0</v>
      </c>
      <c r="AF21" s="1834">
        <f>+'[4]Table 5C1I-LA Key Academy'!T20*8</f>
        <v>0</v>
      </c>
      <c r="AG21" s="1834">
        <f t="shared" si="46"/>
        <v>0</v>
      </c>
      <c r="AH21" s="899">
        <f t="shared" si="47"/>
        <v>0</v>
      </c>
      <c r="AI21" s="900">
        <f t="shared" si="27"/>
        <v>0</v>
      </c>
      <c r="AJ21" s="900">
        <f t="shared" si="48"/>
        <v>0</v>
      </c>
      <c r="AL21" s="2034">
        <f>-'[4]Table 5C1I-LA Key Academy'!P20</f>
        <v>0</v>
      </c>
      <c r="AM21" s="2034">
        <f t="shared" si="49"/>
        <v>0</v>
      </c>
      <c r="AN21" s="2034">
        <f t="shared" si="50"/>
        <v>0</v>
      </c>
    </row>
    <row r="22" spans="1:40">
      <c r="A22" s="879">
        <v>15</v>
      </c>
      <c r="B22" s="880" t="s">
        <v>106</v>
      </c>
      <c r="C22" s="970">
        <v>0</v>
      </c>
      <c r="D22" s="881">
        <f>'Table 3 Levels 1&amp;2'!AL22</f>
        <v>5527.7651197617861</v>
      </c>
      <c r="E22" s="920">
        <f t="shared" si="28"/>
        <v>0</v>
      </c>
      <c r="F22" s="920">
        <f>'Table 4 Level 3'!P20</f>
        <v>553.79999999999995</v>
      </c>
      <c r="G22" s="920">
        <f t="shared" si="29"/>
        <v>0</v>
      </c>
      <c r="H22" s="901">
        <f t="shared" si="30"/>
        <v>0</v>
      </c>
      <c r="I22" s="1733">
        <f>+'[3]Oct midyear Key Academy'!K21</f>
        <v>0</v>
      </c>
      <c r="J22" s="1733">
        <f>'[3]Feb midyear Key Academy'!K21</f>
        <v>0</v>
      </c>
      <c r="K22" s="1544">
        <f t="shared" si="31"/>
        <v>0</v>
      </c>
      <c r="L22" s="1487">
        <f t="shared" si="32"/>
        <v>0</v>
      </c>
      <c r="M22" s="930">
        <f t="shared" si="33"/>
        <v>0</v>
      </c>
      <c r="N22" s="901">
        <f t="shared" si="34"/>
        <v>0</v>
      </c>
      <c r="O22" s="881">
        <v>0</v>
      </c>
      <c r="P22" s="1551">
        <f t="shared" si="35"/>
        <v>0</v>
      </c>
      <c r="Q22" s="1733">
        <f>+'[4]Table 5C1I-LA Key Academy'!M21*8</f>
        <v>0</v>
      </c>
      <c r="R22" s="1733">
        <f t="shared" si="36"/>
        <v>0</v>
      </c>
      <c r="S22" s="1551">
        <f t="shared" si="37"/>
        <v>0</v>
      </c>
      <c r="T22" s="1807">
        <f>'Table 5C1A-Madison Prep'!T22</f>
        <v>2800</v>
      </c>
      <c r="U22" s="1556">
        <f t="shared" si="38"/>
        <v>0</v>
      </c>
      <c r="V22" s="1762">
        <f>+'[3]Oct midyear Key Academy'!E21</f>
        <v>0</v>
      </c>
      <c r="W22" s="1763">
        <f t="shared" si="39"/>
        <v>0</v>
      </c>
      <c r="X22" s="1762">
        <f>'[3]Feb midyear Key Academy'!E21</f>
        <v>0</v>
      </c>
      <c r="Y22" s="1763">
        <f t="shared" si="40"/>
        <v>0</v>
      </c>
      <c r="Z22" s="1654">
        <f t="shared" si="41"/>
        <v>0</v>
      </c>
      <c r="AA22" s="1488">
        <f t="shared" si="42"/>
        <v>0</v>
      </c>
      <c r="AB22" s="938">
        <f t="shared" si="43"/>
        <v>0</v>
      </c>
      <c r="AC22" s="903">
        <f t="shared" si="44"/>
        <v>0</v>
      </c>
      <c r="AD22" s="1831">
        <v>0</v>
      </c>
      <c r="AE22" s="903">
        <f t="shared" si="45"/>
        <v>0</v>
      </c>
      <c r="AF22" s="1835">
        <f>+'[4]Table 5C1I-LA Key Academy'!T21*8</f>
        <v>0</v>
      </c>
      <c r="AG22" s="1835">
        <f t="shared" si="46"/>
        <v>0</v>
      </c>
      <c r="AH22" s="903">
        <f t="shared" si="47"/>
        <v>0</v>
      </c>
      <c r="AI22" s="904">
        <f t="shared" si="27"/>
        <v>0</v>
      </c>
      <c r="AJ22" s="904">
        <f t="shared" si="48"/>
        <v>0</v>
      </c>
      <c r="AL22" s="2034">
        <f>-'[4]Table 5C1I-LA Key Academy'!P21</f>
        <v>0</v>
      </c>
      <c r="AM22" s="2034">
        <f t="shared" si="49"/>
        <v>0</v>
      </c>
      <c r="AN22" s="2034">
        <f t="shared" si="50"/>
        <v>0</v>
      </c>
    </row>
    <row r="23" spans="1:40">
      <c r="A23" s="870">
        <v>16</v>
      </c>
      <c r="B23" s="871" t="s">
        <v>107</v>
      </c>
      <c r="C23" s="971">
        <v>0</v>
      </c>
      <c r="D23" s="872">
        <f>'Table 3 Levels 1&amp;2'!AL23</f>
        <v>1530.3678845377474</v>
      </c>
      <c r="E23" s="918">
        <f t="shared" si="28"/>
        <v>0</v>
      </c>
      <c r="F23" s="918">
        <f>'Table 4 Level 3'!P21</f>
        <v>686.73</v>
      </c>
      <c r="G23" s="918">
        <f t="shared" si="29"/>
        <v>0</v>
      </c>
      <c r="H23" s="873">
        <f t="shared" si="30"/>
        <v>0</v>
      </c>
      <c r="I23" s="1718">
        <f>+'[3]Oct midyear Key Academy'!K22</f>
        <v>0</v>
      </c>
      <c r="J23" s="1718">
        <f>'[3]Feb midyear Key Academy'!K22</f>
        <v>0</v>
      </c>
      <c r="K23" s="1542">
        <f t="shared" si="31"/>
        <v>0</v>
      </c>
      <c r="L23" s="1520">
        <f t="shared" si="32"/>
        <v>0</v>
      </c>
      <c r="M23" s="928">
        <f t="shared" si="33"/>
        <v>0</v>
      </c>
      <c r="N23" s="873">
        <f t="shared" si="34"/>
        <v>0</v>
      </c>
      <c r="O23" s="872">
        <v>0</v>
      </c>
      <c r="P23" s="998">
        <f t="shared" si="35"/>
        <v>0</v>
      </c>
      <c r="Q23" s="1718">
        <f>+'[4]Table 5C1I-LA Key Academy'!M22*8</f>
        <v>0</v>
      </c>
      <c r="R23" s="1718">
        <f t="shared" si="36"/>
        <v>0</v>
      </c>
      <c r="S23" s="998">
        <f t="shared" si="37"/>
        <v>0</v>
      </c>
      <c r="T23" s="1802">
        <f>'Table 5C1A-Madison Prep'!T23</f>
        <v>12312</v>
      </c>
      <c r="U23" s="999">
        <f t="shared" si="38"/>
        <v>0</v>
      </c>
      <c r="V23" s="1754">
        <f>+'[3]Oct midyear Key Academy'!E22</f>
        <v>0</v>
      </c>
      <c r="W23" s="1755">
        <f t="shared" si="39"/>
        <v>0</v>
      </c>
      <c r="X23" s="1754">
        <f>'[3]Feb midyear Key Academy'!E22</f>
        <v>0</v>
      </c>
      <c r="Y23" s="1755">
        <f t="shared" si="40"/>
        <v>0</v>
      </c>
      <c r="Z23" s="1652">
        <f t="shared" si="41"/>
        <v>0</v>
      </c>
      <c r="AA23" s="1521">
        <f t="shared" si="42"/>
        <v>0</v>
      </c>
      <c r="AB23" s="936">
        <f t="shared" si="43"/>
        <v>0</v>
      </c>
      <c r="AC23" s="874">
        <f t="shared" si="44"/>
        <v>0</v>
      </c>
      <c r="AD23" s="1829">
        <v>0</v>
      </c>
      <c r="AE23" s="874">
        <f t="shared" si="45"/>
        <v>0</v>
      </c>
      <c r="AF23" s="1829">
        <f>+'[4]Table 5C1I-LA Key Academy'!T22*8</f>
        <v>0</v>
      </c>
      <c r="AG23" s="1829">
        <f t="shared" si="46"/>
        <v>0</v>
      </c>
      <c r="AH23" s="874">
        <f t="shared" si="47"/>
        <v>0</v>
      </c>
      <c r="AI23" s="875">
        <f t="shared" si="27"/>
        <v>0</v>
      </c>
      <c r="AJ23" s="875">
        <f t="shared" si="48"/>
        <v>0</v>
      </c>
      <c r="AL23" s="2034">
        <f>-'[4]Table 5C1I-LA Key Academy'!P22</f>
        <v>0</v>
      </c>
      <c r="AM23" s="2034">
        <f t="shared" si="49"/>
        <v>0</v>
      </c>
      <c r="AN23" s="2034">
        <f t="shared" si="50"/>
        <v>0</v>
      </c>
    </row>
    <row r="24" spans="1:40">
      <c r="A24" s="876">
        <v>17</v>
      </c>
      <c r="B24" s="877" t="s">
        <v>108</v>
      </c>
      <c r="C24" s="969">
        <f>ROUND(138*80%,0)</f>
        <v>110</v>
      </c>
      <c r="D24" s="878">
        <f>'Table 3 Levels 1&amp;2'!AL24</f>
        <v>3313.0666313017805</v>
      </c>
      <c r="E24" s="919">
        <f t="shared" si="28"/>
        <v>364437.32944319583</v>
      </c>
      <c r="F24" s="919">
        <f>'Table 4 Level 3'!P22</f>
        <v>801.47762416806802</v>
      </c>
      <c r="G24" s="919">
        <f t="shared" si="29"/>
        <v>88162.53865848748</v>
      </c>
      <c r="H24" s="898">
        <f t="shared" si="30"/>
        <v>452599.86810168333</v>
      </c>
      <c r="I24" s="1732">
        <f>+'[3]Oct midyear Key Academy'!K23</f>
        <v>-4114.5442554698484</v>
      </c>
      <c r="J24" s="1732">
        <f>'[3]Feb midyear Key Academy'!K23</f>
        <v>-2057.2721277349242</v>
      </c>
      <c r="K24" s="1543">
        <f t="shared" si="31"/>
        <v>-6171.8163832047721</v>
      </c>
      <c r="L24" s="1485">
        <f t="shared" si="32"/>
        <v>446428.05171847856</v>
      </c>
      <c r="M24" s="929">
        <f t="shared" si="33"/>
        <v>-1116.0701292961965</v>
      </c>
      <c r="N24" s="898">
        <f t="shared" si="34"/>
        <v>445311.98158918234</v>
      </c>
      <c r="O24" s="878">
        <v>0</v>
      </c>
      <c r="P24" s="1550">
        <f t="shared" si="35"/>
        <v>445311.98158918234</v>
      </c>
      <c r="Q24" s="1732">
        <f>+'[4]Table 5C1I-LA Key Academy'!M23*8</f>
        <v>300978.91228761943</v>
      </c>
      <c r="R24" s="1732">
        <f t="shared" si="36"/>
        <v>144333.06930156291</v>
      </c>
      <c r="S24" s="1550">
        <f t="shared" si="37"/>
        <v>36083</v>
      </c>
      <c r="T24" s="1802">
        <f>'Table 5C1A-Madison Prep'!T24</f>
        <v>6866</v>
      </c>
      <c r="U24" s="1555">
        <f t="shared" si="38"/>
        <v>755260</v>
      </c>
      <c r="V24" s="1758">
        <f>+'[3]Oct midyear Key Academy'!E23</f>
        <v>-1</v>
      </c>
      <c r="W24" s="1759">
        <f t="shared" si="39"/>
        <v>-6866</v>
      </c>
      <c r="X24" s="1758">
        <f>'[3]Feb midyear Key Academy'!E23</f>
        <v>-1</v>
      </c>
      <c r="Y24" s="1759">
        <f t="shared" si="40"/>
        <v>-3433</v>
      </c>
      <c r="Z24" s="1653">
        <f t="shared" si="41"/>
        <v>-10299</v>
      </c>
      <c r="AA24" s="1486">
        <f t="shared" si="42"/>
        <v>744961</v>
      </c>
      <c r="AB24" s="937">
        <f t="shared" si="43"/>
        <v>-1862.4025000000001</v>
      </c>
      <c r="AC24" s="899">
        <f t="shared" si="44"/>
        <v>743098.59750000003</v>
      </c>
      <c r="AD24" s="1830">
        <v>0</v>
      </c>
      <c r="AE24" s="899">
        <f t="shared" si="45"/>
        <v>743098.59750000003</v>
      </c>
      <c r="AF24" s="1834">
        <f>+'[4]Table 5C1I-LA Key Academy'!T23*8</f>
        <v>494713.45</v>
      </c>
      <c r="AG24" s="1834">
        <f t="shared" si="46"/>
        <v>248385.14750000002</v>
      </c>
      <c r="AH24" s="899">
        <f t="shared" si="47"/>
        <v>62096</v>
      </c>
      <c r="AI24" s="900">
        <f t="shared" si="27"/>
        <v>1188410.5790891824</v>
      </c>
      <c r="AJ24" s="900">
        <f t="shared" si="48"/>
        <v>98179</v>
      </c>
      <c r="AL24" s="2034">
        <f>-'[4]Table 5C1I-LA Key Academy'!P23</f>
        <v>1859.825</v>
      </c>
      <c r="AM24" s="2034">
        <f t="shared" si="49"/>
        <v>-1862.4025000000001</v>
      </c>
      <c r="AN24" s="2034">
        <f t="shared" si="50"/>
        <v>-2.5775000000001</v>
      </c>
    </row>
    <row r="25" spans="1:40">
      <c r="A25" s="876">
        <v>18</v>
      </c>
      <c r="B25" s="877" t="s">
        <v>109</v>
      </c>
      <c r="C25" s="969">
        <v>0</v>
      </c>
      <c r="D25" s="878">
        <f>'Table 3 Levels 1&amp;2'!AL25</f>
        <v>5989.1351892854573</v>
      </c>
      <c r="E25" s="919">
        <f t="shared" si="28"/>
        <v>0</v>
      </c>
      <c r="F25" s="919">
        <f>'Table 4 Level 3'!P23</f>
        <v>845.94999999999993</v>
      </c>
      <c r="G25" s="919">
        <f t="shared" si="29"/>
        <v>0</v>
      </c>
      <c r="H25" s="898">
        <f t="shared" si="30"/>
        <v>0</v>
      </c>
      <c r="I25" s="1732">
        <f>+'[3]Oct midyear Key Academy'!K24</f>
        <v>0</v>
      </c>
      <c r="J25" s="1732">
        <f>'[3]Feb midyear Key Academy'!K24</f>
        <v>0</v>
      </c>
      <c r="K25" s="1543">
        <f t="shared" si="31"/>
        <v>0</v>
      </c>
      <c r="L25" s="1485">
        <f t="shared" si="32"/>
        <v>0</v>
      </c>
      <c r="M25" s="929">
        <f t="shared" si="33"/>
        <v>0</v>
      </c>
      <c r="N25" s="898">
        <f t="shared" si="34"/>
        <v>0</v>
      </c>
      <c r="O25" s="878">
        <v>0</v>
      </c>
      <c r="P25" s="1550">
        <f t="shared" si="35"/>
        <v>0</v>
      </c>
      <c r="Q25" s="1732">
        <f>+'[4]Table 5C1I-LA Key Academy'!M24*8</f>
        <v>0</v>
      </c>
      <c r="R25" s="1732">
        <f t="shared" si="36"/>
        <v>0</v>
      </c>
      <c r="S25" s="1550">
        <f t="shared" si="37"/>
        <v>0</v>
      </c>
      <c r="T25" s="1802">
        <f>'Table 5C1A-Madison Prep'!T25</f>
        <v>3071</v>
      </c>
      <c r="U25" s="1555">
        <f t="shared" si="38"/>
        <v>0</v>
      </c>
      <c r="V25" s="1758">
        <f>+'[3]Oct midyear Key Academy'!E24</f>
        <v>0</v>
      </c>
      <c r="W25" s="1759">
        <f t="shared" si="39"/>
        <v>0</v>
      </c>
      <c r="X25" s="1758">
        <f>'[3]Feb midyear Key Academy'!E24</f>
        <v>0</v>
      </c>
      <c r="Y25" s="1759">
        <f t="shared" si="40"/>
        <v>0</v>
      </c>
      <c r="Z25" s="1653">
        <f t="shared" si="41"/>
        <v>0</v>
      </c>
      <c r="AA25" s="1486">
        <f t="shared" si="42"/>
        <v>0</v>
      </c>
      <c r="AB25" s="937">
        <f t="shared" si="43"/>
        <v>0</v>
      </c>
      <c r="AC25" s="899">
        <f t="shared" si="44"/>
        <v>0</v>
      </c>
      <c r="AD25" s="1830">
        <v>0</v>
      </c>
      <c r="AE25" s="899">
        <f t="shared" si="45"/>
        <v>0</v>
      </c>
      <c r="AF25" s="1834">
        <f>+'[4]Table 5C1I-LA Key Academy'!T24*8</f>
        <v>0</v>
      </c>
      <c r="AG25" s="1834">
        <f t="shared" si="46"/>
        <v>0</v>
      </c>
      <c r="AH25" s="899">
        <f t="shared" si="47"/>
        <v>0</v>
      </c>
      <c r="AI25" s="900">
        <f t="shared" si="27"/>
        <v>0</v>
      </c>
      <c r="AJ25" s="900">
        <f t="shared" si="48"/>
        <v>0</v>
      </c>
      <c r="AL25" s="2034">
        <f>-'[4]Table 5C1I-LA Key Academy'!P24</f>
        <v>0</v>
      </c>
      <c r="AM25" s="2034">
        <f t="shared" si="49"/>
        <v>0</v>
      </c>
      <c r="AN25" s="2034">
        <f t="shared" si="50"/>
        <v>0</v>
      </c>
    </row>
    <row r="26" spans="1:40">
      <c r="A26" s="876">
        <v>19</v>
      </c>
      <c r="B26" s="877" t="s">
        <v>110</v>
      </c>
      <c r="C26" s="969">
        <v>0</v>
      </c>
      <c r="D26" s="878">
        <f>'Table 3 Levels 1&amp;2'!AL26</f>
        <v>5315.8913399708035</v>
      </c>
      <c r="E26" s="919">
        <f t="shared" si="28"/>
        <v>0</v>
      </c>
      <c r="F26" s="919">
        <f>'Table 4 Level 3'!P24</f>
        <v>905.43</v>
      </c>
      <c r="G26" s="919">
        <f t="shared" si="29"/>
        <v>0</v>
      </c>
      <c r="H26" s="898">
        <f t="shared" si="30"/>
        <v>0</v>
      </c>
      <c r="I26" s="1732">
        <f>+'[3]Oct midyear Key Academy'!K25</f>
        <v>12442.642679941608</v>
      </c>
      <c r="J26" s="1732">
        <f>'[3]Feb midyear Key Academy'!K25</f>
        <v>0</v>
      </c>
      <c r="K26" s="1543">
        <f t="shared" si="31"/>
        <v>12442.642679941608</v>
      </c>
      <c r="L26" s="1485">
        <f t="shared" si="32"/>
        <v>12442.642679941608</v>
      </c>
      <c r="M26" s="929">
        <f t="shared" si="33"/>
        <v>-31.106606699854019</v>
      </c>
      <c r="N26" s="898">
        <f t="shared" si="34"/>
        <v>12411.536073241754</v>
      </c>
      <c r="O26" s="878">
        <v>0</v>
      </c>
      <c r="P26" s="1550">
        <f t="shared" si="35"/>
        <v>12411.536073241754</v>
      </c>
      <c r="Q26" s="1732">
        <f>+'[4]Table 5C1I-LA Key Academy'!M25*8</f>
        <v>0</v>
      </c>
      <c r="R26" s="1732">
        <f t="shared" si="36"/>
        <v>12411.536073241754</v>
      </c>
      <c r="S26" s="1550">
        <f t="shared" si="37"/>
        <v>3103</v>
      </c>
      <c r="T26" s="1802">
        <f>'Table 5C1A-Madison Prep'!T26</f>
        <v>2566</v>
      </c>
      <c r="U26" s="1555">
        <f t="shared" si="38"/>
        <v>0</v>
      </c>
      <c r="V26" s="1758">
        <f>+'[3]Oct midyear Key Academy'!E25</f>
        <v>2</v>
      </c>
      <c r="W26" s="1759">
        <f t="shared" si="39"/>
        <v>5132</v>
      </c>
      <c r="X26" s="1758">
        <f>'[3]Feb midyear Key Academy'!E25</f>
        <v>0</v>
      </c>
      <c r="Y26" s="1759">
        <f t="shared" si="40"/>
        <v>0</v>
      </c>
      <c r="Z26" s="1653">
        <f t="shared" si="41"/>
        <v>5132</v>
      </c>
      <c r="AA26" s="1486">
        <f t="shared" si="42"/>
        <v>5132</v>
      </c>
      <c r="AB26" s="937">
        <f t="shared" si="43"/>
        <v>-12.83</v>
      </c>
      <c r="AC26" s="899">
        <f t="shared" si="44"/>
        <v>5119.17</v>
      </c>
      <c r="AD26" s="1830">
        <v>0</v>
      </c>
      <c r="AE26" s="899">
        <f t="shared" si="45"/>
        <v>5119.17</v>
      </c>
      <c r="AF26" s="1834">
        <f>+'[4]Table 5C1I-LA Key Academy'!T25*8</f>
        <v>0</v>
      </c>
      <c r="AG26" s="1834">
        <f t="shared" si="46"/>
        <v>5119.17</v>
      </c>
      <c r="AH26" s="899">
        <f t="shared" si="47"/>
        <v>1280</v>
      </c>
      <c r="AI26" s="900">
        <f t="shared" si="27"/>
        <v>17530.706073241752</v>
      </c>
      <c r="AJ26" s="900">
        <f t="shared" si="48"/>
        <v>4383</v>
      </c>
      <c r="AL26" s="2034">
        <f>-'[4]Table 5C1I-LA Key Academy'!P25</f>
        <v>0</v>
      </c>
      <c r="AM26" s="2034">
        <f t="shared" si="49"/>
        <v>-12.83</v>
      </c>
      <c r="AN26" s="2034">
        <f t="shared" si="50"/>
        <v>-12.83</v>
      </c>
    </row>
    <row r="27" spans="1:40">
      <c r="A27" s="879">
        <v>20</v>
      </c>
      <c r="B27" s="880" t="s">
        <v>111</v>
      </c>
      <c r="C27" s="970">
        <v>0</v>
      </c>
      <c r="D27" s="881">
        <f>'Table 3 Levels 1&amp;2'!AL27</f>
        <v>5420.2042919205833</v>
      </c>
      <c r="E27" s="920">
        <f t="shared" si="28"/>
        <v>0</v>
      </c>
      <c r="F27" s="920">
        <f>'Table 4 Level 3'!P25</f>
        <v>586.16999999999996</v>
      </c>
      <c r="G27" s="920">
        <f t="shared" si="29"/>
        <v>0</v>
      </c>
      <c r="H27" s="901">
        <f t="shared" si="30"/>
        <v>0</v>
      </c>
      <c r="I27" s="1733">
        <f>+'[3]Oct midyear Key Academy'!K26</f>
        <v>0</v>
      </c>
      <c r="J27" s="1733">
        <f>'[3]Feb midyear Key Academy'!K26</f>
        <v>0</v>
      </c>
      <c r="K27" s="1544">
        <f t="shared" si="31"/>
        <v>0</v>
      </c>
      <c r="L27" s="1487">
        <f t="shared" si="32"/>
        <v>0</v>
      </c>
      <c r="M27" s="930">
        <f t="shared" si="33"/>
        <v>0</v>
      </c>
      <c r="N27" s="901">
        <f t="shared" si="34"/>
        <v>0</v>
      </c>
      <c r="O27" s="881">
        <v>0</v>
      </c>
      <c r="P27" s="1551">
        <f t="shared" si="35"/>
        <v>0</v>
      </c>
      <c r="Q27" s="1733">
        <f>+'[4]Table 5C1I-LA Key Academy'!M26*8</f>
        <v>0</v>
      </c>
      <c r="R27" s="1733">
        <f t="shared" si="36"/>
        <v>0</v>
      </c>
      <c r="S27" s="1551">
        <f t="shared" si="37"/>
        <v>0</v>
      </c>
      <c r="T27" s="1807">
        <f>'Table 5C1A-Madison Prep'!T27</f>
        <v>2621</v>
      </c>
      <c r="U27" s="1556">
        <f t="shared" si="38"/>
        <v>0</v>
      </c>
      <c r="V27" s="1762">
        <f>+'[3]Oct midyear Key Academy'!E26</f>
        <v>0</v>
      </c>
      <c r="W27" s="1763">
        <f t="shared" si="39"/>
        <v>0</v>
      </c>
      <c r="X27" s="1762">
        <f>'[3]Feb midyear Key Academy'!E26</f>
        <v>0</v>
      </c>
      <c r="Y27" s="1763">
        <f t="shared" si="40"/>
        <v>0</v>
      </c>
      <c r="Z27" s="1654">
        <f t="shared" si="41"/>
        <v>0</v>
      </c>
      <c r="AA27" s="1488">
        <f t="shared" si="42"/>
        <v>0</v>
      </c>
      <c r="AB27" s="938">
        <f t="shared" si="43"/>
        <v>0</v>
      </c>
      <c r="AC27" s="903">
        <f t="shared" si="44"/>
        <v>0</v>
      </c>
      <c r="AD27" s="1831">
        <v>0</v>
      </c>
      <c r="AE27" s="903">
        <f t="shared" si="45"/>
        <v>0</v>
      </c>
      <c r="AF27" s="1835">
        <f>+'[4]Table 5C1I-LA Key Academy'!T26*8</f>
        <v>0</v>
      </c>
      <c r="AG27" s="1835">
        <f t="shared" si="46"/>
        <v>0</v>
      </c>
      <c r="AH27" s="903">
        <f t="shared" si="47"/>
        <v>0</v>
      </c>
      <c r="AI27" s="904">
        <f t="shared" si="27"/>
        <v>0</v>
      </c>
      <c r="AJ27" s="904">
        <f t="shared" si="48"/>
        <v>0</v>
      </c>
      <c r="AL27" s="2034">
        <f>-'[4]Table 5C1I-LA Key Academy'!P26</f>
        <v>0</v>
      </c>
      <c r="AM27" s="2034">
        <f t="shared" si="49"/>
        <v>0</v>
      </c>
      <c r="AN27" s="2034">
        <f t="shared" si="50"/>
        <v>0</v>
      </c>
    </row>
    <row r="28" spans="1:40">
      <c r="A28" s="870">
        <v>21</v>
      </c>
      <c r="B28" s="871" t="s">
        <v>112</v>
      </c>
      <c r="C28" s="971">
        <v>0</v>
      </c>
      <c r="D28" s="872">
        <f>'Table 3 Levels 1&amp;2'!AL28</f>
        <v>5724.5404916279067</v>
      </c>
      <c r="E28" s="918">
        <f t="shared" si="28"/>
        <v>0</v>
      </c>
      <c r="F28" s="918">
        <f>'Table 4 Level 3'!P26</f>
        <v>610.35</v>
      </c>
      <c r="G28" s="918">
        <f t="shared" si="29"/>
        <v>0</v>
      </c>
      <c r="H28" s="873">
        <f t="shared" si="30"/>
        <v>0</v>
      </c>
      <c r="I28" s="1718">
        <f>+'[3]Oct midyear Key Academy'!K27</f>
        <v>0</v>
      </c>
      <c r="J28" s="1718">
        <f>'[3]Feb midyear Key Academy'!K27</f>
        <v>0</v>
      </c>
      <c r="K28" s="1542">
        <f t="shared" si="31"/>
        <v>0</v>
      </c>
      <c r="L28" s="1520">
        <f t="shared" si="32"/>
        <v>0</v>
      </c>
      <c r="M28" s="928">
        <f t="shared" si="33"/>
        <v>0</v>
      </c>
      <c r="N28" s="873">
        <f t="shared" si="34"/>
        <v>0</v>
      </c>
      <c r="O28" s="872">
        <v>0</v>
      </c>
      <c r="P28" s="998">
        <f t="shared" si="35"/>
        <v>0</v>
      </c>
      <c r="Q28" s="1718">
        <f>+'[4]Table 5C1I-LA Key Academy'!M27*8</f>
        <v>0</v>
      </c>
      <c r="R28" s="1718">
        <f t="shared" si="36"/>
        <v>0</v>
      </c>
      <c r="S28" s="998">
        <f t="shared" si="37"/>
        <v>0</v>
      </c>
      <c r="T28" s="1802">
        <f>'Table 5C1A-Madison Prep'!T28</f>
        <v>2445</v>
      </c>
      <c r="U28" s="999">
        <f t="shared" si="38"/>
        <v>0</v>
      </c>
      <c r="V28" s="1754">
        <f>+'[3]Oct midyear Key Academy'!E27</f>
        <v>0</v>
      </c>
      <c r="W28" s="1755">
        <f t="shared" si="39"/>
        <v>0</v>
      </c>
      <c r="X28" s="1754">
        <f>'[3]Feb midyear Key Academy'!E27</f>
        <v>0</v>
      </c>
      <c r="Y28" s="1755">
        <f t="shared" si="40"/>
        <v>0</v>
      </c>
      <c r="Z28" s="1652">
        <f t="shared" si="41"/>
        <v>0</v>
      </c>
      <c r="AA28" s="1521">
        <f t="shared" si="42"/>
        <v>0</v>
      </c>
      <c r="AB28" s="936">
        <f t="shared" si="43"/>
        <v>0</v>
      </c>
      <c r="AC28" s="874">
        <f t="shared" si="44"/>
        <v>0</v>
      </c>
      <c r="AD28" s="1829">
        <v>0</v>
      </c>
      <c r="AE28" s="874">
        <f t="shared" si="45"/>
        <v>0</v>
      </c>
      <c r="AF28" s="1829">
        <f>+'[4]Table 5C1I-LA Key Academy'!T27*8</f>
        <v>0</v>
      </c>
      <c r="AG28" s="1829">
        <f t="shared" si="46"/>
        <v>0</v>
      </c>
      <c r="AH28" s="874">
        <f t="shared" si="47"/>
        <v>0</v>
      </c>
      <c r="AI28" s="875">
        <f t="shared" si="27"/>
        <v>0</v>
      </c>
      <c r="AJ28" s="875">
        <f t="shared" si="48"/>
        <v>0</v>
      </c>
      <c r="AL28" s="2034">
        <f>-'[4]Table 5C1I-LA Key Academy'!P27</f>
        <v>0</v>
      </c>
      <c r="AM28" s="2034">
        <f t="shared" si="49"/>
        <v>0</v>
      </c>
      <c r="AN28" s="2034">
        <f t="shared" si="50"/>
        <v>0</v>
      </c>
    </row>
    <row r="29" spans="1:40">
      <c r="A29" s="876">
        <v>22</v>
      </c>
      <c r="B29" s="877" t="s">
        <v>113</v>
      </c>
      <c r="C29" s="969">
        <v>0</v>
      </c>
      <c r="D29" s="878">
        <f>'Table 3 Levels 1&amp;2'!AL29</f>
        <v>6203.2933768722742</v>
      </c>
      <c r="E29" s="919">
        <f t="shared" si="28"/>
        <v>0</v>
      </c>
      <c r="F29" s="919">
        <f>'Table 4 Level 3'!P27</f>
        <v>496.36</v>
      </c>
      <c r="G29" s="919">
        <f t="shared" si="29"/>
        <v>0</v>
      </c>
      <c r="H29" s="898">
        <f t="shared" si="30"/>
        <v>0</v>
      </c>
      <c r="I29" s="1732">
        <f>+'[3]Oct midyear Key Academy'!K28</f>
        <v>0</v>
      </c>
      <c r="J29" s="1732">
        <f>'[3]Feb midyear Key Academy'!K28</f>
        <v>0</v>
      </c>
      <c r="K29" s="1543">
        <f t="shared" si="31"/>
        <v>0</v>
      </c>
      <c r="L29" s="1485">
        <f t="shared" si="32"/>
        <v>0</v>
      </c>
      <c r="M29" s="929">
        <f t="shared" si="33"/>
        <v>0</v>
      </c>
      <c r="N29" s="898">
        <f t="shared" si="34"/>
        <v>0</v>
      </c>
      <c r="O29" s="878">
        <v>0</v>
      </c>
      <c r="P29" s="1550">
        <f t="shared" si="35"/>
        <v>0</v>
      </c>
      <c r="Q29" s="1732">
        <f>+'[4]Table 5C1I-LA Key Academy'!M28*8</f>
        <v>0</v>
      </c>
      <c r="R29" s="1732">
        <f t="shared" si="36"/>
        <v>0</v>
      </c>
      <c r="S29" s="1550">
        <f t="shared" si="37"/>
        <v>0</v>
      </c>
      <c r="T29" s="1802">
        <f>'Table 5C1A-Madison Prep'!T29</f>
        <v>1519</v>
      </c>
      <c r="U29" s="1555">
        <f t="shared" si="38"/>
        <v>0</v>
      </c>
      <c r="V29" s="1758">
        <f>+'[3]Oct midyear Key Academy'!E28</f>
        <v>0</v>
      </c>
      <c r="W29" s="1759">
        <f t="shared" si="39"/>
        <v>0</v>
      </c>
      <c r="X29" s="1758">
        <f>'[3]Feb midyear Key Academy'!E28</f>
        <v>0</v>
      </c>
      <c r="Y29" s="1759">
        <f t="shared" si="40"/>
        <v>0</v>
      </c>
      <c r="Z29" s="1653">
        <f t="shared" si="41"/>
        <v>0</v>
      </c>
      <c r="AA29" s="1486">
        <f t="shared" si="42"/>
        <v>0</v>
      </c>
      <c r="AB29" s="937">
        <f t="shared" si="43"/>
        <v>0</v>
      </c>
      <c r="AC29" s="899">
        <f t="shared" si="44"/>
        <v>0</v>
      </c>
      <c r="AD29" s="1830">
        <v>0</v>
      </c>
      <c r="AE29" s="899">
        <f t="shared" si="45"/>
        <v>0</v>
      </c>
      <c r="AF29" s="1834">
        <f>+'[4]Table 5C1I-LA Key Academy'!T28*8</f>
        <v>0</v>
      </c>
      <c r="AG29" s="1834">
        <f t="shared" si="46"/>
        <v>0</v>
      </c>
      <c r="AH29" s="899">
        <f t="shared" si="47"/>
        <v>0</v>
      </c>
      <c r="AI29" s="900">
        <f t="shared" si="27"/>
        <v>0</v>
      </c>
      <c r="AJ29" s="900">
        <f t="shared" si="48"/>
        <v>0</v>
      </c>
      <c r="AL29" s="2034">
        <f>-'[4]Table 5C1I-LA Key Academy'!P28</f>
        <v>0</v>
      </c>
      <c r="AM29" s="2034">
        <f t="shared" si="49"/>
        <v>0</v>
      </c>
      <c r="AN29" s="2034">
        <f t="shared" si="50"/>
        <v>0</v>
      </c>
    </row>
    <row r="30" spans="1:40">
      <c r="A30" s="876">
        <v>23</v>
      </c>
      <c r="B30" s="877" t="s">
        <v>114</v>
      </c>
      <c r="C30" s="969">
        <v>0</v>
      </c>
      <c r="D30" s="878">
        <f>'Table 3 Levels 1&amp;2'!AL30</f>
        <v>4846.0802490067681</v>
      </c>
      <c r="E30" s="919">
        <f t="shared" si="28"/>
        <v>0</v>
      </c>
      <c r="F30" s="919">
        <f>'Table 4 Level 3'!P28</f>
        <v>688.58</v>
      </c>
      <c r="G30" s="919">
        <f t="shared" si="29"/>
        <v>0</v>
      </c>
      <c r="H30" s="898">
        <f t="shared" si="30"/>
        <v>0</v>
      </c>
      <c r="I30" s="1732">
        <f>+'[3]Oct midyear Key Academy'!K29</f>
        <v>0</v>
      </c>
      <c r="J30" s="1732">
        <f>'[3]Feb midyear Key Academy'!K29</f>
        <v>0</v>
      </c>
      <c r="K30" s="1543">
        <f t="shared" si="31"/>
        <v>0</v>
      </c>
      <c r="L30" s="1485">
        <f t="shared" si="32"/>
        <v>0</v>
      </c>
      <c r="M30" s="929">
        <f t="shared" si="33"/>
        <v>0</v>
      </c>
      <c r="N30" s="898">
        <f t="shared" si="34"/>
        <v>0</v>
      </c>
      <c r="O30" s="878">
        <v>0</v>
      </c>
      <c r="P30" s="1550">
        <f t="shared" si="35"/>
        <v>0</v>
      </c>
      <c r="Q30" s="1732">
        <f>+'[4]Table 5C1I-LA Key Academy'!M29*8</f>
        <v>0</v>
      </c>
      <c r="R30" s="1732">
        <f t="shared" si="36"/>
        <v>0</v>
      </c>
      <c r="S30" s="1550">
        <f t="shared" si="37"/>
        <v>0</v>
      </c>
      <c r="T30" s="1802">
        <f>'Table 5C1A-Madison Prep'!T30</f>
        <v>3365</v>
      </c>
      <c r="U30" s="1555">
        <f t="shared" si="38"/>
        <v>0</v>
      </c>
      <c r="V30" s="1758">
        <f>+'[3]Oct midyear Key Academy'!E29</f>
        <v>0</v>
      </c>
      <c r="W30" s="1759">
        <f t="shared" si="39"/>
        <v>0</v>
      </c>
      <c r="X30" s="1758">
        <f>'[3]Feb midyear Key Academy'!E29</f>
        <v>0</v>
      </c>
      <c r="Y30" s="1759">
        <f t="shared" si="40"/>
        <v>0</v>
      </c>
      <c r="Z30" s="1653">
        <f t="shared" si="41"/>
        <v>0</v>
      </c>
      <c r="AA30" s="1486">
        <f t="shared" si="42"/>
        <v>0</v>
      </c>
      <c r="AB30" s="937">
        <f t="shared" si="43"/>
        <v>0</v>
      </c>
      <c r="AC30" s="899">
        <f t="shared" si="44"/>
        <v>0</v>
      </c>
      <c r="AD30" s="1830">
        <v>0</v>
      </c>
      <c r="AE30" s="899">
        <f t="shared" si="45"/>
        <v>0</v>
      </c>
      <c r="AF30" s="1834">
        <f>+'[4]Table 5C1I-LA Key Academy'!T29*8</f>
        <v>0</v>
      </c>
      <c r="AG30" s="1834">
        <f t="shared" si="46"/>
        <v>0</v>
      </c>
      <c r="AH30" s="899">
        <f t="shared" si="47"/>
        <v>0</v>
      </c>
      <c r="AI30" s="900">
        <f t="shared" si="27"/>
        <v>0</v>
      </c>
      <c r="AJ30" s="900">
        <f t="shared" si="48"/>
        <v>0</v>
      </c>
      <c r="AL30" s="2034">
        <f>-'[4]Table 5C1I-LA Key Academy'!P29</f>
        <v>0</v>
      </c>
      <c r="AM30" s="2034">
        <f t="shared" si="49"/>
        <v>0</v>
      </c>
      <c r="AN30" s="2034">
        <f t="shared" si="50"/>
        <v>0</v>
      </c>
    </row>
    <row r="31" spans="1:40">
      <c r="A31" s="876">
        <v>24</v>
      </c>
      <c r="B31" s="877" t="s">
        <v>115</v>
      </c>
      <c r="C31" s="969">
        <v>0</v>
      </c>
      <c r="D31" s="878">
        <f>'Table 3 Levels 1&amp;2'!AL31</f>
        <v>2764.1216755319151</v>
      </c>
      <c r="E31" s="919">
        <f t="shared" si="28"/>
        <v>0</v>
      </c>
      <c r="F31" s="919">
        <f>'Table 4 Level 3'!P29</f>
        <v>854.24999999999989</v>
      </c>
      <c r="G31" s="919">
        <f t="shared" si="29"/>
        <v>0</v>
      </c>
      <c r="H31" s="898">
        <f t="shared" si="30"/>
        <v>0</v>
      </c>
      <c r="I31" s="1732">
        <f>+'[3]Oct midyear Key Academy'!K30</f>
        <v>10855.115026595746</v>
      </c>
      <c r="J31" s="1732">
        <f>'[3]Feb midyear Key Academy'!K30</f>
        <v>1809.1858377659576</v>
      </c>
      <c r="K31" s="1543">
        <f t="shared" si="31"/>
        <v>12664.300864361703</v>
      </c>
      <c r="L31" s="1485">
        <f t="shared" si="32"/>
        <v>12664.300864361703</v>
      </c>
      <c r="M31" s="929">
        <f t="shared" si="33"/>
        <v>-31.660752160904259</v>
      </c>
      <c r="N31" s="898">
        <f t="shared" si="34"/>
        <v>12632.640112200799</v>
      </c>
      <c r="O31" s="878">
        <v>0</v>
      </c>
      <c r="P31" s="1550">
        <f t="shared" si="35"/>
        <v>12632.640112200799</v>
      </c>
      <c r="Q31" s="1732">
        <f>+'[4]Table 5C1I-LA Key Academy'!M30*8</f>
        <v>0</v>
      </c>
      <c r="R31" s="1732">
        <f t="shared" si="36"/>
        <v>12632.640112200799</v>
      </c>
      <c r="S31" s="1550">
        <f t="shared" si="37"/>
        <v>3158</v>
      </c>
      <c r="T31" s="1802">
        <f>'Table 5C1A-Madison Prep'!T31</f>
        <v>10907</v>
      </c>
      <c r="U31" s="1555">
        <f t="shared" si="38"/>
        <v>0</v>
      </c>
      <c r="V31" s="1758">
        <f>+'[3]Oct midyear Key Academy'!E30</f>
        <v>3</v>
      </c>
      <c r="W31" s="1759">
        <f t="shared" si="39"/>
        <v>32721</v>
      </c>
      <c r="X31" s="1758">
        <f>'[3]Feb midyear Key Academy'!E30</f>
        <v>1</v>
      </c>
      <c r="Y31" s="1759">
        <f t="shared" si="40"/>
        <v>5453.5</v>
      </c>
      <c r="Z31" s="1653">
        <f t="shared" si="41"/>
        <v>38174.5</v>
      </c>
      <c r="AA31" s="1486">
        <f t="shared" si="42"/>
        <v>38174.5</v>
      </c>
      <c r="AB31" s="937">
        <f t="shared" si="43"/>
        <v>-95.436250000000001</v>
      </c>
      <c r="AC31" s="899">
        <f t="shared" si="44"/>
        <v>38079.063750000001</v>
      </c>
      <c r="AD31" s="1830">
        <v>0</v>
      </c>
      <c r="AE31" s="899">
        <f t="shared" si="45"/>
        <v>38079.063750000001</v>
      </c>
      <c r="AF31" s="1834">
        <f>+'[4]Table 5C1I-LA Key Academy'!T30*8</f>
        <v>0</v>
      </c>
      <c r="AG31" s="1834">
        <f t="shared" si="46"/>
        <v>38079.063750000001</v>
      </c>
      <c r="AH31" s="899">
        <f t="shared" si="47"/>
        <v>9520</v>
      </c>
      <c r="AI31" s="900">
        <f t="shared" si="27"/>
        <v>50711.703862200797</v>
      </c>
      <c r="AJ31" s="900">
        <f t="shared" si="48"/>
        <v>12678</v>
      </c>
      <c r="AL31" s="2034">
        <f>-'[4]Table 5C1I-LA Key Academy'!P30</f>
        <v>0</v>
      </c>
      <c r="AM31" s="2034">
        <f t="shared" si="49"/>
        <v>-95.436250000000001</v>
      </c>
      <c r="AN31" s="2034">
        <f t="shared" si="50"/>
        <v>-95.436250000000001</v>
      </c>
    </row>
    <row r="32" spans="1:40">
      <c r="A32" s="879">
        <v>25</v>
      </c>
      <c r="B32" s="880" t="s">
        <v>116</v>
      </c>
      <c r="C32" s="970">
        <v>0</v>
      </c>
      <c r="D32" s="881">
        <f>'Table 3 Levels 1&amp;2'!AL32</f>
        <v>3867.4480692053257</v>
      </c>
      <c r="E32" s="920">
        <f t="shared" si="28"/>
        <v>0</v>
      </c>
      <c r="F32" s="920">
        <f>'Table 4 Level 3'!P30</f>
        <v>653.73</v>
      </c>
      <c r="G32" s="920">
        <f t="shared" si="29"/>
        <v>0</v>
      </c>
      <c r="H32" s="901">
        <f t="shared" si="30"/>
        <v>0</v>
      </c>
      <c r="I32" s="1733">
        <f>+'[3]Oct midyear Key Academy'!K31</f>
        <v>0</v>
      </c>
      <c r="J32" s="1733">
        <f>'[3]Feb midyear Key Academy'!K31</f>
        <v>0</v>
      </c>
      <c r="K32" s="1544">
        <f t="shared" si="31"/>
        <v>0</v>
      </c>
      <c r="L32" s="1487">
        <f t="shared" si="32"/>
        <v>0</v>
      </c>
      <c r="M32" s="930">
        <f t="shared" si="33"/>
        <v>0</v>
      </c>
      <c r="N32" s="901">
        <f t="shared" si="34"/>
        <v>0</v>
      </c>
      <c r="O32" s="881">
        <v>0</v>
      </c>
      <c r="P32" s="1551">
        <f t="shared" si="35"/>
        <v>0</v>
      </c>
      <c r="Q32" s="1733">
        <f>+'[4]Table 5C1I-LA Key Academy'!M31*8</f>
        <v>0</v>
      </c>
      <c r="R32" s="1733">
        <f t="shared" si="36"/>
        <v>0</v>
      </c>
      <c r="S32" s="1551">
        <f t="shared" si="37"/>
        <v>0</v>
      </c>
      <c r="T32" s="1807">
        <f>'Table 5C1A-Madison Prep'!T32</f>
        <v>5156</v>
      </c>
      <c r="U32" s="1556">
        <f t="shared" si="38"/>
        <v>0</v>
      </c>
      <c r="V32" s="1762">
        <f>+'[3]Oct midyear Key Academy'!E31</f>
        <v>0</v>
      </c>
      <c r="W32" s="1763">
        <f t="shared" si="39"/>
        <v>0</v>
      </c>
      <c r="X32" s="1762">
        <f>'[3]Feb midyear Key Academy'!E31</f>
        <v>0</v>
      </c>
      <c r="Y32" s="1763">
        <f t="shared" si="40"/>
        <v>0</v>
      </c>
      <c r="Z32" s="1654">
        <f t="shared" si="41"/>
        <v>0</v>
      </c>
      <c r="AA32" s="1488">
        <f t="shared" si="42"/>
        <v>0</v>
      </c>
      <c r="AB32" s="938">
        <f t="shared" si="43"/>
        <v>0</v>
      </c>
      <c r="AC32" s="903">
        <f t="shared" si="44"/>
        <v>0</v>
      </c>
      <c r="AD32" s="1831">
        <v>0</v>
      </c>
      <c r="AE32" s="903">
        <f t="shared" si="45"/>
        <v>0</v>
      </c>
      <c r="AF32" s="1835">
        <f>+'[4]Table 5C1I-LA Key Academy'!T31*8</f>
        <v>0</v>
      </c>
      <c r="AG32" s="1835">
        <f t="shared" si="46"/>
        <v>0</v>
      </c>
      <c r="AH32" s="903">
        <f t="shared" si="47"/>
        <v>0</v>
      </c>
      <c r="AI32" s="904">
        <f t="shared" si="27"/>
        <v>0</v>
      </c>
      <c r="AJ32" s="904">
        <f t="shared" si="48"/>
        <v>0</v>
      </c>
      <c r="AL32" s="2034">
        <f>-'[4]Table 5C1I-LA Key Academy'!P31</f>
        <v>0</v>
      </c>
      <c r="AM32" s="2034">
        <f t="shared" si="49"/>
        <v>0</v>
      </c>
      <c r="AN32" s="2034">
        <f t="shared" si="50"/>
        <v>0</v>
      </c>
    </row>
    <row r="33" spans="1:40">
      <c r="A33" s="870">
        <v>26</v>
      </c>
      <c r="B33" s="871" t="s">
        <v>117</v>
      </c>
      <c r="C33" s="971">
        <v>0</v>
      </c>
      <c r="D33" s="872">
        <f>'Table 3 Levels 1&amp;2'!AL33</f>
        <v>3293.481526790355</v>
      </c>
      <c r="E33" s="918">
        <f t="shared" si="28"/>
        <v>0</v>
      </c>
      <c r="F33" s="918">
        <f>'Table 4 Level 3'!P31</f>
        <v>836.83</v>
      </c>
      <c r="G33" s="918">
        <f t="shared" si="29"/>
        <v>0</v>
      </c>
      <c r="H33" s="873">
        <f t="shared" si="30"/>
        <v>0</v>
      </c>
      <c r="I33" s="1718">
        <f>+'[3]Oct midyear Key Academy'!K32</f>
        <v>0</v>
      </c>
      <c r="J33" s="1718">
        <f>'[3]Feb midyear Key Academy'!K32</f>
        <v>0</v>
      </c>
      <c r="K33" s="1542">
        <f t="shared" si="31"/>
        <v>0</v>
      </c>
      <c r="L33" s="1520">
        <f t="shared" si="32"/>
        <v>0</v>
      </c>
      <c r="M33" s="928">
        <f t="shared" si="33"/>
        <v>0</v>
      </c>
      <c r="N33" s="873">
        <f t="shared" si="34"/>
        <v>0</v>
      </c>
      <c r="O33" s="872">
        <v>0</v>
      </c>
      <c r="P33" s="998">
        <f t="shared" si="35"/>
        <v>0</v>
      </c>
      <c r="Q33" s="1718">
        <f>+'[4]Table 5C1I-LA Key Academy'!M32*8</f>
        <v>0</v>
      </c>
      <c r="R33" s="1718">
        <f t="shared" si="36"/>
        <v>0</v>
      </c>
      <c r="S33" s="998">
        <f t="shared" si="37"/>
        <v>0</v>
      </c>
      <c r="T33" s="1802">
        <f>'Table 5C1A-Madison Prep'!T33</f>
        <v>5344</v>
      </c>
      <c r="U33" s="999">
        <f t="shared" si="38"/>
        <v>0</v>
      </c>
      <c r="V33" s="1754">
        <f>+'[3]Oct midyear Key Academy'!E32</f>
        <v>0</v>
      </c>
      <c r="W33" s="1755">
        <f t="shared" si="39"/>
        <v>0</v>
      </c>
      <c r="X33" s="1754">
        <f>'[3]Feb midyear Key Academy'!E32</f>
        <v>0</v>
      </c>
      <c r="Y33" s="1755">
        <f t="shared" si="40"/>
        <v>0</v>
      </c>
      <c r="Z33" s="1652">
        <f t="shared" si="41"/>
        <v>0</v>
      </c>
      <c r="AA33" s="1521">
        <f t="shared" si="42"/>
        <v>0</v>
      </c>
      <c r="AB33" s="936">
        <f t="shared" si="43"/>
        <v>0</v>
      </c>
      <c r="AC33" s="874">
        <f t="shared" si="44"/>
        <v>0</v>
      </c>
      <c r="AD33" s="1829">
        <v>0</v>
      </c>
      <c r="AE33" s="874">
        <f t="shared" si="45"/>
        <v>0</v>
      </c>
      <c r="AF33" s="1829">
        <f>+'[4]Table 5C1I-LA Key Academy'!T32*8</f>
        <v>0</v>
      </c>
      <c r="AG33" s="1829">
        <f t="shared" si="46"/>
        <v>0</v>
      </c>
      <c r="AH33" s="874">
        <f t="shared" si="47"/>
        <v>0</v>
      </c>
      <c r="AI33" s="875">
        <f t="shared" si="27"/>
        <v>0</v>
      </c>
      <c r="AJ33" s="875">
        <f t="shared" si="48"/>
        <v>0</v>
      </c>
      <c r="AL33" s="2034">
        <f>-'[4]Table 5C1I-LA Key Academy'!P32</f>
        <v>0</v>
      </c>
      <c r="AM33" s="2034">
        <f t="shared" si="49"/>
        <v>0</v>
      </c>
      <c r="AN33" s="2034">
        <f t="shared" si="50"/>
        <v>0</v>
      </c>
    </row>
    <row r="34" spans="1:40">
      <c r="A34" s="876">
        <v>27</v>
      </c>
      <c r="B34" s="877" t="s">
        <v>118</v>
      </c>
      <c r="C34" s="972">
        <v>0</v>
      </c>
      <c r="D34" s="882">
        <f>'Table 3 Levels 1&amp;2'!AL34</f>
        <v>5680.7727517381973</v>
      </c>
      <c r="E34" s="921">
        <f t="shared" si="28"/>
        <v>0</v>
      </c>
      <c r="F34" s="921">
        <f>'Table 4 Level 3'!P32</f>
        <v>693.06</v>
      </c>
      <c r="G34" s="921">
        <f t="shared" si="29"/>
        <v>0</v>
      </c>
      <c r="H34" s="905">
        <f t="shared" si="30"/>
        <v>0</v>
      </c>
      <c r="I34" s="1734">
        <f>+'[3]Oct midyear Key Academy'!K33</f>
        <v>0</v>
      </c>
      <c r="J34" s="1734">
        <f>'[3]Feb midyear Key Academy'!K33</f>
        <v>0</v>
      </c>
      <c r="K34" s="1545">
        <f t="shared" si="31"/>
        <v>0</v>
      </c>
      <c r="L34" s="1489">
        <f t="shared" si="32"/>
        <v>0</v>
      </c>
      <c r="M34" s="931">
        <f t="shared" si="33"/>
        <v>0</v>
      </c>
      <c r="N34" s="905">
        <f t="shared" si="34"/>
        <v>0</v>
      </c>
      <c r="O34" s="882">
        <v>0</v>
      </c>
      <c r="P34" s="1552">
        <f t="shared" si="35"/>
        <v>0</v>
      </c>
      <c r="Q34" s="1734">
        <f>+'[4]Table 5C1I-LA Key Academy'!M33*8</f>
        <v>0</v>
      </c>
      <c r="R34" s="1734">
        <f t="shared" si="36"/>
        <v>0</v>
      </c>
      <c r="S34" s="1552">
        <f t="shared" si="37"/>
        <v>0</v>
      </c>
      <c r="T34" s="1802">
        <f>'Table 5C1A-Madison Prep'!T34</f>
        <v>3271</v>
      </c>
      <c r="U34" s="1555">
        <f t="shared" si="38"/>
        <v>0</v>
      </c>
      <c r="V34" s="1758">
        <f>+'[3]Oct midyear Key Academy'!E33</f>
        <v>0</v>
      </c>
      <c r="W34" s="1759">
        <f t="shared" si="39"/>
        <v>0</v>
      </c>
      <c r="X34" s="1758">
        <f>'[3]Feb midyear Key Academy'!E33</f>
        <v>0</v>
      </c>
      <c r="Y34" s="1759">
        <f t="shared" si="40"/>
        <v>0</v>
      </c>
      <c r="Z34" s="1653">
        <f t="shared" si="41"/>
        <v>0</v>
      </c>
      <c r="AA34" s="1486">
        <f t="shared" si="42"/>
        <v>0</v>
      </c>
      <c r="AB34" s="937">
        <f t="shared" si="43"/>
        <v>0</v>
      </c>
      <c r="AC34" s="899">
        <f t="shared" si="44"/>
        <v>0</v>
      </c>
      <c r="AD34" s="1830">
        <v>0</v>
      </c>
      <c r="AE34" s="899">
        <f t="shared" si="45"/>
        <v>0</v>
      </c>
      <c r="AF34" s="1834">
        <f>+'[4]Table 5C1I-LA Key Academy'!T33*8</f>
        <v>0</v>
      </c>
      <c r="AG34" s="1834">
        <f t="shared" si="46"/>
        <v>0</v>
      </c>
      <c r="AH34" s="899">
        <f t="shared" si="47"/>
        <v>0</v>
      </c>
      <c r="AI34" s="900">
        <f t="shared" si="27"/>
        <v>0</v>
      </c>
      <c r="AJ34" s="900">
        <f t="shared" si="48"/>
        <v>0</v>
      </c>
      <c r="AL34" s="2034">
        <f>-'[4]Table 5C1I-LA Key Academy'!P33</f>
        <v>0</v>
      </c>
      <c r="AM34" s="2034">
        <f t="shared" si="49"/>
        <v>0</v>
      </c>
      <c r="AN34" s="2034">
        <f t="shared" si="50"/>
        <v>0</v>
      </c>
    </row>
    <row r="35" spans="1:40">
      <c r="A35" s="876">
        <v>28</v>
      </c>
      <c r="B35" s="877" t="s">
        <v>119</v>
      </c>
      <c r="C35" s="972">
        <v>0</v>
      </c>
      <c r="D35" s="882">
        <f>'Table 3 Levels 1&amp;2'!AL35</f>
        <v>3163.1694438483169</v>
      </c>
      <c r="E35" s="921">
        <f t="shared" si="28"/>
        <v>0</v>
      </c>
      <c r="F35" s="921">
        <f>'Table 4 Level 3'!P33</f>
        <v>694.4</v>
      </c>
      <c r="G35" s="921">
        <f t="shared" si="29"/>
        <v>0</v>
      </c>
      <c r="H35" s="905">
        <f t="shared" si="30"/>
        <v>0</v>
      </c>
      <c r="I35" s="1734">
        <f>+'[3]Oct midyear Key Academy'!K34</f>
        <v>0</v>
      </c>
      <c r="J35" s="1734">
        <f>'[3]Feb midyear Key Academy'!K34</f>
        <v>0</v>
      </c>
      <c r="K35" s="1545">
        <f t="shared" si="31"/>
        <v>0</v>
      </c>
      <c r="L35" s="1489">
        <f t="shared" si="32"/>
        <v>0</v>
      </c>
      <c r="M35" s="931">
        <f t="shared" si="33"/>
        <v>0</v>
      </c>
      <c r="N35" s="905">
        <f t="shared" si="34"/>
        <v>0</v>
      </c>
      <c r="O35" s="882">
        <v>0</v>
      </c>
      <c r="P35" s="1552">
        <f t="shared" si="35"/>
        <v>0</v>
      </c>
      <c r="Q35" s="1734">
        <f>+'[4]Table 5C1I-LA Key Academy'!M34*8</f>
        <v>0</v>
      </c>
      <c r="R35" s="1734">
        <f t="shared" si="36"/>
        <v>0</v>
      </c>
      <c r="S35" s="1552">
        <f t="shared" si="37"/>
        <v>0</v>
      </c>
      <c r="T35" s="1802">
        <f>'Table 5C1A-Madison Prep'!T35</f>
        <v>5647</v>
      </c>
      <c r="U35" s="1555">
        <f t="shared" si="38"/>
        <v>0</v>
      </c>
      <c r="V35" s="1758">
        <f>+'[3]Oct midyear Key Academy'!E34</f>
        <v>0</v>
      </c>
      <c r="W35" s="1759">
        <f t="shared" si="39"/>
        <v>0</v>
      </c>
      <c r="X35" s="1758">
        <f>'[3]Feb midyear Key Academy'!E34</f>
        <v>0</v>
      </c>
      <c r="Y35" s="1759">
        <f t="shared" si="40"/>
        <v>0</v>
      </c>
      <c r="Z35" s="1653">
        <f t="shared" si="41"/>
        <v>0</v>
      </c>
      <c r="AA35" s="1486">
        <f t="shared" si="42"/>
        <v>0</v>
      </c>
      <c r="AB35" s="937">
        <f t="shared" si="43"/>
        <v>0</v>
      </c>
      <c r="AC35" s="899">
        <f t="shared" si="44"/>
        <v>0</v>
      </c>
      <c r="AD35" s="1830">
        <v>0</v>
      </c>
      <c r="AE35" s="899">
        <f t="shared" si="45"/>
        <v>0</v>
      </c>
      <c r="AF35" s="1834">
        <f>+'[4]Table 5C1I-LA Key Academy'!T34*8</f>
        <v>0</v>
      </c>
      <c r="AG35" s="1834">
        <f t="shared" si="46"/>
        <v>0</v>
      </c>
      <c r="AH35" s="899">
        <f t="shared" si="47"/>
        <v>0</v>
      </c>
      <c r="AI35" s="900">
        <f t="shared" si="27"/>
        <v>0</v>
      </c>
      <c r="AJ35" s="900">
        <f t="shared" si="48"/>
        <v>0</v>
      </c>
      <c r="AL35" s="2034">
        <f>-'[4]Table 5C1I-LA Key Academy'!P34</f>
        <v>0</v>
      </c>
      <c r="AM35" s="2034">
        <f t="shared" si="49"/>
        <v>0</v>
      </c>
      <c r="AN35" s="2034">
        <f t="shared" si="50"/>
        <v>0</v>
      </c>
    </row>
    <row r="36" spans="1:40">
      <c r="A36" s="876">
        <v>29</v>
      </c>
      <c r="B36" s="877" t="s">
        <v>120</v>
      </c>
      <c r="C36" s="972">
        <v>0</v>
      </c>
      <c r="D36" s="882">
        <f>'Table 3 Levels 1&amp;2'!AL36</f>
        <v>3952.5586133052648</v>
      </c>
      <c r="E36" s="921">
        <f t="shared" si="28"/>
        <v>0</v>
      </c>
      <c r="F36" s="921">
        <f>'Table 4 Level 3'!P34</f>
        <v>754.94999999999993</v>
      </c>
      <c r="G36" s="921">
        <f t="shared" si="29"/>
        <v>0</v>
      </c>
      <c r="H36" s="905">
        <f t="shared" si="30"/>
        <v>0</v>
      </c>
      <c r="I36" s="1734">
        <f>+'[3]Oct midyear Key Academy'!K35</f>
        <v>0</v>
      </c>
      <c r="J36" s="1734">
        <f>'[3]Feb midyear Key Academy'!K35</f>
        <v>0</v>
      </c>
      <c r="K36" s="1545">
        <f t="shared" si="31"/>
        <v>0</v>
      </c>
      <c r="L36" s="1489">
        <f t="shared" si="32"/>
        <v>0</v>
      </c>
      <c r="M36" s="931">
        <f t="shared" si="33"/>
        <v>0</v>
      </c>
      <c r="N36" s="905">
        <f t="shared" si="34"/>
        <v>0</v>
      </c>
      <c r="O36" s="882">
        <v>0</v>
      </c>
      <c r="P36" s="1552">
        <f t="shared" si="35"/>
        <v>0</v>
      </c>
      <c r="Q36" s="1734">
        <f>+'[4]Table 5C1I-LA Key Academy'!M35*8</f>
        <v>0</v>
      </c>
      <c r="R36" s="1734">
        <f t="shared" si="36"/>
        <v>0</v>
      </c>
      <c r="S36" s="1552">
        <f t="shared" si="37"/>
        <v>0</v>
      </c>
      <c r="T36" s="1802">
        <f>'Table 5C1A-Madison Prep'!T36</f>
        <v>4826</v>
      </c>
      <c r="U36" s="1555">
        <f t="shared" si="38"/>
        <v>0</v>
      </c>
      <c r="V36" s="1758">
        <f>+'[3]Oct midyear Key Academy'!E35</f>
        <v>0</v>
      </c>
      <c r="W36" s="1759">
        <f t="shared" si="39"/>
        <v>0</v>
      </c>
      <c r="X36" s="1758">
        <f>'[3]Feb midyear Key Academy'!E35</f>
        <v>0</v>
      </c>
      <c r="Y36" s="1759">
        <f t="shared" si="40"/>
        <v>0</v>
      </c>
      <c r="Z36" s="1653">
        <f t="shared" si="41"/>
        <v>0</v>
      </c>
      <c r="AA36" s="1486">
        <f t="shared" si="42"/>
        <v>0</v>
      </c>
      <c r="AB36" s="937">
        <f t="shared" si="43"/>
        <v>0</v>
      </c>
      <c r="AC36" s="899">
        <f t="shared" si="44"/>
        <v>0</v>
      </c>
      <c r="AD36" s="1830">
        <v>0</v>
      </c>
      <c r="AE36" s="899">
        <f t="shared" si="45"/>
        <v>0</v>
      </c>
      <c r="AF36" s="1834">
        <f>+'[4]Table 5C1I-LA Key Academy'!T35*8</f>
        <v>0</v>
      </c>
      <c r="AG36" s="1834">
        <f t="shared" si="46"/>
        <v>0</v>
      </c>
      <c r="AH36" s="899">
        <f t="shared" si="47"/>
        <v>0</v>
      </c>
      <c r="AI36" s="900">
        <f t="shared" si="27"/>
        <v>0</v>
      </c>
      <c r="AJ36" s="900">
        <f t="shared" si="48"/>
        <v>0</v>
      </c>
      <c r="AL36" s="2034">
        <f>-'[4]Table 5C1I-LA Key Academy'!P35</f>
        <v>0</v>
      </c>
      <c r="AM36" s="2034">
        <f t="shared" si="49"/>
        <v>0</v>
      </c>
      <c r="AN36" s="2034">
        <f t="shared" si="50"/>
        <v>0</v>
      </c>
    </row>
    <row r="37" spans="1:40">
      <c r="A37" s="879">
        <v>30</v>
      </c>
      <c r="B37" s="880" t="s">
        <v>121</v>
      </c>
      <c r="C37" s="973">
        <v>0</v>
      </c>
      <c r="D37" s="883">
        <f>'Table 3 Levels 1&amp;2'!AL37</f>
        <v>5648.6510465852989</v>
      </c>
      <c r="E37" s="922">
        <f t="shared" si="28"/>
        <v>0</v>
      </c>
      <c r="F37" s="922">
        <f>'Table 4 Level 3'!P35</f>
        <v>727.17</v>
      </c>
      <c r="G37" s="922">
        <f t="shared" si="29"/>
        <v>0</v>
      </c>
      <c r="H37" s="906">
        <f t="shared" si="30"/>
        <v>0</v>
      </c>
      <c r="I37" s="1735">
        <f>+'[3]Oct midyear Key Academy'!K36</f>
        <v>0</v>
      </c>
      <c r="J37" s="1735">
        <f>'[3]Feb midyear Key Academy'!K36</f>
        <v>0</v>
      </c>
      <c r="K37" s="1546">
        <f t="shared" si="31"/>
        <v>0</v>
      </c>
      <c r="L37" s="1490">
        <f t="shared" si="32"/>
        <v>0</v>
      </c>
      <c r="M37" s="932">
        <f t="shared" si="33"/>
        <v>0</v>
      </c>
      <c r="N37" s="906">
        <f t="shared" si="34"/>
        <v>0</v>
      </c>
      <c r="O37" s="883">
        <v>0</v>
      </c>
      <c r="P37" s="1553">
        <f t="shared" si="35"/>
        <v>0</v>
      </c>
      <c r="Q37" s="1735">
        <f>+'[4]Table 5C1I-LA Key Academy'!M36*8</f>
        <v>0</v>
      </c>
      <c r="R37" s="1735">
        <f t="shared" si="36"/>
        <v>0</v>
      </c>
      <c r="S37" s="1553">
        <f t="shared" si="37"/>
        <v>0</v>
      </c>
      <c r="T37" s="1807">
        <f>'Table 5C1A-Madison Prep'!T37</f>
        <v>4193</v>
      </c>
      <c r="U37" s="1556">
        <f t="shared" si="38"/>
        <v>0</v>
      </c>
      <c r="V37" s="1762">
        <f>+'[3]Oct midyear Key Academy'!E36</f>
        <v>0</v>
      </c>
      <c r="W37" s="1763">
        <f t="shared" si="39"/>
        <v>0</v>
      </c>
      <c r="X37" s="1762">
        <f>'[3]Feb midyear Key Academy'!E36</f>
        <v>0</v>
      </c>
      <c r="Y37" s="1763">
        <f t="shared" si="40"/>
        <v>0</v>
      </c>
      <c r="Z37" s="1654">
        <f t="shared" si="41"/>
        <v>0</v>
      </c>
      <c r="AA37" s="1488">
        <f t="shared" si="42"/>
        <v>0</v>
      </c>
      <c r="AB37" s="938">
        <f t="shared" si="43"/>
        <v>0</v>
      </c>
      <c r="AC37" s="903">
        <f t="shared" si="44"/>
        <v>0</v>
      </c>
      <c r="AD37" s="1831">
        <v>0</v>
      </c>
      <c r="AE37" s="903">
        <f t="shared" si="45"/>
        <v>0</v>
      </c>
      <c r="AF37" s="1835">
        <f>+'[4]Table 5C1I-LA Key Academy'!T36*8</f>
        <v>0</v>
      </c>
      <c r="AG37" s="1835">
        <f t="shared" si="46"/>
        <v>0</v>
      </c>
      <c r="AH37" s="903">
        <f t="shared" si="47"/>
        <v>0</v>
      </c>
      <c r="AI37" s="904">
        <f t="shared" si="27"/>
        <v>0</v>
      </c>
      <c r="AJ37" s="904">
        <f t="shared" si="48"/>
        <v>0</v>
      </c>
      <c r="AL37" s="2034">
        <f>-'[4]Table 5C1I-LA Key Academy'!P36</f>
        <v>0</v>
      </c>
      <c r="AM37" s="2034">
        <f t="shared" si="49"/>
        <v>0</v>
      </c>
      <c r="AN37" s="2034">
        <f t="shared" si="50"/>
        <v>0</v>
      </c>
    </row>
    <row r="38" spans="1:40">
      <c r="A38" s="870">
        <v>31</v>
      </c>
      <c r="B38" s="871" t="s">
        <v>122</v>
      </c>
      <c r="C38" s="974">
        <v>0</v>
      </c>
      <c r="D38" s="884">
        <f>'Table 3 Levels 1&amp;2'!AL38</f>
        <v>4348.9307899232972</v>
      </c>
      <c r="E38" s="923">
        <f t="shared" si="28"/>
        <v>0</v>
      </c>
      <c r="F38" s="923">
        <f>'Table 4 Level 3'!P36</f>
        <v>620.83000000000004</v>
      </c>
      <c r="G38" s="923">
        <f t="shared" si="29"/>
        <v>0</v>
      </c>
      <c r="H38" s="907">
        <f t="shared" si="30"/>
        <v>0</v>
      </c>
      <c r="I38" s="1723">
        <f>+'[3]Oct midyear Key Academy'!K37</f>
        <v>0</v>
      </c>
      <c r="J38" s="1723">
        <f>'[3]Feb midyear Key Academy'!K37</f>
        <v>0</v>
      </c>
      <c r="K38" s="1547">
        <f t="shared" si="31"/>
        <v>0</v>
      </c>
      <c r="L38" s="1491">
        <f t="shared" si="32"/>
        <v>0</v>
      </c>
      <c r="M38" s="933">
        <f t="shared" si="33"/>
        <v>0</v>
      </c>
      <c r="N38" s="907">
        <f t="shared" si="34"/>
        <v>0</v>
      </c>
      <c r="O38" s="884">
        <v>0</v>
      </c>
      <c r="P38" s="996">
        <f t="shared" si="35"/>
        <v>0</v>
      </c>
      <c r="Q38" s="1723">
        <f>+'[4]Table 5C1I-LA Key Academy'!M37*8</f>
        <v>0</v>
      </c>
      <c r="R38" s="1723">
        <f t="shared" si="36"/>
        <v>0</v>
      </c>
      <c r="S38" s="996">
        <f t="shared" si="37"/>
        <v>0</v>
      </c>
      <c r="T38" s="1802">
        <f>'Table 5C1A-Madison Prep'!T38</f>
        <v>4901</v>
      </c>
      <c r="U38" s="999">
        <f t="shared" si="38"/>
        <v>0</v>
      </c>
      <c r="V38" s="1754">
        <f>+'[3]Oct midyear Key Academy'!E37</f>
        <v>0</v>
      </c>
      <c r="W38" s="1755">
        <f t="shared" si="39"/>
        <v>0</v>
      </c>
      <c r="X38" s="1754">
        <f>'[3]Feb midyear Key Academy'!E37</f>
        <v>0</v>
      </c>
      <c r="Y38" s="1755">
        <f t="shared" si="40"/>
        <v>0</v>
      </c>
      <c r="Z38" s="1652">
        <f t="shared" si="41"/>
        <v>0</v>
      </c>
      <c r="AA38" s="1521">
        <f t="shared" si="42"/>
        <v>0</v>
      </c>
      <c r="AB38" s="936">
        <f t="shared" si="43"/>
        <v>0</v>
      </c>
      <c r="AC38" s="874">
        <f t="shared" si="44"/>
        <v>0</v>
      </c>
      <c r="AD38" s="1829">
        <v>0</v>
      </c>
      <c r="AE38" s="874">
        <f t="shared" si="45"/>
        <v>0</v>
      </c>
      <c r="AF38" s="1829">
        <f>+'[4]Table 5C1I-LA Key Academy'!T37*8</f>
        <v>0</v>
      </c>
      <c r="AG38" s="1829">
        <f t="shared" si="46"/>
        <v>0</v>
      </c>
      <c r="AH38" s="874">
        <f t="shared" si="47"/>
        <v>0</v>
      </c>
      <c r="AI38" s="875">
        <f t="shared" si="27"/>
        <v>0</v>
      </c>
      <c r="AJ38" s="875">
        <f t="shared" si="48"/>
        <v>0</v>
      </c>
      <c r="AL38" s="2034">
        <f>-'[4]Table 5C1I-LA Key Academy'!P37</f>
        <v>0</v>
      </c>
      <c r="AM38" s="2034">
        <f t="shared" si="49"/>
        <v>0</v>
      </c>
      <c r="AN38" s="2034">
        <f t="shared" si="50"/>
        <v>0</v>
      </c>
    </row>
    <row r="39" spans="1:40">
      <c r="A39" s="876">
        <v>32</v>
      </c>
      <c r="B39" s="877" t="s">
        <v>123</v>
      </c>
      <c r="C39" s="972">
        <f>ROUND(138*4%,0)</f>
        <v>6</v>
      </c>
      <c r="D39" s="882">
        <f>'Table 3 Levels 1&amp;2'!AL39</f>
        <v>5531.5157655456787</v>
      </c>
      <c r="E39" s="921">
        <f t="shared" si="28"/>
        <v>33189.094593274072</v>
      </c>
      <c r="F39" s="921">
        <f>'Table 4 Level 3'!P37</f>
        <v>559.77</v>
      </c>
      <c r="G39" s="921">
        <f t="shared" si="29"/>
        <v>3358.62</v>
      </c>
      <c r="H39" s="905">
        <f t="shared" si="30"/>
        <v>36547.714593274075</v>
      </c>
      <c r="I39" s="1734">
        <f>+'[3]Oct midyear Key Academy'!K38</f>
        <v>-6091.2857655456792</v>
      </c>
      <c r="J39" s="1734">
        <f>'[3]Feb midyear Key Academy'!K38</f>
        <v>0</v>
      </c>
      <c r="K39" s="1545">
        <f t="shared" si="31"/>
        <v>-6091.2857655456792</v>
      </c>
      <c r="L39" s="1489">
        <f t="shared" si="32"/>
        <v>30456.428827728396</v>
      </c>
      <c r="M39" s="931">
        <f t="shared" si="33"/>
        <v>-76.141072069320998</v>
      </c>
      <c r="N39" s="905">
        <f t="shared" si="34"/>
        <v>30380.287755659076</v>
      </c>
      <c r="O39" s="882">
        <v>0</v>
      </c>
      <c r="P39" s="1552">
        <f t="shared" si="35"/>
        <v>30380.287755659076</v>
      </c>
      <c r="Q39" s="1734">
        <f>+'[4]Table 5C1I-LA Key Academy'!M38*8</f>
        <v>24304.230204527263</v>
      </c>
      <c r="R39" s="1734">
        <f t="shared" si="36"/>
        <v>6076.0575511318129</v>
      </c>
      <c r="S39" s="1552">
        <f t="shared" si="37"/>
        <v>1519</v>
      </c>
      <c r="T39" s="1802">
        <f>'Table 5C1A-Madison Prep'!T39</f>
        <v>2074</v>
      </c>
      <c r="U39" s="1555">
        <f t="shared" si="38"/>
        <v>12444</v>
      </c>
      <c r="V39" s="1758">
        <f>+'[3]Oct midyear Key Academy'!E38</f>
        <v>-1</v>
      </c>
      <c r="W39" s="1759">
        <f t="shared" si="39"/>
        <v>-2074</v>
      </c>
      <c r="X39" s="1758">
        <f>'[3]Feb midyear Key Academy'!E38</f>
        <v>0</v>
      </c>
      <c r="Y39" s="1759">
        <f t="shared" si="40"/>
        <v>0</v>
      </c>
      <c r="Z39" s="1653">
        <f t="shared" si="41"/>
        <v>-2074</v>
      </c>
      <c r="AA39" s="1486">
        <f t="shared" si="42"/>
        <v>10370</v>
      </c>
      <c r="AB39" s="937">
        <f t="shared" si="43"/>
        <v>-25.925000000000001</v>
      </c>
      <c r="AC39" s="899">
        <f t="shared" si="44"/>
        <v>10344.075000000001</v>
      </c>
      <c r="AD39" s="1830">
        <v>0</v>
      </c>
      <c r="AE39" s="899">
        <f t="shared" si="45"/>
        <v>10344.075000000001</v>
      </c>
      <c r="AF39" s="1834">
        <f>+'[4]Table 5C1I-LA Key Academy'!T38*8</f>
        <v>8414.91</v>
      </c>
      <c r="AG39" s="1834">
        <f t="shared" si="46"/>
        <v>1929.1650000000009</v>
      </c>
      <c r="AH39" s="899">
        <f t="shared" si="47"/>
        <v>482</v>
      </c>
      <c r="AI39" s="900">
        <f t="shared" si="27"/>
        <v>40724.36275565908</v>
      </c>
      <c r="AJ39" s="900">
        <f t="shared" si="48"/>
        <v>2001</v>
      </c>
      <c r="AL39" s="2034">
        <f>-'[4]Table 5C1I-LA Key Academy'!P38</f>
        <v>31.635000000000002</v>
      </c>
      <c r="AM39" s="2034">
        <f t="shared" si="49"/>
        <v>-25.925000000000001</v>
      </c>
      <c r="AN39" s="2034">
        <f t="shared" si="50"/>
        <v>5.7100000000000009</v>
      </c>
    </row>
    <row r="40" spans="1:40">
      <c r="A40" s="876">
        <v>33</v>
      </c>
      <c r="B40" s="877" t="s">
        <v>124</v>
      </c>
      <c r="C40" s="972">
        <v>0</v>
      </c>
      <c r="D40" s="882">
        <f>'Table 3 Levels 1&amp;2'!AL40</f>
        <v>5329.5444226517857</v>
      </c>
      <c r="E40" s="921">
        <f t="shared" si="28"/>
        <v>0</v>
      </c>
      <c r="F40" s="921">
        <f>'Table 4 Level 3'!P38</f>
        <v>655.31000000000006</v>
      </c>
      <c r="G40" s="921">
        <f t="shared" si="29"/>
        <v>0</v>
      </c>
      <c r="H40" s="905">
        <f t="shared" si="30"/>
        <v>0</v>
      </c>
      <c r="I40" s="1734">
        <f>+'[3]Oct midyear Key Academy'!K39</f>
        <v>0</v>
      </c>
      <c r="J40" s="1734">
        <f>'[3]Feb midyear Key Academy'!K39</f>
        <v>0</v>
      </c>
      <c r="K40" s="1545">
        <f t="shared" si="31"/>
        <v>0</v>
      </c>
      <c r="L40" s="1489">
        <f t="shared" si="32"/>
        <v>0</v>
      </c>
      <c r="M40" s="931">
        <f t="shared" si="33"/>
        <v>0</v>
      </c>
      <c r="N40" s="905">
        <f t="shared" si="34"/>
        <v>0</v>
      </c>
      <c r="O40" s="882">
        <v>0</v>
      </c>
      <c r="P40" s="1552">
        <f t="shared" si="35"/>
        <v>0</v>
      </c>
      <c r="Q40" s="1734">
        <f>+'[4]Table 5C1I-LA Key Academy'!M39*8</f>
        <v>0</v>
      </c>
      <c r="R40" s="1734">
        <f t="shared" si="36"/>
        <v>0</v>
      </c>
      <c r="S40" s="1552">
        <f t="shared" si="37"/>
        <v>0</v>
      </c>
      <c r="T40" s="1802">
        <f>'Table 5C1A-Madison Prep'!T40</f>
        <v>3501</v>
      </c>
      <c r="U40" s="1555">
        <f t="shared" si="38"/>
        <v>0</v>
      </c>
      <c r="V40" s="1758">
        <f>+'[3]Oct midyear Key Academy'!E39</f>
        <v>0</v>
      </c>
      <c r="W40" s="1759">
        <f t="shared" si="39"/>
        <v>0</v>
      </c>
      <c r="X40" s="1758">
        <f>'[3]Feb midyear Key Academy'!E39</f>
        <v>0</v>
      </c>
      <c r="Y40" s="1759">
        <f t="shared" si="40"/>
        <v>0</v>
      </c>
      <c r="Z40" s="1653">
        <f t="shared" si="41"/>
        <v>0</v>
      </c>
      <c r="AA40" s="1486">
        <f t="shared" si="42"/>
        <v>0</v>
      </c>
      <c r="AB40" s="937">
        <f t="shared" si="43"/>
        <v>0</v>
      </c>
      <c r="AC40" s="899">
        <f t="shared" si="44"/>
        <v>0</v>
      </c>
      <c r="AD40" s="1830">
        <v>0</v>
      </c>
      <c r="AE40" s="899">
        <f t="shared" si="45"/>
        <v>0</v>
      </c>
      <c r="AF40" s="1834">
        <f>+'[4]Table 5C1I-LA Key Academy'!T39*8</f>
        <v>0</v>
      </c>
      <c r="AG40" s="1834">
        <f t="shared" si="46"/>
        <v>0</v>
      </c>
      <c r="AH40" s="899">
        <f t="shared" si="47"/>
        <v>0</v>
      </c>
      <c r="AI40" s="900">
        <f t="shared" ref="AI40:AI76" si="51">P40+AE40</f>
        <v>0</v>
      </c>
      <c r="AJ40" s="900">
        <f t="shared" si="48"/>
        <v>0</v>
      </c>
      <c r="AL40" s="2034">
        <f>-'[4]Table 5C1I-LA Key Academy'!P39</f>
        <v>0</v>
      </c>
      <c r="AM40" s="2034">
        <f t="shared" si="49"/>
        <v>0</v>
      </c>
      <c r="AN40" s="2034">
        <f t="shared" si="50"/>
        <v>0</v>
      </c>
    </row>
    <row r="41" spans="1:40">
      <c r="A41" s="876">
        <v>34</v>
      </c>
      <c r="B41" s="877" t="s">
        <v>125</v>
      </c>
      <c r="C41" s="972">
        <v>0</v>
      </c>
      <c r="D41" s="882">
        <f>'Table 3 Levels 1&amp;2'!AL41</f>
        <v>6003.632932007491</v>
      </c>
      <c r="E41" s="921">
        <f t="shared" si="28"/>
        <v>0</v>
      </c>
      <c r="F41" s="921">
        <f>'Table 4 Level 3'!P39</f>
        <v>644.11000000000013</v>
      </c>
      <c r="G41" s="921">
        <f t="shared" si="29"/>
        <v>0</v>
      </c>
      <c r="H41" s="905">
        <f t="shared" si="30"/>
        <v>0</v>
      </c>
      <c r="I41" s="1734">
        <f>+'[3]Oct midyear Key Academy'!K40</f>
        <v>0</v>
      </c>
      <c r="J41" s="1734">
        <f>'[3]Feb midyear Key Academy'!K40</f>
        <v>0</v>
      </c>
      <c r="K41" s="1545">
        <f t="shared" si="31"/>
        <v>0</v>
      </c>
      <c r="L41" s="1489">
        <f t="shared" si="32"/>
        <v>0</v>
      </c>
      <c r="M41" s="931">
        <f t="shared" si="33"/>
        <v>0</v>
      </c>
      <c r="N41" s="905">
        <f t="shared" si="34"/>
        <v>0</v>
      </c>
      <c r="O41" s="882">
        <v>0</v>
      </c>
      <c r="P41" s="1552">
        <f t="shared" si="35"/>
        <v>0</v>
      </c>
      <c r="Q41" s="1734">
        <f>+'[4]Table 5C1I-LA Key Academy'!M40*8</f>
        <v>0</v>
      </c>
      <c r="R41" s="1734">
        <f t="shared" si="36"/>
        <v>0</v>
      </c>
      <c r="S41" s="1552">
        <f t="shared" si="37"/>
        <v>0</v>
      </c>
      <c r="T41" s="1802">
        <f>'Table 5C1A-Madison Prep'!T41</f>
        <v>2772</v>
      </c>
      <c r="U41" s="1555">
        <f t="shared" si="38"/>
        <v>0</v>
      </c>
      <c r="V41" s="1758">
        <f>+'[3]Oct midyear Key Academy'!E40</f>
        <v>0</v>
      </c>
      <c r="W41" s="1759">
        <f t="shared" si="39"/>
        <v>0</v>
      </c>
      <c r="X41" s="1758">
        <f>'[3]Feb midyear Key Academy'!E40</f>
        <v>0</v>
      </c>
      <c r="Y41" s="1759">
        <f t="shared" si="40"/>
        <v>0</v>
      </c>
      <c r="Z41" s="1653">
        <f t="shared" si="41"/>
        <v>0</v>
      </c>
      <c r="AA41" s="1486">
        <f t="shared" si="42"/>
        <v>0</v>
      </c>
      <c r="AB41" s="937">
        <f t="shared" si="43"/>
        <v>0</v>
      </c>
      <c r="AC41" s="899">
        <f t="shared" si="44"/>
        <v>0</v>
      </c>
      <c r="AD41" s="1830">
        <v>0</v>
      </c>
      <c r="AE41" s="899">
        <f t="shared" si="45"/>
        <v>0</v>
      </c>
      <c r="AF41" s="1834">
        <f>+'[4]Table 5C1I-LA Key Academy'!T40*8</f>
        <v>0</v>
      </c>
      <c r="AG41" s="1834">
        <f t="shared" si="46"/>
        <v>0</v>
      </c>
      <c r="AH41" s="899">
        <f t="shared" si="47"/>
        <v>0</v>
      </c>
      <c r="AI41" s="900">
        <f t="shared" si="51"/>
        <v>0</v>
      </c>
      <c r="AJ41" s="900">
        <f t="shared" si="48"/>
        <v>0</v>
      </c>
      <c r="AL41" s="2034">
        <f>-'[4]Table 5C1I-LA Key Academy'!P40</f>
        <v>0</v>
      </c>
      <c r="AM41" s="2034">
        <f t="shared" si="49"/>
        <v>0</v>
      </c>
      <c r="AN41" s="2034">
        <f t="shared" si="50"/>
        <v>0</v>
      </c>
    </row>
    <row r="42" spans="1:40">
      <c r="A42" s="879">
        <v>35</v>
      </c>
      <c r="B42" s="880" t="s">
        <v>126</v>
      </c>
      <c r="C42" s="973">
        <v>0</v>
      </c>
      <c r="D42" s="883">
        <f>'Table 3 Levels 1&amp;2'!AL42</f>
        <v>4607.1606416222867</v>
      </c>
      <c r="E42" s="922">
        <f t="shared" si="28"/>
        <v>0</v>
      </c>
      <c r="F42" s="922">
        <f>'Table 4 Level 3'!P40</f>
        <v>537.96</v>
      </c>
      <c r="G42" s="922">
        <f t="shared" si="29"/>
        <v>0</v>
      </c>
      <c r="H42" s="906">
        <f t="shared" si="30"/>
        <v>0</v>
      </c>
      <c r="I42" s="1735">
        <f>+'[3]Oct midyear Key Academy'!K41</f>
        <v>0</v>
      </c>
      <c r="J42" s="1735">
        <f>'[3]Feb midyear Key Academy'!K41</f>
        <v>0</v>
      </c>
      <c r="K42" s="1546">
        <f t="shared" si="31"/>
        <v>0</v>
      </c>
      <c r="L42" s="1490">
        <f t="shared" si="32"/>
        <v>0</v>
      </c>
      <c r="M42" s="932">
        <f t="shared" si="33"/>
        <v>0</v>
      </c>
      <c r="N42" s="906">
        <f t="shared" si="34"/>
        <v>0</v>
      </c>
      <c r="O42" s="883">
        <v>0</v>
      </c>
      <c r="P42" s="1553">
        <f t="shared" si="35"/>
        <v>0</v>
      </c>
      <c r="Q42" s="1735">
        <f>+'[4]Table 5C1I-LA Key Academy'!M41*8</f>
        <v>0</v>
      </c>
      <c r="R42" s="1735">
        <f t="shared" si="36"/>
        <v>0</v>
      </c>
      <c r="S42" s="1553">
        <f t="shared" si="37"/>
        <v>0</v>
      </c>
      <c r="T42" s="1807">
        <f>'Table 5C1A-Madison Prep'!T42</f>
        <v>3140</v>
      </c>
      <c r="U42" s="1556">
        <f t="shared" si="38"/>
        <v>0</v>
      </c>
      <c r="V42" s="1762">
        <f>+'[3]Oct midyear Key Academy'!E41</f>
        <v>0</v>
      </c>
      <c r="W42" s="1763">
        <f t="shared" si="39"/>
        <v>0</v>
      </c>
      <c r="X42" s="1762">
        <f>'[3]Feb midyear Key Academy'!E41</f>
        <v>0</v>
      </c>
      <c r="Y42" s="1763">
        <f t="shared" si="40"/>
        <v>0</v>
      </c>
      <c r="Z42" s="1654">
        <f t="shared" si="41"/>
        <v>0</v>
      </c>
      <c r="AA42" s="1488">
        <f t="shared" si="42"/>
        <v>0</v>
      </c>
      <c r="AB42" s="938">
        <f t="shared" si="43"/>
        <v>0</v>
      </c>
      <c r="AC42" s="903">
        <f t="shared" si="44"/>
        <v>0</v>
      </c>
      <c r="AD42" s="1831">
        <v>0</v>
      </c>
      <c r="AE42" s="903">
        <f t="shared" si="45"/>
        <v>0</v>
      </c>
      <c r="AF42" s="1835">
        <f>+'[4]Table 5C1I-LA Key Academy'!T41*8</f>
        <v>0</v>
      </c>
      <c r="AG42" s="1835">
        <f t="shared" si="46"/>
        <v>0</v>
      </c>
      <c r="AH42" s="903">
        <f t="shared" si="47"/>
        <v>0</v>
      </c>
      <c r="AI42" s="904">
        <f t="shared" si="51"/>
        <v>0</v>
      </c>
      <c r="AJ42" s="904">
        <f t="shared" si="48"/>
        <v>0</v>
      </c>
      <c r="AL42" s="2034">
        <f>-'[4]Table 5C1I-LA Key Academy'!P41</f>
        <v>0</v>
      </c>
      <c r="AM42" s="2034">
        <f t="shared" si="49"/>
        <v>0</v>
      </c>
      <c r="AN42" s="2034">
        <f t="shared" si="50"/>
        <v>0</v>
      </c>
    </row>
    <row r="43" spans="1:40">
      <c r="A43" s="870">
        <v>36</v>
      </c>
      <c r="B43" s="871" t="s">
        <v>127</v>
      </c>
      <c r="C43" s="974">
        <v>0</v>
      </c>
      <c r="D43" s="884">
        <f>'Table 3 Levels 1&amp;2'!AL43</f>
        <v>3520.4894337711748</v>
      </c>
      <c r="E43" s="923">
        <f t="shared" si="28"/>
        <v>0</v>
      </c>
      <c r="F43" s="923">
        <v>746.0335616438357</v>
      </c>
      <c r="G43" s="923">
        <f t="shared" si="29"/>
        <v>0</v>
      </c>
      <c r="H43" s="907">
        <f t="shared" si="30"/>
        <v>0</v>
      </c>
      <c r="I43" s="1723">
        <f>+'[3]Oct midyear Key Academy'!K42</f>
        <v>0</v>
      </c>
      <c r="J43" s="1723">
        <f>'[3]Feb midyear Key Academy'!K42</f>
        <v>0</v>
      </c>
      <c r="K43" s="1547">
        <f t="shared" si="31"/>
        <v>0</v>
      </c>
      <c r="L43" s="1491">
        <f t="shared" si="32"/>
        <v>0</v>
      </c>
      <c r="M43" s="933">
        <f t="shared" si="33"/>
        <v>0</v>
      </c>
      <c r="N43" s="907">
        <f t="shared" si="34"/>
        <v>0</v>
      </c>
      <c r="O43" s="884">
        <v>0</v>
      </c>
      <c r="P43" s="996">
        <f t="shared" si="35"/>
        <v>0</v>
      </c>
      <c r="Q43" s="1723">
        <f>+'[4]Table 5C1I-LA Key Academy'!M42*8</f>
        <v>0</v>
      </c>
      <c r="R43" s="1723">
        <f t="shared" si="36"/>
        <v>0</v>
      </c>
      <c r="S43" s="996">
        <f t="shared" si="37"/>
        <v>0</v>
      </c>
      <c r="T43" s="1802">
        <f>'Table 5C1A-Madison Prep'!T43</f>
        <v>5433</v>
      </c>
      <c r="U43" s="999">
        <f t="shared" si="38"/>
        <v>0</v>
      </c>
      <c r="V43" s="1754">
        <f>+'[3]Oct midyear Key Academy'!E42</f>
        <v>0</v>
      </c>
      <c r="W43" s="1755">
        <f t="shared" si="39"/>
        <v>0</v>
      </c>
      <c r="X43" s="1754">
        <f>'[3]Feb midyear Key Academy'!E42</f>
        <v>0</v>
      </c>
      <c r="Y43" s="1755">
        <f t="shared" si="40"/>
        <v>0</v>
      </c>
      <c r="Z43" s="1652">
        <f t="shared" si="41"/>
        <v>0</v>
      </c>
      <c r="AA43" s="1521">
        <f t="shared" si="42"/>
        <v>0</v>
      </c>
      <c r="AB43" s="936">
        <f t="shared" si="43"/>
        <v>0</v>
      </c>
      <c r="AC43" s="874">
        <f t="shared" si="44"/>
        <v>0</v>
      </c>
      <c r="AD43" s="1829">
        <v>0</v>
      </c>
      <c r="AE43" s="874">
        <f t="shared" si="45"/>
        <v>0</v>
      </c>
      <c r="AF43" s="1829">
        <f>+'[4]Table 5C1I-LA Key Academy'!T42*8</f>
        <v>0</v>
      </c>
      <c r="AG43" s="1829">
        <f t="shared" si="46"/>
        <v>0</v>
      </c>
      <c r="AH43" s="874">
        <f t="shared" si="47"/>
        <v>0</v>
      </c>
      <c r="AI43" s="875">
        <f t="shared" si="51"/>
        <v>0</v>
      </c>
      <c r="AJ43" s="875">
        <f t="shared" si="48"/>
        <v>0</v>
      </c>
      <c r="AL43" s="2034">
        <f>-'[4]Table 5C1I-LA Key Academy'!P42</f>
        <v>0</v>
      </c>
      <c r="AM43" s="2034">
        <f t="shared" si="49"/>
        <v>0</v>
      </c>
      <c r="AN43" s="2034">
        <f t="shared" si="50"/>
        <v>0</v>
      </c>
    </row>
    <row r="44" spans="1:40">
      <c r="A44" s="876">
        <v>37</v>
      </c>
      <c r="B44" s="877" t="s">
        <v>128</v>
      </c>
      <c r="C44" s="972">
        <v>0</v>
      </c>
      <c r="D44" s="882">
        <f>'Table 3 Levels 1&amp;2'!AL44</f>
        <v>5503.7595641818853</v>
      </c>
      <c r="E44" s="921">
        <f t="shared" si="28"/>
        <v>0</v>
      </c>
      <c r="F44" s="921">
        <f>'Table 4 Level 3'!P42</f>
        <v>653.61</v>
      </c>
      <c r="G44" s="921">
        <f t="shared" si="29"/>
        <v>0</v>
      </c>
      <c r="H44" s="905">
        <f t="shared" si="30"/>
        <v>0</v>
      </c>
      <c r="I44" s="1734">
        <f>+'[3]Oct midyear Key Academy'!K43</f>
        <v>0</v>
      </c>
      <c r="J44" s="1734">
        <f>'[3]Feb midyear Key Academy'!K43</f>
        <v>0</v>
      </c>
      <c r="K44" s="1545">
        <f t="shared" si="31"/>
        <v>0</v>
      </c>
      <c r="L44" s="1489">
        <f t="shared" si="32"/>
        <v>0</v>
      </c>
      <c r="M44" s="931">
        <f t="shared" si="33"/>
        <v>0</v>
      </c>
      <c r="N44" s="905">
        <f t="shared" si="34"/>
        <v>0</v>
      </c>
      <c r="O44" s="882">
        <v>0</v>
      </c>
      <c r="P44" s="1552">
        <f t="shared" si="35"/>
        <v>0</v>
      </c>
      <c r="Q44" s="1734">
        <f>+'[4]Table 5C1I-LA Key Academy'!M43*8</f>
        <v>0</v>
      </c>
      <c r="R44" s="1734">
        <f t="shared" si="36"/>
        <v>0</v>
      </c>
      <c r="S44" s="1552">
        <f t="shared" si="37"/>
        <v>0</v>
      </c>
      <c r="T44" s="1802">
        <f>'Table 5C1A-Madison Prep'!T44</f>
        <v>3310</v>
      </c>
      <c r="U44" s="1555">
        <f t="shared" si="38"/>
        <v>0</v>
      </c>
      <c r="V44" s="1758">
        <f>+'[3]Oct midyear Key Academy'!E43</f>
        <v>0</v>
      </c>
      <c r="W44" s="1759">
        <f t="shared" si="39"/>
        <v>0</v>
      </c>
      <c r="X44" s="1758">
        <f>'[3]Feb midyear Key Academy'!E43</f>
        <v>0</v>
      </c>
      <c r="Y44" s="1759">
        <f t="shared" si="40"/>
        <v>0</v>
      </c>
      <c r="Z44" s="1653">
        <f t="shared" si="41"/>
        <v>0</v>
      </c>
      <c r="AA44" s="1486">
        <f t="shared" si="42"/>
        <v>0</v>
      </c>
      <c r="AB44" s="937">
        <f t="shared" si="43"/>
        <v>0</v>
      </c>
      <c r="AC44" s="899">
        <f t="shared" si="44"/>
        <v>0</v>
      </c>
      <c r="AD44" s="1830">
        <v>0</v>
      </c>
      <c r="AE44" s="899">
        <f t="shared" si="45"/>
        <v>0</v>
      </c>
      <c r="AF44" s="1834">
        <f>+'[4]Table 5C1I-LA Key Academy'!T43*8</f>
        <v>0</v>
      </c>
      <c r="AG44" s="1834">
        <f t="shared" si="46"/>
        <v>0</v>
      </c>
      <c r="AH44" s="899">
        <f t="shared" si="47"/>
        <v>0</v>
      </c>
      <c r="AI44" s="900">
        <f t="shared" si="51"/>
        <v>0</v>
      </c>
      <c r="AJ44" s="900">
        <f t="shared" si="48"/>
        <v>0</v>
      </c>
      <c r="AL44" s="2034">
        <f>-'[4]Table 5C1I-LA Key Academy'!P43</f>
        <v>0</v>
      </c>
      <c r="AM44" s="2034">
        <f t="shared" si="49"/>
        <v>0</v>
      </c>
      <c r="AN44" s="2034">
        <f t="shared" si="50"/>
        <v>0</v>
      </c>
    </row>
    <row r="45" spans="1:40">
      <c r="A45" s="876">
        <v>38</v>
      </c>
      <c r="B45" s="877" t="s">
        <v>129</v>
      </c>
      <c r="C45" s="972">
        <v>0</v>
      </c>
      <c r="D45" s="882">
        <f>'Table 3 Levels 1&amp;2'!AL45</f>
        <v>2192.7545275590551</v>
      </c>
      <c r="E45" s="921">
        <f t="shared" si="28"/>
        <v>0</v>
      </c>
      <c r="F45" s="921">
        <f>'Table 4 Level 3'!P43</f>
        <v>829.92000000000007</v>
      </c>
      <c r="G45" s="921">
        <f t="shared" si="29"/>
        <v>0</v>
      </c>
      <c r="H45" s="905">
        <f t="shared" si="30"/>
        <v>0</v>
      </c>
      <c r="I45" s="1734">
        <f>+'[3]Oct midyear Key Academy'!K44</f>
        <v>0</v>
      </c>
      <c r="J45" s="1734">
        <f>'[3]Feb midyear Key Academy'!K44</f>
        <v>0</v>
      </c>
      <c r="K45" s="1545">
        <f t="shared" si="31"/>
        <v>0</v>
      </c>
      <c r="L45" s="1489">
        <f t="shared" si="32"/>
        <v>0</v>
      </c>
      <c r="M45" s="931">
        <f t="shared" si="33"/>
        <v>0</v>
      </c>
      <c r="N45" s="905">
        <f t="shared" si="34"/>
        <v>0</v>
      </c>
      <c r="O45" s="882">
        <v>0</v>
      </c>
      <c r="P45" s="1552">
        <f t="shared" si="35"/>
        <v>0</v>
      </c>
      <c r="Q45" s="1734">
        <f>+'[4]Table 5C1I-LA Key Academy'!M44*8</f>
        <v>0</v>
      </c>
      <c r="R45" s="1734">
        <f t="shared" si="36"/>
        <v>0</v>
      </c>
      <c r="S45" s="1552">
        <f t="shared" si="37"/>
        <v>0</v>
      </c>
      <c r="T45" s="1802">
        <f>'Table 5C1A-Madison Prep'!T45</f>
        <v>12521</v>
      </c>
      <c r="U45" s="1555">
        <f t="shared" si="38"/>
        <v>0</v>
      </c>
      <c r="V45" s="1758">
        <f>+'[3]Oct midyear Key Academy'!E44</f>
        <v>0</v>
      </c>
      <c r="W45" s="1759">
        <f t="shared" si="39"/>
        <v>0</v>
      </c>
      <c r="X45" s="1758">
        <f>'[3]Feb midyear Key Academy'!E44</f>
        <v>0</v>
      </c>
      <c r="Y45" s="1759">
        <f t="shared" si="40"/>
        <v>0</v>
      </c>
      <c r="Z45" s="1653">
        <f t="shared" si="41"/>
        <v>0</v>
      </c>
      <c r="AA45" s="1486">
        <f t="shared" si="42"/>
        <v>0</v>
      </c>
      <c r="AB45" s="937">
        <f t="shared" si="43"/>
        <v>0</v>
      </c>
      <c r="AC45" s="899">
        <f t="shared" si="44"/>
        <v>0</v>
      </c>
      <c r="AD45" s="1830">
        <v>0</v>
      </c>
      <c r="AE45" s="899">
        <f t="shared" si="45"/>
        <v>0</v>
      </c>
      <c r="AF45" s="1834">
        <f>+'[4]Table 5C1I-LA Key Academy'!T44*8</f>
        <v>0</v>
      </c>
      <c r="AG45" s="1834">
        <f t="shared" si="46"/>
        <v>0</v>
      </c>
      <c r="AH45" s="899">
        <f t="shared" si="47"/>
        <v>0</v>
      </c>
      <c r="AI45" s="900">
        <f t="shared" si="51"/>
        <v>0</v>
      </c>
      <c r="AJ45" s="900">
        <f t="shared" si="48"/>
        <v>0</v>
      </c>
      <c r="AL45" s="2034">
        <f>-'[4]Table 5C1I-LA Key Academy'!P44</f>
        <v>0</v>
      </c>
      <c r="AM45" s="2034">
        <f t="shared" si="49"/>
        <v>0</v>
      </c>
      <c r="AN45" s="2034">
        <f t="shared" si="50"/>
        <v>0</v>
      </c>
    </row>
    <row r="46" spans="1:40">
      <c r="A46" s="876">
        <v>39</v>
      </c>
      <c r="B46" s="877" t="s">
        <v>130</v>
      </c>
      <c r="C46" s="972">
        <v>0</v>
      </c>
      <c r="D46" s="882">
        <f>'Table 3 Levels 1&amp;2'!AL46</f>
        <v>3639.9942778062696</v>
      </c>
      <c r="E46" s="921">
        <f t="shared" si="28"/>
        <v>0</v>
      </c>
      <c r="F46" s="921">
        <f>'Table 4 Level 3'!P44</f>
        <v>779.65573042776441</v>
      </c>
      <c r="G46" s="921">
        <f t="shared" si="29"/>
        <v>0</v>
      </c>
      <c r="H46" s="905">
        <f t="shared" si="30"/>
        <v>0</v>
      </c>
      <c r="I46" s="1734">
        <f>+'[3]Oct midyear Key Academy'!K45</f>
        <v>0</v>
      </c>
      <c r="J46" s="1734">
        <f>'[3]Feb midyear Key Academy'!K45</f>
        <v>2209.8250041170168</v>
      </c>
      <c r="K46" s="1545">
        <f t="shared" si="31"/>
        <v>2209.8250041170168</v>
      </c>
      <c r="L46" s="1489">
        <f t="shared" si="32"/>
        <v>2209.8250041170168</v>
      </c>
      <c r="M46" s="931">
        <f t="shared" si="33"/>
        <v>-5.524562510292542</v>
      </c>
      <c r="N46" s="905">
        <f t="shared" si="34"/>
        <v>2204.3004416067242</v>
      </c>
      <c r="O46" s="882">
        <v>0</v>
      </c>
      <c r="P46" s="1552">
        <f t="shared" si="35"/>
        <v>2204.3004416067242</v>
      </c>
      <c r="Q46" s="1734">
        <f>+'[4]Table 5C1I-LA Key Academy'!M45*8</f>
        <v>0</v>
      </c>
      <c r="R46" s="1734">
        <f t="shared" si="36"/>
        <v>2204.3004416067242</v>
      </c>
      <c r="S46" s="1552">
        <f t="shared" si="37"/>
        <v>551</v>
      </c>
      <c r="T46" s="1802">
        <f>'Table 5C1A-Madison Prep'!T46</f>
        <v>4436</v>
      </c>
      <c r="U46" s="1555">
        <f t="shared" si="38"/>
        <v>0</v>
      </c>
      <c r="V46" s="1758">
        <f>+'[3]Oct midyear Key Academy'!E45</f>
        <v>0</v>
      </c>
      <c r="W46" s="1759">
        <f t="shared" si="39"/>
        <v>0</v>
      </c>
      <c r="X46" s="1758">
        <f>'[3]Feb midyear Key Academy'!E45</f>
        <v>1</v>
      </c>
      <c r="Y46" s="1759">
        <f t="shared" si="40"/>
        <v>2218</v>
      </c>
      <c r="Z46" s="1653">
        <f t="shared" si="41"/>
        <v>2218</v>
      </c>
      <c r="AA46" s="1486">
        <f t="shared" si="42"/>
        <v>2218</v>
      </c>
      <c r="AB46" s="937">
        <f t="shared" si="43"/>
        <v>-5.5449999999999999</v>
      </c>
      <c r="AC46" s="899">
        <f t="shared" si="44"/>
        <v>2212.4549999999999</v>
      </c>
      <c r="AD46" s="1830">
        <v>0</v>
      </c>
      <c r="AE46" s="899">
        <f t="shared" si="45"/>
        <v>2212.4549999999999</v>
      </c>
      <c r="AF46" s="1834">
        <f>+'[4]Table 5C1I-LA Key Academy'!T45*8</f>
        <v>0</v>
      </c>
      <c r="AG46" s="1834">
        <f t="shared" si="46"/>
        <v>2212.4549999999999</v>
      </c>
      <c r="AH46" s="899">
        <f t="shared" si="47"/>
        <v>553</v>
      </c>
      <c r="AI46" s="900">
        <f t="shared" si="51"/>
        <v>4416.7554416067242</v>
      </c>
      <c r="AJ46" s="900">
        <f t="shared" si="48"/>
        <v>1104</v>
      </c>
      <c r="AL46" s="2034">
        <f>-'[4]Table 5C1I-LA Key Academy'!P45</f>
        <v>0</v>
      </c>
      <c r="AM46" s="2034">
        <f t="shared" si="49"/>
        <v>-5.5449999999999999</v>
      </c>
      <c r="AN46" s="2034">
        <f t="shared" si="50"/>
        <v>-5.5449999999999999</v>
      </c>
    </row>
    <row r="47" spans="1:40">
      <c r="A47" s="879">
        <v>40</v>
      </c>
      <c r="B47" s="880" t="s">
        <v>131</v>
      </c>
      <c r="C47" s="973">
        <v>0</v>
      </c>
      <c r="D47" s="883">
        <f>'Table 3 Levels 1&amp;2'!AL47</f>
        <v>4928.4974462701202</v>
      </c>
      <c r="E47" s="922">
        <f t="shared" si="28"/>
        <v>0</v>
      </c>
      <c r="F47" s="922">
        <f>'Table 4 Level 3'!P45</f>
        <v>700.2700000000001</v>
      </c>
      <c r="G47" s="922">
        <f t="shared" si="29"/>
        <v>0</v>
      </c>
      <c r="H47" s="906">
        <f t="shared" si="30"/>
        <v>0</v>
      </c>
      <c r="I47" s="1735">
        <f>+'[3]Oct midyear Key Academy'!K46</f>
        <v>0</v>
      </c>
      <c r="J47" s="1735">
        <f>'[3]Feb midyear Key Academy'!K46</f>
        <v>0</v>
      </c>
      <c r="K47" s="1546">
        <f t="shared" si="31"/>
        <v>0</v>
      </c>
      <c r="L47" s="1490">
        <f t="shared" si="32"/>
        <v>0</v>
      </c>
      <c r="M47" s="932">
        <f t="shared" si="33"/>
        <v>0</v>
      </c>
      <c r="N47" s="906">
        <f t="shared" si="34"/>
        <v>0</v>
      </c>
      <c r="O47" s="883">
        <v>0</v>
      </c>
      <c r="P47" s="1553">
        <f t="shared" si="35"/>
        <v>0</v>
      </c>
      <c r="Q47" s="1735">
        <f>+'[4]Table 5C1I-LA Key Academy'!M46*8</f>
        <v>0</v>
      </c>
      <c r="R47" s="1735">
        <f t="shared" si="36"/>
        <v>0</v>
      </c>
      <c r="S47" s="1553">
        <f t="shared" si="37"/>
        <v>0</v>
      </c>
      <c r="T47" s="1807">
        <f>'Table 5C1A-Madison Prep'!T47</f>
        <v>3019</v>
      </c>
      <c r="U47" s="1556">
        <f t="shared" si="38"/>
        <v>0</v>
      </c>
      <c r="V47" s="1762">
        <f>+'[3]Oct midyear Key Academy'!E46</f>
        <v>0</v>
      </c>
      <c r="W47" s="1763">
        <f t="shared" si="39"/>
        <v>0</v>
      </c>
      <c r="X47" s="1762">
        <f>'[3]Feb midyear Key Academy'!E46</f>
        <v>0</v>
      </c>
      <c r="Y47" s="1763">
        <f t="shared" si="40"/>
        <v>0</v>
      </c>
      <c r="Z47" s="1654">
        <f t="shared" si="41"/>
        <v>0</v>
      </c>
      <c r="AA47" s="1488">
        <f t="shared" si="42"/>
        <v>0</v>
      </c>
      <c r="AB47" s="938">
        <f t="shared" si="43"/>
        <v>0</v>
      </c>
      <c r="AC47" s="903">
        <f t="shared" si="44"/>
        <v>0</v>
      </c>
      <c r="AD47" s="1831">
        <v>0</v>
      </c>
      <c r="AE47" s="903">
        <f t="shared" si="45"/>
        <v>0</v>
      </c>
      <c r="AF47" s="1835">
        <f>+'[4]Table 5C1I-LA Key Academy'!T46*8</f>
        <v>0</v>
      </c>
      <c r="AG47" s="1835">
        <f t="shared" si="46"/>
        <v>0</v>
      </c>
      <c r="AH47" s="903">
        <f t="shared" si="47"/>
        <v>0</v>
      </c>
      <c r="AI47" s="904">
        <f t="shared" si="51"/>
        <v>0</v>
      </c>
      <c r="AJ47" s="904">
        <f t="shared" si="48"/>
        <v>0</v>
      </c>
      <c r="AL47" s="2034">
        <f>-'[4]Table 5C1I-LA Key Academy'!P46</f>
        <v>0</v>
      </c>
      <c r="AM47" s="2034">
        <f t="shared" si="49"/>
        <v>0</v>
      </c>
      <c r="AN47" s="2034">
        <f t="shared" si="50"/>
        <v>0</v>
      </c>
    </row>
    <row r="48" spans="1:40">
      <c r="A48" s="870">
        <v>41</v>
      </c>
      <c r="B48" s="871" t="s">
        <v>132</v>
      </c>
      <c r="C48" s="974">
        <v>0</v>
      </c>
      <c r="D48" s="884">
        <f>'Table 3 Levels 1&amp;2'!AL48</f>
        <v>1615.6013465627216</v>
      </c>
      <c r="E48" s="923">
        <f t="shared" si="28"/>
        <v>0</v>
      </c>
      <c r="F48" s="923">
        <f>'Table 4 Level 3'!P46</f>
        <v>886.22</v>
      </c>
      <c r="G48" s="923">
        <f t="shared" si="29"/>
        <v>0</v>
      </c>
      <c r="H48" s="907">
        <f t="shared" si="30"/>
        <v>0</v>
      </c>
      <c r="I48" s="1723">
        <f>+'[3]Oct midyear Key Academy'!K47</f>
        <v>0</v>
      </c>
      <c r="J48" s="1723">
        <f>'[3]Feb midyear Key Academy'!K47</f>
        <v>0</v>
      </c>
      <c r="K48" s="1547">
        <f t="shared" si="31"/>
        <v>0</v>
      </c>
      <c r="L48" s="1491">
        <f t="shared" si="32"/>
        <v>0</v>
      </c>
      <c r="M48" s="933">
        <f t="shared" si="33"/>
        <v>0</v>
      </c>
      <c r="N48" s="907">
        <f t="shared" si="34"/>
        <v>0</v>
      </c>
      <c r="O48" s="884">
        <v>0</v>
      </c>
      <c r="P48" s="996">
        <f t="shared" si="35"/>
        <v>0</v>
      </c>
      <c r="Q48" s="1723">
        <f>+'[4]Table 5C1I-LA Key Academy'!M47*8</f>
        <v>0</v>
      </c>
      <c r="R48" s="1723">
        <f t="shared" si="36"/>
        <v>0</v>
      </c>
      <c r="S48" s="996">
        <f t="shared" si="37"/>
        <v>0</v>
      </c>
      <c r="T48" s="1802">
        <f>'Table 5C1A-Madison Prep'!T48</f>
        <v>8964</v>
      </c>
      <c r="U48" s="999">
        <f t="shared" si="38"/>
        <v>0</v>
      </c>
      <c r="V48" s="1754">
        <f>+'[3]Oct midyear Key Academy'!E47</f>
        <v>0</v>
      </c>
      <c r="W48" s="1755">
        <f t="shared" si="39"/>
        <v>0</v>
      </c>
      <c r="X48" s="1754">
        <f>'[3]Feb midyear Key Academy'!E47</f>
        <v>0</v>
      </c>
      <c r="Y48" s="1755">
        <f t="shared" si="40"/>
        <v>0</v>
      </c>
      <c r="Z48" s="1652">
        <f t="shared" si="41"/>
        <v>0</v>
      </c>
      <c r="AA48" s="1521">
        <f t="shared" si="42"/>
        <v>0</v>
      </c>
      <c r="AB48" s="936">
        <f t="shared" si="43"/>
        <v>0</v>
      </c>
      <c r="AC48" s="874">
        <f t="shared" si="44"/>
        <v>0</v>
      </c>
      <c r="AD48" s="1829">
        <v>0</v>
      </c>
      <c r="AE48" s="874">
        <f t="shared" si="45"/>
        <v>0</v>
      </c>
      <c r="AF48" s="1829">
        <f>+'[4]Table 5C1I-LA Key Academy'!T47*8</f>
        <v>0</v>
      </c>
      <c r="AG48" s="1829">
        <f t="shared" si="46"/>
        <v>0</v>
      </c>
      <c r="AH48" s="874">
        <f t="shared" si="47"/>
        <v>0</v>
      </c>
      <c r="AI48" s="875">
        <f t="shared" si="51"/>
        <v>0</v>
      </c>
      <c r="AJ48" s="875">
        <f t="shared" si="48"/>
        <v>0</v>
      </c>
      <c r="AL48" s="2034">
        <f>-'[4]Table 5C1I-LA Key Academy'!P47</f>
        <v>0</v>
      </c>
      <c r="AM48" s="2034">
        <f t="shared" si="49"/>
        <v>0</v>
      </c>
      <c r="AN48" s="2034">
        <f t="shared" si="50"/>
        <v>0</v>
      </c>
    </row>
    <row r="49" spans="1:40">
      <c r="A49" s="876">
        <v>42</v>
      </c>
      <c r="B49" s="877" t="s">
        <v>133</v>
      </c>
      <c r="C49" s="972">
        <v>0</v>
      </c>
      <c r="D49" s="882">
        <f>'Table 3 Levels 1&amp;2'!AL49</f>
        <v>5087.4730460987803</v>
      </c>
      <c r="E49" s="921">
        <f t="shared" si="28"/>
        <v>0</v>
      </c>
      <c r="F49" s="921">
        <f>'Table 4 Level 3'!P47</f>
        <v>534.28</v>
      </c>
      <c r="G49" s="921">
        <f t="shared" si="29"/>
        <v>0</v>
      </c>
      <c r="H49" s="905">
        <f t="shared" si="30"/>
        <v>0</v>
      </c>
      <c r="I49" s="1734">
        <f>+'[3]Oct midyear Key Academy'!K48</f>
        <v>0</v>
      </c>
      <c r="J49" s="1734">
        <f>'[3]Feb midyear Key Academy'!K48</f>
        <v>0</v>
      </c>
      <c r="K49" s="1545">
        <f t="shared" si="31"/>
        <v>0</v>
      </c>
      <c r="L49" s="1489">
        <f t="shared" si="32"/>
        <v>0</v>
      </c>
      <c r="M49" s="931">
        <f t="shared" si="33"/>
        <v>0</v>
      </c>
      <c r="N49" s="905">
        <f t="shared" si="34"/>
        <v>0</v>
      </c>
      <c r="O49" s="882">
        <v>0</v>
      </c>
      <c r="P49" s="1552">
        <f t="shared" si="35"/>
        <v>0</v>
      </c>
      <c r="Q49" s="1734">
        <f>+'[4]Table 5C1I-LA Key Academy'!M48*8</f>
        <v>0</v>
      </c>
      <c r="R49" s="1734">
        <f t="shared" si="36"/>
        <v>0</v>
      </c>
      <c r="S49" s="1552">
        <f t="shared" si="37"/>
        <v>0</v>
      </c>
      <c r="T49" s="1802">
        <f>'Table 5C1A-Madison Prep'!T49</f>
        <v>3535</v>
      </c>
      <c r="U49" s="1555">
        <f t="shared" si="38"/>
        <v>0</v>
      </c>
      <c r="V49" s="1758">
        <f>+'[3]Oct midyear Key Academy'!E48</f>
        <v>0</v>
      </c>
      <c r="W49" s="1759">
        <f t="shared" si="39"/>
        <v>0</v>
      </c>
      <c r="X49" s="1758">
        <f>'[3]Feb midyear Key Academy'!E48</f>
        <v>0</v>
      </c>
      <c r="Y49" s="1759">
        <f t="shared" si="40"/>
        <v>0</v>
      </c>
      <c r="Z49" s="1653">
        <f t="shared" si="41"/>
        <v>0</v>
      </c>
      <c r="AA49" s="1486">
        <f t="shared" si="42"/>
        <v>0</v>
      </c>
      <c r="AB49" s="937">
        <f t="shared" si="43"/>
        <v>0</v>
      </c>
      <c r="AC49" s="899">
        <f t="shared" si="44"/>
        <v>0</v>
      </c>
      <c r="AD49" s="1830">
        <v>0</v>
      </c>
      <c r="AE49" s="899">
        <f t="shared" si="45"/>
        <v>0</v>
      </c>
      <c r="AF49" s="1834">
        <f>+'[4]Table 5C1I-LA Key Academy'!T48*8</f>
        <v>0</v>
      </c>
      <c r="AG49" s="1834">
        <f t="shared" si="46"/>
        <v>0</v>
      </c>
      <c r="AH49" s="899">
        <f t="shared" si="47"/>
        <v>0</v>
      </c>
      <c r="AI49" s="900">
        <f t="shared" si="51"/>
        <v>0</v>
      </c>
      <c r="AJ49" s="900">
        <f t="shared" si="48"/>
        <v>0</v>
      </c>
      <c r="AL49" s="2034">
        <f>-'[4]Table 5C1I-LA Key Academy'!P48</f>
        <v>0</v>
      </c>
      <c r="AM49" s="2034">
        <f t="shared" si="49"/>
        <v>0</v>
      </c>
      <c r="AN49" s="2034">
        <f t="shared" si="50"/>
        <v>0</v>
      </c>
    </row>
    <row r="50" spans="1:40">
      <c r="A50" s="876">
        <v>43</v>
      </c>
      <c r="B50" s="877" t="s">
        <v>134</v>
      </c>
      <c r="C50" s="972">
        <v>0</v>
      </c>
      <c r="D50" s="882">
        <f>'Table 3 Levels 1&amp;2'!AL50</f>
        <v>4717.8414352725031</v>
      </c>
      <c r="E50" s="921">
        <f t="shared" si="28"/>
        <v>0</v>
      </c>
      <c r="F50" s="921">
        <f>'Table 4 Level 3'!P48</f>
        <v>574.6099999999999</v>
      </c>
      <c r="G50" s="921">
        <f t="shared" si="29"/>
        <v>0</v>
      </c>
      <c r="H50" s="905">
        <f t="shared" si="30"/>
        <v>0</v>
      </c>
      <c r="I50" s="1734">
        <f>+'[3]Oct midyear Key Academy'!K49</f>
        <v>0</v>
      </c>
      <c r="J50" s="1734">
        <f>'[3]Feb midyear Key Academy'!K49</f>
        <v>0</v>
      </c>
      <c r="K50" s="1545">
        <f t="shared" si="31"/>
        <v>0</v>
      </c>
      <c r="L50" s="1489">
        <f t="shared" si="32"/>
        <v>0</v>
      </c>
      <c r="M50" s="931">
        <f t="shared" si="33"/>
        <v>0</v>
      </c>
      <c r="N50" s="905">
        <f t="shared" si="34"/>
        <v>0</v>
      </c>
      <c r="O50" s="882">
        <v>0</v>
      </c>
      <c r="P50" s="1552">
        <f t="shared" si="35"/>
        <v>0</v>
      </c>
      <c r="Q50" s="1734">
        <f>+'[4]Table 5C1I-LA Key Academy'!M49*8</f>
        <v>0</v>
      </c>
      <c r="R50" s="1734">
        <f t="shared" si="36"/>
        <v>0</v>
      </c>
      <c r="S50" s="1552">
        <f t="shared" si="37"/>
        <v>0</v>
      </c>
      <c r="T50" s="1802">
        <f>'Table 5C1A-Madison Prep'!T50</f>
        <v>3593</v>
      </c>
      <c r="U50" s="1555">
        <f t="shared" si="38"/>
        <v>0</v>
      </c>
      <c r="V50" s="1758">
        <f>+'[3]Oct midyear Key Academy'!E49</f>
        <v>0</v>
      </c>
      <c r="W50" s="1759">
        <f t="shared" si="39"/>
        <v>0</v>
      </c>
      <c r="X50" s="1758">
        <f>'[3]Feb midyear Key Academy'!E49</f>
        <v>0</v>
      </c>
      <c r="Y50" s="1759">
        <f t="shared" si="40"/>
        <v>0</v>
      </c>
      <c r="Z50" s="1653">
        <f t="shared" si="41"/>
        <v>0</v>
      </c>
      <c r="AA50" s="1486">
        <f t="shared" si="42"/>
        <v>0</v>
      </c>
      <c r="AB50" s="937">
        <f t="shared" si="43"/>
        <v>0</v>
      </c>
      <c r="AC50" s="899">
        <f t="shared" si="44"/>
        <v>0</v>
      </c>
      <c r="AD50" s="1830">
        <v>0</v>
      </c>
      <c r="AE50" s="899">
        <f t="shared" si="45"/>
        <v>0</v>
      </c>
      <c r="AF50" s="1834">
        <f>+'[4]Table 5C1I-LA Key Academy'!T49*8</f>
        <v>0</v>
      </c>
      <c r="AG50" s="1834">
        <f t="shared" si="46"/>
        <v>0</v>
      </c>
      <c r="AH50" s="899">
        <f t="shared" si="47"/>
        <v>0</v>
      </c>
      <c r="AI50" s="900">
        <f t="shared" si="51"/>
        <v>0</v>
      </c>
      <c r="AJ50" s="900">
        <f t="shared" si="48"/>
        <v>0</v>
      </c>
      <c r="AL50" s="2034">
        <f>-'[4]Table 5C1I-LA Key Academy'!P49</f>
        <v>0</v>
      </c>
      <c r="AM50" s="2034">
        <f t="shared" si="49"/>
        <v>0</v>
      </c>
      <c r="AN50" s="2034">
        <f t="shared" si="50"/>
        <v>0</v>
      </c>
    </row>
    <row r="51" spans="1:40">
      <c r="A51" s="876">
        <v>44</v>
      </c>
      <c r="B51" s="877" t="s">
        <v>135</v>
      </c>
      <c r="C51" s="972">
        <v>0</v>
      </c>
      <c r="D51" s="882">
        <f>'Table 3 Levels 1&amp;2'!AL51</f>
        <v>4696.6221228259064</v>
      </c>
      <c r="E51" s="921">
        <f t="shared" si="28"/>
        <v>0</v>
      </c>
      <c r="F51" s="921">
        <f>'Table 4 Level 3'!P49</f>
        <v>663.16000000000008</v>
      </c>
      <c r="G51" s="921">
        <f t="shared" si="29"/>
        <v>0</v>
      </c>
      <c r="H51" s="905">
        <f t="shared" si="30"/>
        <v>0</v>
      </c>
      <c r="I51" s="1734">
        <f>+'[3]Oct midyear Key Academy'!K50</f>
        <v>0</v>
      </c>
      <c r="J51" s="1734">
        <f>'[3]Feb midyear Key Academy'!K50</f>
        <v>0</v>
      </c>
      <c r="K51" s="1545">
        <f t="shared" si="31"/>
        <v>0</v>
      </c>
      <c r="L51" s="1489">
        <f t="shared" si="32"/>
        <v>0</v>
      </c>
      <c r="M51" s="931">
        <f t="shared" si="33"/>
        <v>0</v>
      </c>
      <c r="N51" s="905">
        <f t="shared" si="34"/>
        <v>0</v>
      </c>
      <c r="O51" s="882">
        <v>0</v>
      </c>
      <c r="P51" s="1552">
        <f t="shared" si="35"/>
        <v>0</v>
      </c>
      <c r="Q51" s="1734">
        <f>+'[4]Table 5C1I-LA Key Academy'!M50*8</f>
        <v>0</v>
      </c>
      <c r="R51" s="1734">
        <f t="shared" si="36"/>
        <v>0</v>
      </c>
      <c r="S51" s="1552">
        <f t="shared" si="37"/>
        <v>0</v>
      </c>
      <c r="T51" s="1802">
        <f>'Table 5C1A-Madison Prep'!T51</f>
        <v>4323</v>
      </c>
      <c r="U51" s="1555">
        <f t="shared" si="38"/>
        <v>0</v>
      </c>
      <c r="V51" s="1758">
        <f>+'[3]Oct midyear Key Academy'!E50</f>
        <v>0</v>
      </c>
      <c r="W51" s="1759">
        <f t="shared" si="39"/>
        <v>0</v>
      </c>
      <c r="X51" s="1758">
        <f>'[3]Feb midyear Key Academy'!E50</f>
        <v>0</v>
      </c>
      <c r="Y51" s="1759">
        <f t="shared" si="40"/>
        <v>0</v>
      </c>
      <c r="Z51" s="1653">
        <f t="shared" si="41"/>
        <v>0</v>
      </c>
      <c r="AA51" s="1486">
        <f t="shared" si="42"/>
        <v>0</v>
      </c>
      <c r="AB51" s="937">
        <f t="shared" si="43"/>
        <v>0</v>
      </c>
      <c r="AC51" s="899">
        <f t="shared" si="44"/>
        <v>0</v>
      </c>
      <c r="AD51" s="1830">
        <v>0</v>
      </c>
      <c r="AE51" s="899">
        <f t="shared" si="45"/>
        <v>0</v>
      </c>
      <c r="AF51" s="1834">
        <f>+'[4]Table 5C1I-LA Key Academy'!T50*8</f>
        <v>0</v>
      </c>
      <c r="AG51" s="1834">
        <f t="shared" si="46"/>
        <v>0</v>
      </c>
      <c r="AH51" s="899">
        <f t="shared" si="47"/>
        <v>0</v>
      </c>
      <c r="AI51" s="900">
        <f t="shared" si="51"/>
        <v>0</v>
      </c>
      <c r="AJ51" s="900">
        <f t="shared" si="48"/>
        <v>0</v>
      </c>
      <c r="AL51" s="2034">
        <f>-'[4]Table 5C1I-LA Key Academy'!P50</f>
        <v>0</v>
      </c>
      <c r="AM51" s="2034">
        <f t="shared" si="49"/>
        <v>0</v>
      </c>
      <c r="AN51" s="2034">
        <f t="shared" si="50"/>
        <v>0</v>
      </c>
    </row>
    <row r="52" spans="1:40">
      <c r="A52" s="879">
        <v>45</v>
      </c>
      <c r="B52" s="880" t="s">
        <v>136</v>
      </c>
      <c r="C52" s="973">
        <v>0</v>
      </c>
      <c r="D52" s="883">
        <f>'Table 3 Levels 1&amp;2'!AL52</f>
        <v>2192.4914538932262</v>
      </c>
      <c r="E52" s="922">
        <f t="shared" si="28"/>
        <v>0</v>
      </c>
      <c r="F52" s="922">
        <f>'Table 4 Level 3'!P50</f>
        <v>753.96000000000015</v>
      </c>
      <c r="G52" s="922">
        <f t="shared" si="29"/>
        <v>0</v>
      </c>
      <c r="H52" s="906">
        <f t="shared" si="30"/>
        <v>0</v>
      </c>
      <c r="I52" s="1735">
        <f>+'[3]Oct midyear Key Academy'!K51</f>
        <v>0</v>
      </c>
      <c r="J52" s="1735">
        <f>'[3]Feb midyear Key Academy'!K51</f>
        <v>0</v>
      </c>
      <c r="K52" s="1546">
        <f t="shared" si="31"/>
        <v>0</v>
      </c>
      <c r="L52" s="1490">
        <f t="shared" si="32"/>
        <v>0</v>
      </c>
      <c r="M52" s="932">
        <f t="shared" si="33"/>
        <v>0</v>
      </c>
      <c r="N52" s="906">
        <f t="shared" si="34"/>
        <v>0</v>
      </c>
      <c r="O52" s="883">
        <v>0</v>
      </c>
      <c r="P52" s="1553">
        <f t="shared" si="35"/>
        <v>0</v>
      </c>
      <c r="Q52" s="1735">
        <f>+'[4]Table 5C1I-LA Key Academy'!M51*8</f>
        <v>0</v>
      </c>
      <c r="R52" s="1735">
        <f t="shared" si="36"/>
        <v>0</v>
      </c>
      <c r="S52" s="1553">
        <f t="shared" si="37"/>
        <v>0</v>
      </c>
      <c r="T52" s="1807">
        <f>'Table 5C1A-Madison Prep'!T52</f>
        <v>12792</v>
      </c>
      <c r="U52" s="1556">
        <f t="shared" si="38"/>
        <v>0</v>
      </c>
      <c r="V52" s="1762">
        <f>+'[3]Oct midyear Key Academy'!E51</f>
        <v>0</v>
      </c>
      <c r="W52" s="1763">
        <f t="shared" si="39"/>
        <v>0</v>
      </c>
      <c r="X52" s="1762">
        <f>'[3]Feb midyear Key Academy'!E51</f>
        <v>0</v>
      </c>
      <c r="Y52" s="1763">
        <f t="shared" si="40"/>
        <v>0</v>
      </c>
      <c r="Z52" s="1654">
        <f t="shared" si="41"/>
        <v>0</v>
      </c>
      <c r="AA52" s="1488">
        <f t="shared" si="42"/>
        <v>0</v>
      </c>
      <c r="AB52" s="938">
        <f t="shared" si="43"/>
        <v>0</v>
      </c>
      <c r="AC52" s="903">
        <f t="shared" si="44"/>
        <v>0</v>
      </c>
      <c r="AD52" s="1831">
        <v>0</v>
      </c>
      <c r="AE52" s="903">
        <f t="shared" si="45"/>
        <v>0</v>
      </c>
      <c r="AF52" s="1835">
        <f>+'[4]Table 5C1I-LA Key Academy'!T51*8</f>
        <v>0</v>
      </c>
      <c r="AG52" s="1835">
        <f t="shared" si="46"/>
        <v>0</v>
      </c>
      <c r="AH52" s="903">
        <f t="shared" si="47"/>
        <v>0</v>
      </c>
      <c r="AI52" s="904">
        <f t="shared" si="51"/>
        <v>0</v>
      </c>
      <c r="AJ52" s="904">
        <f t="shared" si="48"/>
        <v>0</v>
      </c>
      <c r="AL52" s="2034">
        <f>-'[4]Table 5C1I-LA Key Academy'!P51</f>
        <v>0</v>
      </c>
      <c r="AM52" s="2034">
        <f t="shared" si="49"/>
        <v>0</v>
      </c>
      <c r="AN52" s="2034">
        <f t="shared" si="50"/>
        <v>0</v>
      </c>
    </row>
    <row r="53" spans="1:40">
      <c r="A53" s="870">
        <v>46</v>
      </c>
      <c r="B53" s="871" t="s">
        <v>137</v>
      </c>
      <c r="C53" s="974">
        <v>0</v>
      </c>
      <c r="D53" s="884">
        <f>'Table 3 Levels 1&amp;2'!AL53</f>
        <v>5644.6599115241634</v>
      </c>
      <c r="E53" s="923">
        <f t="shared" si="28"/>
        <v>0</v>
      </c>
      <c r="F53" s="923">
        <f>'Table 4 Level 3'!P51</f>
        <v>728.06</v>
      </c>
      <c r="G53" s="923">
        <f t="shared" si="29"/>
        <v>0</v>
      </c>
      <c r="H53" s="907">
        <f t="shared" si="30"/>
        <v>0</v>
      </c>
      <c r="I53" s="1723">
        <f>+'[3]Oct midyear Key Academy'!K52</f>
        <v>0</v>
      </c>
      <c r="J53" s="1723">
        <f>'[3]Feb midyear Key Academy'!K52</f>
        <v>0</v>
      </c>
      <c r="K53" s="1547">
        <f t="shared" si="31"/>
        <v>0</v>
      </c>
      <c r="L53" s="1491">
        <f t="shared" si="32"/>
        <v>0</v>
      </c>
      <c r="M53" s="933">
        <f t="shared" si="33"/>
        <v>0</v>
      </c>
      <c r="N53" s="907">
        <f t="shared" si="34"/>
        <v>0</v>
      </c>
      <c r="O53" s="884">
        <v>0</v>
      </c>
      <c r="P53" s="996">
        <f t="shared" si="35"/>
        <v>0</v>
      </c>
      <c r="Q53" s="1723">
        <f>+'[4]Table 5C1I-LA Key Academy'!M52*8</f>
        <v>0</v>
      </c>
      <c r="R53" s="1723">
        <f t="shared" si="36"/>
        <v>0</v>
      </c>
      <c r="S53" s="996">
        <f t="shared" si="37"/>
        <v>0</v>
      </c>
      <c r="T53" s="1802">
        <f>'Table 5C1A-Madison Prep'!T53</f>
        <v>2423</v>
      </c>
      <c r="U53" s="999">
        <f t="shared" si="38"/>
        <v>0</v>
      </c>
      <c r="V53" s="1754">
        <f>+'[3]Oct midyear Key Academy'!E52</f>
        <v>0</v>
      </c>
      <c r="W53" s="1755">
        <f t="shared" si="39"/>
        <v>0</v>
      </c>
      <c r="X53" s="1754">
        <f>'[3]Feb midyear Key Academy'!E52</f>
        <v>0</v>
      </c>
      <c r="Y53" s="1755">
        <f t="shared" si="40"/>
        <v>0</v>
      </c>
      <c r="Z53" s="1652">
        <f t="shared" si="41"/>
        <v>0</v>
      </c>
      <c r="AA53" s="1521">
        <f t="shared" si="42"/>
        <v>0</v>
      </c>
      <c r="AB53" s="936">
        <f t="shared" si="43"/>
        <v>0</v>
      </c>
      <c r="AC53" s="874">
        <f t="shared" si="44"/>
        <v>0</v>
      </c>
      <c r="AD53" s="1829">
        <v>0</v>
      </c>
      <c r="AE53" s="874">
        <f t="shared" si="45"/>
        <v>0</v>
      </c>
      <c r="AF53" s="1829">
        <f>+'[4]Table 5C1I-LA Key Academy'!T52*8</f>
        <v>0</v>
      </c>
      <c r="AG53" s="1829">
        <f t="shared" si="46"/>
        <v>0</v>
      </c>
      <c r="AH53" s="874">
        <f t="shared" si="47"/>
        <v>0</v>
      </c>
      <c r="AI53" s="875">
        <f t="shared" si="51"/>
        <v>0</v>
      </c>
      <c r="AJ53" s="875">
        <f t="shared" si="48"/>
        <v>0</v>
      </c>
      <c r="AL53" s="2034">
        <f>-'[4]Table 5C1I-LA Key Academy'!P52</f>
        <v>0</v>
      </c>
      <c r="AM53" s="2034">
        <f t="shared" si="49"/>
        <v>0</v>
      </c>
      <c r="AN53" s="2034">
        <f t="shared" si="50"/>
        <v>0</v>
      </c>
    </row>
    <row r="54" spans="1:40">
      <c r="A54" s="876">
        <v>47</v>
      </c>
      <c r="B54" s="877" t="s">
        <v>138</v>
      </c>
      <c r="C54" s="972">
        <v>0</v>
      </c>
      <c r="D54" s="882">
        <f>'Table 3 Levels 1&amp;2'!AL54</f>
        <v>2731.2444076222037</v>
      </c>
      <c r="E54" s="921">
        <f t="shared" si="28"/>
        <v>0</v>
      </c>
      <c r="F54" s="921">
        <f>'Table 4 Level 3'!P52</f>
        <v>910.76</v>
      </c>
      <c r="G54" s="921">
        <f t="shared" si="29"/>
        <v>0</v>
      </c>
      <c r="H54" s="905">
        <f t="shared" si="30"/>
        <v>0</v>
      </c>
      <c r="I54" s="1734">
        <f>+'[3]Oct midyear Key Academy'!K53</f>
        <v>0</v>
      </c>
      <c r="J54" s="1734">
        <f>'[3]Feb midyear Key Academy'!K53</f>
        <v>0</v>
      </c>
      <c r="K54" s="1545">
        <f t="shared" si="31"/>
        <v>0</v>
      </c>
      <c r="L54" s="1489">
        <f t="shared" si="32"/>
        <v>0</v>
      </c>
      <c r="M54" s="931">
        <f t="shared" si="33"/>
        <v>0</v>
      </c>
      <c r="N54" s="905">
        <f t="shared" si="34"/>
        <v>0</v>
      </c>
      <c r="O54" s="882">
        <v>0</v>
      </c>
      <c r="P54" s="1552">
        <f t="shared" si="35"/>
        <v>0</v>
      </c>
      <c r="Q54" s="1734">
        <f>+'[4]Table 5C1I-LA Key Academy'!M53*8</f>
        <v>0</v>
      </c>
      <c r="R54" s="1734">
        <f t="shared" si="36"/>
        <v>0</v>
      </c>
      <c r="S54" s="1552">
        <f t="shared" si="37"/>
        <v>0</v>
      </c>
      <c r="T54" s="1802">
        <f>'Table 5C1A-Madison Prep'!T54</f>
        <v>12963</v>
      </c>
      <c r="U54" s="1555">
        <f t="shared" si="38"/>
        <v>0</v>
      </c>
      <c r="V54" s="1758">
        <f>+'[3]Oct midyear Key Academy'!E53</f>
        <v>0</v>
      </c>
      <c r="W54" s="1759">
        <f t="shared" si="39"/>
        <v>0</v>
      </c>
      <c r="X54" s="1758">
        <f>'[3]Feb midyear Key Academy'!E53</f>
        <v>0</v>
      </c>
      <c r="Y54" s="1759">
        <f t="shared" si="40"/>
        <v>0</v>
      </c>
      <c r="Z54" s="1653">
        <f t="shared" si="41"/>
        <v>0</v>
      </c>
      <c r="AA54" s="1486">
        <f t="shared" si="42"/>
        <v>0</v>
      </c>
      <c r="AB54" s="937">
        <f t="shared" si="43"/>
        <v>0</v>
      </c>
      <c r="AC54" s="899">
        <f t="shared" si="44"/>
        <v>0</v>
      </c>
      <c r="AD54" s="1830">
        <v>0</v>
      </c>
      <c r="AE54" s="899">
        <f t="shared" si="45"/>
        <v>0</v>
      </c>
      <c r="AF54" s="1834">
        <f>+'[4]Table 5C1I-LA Key Academy'!T53*8</f>
        <v>0</v>
      </c>
      <c r="AG54" s="1834">
        <f t="shared" si="46"/>
        <v>0</v>
      </c>
      <c r="AH54" s="899">
        <f t="shared" si="47"/>
        <v>0</v>
      </c>
      <c r="AI54" s="900">
        <f t="shared" si="51"/>
        <v>0</v>
      </c>
      <c r="AJ54" s="900">
        <f t="shared" si="48"/>
        <v>0</v>
      </c>
      <c r="AL54" s="2034">
        <f>-'[4]Table 5C1I-LA Key Academy'!P53</f>
        <v>0</v>
      </c>
      <c r="AM54" s="2034">
        <f t="shared" si="49"/>
        <v>0</v>
      </c>
      <c r="AN54" s="2034">
        <f t="shared" si="50"/>
        <v>0</v>
      </c>
    </row>
    <row r="55" spans="1:40">
      <c r="A55" s="876">
        <v>48</v>
      </c>
      <c r="B55" s="877" t="s">
        <v>195</v>
      </c>
      <c r="C55" s="972">
        <v>0</v>
      </c>
      <c r="D55" s="882">
        <f>'Table 3 Levels 1&amp;2'!AL55</f>
        <v>4272.723323083942</v>
      </c>
      <c r="E55" s="921">
        <f t="shared" si="28"/>
        <v>0</v>
      </c>
      <c r="F55" s="921">
        <f>'Table 4 Level 3'!P53</f>
        <v>871.07</v>
      </c>
      <c r="G55" s="921">
        <f t="shared" si="29"/>
        <v>0</v>
      </c>
      <c r="H55" s="905">
        <f t="shared" si="30"/>
        <v>0</v>
      </c>
      <c r="I55" s="1734">
        <f>+'[3]Oct midyear Key Academy'!K54</f>
        <v>0</v>
      </c>
      <c r="J55" s="1734">
        <f>'[3]Feb midyear Key Academy'!K54</f>
        <v>0</v>
      </c>
      <c r="K55" s="1545">
        <f t="shared" si="31"/>
        <v>0</v>
      </c>
      <c r="L55" s="1489">
        <f t="shared" si="32"/>
        <v>0</v>
      </c>
      <c r="M55" s="931">
        <f t="shared" si="33"/>
        <v>0</v>
      </c>
      <c r="N55" s="905">
        <f t="shared" si="34"/>
        <v>0</v>
      </c>
      <c r="O55" s="882">
        <v>0</v>
      </c>
      <c r="P55" s="1552">
        <f t="shared" si="35"/>
        <v>0</v>
      </c>
      <c r="Q55" s="1734">
        <f>+'[4]Table 5C1I-LA Key Academy'!M54*8</f>
        <v>0</v>
      </c>
      <c r="R55" s="1734">
        <f t="shared" si="36"/>
        <v>0</v>
      </c>
      <c r="S55" s="1552">
        <f t="shared" si="37"/>
        <v>0</v>
      </c>
      <c r="T55" s="1802">
        <f>'Table 5C1A-Madison Prep'!T55</f>
        <v>6585</v>
      </c>
      <c r="U55" s="1555">
        <f t="shared" si="38"/>
        <v>0</v>
      </c>
      <c r="V55" s="1758">
        <f>+'[3]Oct midyear Key Academy'!E54</f>
        <v>0</v>
      </c>
      <c r="W55" s="1759">
        <f t="shared" si="39"/>
        <v>0</v>
      </c>
      <c r="X55" s="1758">
        <f>'[3]Feb midyear Key Academy'!E54</f>
        <v>0</v>
      </c>
      <c r="Y55" s="1759">
        <f t="shared" si="40"/>
        <v>0</v>
      </c>
      <c r="Z55" s="1653">
        <f t="shared" si="41"/>
        <v>0</v>
      </c>
      <c r="AA55" s="1486">
        <f t="shared" si="42"/>
        <v>0</v>
      </c>
      <c r="AB55" s="937">
        <f t="shared" si="43"/>
        <v>0</v>
      </c>
      <c r="AC55" s="899">
        <f t="shared" si="44"/>
        <v>0</v>
      </c>
      <c r="AD55" s="1830">
        <v>0</v>
      </c>
      <c r="AE55" s="899">
        <f t="shared" si="45"/>
        <v>0</v>
      </c>
      <c r="AF55" s="1834">
        <f>+'[4]Table 5C1I-LA Key Academy'!T54*8</f>
        <v>0</v>
      </c>
      <c r="AG55" s="1834">
        <f t="shared" si="46"/>
        <v>0</v>
      </c>
      <c r="AH55" s="899">
        <f t="shared" si="47"/>
        <v>0</v>
      </c>
      <c r="AI55" s="900">
        <f t="shared" si="51"/>
        <v>0</v>
      </c>
      <c r="AJ55" s="900">
        <f t="shared" si="48"/>
        <v>0</v>
      </c>
      <c r="AL55" s="2034">
        <f>-'[4]Table 5C1I-LA Key Academy'!P54</f>
        <v>0</v>
      </c>
      <c r="AM55" s="2034">
        <f t="shared" si="49"/>
        <v>0</v>
      </c>
      <c r="AN55" s="2034">
        <f t="shared" si="50"/>
        <v>0</v>
      </c>
    </row>
    <row r="56" spans="1:40">
      <c r="A56" s="876">
        <v>49</v>
      </c>
      <c r="B56" s="877" t="s">
        <v>139</v>
      </c>
      <c r="C56" s="972">
        <v>0</v>
      </c>
      <c r="D56" s="882">
        <f>'Table 3 Levels 1&amp;2'!AL56</f>
        <v>4836.7092570332552</v>
      </c>
      <c r="E56" s="921">
        <f t="shared" si="28"/>
        <v>0</v>
      </c>
      <c r="F56" s="921">
        <f>'Table 4 Level 3'!P54</f>
        <v>574.43999999999994</v>
      </c>
      <c r="G56" s="921">
        <f t="shared" si="29"/>
        <v>0</v>
      </c>
      <c r="H56" s="905">
        <f t="shared" si="30"/>
        <v>0</v>
      </c>
      <c r="I56" s="1734">
        <f>+'[3]Oct midyear Key Academy'!K55</f>
        <v>0</v>
      </c>
      <c r="J56" s="1734">
        <f>'[3]Feb midyear Key Academy'!K55</f>
        <v>0</v>
      </c>
      <c r="K56" s="1545">
        <f t="shared" si="31"/>
        <v>0</v>
      </c>
      <c r="L56" s="1489">
        <f t="shared" si="32"/>
        <v>0</v>
      </c>
      <c r="M56" s="931">
        <f t="shared" si="33"/>
        <v>0</v>
      </c>
      <c r="N56" s="905">
        <f t="shared" si="34"/>
        <v>0</v>
      </c>
      <c r="O56" s="882">
        <v>0</v>
      </c>
      <c r="P56" s="1552">
        <f t="shared" si="35"/>
        <v>0</v>
      </c>
      <c r="Q56" s="1734">
        <f>+'[4]Table 5C1I-LA Key Academy'!M55*8</f>
        <v>0</v>
      </c>
      <c r="R56" s="1734">
        <f t="shared" si="36"/>
        <v>0</v>
      </c>
      <c r="S56" s="1552">
        <f t="shared" si="37"/>
        <v>0</v>
      </c>
      <c r="T56" s="1802">
        <f>'Table 5C1A-Madison Prep'!T56</f>
        <v>2402</v>
      </c>
      <c r="U56" s="1555">
        <f t="shared" si="38"/>
        <v>0</v>
      </c>
      <c r="V56" s="1758">
        <f>+'[3]Oct midyear Key Academy'!E55</f>
        <v>0</v>
      </c>
      <c r="W56" s="1759">
        <f t="shared" si="39"/>
        <v>0</v>
      </c>
      <c r="X56" s="1758">
        <f>'[3]Feb midyear Key Academy'!E55</f>
        <v>0</v>
      </c>
      <c r="Y56" s="1759">
        <f t="shared" si="40"/>
        <v>0</v>
      </c>
      <c r="Z56" s="1653">
        <f t="shared" si="41"/>
        <v>0</v>
      </c>
      <c r="AA56" s="1486">
        <f t="shared" si="42"/>
        <v>0</v>
      </c>
      <c r="AB56" s="937">
        <f t="shared" si="43"/>
        <v>0</v>
      </c>
      <c r="AC56" s="899">
        <f t="shared" si="44"/>
        <v>0</v>
      </c>
      <c r="AD56" s="1830">
        <v>0</v>
      </c>
      <c r="AE56" s="899">
        <f t="shared" si="45"/>
        <v>0</v>
      </c>
      <c r="AF56" s="1834">
        <f>+'[4]Table 5C1I-LA Key Academy'!T55*8</f>
        <v>0</v>
      </c>
      <c r="AG56" s="1834">
        <f t="shared" si="46"/>
        <v>0</v>
      </c>
      <c r="AH56" s="899">
        <f t="shared" si="47"/>
        <v>0</v>
      </c>
      <c r="AI56" s="900">
        <f t="shared" si="51"/>
        <v>0</v>
      </c>
      <c r="AJ56" s="900">
        <f t="shared" si="48"/>
        <v>0</v>
      </c>
      <c r="AL56" s="2034">
        <f>-'[4]Table 5C1I-LA Key Academy'!P55</f>
        <v>0</v>
      </c>
      <c r="AM56" s="2034">
        <f t="shared" si="49"/>
        <v>0</v>
      </c>
      <c r="AN56" s="2034">
        <f t="shared" si="50"/>
        <v>0</v>
      </c>
    </row>
    <row r="57" spans="1:40">
      <c r="A57" s="879">
        <v>50</v>
      </c>
      <c r="B57" s="880" t="s">
        <v>140</v>
      </c>
      <c r="C57" s="973">
        <v>0</v>
      </c>
      <c r="D57" s="883">
        <f>'Table 3 Levels 1&amp;2'!AL57</f>
        <v>5032.6862895017111</v>
      </c>
      <c r="E57" s="922">
        <f t="shared" si="28"/>
        <v>0</v>
      </c>
      <c r="F57" s="922">
        <f>'Table 4 Level 3'!P55</f>
        <v>634.46</v>
      </c>
      <c r="G57" s="922">
        <f t="shared" si="29"/>
        <v>0</v>
      </c>
      <c r="H57" s="906">
        <f t="shared" si="30"/>
        <v>0</v>
      </c>
      <c r="I57" s="1735">
        <f>+'[3]Oct midyear Key Academy'!K56</f>
        <v>0</v>
      </c>
      <c r="J57" s="1735">
        <f>'[3]Feb midyear Key Academy'!K56</f>
        <v>0</v>
      </c>
      <c r="K57" s="1546">
        <f t="shared" si="31"/>
        <v>0</v>
      </c>
      <c r="L57" s="1490">
        <f t="shared" si="32"/>
        <v>0</v>
      </c>
      <c r="M57" s="932">
        <f t="shared" si="33"/>
        <v>0</v>
      </c>
      <c r="N57" s="906">
        <f t="shared" si="34"/>
        <v>0</v>
      </c>
      <c r="O57" s="883">
        <v>0</v>
      </c>
      <c r="P57" s="1553">
        <f t="shared" si="35"/>
        <v>0</v>
      </c>
      <c r="Q57" s="1735">
        <f>+'[4]Table 5C1I-LA Key Academy'!M56*8</f>
        <v>0</v>
      </c>
      <c r="R57" s="1735">
        <f t="shared" si="36"/>
        <v>0</v>
      </c>
      <c r="S57" s="1553">
        <f t="shared" si="37"/>
        <v>0</v>
      </c>
      <c r="T57" s="1807">
        <f>'Table 5C1A-Madison Prep'!T57</f>
        <v>3143</v>
      </c>
      <c r="U57" s="1556">
        <f t="shared" si="38"/>
        <v>0</v>
      </c>
      <c r="V57" s="1762">
        <f>+'[3]Oct midyear Key Academy'!E56</f>
        <v>0</v>
      </c>
      <c r="W57" s="1763">
        <f t="shared" si="39"/>
        <v>0</v>
      </c>
      <c r="X57" s="1762">
        <f>'[3]Feb midyear Key Academy'!E56</f>
        <v>0</v>
      </c>
      <c r="Y57" s="1763">
        <f t="shared" si="40"/>
        <v>0</v>
      </c>
      <c r="Z57" s="1654">
        <f t="shared" si="41"/>
        <v>0</v>
      </c>
      <c r="AA57" s="1488">
        <f t="shared" si="42"/>
        <v>0</v>
      </c>
      <c r="AB57" s="938">
        <f t="shared" si="43"/>
        <v>0</v>
      </c>
      <c r="AC57" s="903">
        <f t="shared" si="44"/>
        <v>0</v>
      </c>
      <c r="AD57" s="1831">
        <v>0</v>
      </c>
      <c r="AE57" s="903">
        <f t="shared" si="45"/>
        <v>0</v>
      </c>
      <c r="AF57" s="1835">
        <f>+'[4]Table 5C1I-LA Key Academy'!T56*8</f>
        <v>0</v>
      </c>
      <c r="AG57" s="1835">
        <f t="shared" si="46"/>
        <v>0</v>
      </c>
      <c r="AH57" s="903">
        <f t="shared" si="47"/>
        <v>0</v>
      </c>
      <c r="AI57" s="904">
        <f t="shared" si="51"/>
        <v>0</v>
      </c>
      <c r="AJ57" s="904">
        <f t="shared" si="48"/>
        <v>0</v>
      </c>
      <c r="AL57" s="2034">
        <f>-'[4]Table 5C1I-LA Key Academy'!P56</f>
        <v>0</v>
      </c>
      <c r="AM57" s="2034">
        <f t="shared" si="49"/>
        <v>0</v>
      </c>
      <c r="AN57" s="2034">
        <f t="shared" si="50"/>
        <v>0</v>
      </c>
    </row>
    <row r="58" spans="1:40">
      <c r="A58" s="870">
        <v>51</v>
      </c>
      <c r="B58" s="871" t="s">
        <v>141</v>
      </c>
      <c r="C58" s="974">
        <v>0</v>
      </c>
      <c r="D58" s="884">
        <f>'Table 3 Levels 1&amp;2'!AL58</f>
        <v>4246.0339872793602</v>
      </c>
      <c r="E58" s="923">
        <f t="shared" si="28"/>
        <v>0</v>
      </c>
      <c r="F58" s="923">
        <f>'Table 4 Level 3'!P56</f>
        <v>706.66</v>
      </c>
      <c r="G58" s="923">
        <f t="shared" si="29"/>
        <v>0</v>
      </c>
      <c r="H58" s="907">
        <f t="shared" si="30"/>
        <v>0</v>
      </c>
      <c r="I58" s="1723">
        <f>+'[3]Oct midyear Key Academy'!K57</f>
        <v>0</v>
      </c>
      <c r="J58" s="1723">
        <f>'[3]Feb midyear Key Academy'!K57</f>
        <v>0</v>
      </c>
      <c r="K58" s="1547">
        <f t="shared" si="31"/>
        <v>0</v>
      </c>
      <c r="L58" s="1491">
        <f t="shared" si="32"/>
        <v>0</v>
      </c>
      <c r="M58" s="933">
        <f t="shared" si="33"/>
        <v>0</v>
      </c>
      <c r="N58" s="907">
        <f t="shared" si="34"/>
        <v>0</v>
      </c>
      <c r="O58" s="884">
        <v>0</v>
      </c>
      <c r="P58" s="996">
        <f t="shared" si="35"/>
        <v>0</v>
      </c>
      <c r="Q58" s="1723">
        <f>+'[4]Table 5C1I-LA Key Academy'!M57*8</f>
        <v>0</v>
      </c>
      <c r="R58" s="1723">
        <f t="shared" si="36"/>
        <v>0</v>
      </c>
      <c r="S58" s="996">
        <f t="shared" si="37"/>
        <v>0</v>
      </c>
      <c r="T58" s="1802">
        <f>'Table 5C1A-Madison Prep'!T58</f>
        <v>4370</v>
      </c>
      <c r="U58" s="999">
        <f t="shared" si="38"/>
        <v>0</v>
      </c>
      <c r="V58" s="1754">
        <f>+'[3]Oct midyear Key Academy'!E57</f>
        <v>0</v>
      </c>
      <c r="W58" s="1755">
        <f t="shared" si="39"/>
        <v>0</v>
      </c>
      <c r="X58" s="1754">
        <f>'[3]Feb midyear Key Academy'!E57</f>
        <v>0</v>
      </c>
      <c r="Y58" s="1755">
        <f t="shared" si="40"/>
        <v>0</v>
      </c>
      <c r="Z58" s="1652">
        <f t="shared" si="41"/>
        <v>0</v>
      </c>
      <c r="AA58" s="1521">
        <f t="shared" si="42"/>
        <v>0</v>
      </c>
      <c r="AB58" s="936">
        <f t="shared" si="43"/>
        <v>0</v>
      </c>
      <c r="AC58" s="874">
        <f t="shared" si="44"/>
        <v>0</v>
      </c>
      <c r="AD58" s="1829">
        <v>0</v>
      </c>
      <c r="AE58" s="874">
        <f t="shared" si="45"/>
        <v>0</v>
      </c>
      <c r="AF58" s="1829">
        <f>+'[4]Table 5C1I-LA Key Academy'!T57*8</f>
        <v>0</v>
      </c>
      <c r="AG58" s="1829">
        <f t="shared" si="46"/>
        <v>0</v>
      </c>
      <c r="AH58" s="874">
        <f t="shared" si="47"/>
        <v>0</v>
      </c>
      <c r="AI58" s="875">
        <f t="shared" si="51"/>
        <v>0</v>
      </c>
      <c r="AJ58" s="875">
        <f t="shared" si="48"/>
        <v>0</v>
      </c>
      <c r="AL58" s="2034">
        <f>-'[4]Table 5C1I-LA Key Academy'!P57</f>
        <v>0</v>
      </c>
      <c r="AM58" s="2034">
        <f t="shared" si="49"/>
        <v>0</v>
      </c>
      <c r="AN58" s="2034">
        <f t="shared" si="50"/>
        <v>0</v>
      </c>
    </row>
    <row r="59" spans="1:40">
      <c r="A59" s="876">
        <v>52</v>
      </c>
      <c r="B59" s="877" t="s">
        <v>142</v>
      </c>
      <c r="C59" s="972">
        <v>0</v>
      </c>
      <c r="D59" s="882">
        <f>'Table 3 Levels 1&amp;2'!AL59</f>
        <v>5013.4438050113249</v>
      </c>
      <c r="E59" s="921">
        <f t="shared" si="28"/>
        <v>0</v>
      </c>
      <c r="F59" s="921">
        <f>'Table 4 Level 3'!P57</f>
        <v>658.37</v>
      </c>
      <c r="G59" s="921">
        <f t="shared" si="29"/>
        <v>0</v>
      </c>
      <c r="H59" s="905">
        <f t="shared" si="30"/>
        <v>0</v>
      </c>
      <c r="I59" s="1734">
        <f>+'[3]Oct midyear Key Academy'!K58</f>
        <v>0</v>
      </c>
      <c r="J59" s="1734">
        <f>'[3]Feb midyear Key Academy'!K58</f>
        <v>0</v>
      </c>
      <c r="K59" s="1545">
        <f t="shared" si="31"/>
        <v>0</v>
      </c>
      <c r="L59" s="1489">
        <f t="shared" si="32"/>
        <v>0</v>
      </c>
      <c r="M59" s="931">
        <f t="shared" si="33"/>
        <v>0</v>
      </c>
      <c r="N59" s="905">
        <f t="shared" si="34"/>
        <v>0</v>
      </c>
      <c r="O59" s="882">
        <v>0</v>
      </c>
      <c r="P59" s="1552">
        <f t="shared" si="35"/>
        <v>0</v>
      </c>
      <c r="Q59" s="1734">
        <f>+'[4]Table 5C1I-LA Key Academy'!M58*8</f>
        <v>0</v>
      </c>
      <c r="R59" s="1734">
        <f t="shared" si="36"/>
        <v>0</v>
      </c>
      <c r="S59" s="1552">
        <f t="shared" si="37"/>
        <v>0</v>
      </c>
      <c r="T59" s="1802">
        <f>'Table 5C1A-Madison Prep'!T59</f>
        <v>5143</v>
      </c>
      <c r="U59" s="1555">
        <f t="shared" si="38"/>
        <v>0</v>
      </c>
      <c r="V59" s="1758">
        <f>+'[3]Oct midyear Key Academy'!E58</f>
        <v>0</v>
      </c>
      <c r="W59" s="1759">
        <f t="shared" si="39"/>
        <v>0</v>
      </c>
      <c r="X59" s="1758">
        <f>'[3]Feb midyear Key Academy'!E58</f>
        <v>0</v>
      </c>
      <c r="Y59" s="1759">
        <f t="shared" si="40"/>
        <v>0</v>
      </c>
      <c r="Z59" s="1653">
        <f t="shared" si="41"/>
        <v>0</v>
      </c>
      <c r="AA59" s="1486">
        <f t="shared" si="42"/>
        <v>0</v>
      </c>
      <c r="AB59" s="937">
        <f t="shared" si="43"/>
        <v>0</v>
      </c>
      <c r="AC59" s="899">
        <f t="shared" si="44"/>
        <v>0</v>
      </c>
      <c r="AD59" s="1830">
        <v>0</v>
      </c>
      <c r="AE59" s="899">
        <f t="shared" si="45"/>
        <v>0</v>
      </c>
      <c r="AF59" s="1834">
        <f>+'[4]Table 5C1I-LA Key Academy'!T58*8</f>
        <v>0</v>
      </c>
      <c r="AG59" s="1834">
        <f t="shared" si="46"/>
        <v>0</v>
      </c>
      <c r="AH59" s="899">
        <f t="shared" si="47"/>
        <v>0</v>
      </c>
      <c r="AI59" s="900">
        <f t="shared" si="51"/>
        <v>0</v>
      </c>
      <c r="AJ59" s="900">
        <f t="shared" si="48"/>
        <v>0</v>
      </c>
      <c r="AL59" s="2034">
        <f>-'[4]Table 5C1I-LA Key Academy'!P58</f>
        <v>0</v>
      </c>
      <c r="AM59" s="2034">
        <f t="shared" si="49"/>
        <v>0</v>
      </c>
      <c r="AN59" s="2034">
        <f t="shared" si="50"/>
        <v>0</v>
      </c>
    </row>
    <row r="60" spans="1:40">
      <c r="A60" s="876">
        <v>53</v>
      </c>
      <c r="B60" s="877" t="s">
        <v>143</v>
      </c>
      <c r="C60" s="972">
        <v>0</v>
      </c>
      <c r="D60" s="882">
        <f>'Table 3 Levels 1&amp;2'!AL60</f>
        <v>4775.5877635581091</v>
      </c>
      <c r="E60" s="921">
        <f t="shared" si="28"/>
        <v>0</v>
      </c>
      <c r="F60" s="921">
        <f>'Table 4 Level 3'!P58</f>
        <v>689.74</v>
      </c>
      <c r="G60" s="921">
        <f t="shared" si="29"/>
        <v>0</v>
      </c>
      <c r="H60" s="905">
        <f t="shared" si="30"/>
        <v>0</v>
      </c>
      <c r="I60" s="1734">
        <f>+'[3]Oct midyear Key Academy'!K59</f>
        <v>0</v>
      </c>
      <c r="J60" s="1734">
        <f>'[3]Feb midyear Key Academy'!K59</f>
        <v>0</v>
      </c>
      <c r="K60" s="1545">
        <f t="shared" si="31"/>
        <v>0</v>
      </c>
      <c r="L60" s="1489">
        <f t="shared" si="32"/>
        <v>0</v>
      </c>
      <c r="M60" s="931">
        <f t="shared" si="33"/>
        <v>0</v>
      </c>
      <c r="N60" s="905">
        <f t="shared" si="34"/>
        <v>0</v>
      </c>
      <c r="O60" s="882">
        <v>0</v>
      </c>
      <c r="P60" s="1552">
        <f t="shared" si="35"/>
        <v>0</v>
      </c>
      <c r="Q60" s="1734">
        <f>+'[4]Table 5C1I-LA Key Academy'!M59*8</f>
        <v>0</v>
      </c>
      <c r="R60" s="1734">
        <f t="shared" si="36"/>
        <v>0</v>
      </c>
      <c r="S60" s="1552">
        <f t="shared" si="37"/>
        <v>0</v>
      </c>
      <c r="T60" s="1802">
        <f>'Table 5C1A-Madison Prep'!T60</f>
        <v>2109</v>
      </c>
      <c r="U60" s="1555">
        <f t="shared" si="38"/>
        <v>0</v>
      </c>
      <c r="V60" s="1758">
        <f>+'[3]Oct midyear Key Academy'!E59</f>
        <v>0</v>
      </c>
      <c r="W60" s="1759">
        <f t="shared" si="39"/>
        <v>0</v>
      </c>
      <c r="X60" s="1758">
        <f>'[3]Feb midyear Key Academy'!E59</f>
        <v>0</v>
      </c>
      <c r="Y60" s="1759">
        <f t="shared" si="40"/>
        <v>0</v>
      </c>
      <c r="Z60" s="1653">
        <f t="shared" si="41"/>
        <v>0</v>
      </c>
      <c r="AA60" s="1486">
        <f t="shared" si="42"/>
        <v>0</v>
      </c>
      <c r="AB60" s="937">
        <f t="shared" si="43"/>
        <v>0</v>
      </c>
      <c r="AC60" s="899">
        <f t="shared" si="44"/>
        <v>0</v>
      </c>
      <c r="AD60" s="1830">
        <v>0</v>
      </c>
      <c r="AE60" s="899">
        <f t="shared" si="45"/>
        <v>0</v>
      </c>
      <c r="AF60" s="1834">
        <f>+'[4]Table 5C1I-LA Key Academy'!T59*8</f>
        <v>0</v>
      </c>
      <c r="AG60" s="1834">
        <f t="shared" si="46"/>
        <v>0</v>
      </c>
      <c r="AH60" s="899">
        <f t="shared" si="47"/>
        <v>0</v>
      </c>
      <c r="AI60" s="900">
        <f t="shared" si="51"/>
        <v>0</v>
      </c>
      <c r="AJ60" s="900">
        <f t="shared" si="48"/>
        <v>0</v>
      </c>
      <c r="AL60" s="2034">
        <f>-'[4]Table 5C1I-LA Key Academy'!P59</f>
        <v>0</v>
      </c>
      <c r="AM60" s="2034">
        <f t="shared" si="49"/>
        <v>0</v>
      </c>
      <c r="AN60" s="2034">
        <f t="shared" si="50"/>
        <v>0</v>
      </c>
    </row>
    <row r="61" spans="1:40">
      <c r="A61" s="876">
        <v>54</v>
      </c>
      <c r="B61" s="877" t="s">
        <v>144</v>
      </c>
      <c r="C61" s="972">
        <v>0</v>
      </c>
      <c r="D61" s="882">
        <f>'Table 3 Levels 1&amp;2'!AL61</f>
        <v>5951.8009386275662</v>
      </c>
      <c r="E61" s="921">
        <f t="shared" si="28"/>
        <v>0</v>
      </c>
      <c r="F61" s="921">
        <f>'Table 4 Level 3'!P59</f>
        <v>951.45</v>
      </c>
      <c r="G61" s="921">
        <f t="shared" si="29"/>
        <v>0</v>
      </c>
      <c r="H61" s="905">
        <f t="shared" si="30"/>
        <v>0</v>
      </c>
      <c r="I61" s="1734">
        <f>+'[3]Oct midyear Key Academy'!K60</f>
        <v>0</v>
      </c>
      <c r="J61" s="1734">
        <f>'[3]Feb midyear Key Academy'!K60</f>
        <v>0</v>
      </c>
      <c r="K61" s="1545">
        <f t="shared" si="31"/>
        <v>0</v>
      </c>
      <c r="L61" s="1489">
        <f t="shared" si="32"/>
        <v>0</v>
      </c>
      <c r="M61" s="931">
        <f t="shared" si="33"/>
        <v>0</v>
      </c>
      <c r="N61" s="905">
        <f t="shared" si="34"/>
        <v>0</v>
      </c>
      <c r="O61" s="882">
        <v>0</v>
      </c>
      <c r="P61" s="1552">
        <f t="shared" si="35"/>
        <v>0</v>
      </c>
      <c r="Q61" s="1734">
        <f>+'[4]Table 5C1I-LA Key Academy'!M60*8</f>
        <v>0</v>
      </c>
      <c r="R61" s="1734">
        <f t="shared" si="36"/>
        <v>0</v>
      </c>
      <c r="S61" s="1552">
        <f t="shared" si="37"/>
        <v>0</v>
      </c>
      <c r="T61" s="1802">
        <f>'Table 5C1A-Madison Prep'!T61</f>
        <v>3760</v>
      </c>
      <c r="U61" s="1555">
        <f t="shared" si="38"/>
        <v>0</v>
      </c>
      <c r="V61" s="1758">
        <f>+'[3]Oct midyear Key Academy'!E60</f>
        <v>0</v>
      </c>
      <c r="W61" s="1759">
        <f t="shared" si="39"/>
        <v>0</v>
      </c>
      <c r="X61" s="1758">
        <f>'[3]Feb midyear Key Academy'!E60</f>
        <v>0</v>
      </c>
      <c r="Y61" s="1759">
        <f t="shared" si="40"/>
        <v>0</v>
      </c>
      <c r="Z61" s="1653">
        <f t="shared" si="41"/>
        <v>0</v>
      </c>
      <c r="AA61" s="1486">
        <f t="shared" si="42"/>
        <v>0</v>
      </c>
      <c r="AB61" s="937">
        <f t="shared" si="43"/>
        <v>0</v>
      </c>
      <c r="AC61" s="899">
        <f t="shared" si="44"/>
        <v>0</v>
      </c>
      <c r="AD61" s="1830">
        <v>0</v>
      </c>
      <c r="AE61" s="899">
        <f t="shared" si="45"/>
        <v>0</v>
      </c>
      <c r="AF61" s="1834">
        <f>+'[4]Table 5C1I-LA Key Academy'!T60*8</f>
        <v>0</v>
      </c>
      <c r="AG61" s="1834">
        <f t="shared" si="46"/>
        <v>0</v>
      </c>
      <c r="AH61" s="899">
        <f t="shared" si="47"/>
        <v>0</v>
      </c>
      <c r="AI61" s="900">
        <f t="shared" si="51"/>
        <v>0</v>
      </c>
      <c r="AJ61" s="900">
        <f t="shared" si="48"/>
        <v>0</v>
      </c>
      <c r="AL61" s="2034">
        <f>-'[4]Table 5C1I-LA Key Academy'!P60</f>
        <v>0</v>
      </c>
      <c r="AM61" s="2034">
        <f t="shared" si="49"/>
        <v>0</v>
      </c>
      <c r="AN61" s="2034">
        <f t="shared" si="50"/>
        <v>0</v>
      </c>
    </row>
    <row r="62" spans="1:40">
      <c r="A62" s="879">
        <v>55</v>
      </c>
      <c r="B62" s="880" t="s">
        <v>145</v>
      </c>
      <c r="C62" s="973">
        <v>0</v>
      </c>
      <c r="D62" s="883">
        <f>'Table 3 Levels 1&amp;2'!AL62</f>
        <v>4171.0434735233157</v>
      </c>
      <c r="E62" s="922">
        <f t="shared" si="28"/>
        <v>0</v>
      </c>
      <c r="F62" s="922">
        <f>'Table 4 Level 3'!P60</f>
        <v>795.14</v>
      </c>
      <c r="G62" s="922">
        <f t="shared" si="29"/>
        <v>0</v>
      </c>
      <c r="H62" s="906">
        <f t="shared" si="30"/>
        <v>0</v>
      </c>
      <c r="I62" s="1735">
        <f>+'[3]Oct midyear Key Academy'!K61</f>
        <v>0</v>
      </c>
      <c r="J62" s="1735">
        <f>'[3]Feb midyear Key Academy'!K61</f>
        <v>0</v>
      </c>
      <c r="K62" s="1546">
        <f t="shared" si="31"/>
        <v>0</v>
      </c>
      <c r="L62" s="1490">
        <f t="shared" si="32"/>
        <v>0</v>
      </c>
      <c r="M62" s="932">
        <f t="shared" si="33"/>
        <v>0</v>
      </c>
      <c r="N62" s="906">
        <f t="shared" si="34"/>
        <v>0</v>
      </c>
      <c r="O62" s="883">
        <v>0</v>
      </c>
      <c r="P62" s="1553">
        <f t="shared" si="35"/>
        <v>0</v>
      </c>
      <c r="Q62" s="1735">
        <f>+'[4]Table 5C1I-LA Key Academy'!M61*8</f>
        <v>0</v>
      </c>
      <c r="R62" s="1735">
        <f t="shared" si="36"/>
        <v>0</v>
      </c>
      <c r="S62" s="1553">
        <f t="shared" si="37"/>
        <v>0</v>
      </c>
      <c r="T62" s="1807">
        <f>'Table 5C1A-Madison Prep'!T62</f>
        <v>3359</v>
      </c>
      <c r="U62" s="1556">
        <f t="shared" si="38"/>
        <v>0</v>
      </c>
      <c r="V62" s="1762">
        <f>+'[3]Oct midyear Key Academy'!E61</f>
        <v>0</v>
      </c>
      <c r="W62" s="1763">
        <f t="shared" si="39"/>
        <v>0</v>
      </c>
      <c r="X62" s="1762">
        <f>'[3]Feb midyear Key Academy'!E61</f>
        <v>0</v>
      </c>
      <c r="Y62" s="1763">
        <f t="shared" si="40"/>
        <v>0</v>
      </c>
      <c r="Z62" s="1654">
        <f t="shared" si="41"/>
        <v>0</v>
      </c>
      <c r="AA62" s="1488">
        <f t="shared" si="42"/>
        <v>0</v>
      </c>
      <c r="AB62" s="938">
        <f t="shared" si="43"/>
        <v>0</v>
      </c>
      <c r="AC62" s="903">
        <f t="shared" si="44"/>
        <v>0</v>
      </c>
      <c r="AD62" s="1831">
        <v>0</v>
      </c>
      <c r="AE62" s="903">
        <f t="shared" si="45"/>
        <v>0</v>
      </c>
      <c r="AF62" s="1835">
        <f>+'[4]Table 5C1I-LA Key Academy'!T61*8</f>
        <v>0</v>
      </c>
      <c r="AG62" s="1835">
        <f t="shared" si="46"/>
        <v>0</v>
      </c>
      <c r="AH62" s="903">
        <f t="shared" si="47"/>
        <v>0</v>
      </c>
      <c r="AI62" s="904">
        <f t="shared" si="51"/>
        <v>0</v>
      </c>
      <c r="AJ62" s="904">
        <f t="shared" si="48"/>
        <v>0</v>
      </c>
      <c r="AL62" s="2034">
        <f>-'[4]Table 5C1I-LA Key Academy'!P61</f>
        <v>0</v>
      </c>
      <c r="AM62" s="2034">
        <f t="shared" si="49"/>
        <v>0</v>
      </c>
      <c r="AN62" s="2034">
        <f t="shared" si="50"/>
        <v>0</v>
      </c>
    </row>
    <row r="63" spans="1:40">
      <c r="A63" s="870">
        <v>56</v>
      </c>
      <c r="B63" s="871" t="s">
        <v>146</v>
      </c>
      <c r="C63" s="974">
        <v>0</v>
      </c>
      <c r="D63" s="884">
        <f>'Table 3 Levels 1&amp;2'!AL63</f>
        <v>4968.593189672727</v>
      </c>
      <c r="E63" s="923">
        <f t="shared" si="28"/>
        <v>0</v>
      </c>
      <c r="F63" s="923">
        <f>'Table 4 Level 3'!P61</f>
        <v>614.66000000000008</v>
      </c>
      <c r="G63" s="923">
        <f t="shared" si="29"/>
        <v>0</v>
      </c>
      <c r="H63" s="907">
        <f t="shared" si="30"/>
        <v>0</v>
      </c>
      <c r="I63" s="1723">
        <f>+'[3]Oct midyear Key Academy'!K62</f>
        <v>0</v>
      </c>
      <c r="J63" s="1723">
        <f>'[3]Feb midyear Key Academy'!K62</f>
        <v>0</v>
      </c>
      <c r="K63" s="1547">
        <f t="shared" si="31"/>
        <v>0</v>
      </c>
      <c r="L63" s="1491">
        <f t="shared" si="32"/>
        <v>0</v>
      </c>
      <c r="M63" s="933">
        <f t="shared" si="33"/>
        <v>0</v>
      </c>
      <c r="N63" s="907">
        <f t="shared" si="34"/>
        <v>0</v>
      </c>
      <c r="O63" s="884">
        <v>0</v>
      </c>
      <c r="P63" s="996">
        <f t="shared" si="35"/>
        <v>0</v>
      </c>
      <c r="Q63" s="1723">
        <f>+'[4]Table 5C1I-LA Key Academy'!M62*8</f>
        <v>0</v>
      </c>
      <c r="R63" s="1723">
        <f t="shared" si="36"/>
        <v>0</v>
      </c>
      <c r="S63" s="996">
        <f t="shared" si="37"/>
        <v>0</v>
      </c>
      <c r="T63" s="1802">
        <f>'Table 5C1A-Madison Prep'!T63</f>
        <v>2853</v>
      </c>
      <c r="U63" s="999">
        <f t="shared" si="38"/>
        <v>0</v>
      </c>
      <c r="V63" s="1754">
        <f>+'[3]Oct midyear Key Academy'!E62</f>
        <v>0</v>
      </c>
      <c r="W63" s="1755">
        <f t="shared" si="39"/>
        <v>0</v>
      </c>
      <c r="X63" s="1754">
        <f>'[3]Feb midyear Key Academy'!E62</f>
        <v>0</v>
      </c>
      <c r="Y63" s="1755">
        <f t="shared" si="40"/>
        <v>0</v>
      </c>
      <c r="Z63" s="1652">
        <f t="shared" si="41"/>
        <v>0</v>
      </c>
      <c r="AA63" s="1521">
        <f t="shared" si="42"/>
        <v>0</v>
      </c>
      <c r="AB63" s="936">
        <f t="shared" si="43"/>
        <v>0</v>
      </c>
      <c r="AC63" s="874">
        <f t="shared" si="44"/>
        <v>0</v>
      </c>
      <c r="AD63" s="1829">
        <v>0</v>
      </c>
      <c r="AE63" s="874">
        <f t="shared" si="45"/>
        <v>0</v>
      </c>
      <c r="AF63" s="1829">
        <f>+'[4]Table 5C1I-LA Key Academy'!T62*8</f>
        <v>0</v>
      </c>
      <c r="AG63" s="1829">
        <f t="shared" si="46"/>
        <v>0</v>
      </c>
      <c r="AH63" s="874">
        <f t="shared" si="47"/>
        <v>0</v>
      </c>
      <c r="AI63" s="875">
        <f t="shared" si="51"/>
        <v>0</v>
      </c>
      <c r="AJ63" s="875">
        <f t="shared" si="48"/>
        <v>0</v>
      </c>
      <c r="AL63" s="2034">
        <f>-'[4]Table 5C1I-LA Key Academy'!P62</f>
        <v>0</v>
      </c>
      <c r="AM63" s="2034">
        <f t="shared" si="49"/>
        <v>0</v>
      </c>
      <c r="AN63" s="2034">
        <f t="shared" si="50"/>
        <v>0</v>
      </c>
    </row>
    <row r="64" spans="1:40">
      <c r="A64" s="876">
        <v>57</v>
      </c>
      <c r="B64" s="877" t="s">
        <v>147</v>
      </c>
      <c r="C64" s="972">
        <v>0</v>
      </c>
      <c r="D64" s="882">
        <f>'Table 3 Levels 1&amp;2'!AL64</f>
        <v>4485.7073020218859</v>
      </c>
      <c r="E64" s="921">
        <f t="shared" si="28"/>
        <v>0</v>
      </c>
      <c r="F64" s="921">
        <f>'Table 4 Level 3'!P62</f>
        <v>764.51</v>
      </c>
      <c r="G64" s="921">
        <f t="shared" si="29"/>
        <v>0</v>
      </c>
      <c r="H64" s="905">
        <f t="shared" si="30"/>
        <v>0</v>
      </c>
      <c r="I64" s="1734">
        <f>+'[3]Oct midyear Key Academy'!K63</f>
        <v>0</v>
      </c>
      <c r="J64" s="1734">
        <f>'[3]Feb midyear Key Academy'!K63</f>
        <v>0</v>
      </c>
      <c r="K64" s="1545">
        <f t="shared" si="31"/>
        <v>0</v>
      </c>
      <c r="L64" s="1489">
        <f t="shared" si="32"/>
        <v>0</v>
      </c>
      <c r="M64" s="931">
        <f t="shared" si="33"/>
        <v>0</v>
      </c>
      <c r="N64" s="905">
        <f t="shared" si="34"/>
        <v>0</v>
      </c>
      <c r="O64" s="882">
        <v>0</v>
      </c>
      <c r="P64" s="1552">
        <f t="shared" si="35"/>
        <v>0</v>
      </c>
      <c r="Q64" s="1734">
        <f>+'[4]Table 5C1I-LA Key Academy'!M63*8</f>
        <v>0</v>
      </c>
      <c r="R64" s="1734">
        <f t="shared" si="36"/>
        <v>0</v>
      </c>
      <c r="S64" s="1552">
        <f t="shared" si="37"/>
        <v>0</v>
      </c>
      <c r="T64" s="1802">
        <f>'Table 5C1A-Madison Prep'!T64</f>
        <v>3178</v>
      </c>
      <c r="U64" s="1555">
        <f t="shared" si="38"/>
        <v>0</v>
      </c>
      <c r="V64" s="1758">
        <f>+'[3]Oct midyear Key Academy'!E63</f>
        <v>0</v>
      </c>
      <c r="W64" s="1759">
        <f t="shared" si="39"/>
        <v>0</v>
      </c>
      <c r="X64" s="1758">
        <f>'[3]Feb midyear Key Academy'!E63</f>
        <v>0</v>
      </c>
      <c r="Y64" s="1759">
        <f t="shared" si="40"/>
        <v>0</v>
      </c>
      <c r="Z64" s="1653">
        <f t="shared" si="41"/>
        <v>0</v>
      </c>
      <c r="AA64" s="1486">
        <f t="shared" si="42"/>
        <v>0</v>
      </c>
      <c r="AB64" s="937">
        <f t="shared" si="43"/>
        <v>0</v>
      </c>
      <c r="AC64" s="899">
        <f t="shared" si="44"/>
        <v>0</v>
      </c>
      <c r="AD64" s="1830">
        <v>0</v>
      </c>
      <c r="AE64" s="899">
        <f t="shared" si="45"/>
        <v>0</v>
      </c>
      <c r="AF64" s="1834">
        <f>+'[4]Table 5C1I-LA Key Academy'!T63*8</f>
        <v>0</v>
      </c>
      <c r="AG64" s="1834">
        <f t="shared" si="46"/>
        <v>0</v>
      </c>
      <c r="AH64" s="899">
        <f t="shared" si="47"/>
        <v>0</v>
      </c>
      <c r="AI64" s="900">
        <f t="shared" si="51"/>
        <v>0</v>
      </c>
      <c r="AJ64" s="900">
        <f t="shared" si="48"/>
        <v>0</v>
      </c>
      <c r="AL64" s="2034">
        <f>-'[4]Table 5C1I-LA Key Academy'!P63</f>
        <v>0</v>
      </c>
      <c r="AM64" s="2034">
        <f t="shared" si="49"/>
        <v>0</v>
      </c>
      <c r="AN64" s="2034">
        <f t="shared" si="50"/>
        <v>0</v>
      </c>
    </row>
    <row r="65" spans="1:40">
      <c r="A65" s="876">
        <v>58</v>
      </c>
      <c r="B65" s="877" t="s">
        <v>148</v>
      </c>
      <c r="C65" s="972">
        <v>0</v>
      </c>
      <c r="D65" s="882">
        <f>'Table 3 Levels 1&amp;2'!AL65</f>
        <v>5457.8662803476354</v>
      </c>
      <c r="E65" s="921">
        <f t="shared" si="28"/>
        <v>0</v>
      </c>
      <c r="F65" s="921">
        <f>'Table 4 Level 3'!P63</f>
        <v>697.04</v>
      </c>
      <c r="G65" s="921">
        <f t="shared" si="29"/>
        <v>0</v>
      </c>
      <c r="H65" s="905">
        <f t="shared" si="30"/>
        <v>0</v>
      </c>
      <c r="I65" s="1734">
        <f>+'[3]Oct midyear Key Academy'!K64</f>
        <v>0</v>
      </c>
      <c r="J65" s="1734">
        <f>'[3]Feb midyear Key Academy'!K64</f>
        <v>0</v>
      </c>
      <c r="K65" s="1545">
        <f t="shared" si="31"/>
        <v>0</v>
      </c>
      <c r="L65" s="1489">
        <f t="shared" si="32"/>
        <v>0</v>
      </c>
      <c r="M65" s="931">
        <f t="shared" si="33"/>
        <v>0</v>
      </c>
      <c r="N65" s="905">
        <f t="shared" si="34"/>
        <v>0</v>
      </c>
      <c r="O65" s="882">
        <v>0</v>
      </c>
      <c r="P65" s="1552">
        <f t="shared" si="35"/>
        <v>0</v>
      </c>
      <c r="Q65" s="1734">
        <f>+'[4]Table 5C1I-LA Key Academy'!M64*8</f>
        <v>0</v>
      </c>
      <c r="R65" s="1734">
        <f t="shared" si="36"/>
        <v>0</v>
      </c>
      <c r="S65" s="1552">
        <f t="shared" si="37"/>
        <v>0</v>
      </c>
      <c r="T65" s="1802">
        <f>'Table 5C1A-Madison Prep'!T65</f>
        <v>2127</v>
      </c>
      <c r="U65" s="1555">
        <f t="shared" si="38"/>
        <v>0</v>
      </c>
      <c r="V65" s="1758">
        <f>+'[3]Oct midyear Key Academy'!E64</f>
        <v>0</v>
      </c>
      <c r="W65" s="1759">
        <f t="shared" si="39"/>
        <v>0</v>
      </c>
      <c r="X65" s="1758">
        <f>'[3]Feb midyear Key Academy'!E64</f>
        <v>0</v>
      </c>
      <c r="Y65" s="1759">
        <f t="shared" si="40"/>
        <v>0</v>
      </c>
      <c r="Z65" s="1653">
        <f t="shared" si="41"/>
        <v>0</v>
      </c>
      <c r="AA65" s="1486">
        <f t="shared" si="42"/>
        <v>0</v>
      </c>
      <c r="AB65" s="937">
        <f t="shared" si="43"/>
        <v>0</v>
      </c>
      <c r="AC65" s="899">
        <f t="shared" si="44"/>
        <v>0</v>
      </c>
      <c r="AD65" s="1830">
        <v>0</v>
      </c>
      <c r="AE65" s="899">
        <f t="shared" si="45"/>
        <v>0</v>
      </c>
      <c r="AF65" s="1834">
        <f>+'[4]Table 5C1I-LA Key Academy'!T64*8</f>
        <v>0</v>
      </c>
      <c r="AG65" s="1834">
        <f t="shared" si="46"/>
        <v>0</v>
      </c>
      <c r="AH65" s="899">
        <f t="shared" si="47"/>
        <v>0</v>
      </c>
      <c r="AI65" s="900">
        <f t="shared" si="51"/>
        <v>0</v>
      </c>
      <c r="AJ65" s="900">
        <f t="shared" si="48"/>
        <v>0</v>
      </c>
      <c r="AL65" s="2034">
        <f>-'[4]Table 5C1I-LA Key Academy'!P64</f>
        <v>0</v>
      </c>
      <c r="AM65" s="2034">
        <f t="shared" si="49"/>
        <v>0</v>
      </c>
      <c r="AN65" s="2034">
        <f t="shared" si="50"/>
        <v>0</v>
      </c>
    </row>
    <row r="66" spans="1:40">
      <c r="A66" s="876">
        <v>59</v>
      </c>
      <c r="B66" s="877" t="s">
        <v>149</v>
      </c>
      <c r="C66" s="972">
        <v>0</v>
      </c>
      <c r="D66" s="882">
        <f>'Table 3 Levels 1&amp;2'!AL66</f>
        <v>6274.2786338006481</v>
      </c>
      <c r="E66" s="921">
        <f t="shared" si="28"/>
        <v>0</v>
      </c>
      <c r="F66" s="921">
        <f>'Table 4 Level 3'!P64</f>
        <v>689.52</v>
      </c>
      <c r="G66" s="921">
        <f t="shared" si="29"/>
        <v>0</v>
      </c>
      <c r="H66" s="905">
        <f t="shared" si="30"/>
        <v>0</v>
      </c>
      <c r="I66" s="1734">
        <f>+'[3]Oct midyear Key Academy'!K65</f>
        <v>0</v>
      </c>
      <c r="J66" s="1734">
        <f>'[3]Feb midyear Key Academy'!K65</f>
        <v>0</v>
      </c>
      <c r="K66" s="1545">
        <f t="shared" si="31"/>
        <v>0</v>
      </c>
      <c r="L66" s="1489">
        <f t="shared" si="32"/>
        <v>0</v>
      </c>
      <c r="M66" s="931">
        <f t="shared" si="33"/>
        <v>0</v>
      </c>
      <c r="N66" s="905">
        <f t="shared" si="34"/>
        <v>0</v>
      </c>
      <c r="O66" s="882">
        <v>0</v>
      </c>
      <c r="P66" s="1552">
        <f t="shared" si="35"/>
        <v>0</v>
      </c>
      <c r="Q66" s="1734">
        <f>+'[4]Table 5C1I-LA Key Academy'!M65*8</f>
        <v>0</v>
      </c>
      <c r="R66" s="1734">
        <f t="shared" si="36"/>
        <v>0</v>
      </c>
      <c r="S66" s="1552">
        <f t="shared" si="37"/>
        <v>0</v>
      </c>
      <c r="T66" s="1802">
        <f>'Table 5C1A-Madison Prep'!T66</f>
        <v>1729</v>
      </c>
      <c r="U66" s="1555">
        <f t="shared" si="38"/>
        <v>0</v>
      </c>
      <c r="V66" s="1758">
        <f>+'[3]Oct midyear Key Academy'!E65</f>
        <v>0</v>
      </c>
      <c r="W66" s="1759">
        <f t="shared" si="39"/>
        <v>0</v>
      </c>
      <c r="X66" s="1758">
        <f>'[3]Feb midyear Key Academy'!E65</f>
        <v>0</v>
      </c>
      <c r="Y66" s="1759">
        <f t="shared" si="40"/>
        <v>0</v>
      </c>
      <c r="Z66" s="1653">
        <f t="shared" si="41"/>
        <v>0</v>
      </c>
      <c r="AA66" s="1486">
        <f t="shared" si="42"/>
        <v>0</v>
      </c>
      <c r="AB66" s="937">
        <f t="shared" si="43"/>
        <v>0</v>
      </c>
      <c r="AC66" s="899">
        <f t="shared" si="44"/>
        <v>0</v>
      </c>
      <c r="AD66" s="1830">
        <v>0</v>
      </c>
      <c r="AE66" s="899">
        <f t="shared" si="45"/>
        <v>0</v>
      </c>
      <c r="AF66" s="1834">
        <f>+'[4]Table 5C1I-LA Key Academy'!T65*8</f>
        <v>0</v>
      </c>
      <c r="AG66" s="1834">
        <f t="shared" si="46"/>
        <v>0</v>
      </c>
      <c r="AH66" s="899">
        <f t="shared" si="47"/>
        <v>0</v>
      </c>
      <c r="AI66" s="900">
        <f t="shared" si="51"/>
        <v>0</v>
      </c>
      <c r="AJ66" s="900">
        <f t="shared" si="48"/>
        <v>0</v>
      </c>
      <c r="AL66" s="2034">
        <f>-'[4]Table 5C1I-LA Key Academy'!P65</f>
        <v>0</v>
      </c>
      <c r="AM66" s="2034">
        <f t="shared" si="49"/>
        <v>0</v>
      </c>
      <c r="AN66" s="2034">
        <f t="shared" si="50"/>
        <v>0</v>
      </c>
    </row>
    <row r="67" spans="1:40">
      <c r="A67" s="879">
        <v>60</v>
      </c>
      <c r="B67" s="880" t="s">
        <v>150</v>
      </c>
      <c r="C67" s="973">
        <v>0</v>
      </c>
      <c r="D67" s="883">
        <f>'Table 3 Levels 1&amp;2'!AL67</f>
        <v>4940.9166775610411</v>
      </c>
      <c r="E67" s="922">
        <f t="shared" si="28"/>
        <v>0</v>
      </c>
      <c r="F67" s="922">
        <f>'Table 4 Level 3'!P65</f>
        <v>594.04</v>
      </c>
      <c r="G67" s="922">
        <f t="shared" si="29"/>
        <v>0</v>
      </c>
      <c r="H67" s="906">
        <f t="shared" si="30"/>
        <v>0</v>
      </c>
      <c r="I67" s="1735">
        <f>+'[3]Oct midyear Key Academy'!K66</f>
        <v>0</v>
      </c>
      <c r="J67" s="1735">
        <f>'[3]Feb midyear Key Academy'!K66</f>
        <v>0</v>
      </c>
      <c r="K67" s="1546">
        <f t="shared" si="31"/>
        <v>0</v>
      </c>
      <c r="L67" s="1490">
        <f t="shared" si="32"/>
        <v>0</v>
      </c>
      <c r="M67" s="932">
        <f t="shared" si="33"/>
        <v>0</v>
      </c>
      <c r="N67" s="906">
        <f t="shared" si="34"/>
        <v>0</v>
      </c>
      <c r="O67" s="883">
        <v>0</v>
      </c>
      <c r="P67" s="1553">
        <f t="shared" si="35"/>
        <v>0</v>
      </c>
      <c r="Q67" s="1735">
        <f>+'[4]Table 5C1I-LA Key Academy'!M66*8</f>
        <v>0</v>
      </c>
      <c r="R67" s="1735">
        <f t="shared" si="36"/>
        <v>0</v>
      </c>
      <c r="S67" s="1553">
        <f t="shared" si="37"/>
        <v>0</v>
      </c>
      <c r="T67" s="1807">
        <f>'Table 5C1A-Madison Prep'!T67</f>
        <v>3801</v>
      </c>
      <c r="U67" s="1556">
        <f t="shared" si="38"/>
        <v>0</v>
      </c>
      <c r="V67" s="1762">
        <f>+'[3]Oct midyear Key Academy'!E66</f>
        <v>0</v>
      </c>
      <c r="W67" s="1763">
        <f t="shared" si="39"/>
        <v>0</v>
      </c>
      <c r="X67" s="1762">
        <f>'[3]Feb midyear Key Academy'!E66</f>
        <v>0</v>
      </c>
      <c r="Y67" s="1763">
        <f t="shared" si="40"/>
        <v>0</v>
      </c>
      <c r="Z67" s="1654">
        <f t="shared" si="41"/>
        <v>0</v>
      </c>
      <c r="AA67" s="1488">
        <f t="shared" si="42"/>
        <v>0</v>
      </c>
      <c r="AB67" s="938">
        <f t="shared" si="43"/>
        <v>0</v>
      </c>
      <c r="AC67" s="903">
        <f t="shared" si="44"/>
        <v>0</v>
      </c>
      <c r="AD67" s="1831">
        <v>0</v>
      </c>
      <c r="AE67" s="903">
        <f t="shared" si="45"/>
        <v>0</v>
      </c>
      <c r="AF67" s="1835">
        <f>+'[4]Table 5C1I-LA Key Academy'!T66*8</f>
        <v>0</v>
      </c>
      <c r="AG67" s="1835">
        <f t="shared" si="46"/>
        <v>0</v>
      </c>
      <c r="AH67" s="903">
        <f t="shared" si="47"/>
        <v>0</v>
      </c>
      <c r="AI67" s="904">
        <f t="shared" si="51"/>
        <v>0</v>
      </c>
      <c r="AJ67" s="904">
        <f t="shared" si="48"/>
        <v>0</v>
      </c>
      <c r="AL67" s="2034">
        <f>-'[4]Table 5C1I-LA Key Academy'!P66</f>
        <v>0</v>
      </c>
      <c r="AM67" s="2034">
        <f t="shared" si="49"/>
        <v>0</v>
      </c>
      <c r="AN67" s="2034">
        <f t="shared" si="50"/>
        <v>0</v>
      </c>
    </row>
    <row r="68" spans="1:40">
      <c r="A68" s="870">
        <v>61</v>
      </c>
      <c r="B68" s="871" t="s">
        <v>151</v>
      </c>
      <c r="C68" s="974">
        <v>0</v>
      </c>
      <c r="D68" s="884">
        <f>'Table 3 Levels 1&amp;2'!AL68</f>
        <v>2908.0344869339228</v>
      </c>
      <c r="E68" s="923">
        <f t="shared" si="28"/>
        <v>0</v>
      </c>
      <c r="F68" s="923">
        <f>'Table 4 Level 3'!P66</f>
        <v>833.70999999999992</v>
      </c>
      <c r="G68" s="923">
        <f t="shared" si="29"/>
        <v>0</v>
      </c>
      <c r="H68" s="907">
        <f t="shared" si="30"/>
        <v>0</v>
      </c>
      <c r="I68" s="1723">
        <f>+'[3]Oct midyear Key Academy'!K67</f>
        <v>0</v>
      </c>
      <c r="J68" s="1723">
        <f>'[3]Feb midyear Key Academy'!K67</f>
        <v>1870.8722434669614</v>
      </c>
      <c r="K68" s="1547">
        <f t="shared" si="31"/>
        <v>1870.8722434669614</v>
      </c>
      <c r="L68" s="1491">
        <f t="shared" si="32"/>
        <v>1870.8722434669614</v>
      </c>
      <c r="M68" s="933">
        <f t="shared" si="33"/>
        <v>-4.6771806086674035</v>
      </c>
      <c r="N68" s="907">
        <f t="shared" si="34"/>
        <v>1866.195062858294</v>
      </c>
      <c r="O68" s="884">
        <v>0</v>
      </c>
      <c r="P68" s="996">
        <f t="shared" si="35"/>
        <v>1866.195062858294</v>
      </c>
      <c r="Q68" s="1723">
        <f>+'[4]Table 5C1I-LA Key Academy'!M67*8</f>
        <v>0</v>
      </c>
      <c r="R68" s="1723">
        <f t="shared" si="36"/>
        <v>1866.195062858294</v>
      </c>
      <c r="S68" s="996">
        <f t="shared" si="37"/>
        <v>467</v>
      </c>
      <c r="T68" s="1802">
        <f>'Table 5C1A-Madison Prep'!T68</f>
        <v>6597</v>
      </c>
      <c r="U68" s="999">
        <f t="shared" si="38"/>
        <v>0</v>
      </c>
      <c r="V68" s="1754">
        <f>+'[3]Oct midyear Key Academy'!E67</f>
        <v>0</v>
      </c>
      <c r="W68" s="1755">
        <f t="shared" si="39"/>
        <v>0</v>
      </c>
      <c r="X68" s="1754">
        <f>'[3]Feb midyear Key Academy'!E67</f>
        <v>1</v>
      </c>
      <c r="Y68" s="1755">
        <f t="shared" si="40"/>
        <v>3298.5</v>
      </c>
      <c r="Z68" s="1652">
        <f t="shared" si="41"/>
        <v>3298.5</v>
      </c>
      <c r="AA68" s="1521">
        <f t="shared" si="42"/>
        <v>3298.5</v>
      </c>
      <c r="AB68" s="936">
        <f t="shared" si="43"/>
        <v>-8.2462499999999999</v>
      </c>
      <c r="AC68" s="874">
        <f t="shared" si="44"/>
        <v>3290.2537499999999</v>
      </c>
      <c r="AD68" s="1829">
        <v>0</v>
      </c>
      <c r="AE68" s="874">
        <f t="shared" si="45"/>
        <v>3290.2537499999999</v>
      </c>
      <c r="AF68" s="1829">
        <f>+'[4]Table 5C1I-LA Key Academy'!T67*8</f>
        <v>0</v>
      </c>
      <c r="AG68" s="1829">
        <f t="shared" si="46"/>
        <v>3290.2537499999999</v>
      </c>
      <c r="AH68" s="874">
        <f t="shared" si="47"/>
        <v>823</v>
      </c>
      <c r="AI68" s="875">
        <f t="shared" si="51"/>
        <v>5156.4488128582943</v>
      </c>
      <c r="AJ68" s="875">
        <f t="shared" si="48"/>
        <v>1290</v>
      </c>
      <c r="AL68" s="2034">
        <f>-'[4]Table 5C1I-LA Key Academy'!P67</f>
        <v>0</v>
      </c>
      <c r="AM68" s="2034">
        <f t="shared" si="49"/>
        <v>-8.2462499999999999</v>
      </c>
      <c r="AN68" s="2034">
        <f t="shared" si="50"/>
        <v>-8.2462499999999999</v>
      </c>
    </row>
    <row r="69" spans="1:40">
      <c r="A69" s="876">
        <v>62</v>
      </c>
      <c r="B69" s="877" t="s">
        <v>152</v>
      </c>
      <c r="C69" s="972">
        <v>0</v>
      </c>
      <c r="D69" s="882">
        <f>'Table 3 Levels 1&amp;2'!AL69</f>
        <v>5652.1730736722093</v>
      </c>
      <c r="E69" s="921">
        <f t="shared" si="28"/>
        <v>0</v>
      </c>
      <c r="F69" s="921">
        <f>'Table 4 Level 3'!P67</f>
        <v>516.08000000000004</v>
      </c>
      <c r="G69" s="921">
        <f t="shared" si="29"/>
        <v>0</v>
      </c>
      <c r="H69" s="905">
        <f t="shared" si="30"/>
        <v>0</v>
      </c>
      <c r="I69" s="1734">
        <f>+'[3]Oct midyear Key Academy'!K68</f>
        <v>0</v>
      </c>
      <c r="J69" s="1734">
        <f>'[3]Feb midyear Key Academy'!K68</f>
        <v>0</v>
      </c>
      <c r="K69" s="1545">
        <f t="shared" si="31"/>
        <v>0</v>
      </c>
      <c r="L69" s="1489">
        <f t="shared" si="32"/>
        <v>0</v>
      </c>
      <c r="M69" s="931">
        <f t="shared" si="33"/>
        <v>0</v>
      </c>
      <c r="N69" s="905">
        <f t="shared" si="34"/>
        <v>0</v>
      </c>
      <c r="O69" s="882">
        <v>0</v>
      </c>
      <c r="P69" s="1552">
        <f t="shared" si="35"/>
        <v>0</v>
      </c>
      <c r="Q69" s="1734">
        <f>+'[4]Table 5C1I-LA Key Academy'!M68*8</f>
        <v>0</v>
      </c>
      <c r="R69" s="1734">
        <f t="shared" si="36"/>
        <v>0</v>
      </c>
      <c r="S69" s="1552">
        <f t="shared" si="37"/>
        <v>0</v>
      </c>
      <c r="T69" s="1802">
        <f>'Table 5C1A-Madison Prep'!T69</f>
        <v>1998</v>
      </c>
      <c r="U69" s="1555">
        <f t="shared" si="38"/>
        <v>0</v>
      </c>
      <c r="V69" s="1758">
        <f>+'[3]Oct midyear Key Academy'!E68</f>
        <v>0</v>
      </c>
      <c r="W69" s="1759">
        <f t="shared" si="39"/>
        <v>0</v>
      </c>
      <c r="X69" s="1758">
        <f>'[3]Feb midyear Key Academy'!E68</f>
        <v>0</v>
      </c>
      <c r="Y69" s="1759">
        <f t="shared" si="40"/>
        <v>0</v>
      </c>
      <c r="Z69" s="1653">
        <f t="shared" si="41"/>
        <v>0</v>
      </c>
      <c r="AA69" s="1486">
        <f t="shared" si="42"/>
        <v>0</v>
      </c>
      <c r="AB69" s="937">
        <f t="shared" si="43"/>
        <v>0</v>
      </c>
      <c r="AC69" s="899">
        <f t="shared" si="44"/>
        <v>0</v>
      </c>
      <c r="AD69" s="1830">
        <v>0</v>
      </c>
      <c r="AE69" s="899">
        <f t="shared" si="45"/>
        <v>0</v>
      </c>
      <c r="AF69" s="1834">
        <f>+'[4]Table 5C1I-LA Key Academy'!T68*8</f>
        <v>0</v>
      </c>
      <c r="AG69" s="1834">
        <f t="shared" si="46"/>
        <v>0</v>
      </c>
      <c r="AH69" s="899">
        <f t="shared" si="47"/>
        <v>0</v>
      </c>
      <c r="AI69" s="900">
        <f t="shared" si="51"/>
        <v>0</v>
      </c>
      <c r="AJ69" s="900">
        <f t="shared" si="48"/>
        <v>0</v>
      </c>
      <c r="AL69" s="2034">
        <f>-'[4]Table 5C1I-LA Key Academy'!P68</f>
        <v>0</v>
      </c>
      <c r="AM69" s="2034">
        <f t="shared" si="49"/>
        <v>0</v>
      </c>
      <c r="AN69" s="2034">
        <f t="shared" si="50"/>
        <v>0</v>
      </c>
    </row>
    <row r="70" spans="1:40">
      <c r="A70" s="876">
        <v>63</v>
      </c>
      <c r="B70" s="877" t="s">
        <v>153</v>
      </c>
      <c r="C70" s="972">
        <v>0</v>
      </c>
      <c r="D70" s="882">
        <f>'Table 3 Levels 1&amp;2'!AL70</f>
        <v>4362.300753810403</v>
      </c>
      <c r="E70" s="921">
        <f t="shared" si="28"/>
        <v>0</v>
      </c>
      <c r="F70" s="921">
        <f>'Table 4 Level 3'!P68</f>
        <v>756.79</v>
      </c>
      <c r="G70" s="921">
        <f t="shared" si="29"/>
        <v>0</v>
      </c>
      <c r="H70" s="905">
        <f t="shared" si="30"/>
        <v>0</v>
      </c>
      <c r="I70" s="1734">
        <f>+'[3]Oct midyear Key Academy'!K69</f>
        <v>0</v>
      </c>
      <c r="J70" s="1734">
        <f>'[3]Feb midyear Key Academy'!K69</f>
        <v>0</v>
      </c>
      <c r="K70" s="1545">
        <f t="shared" si="31"/>
        <v>0</v>
      </c>
      <c r="L70" s="1489">
        <f t="shared" si="32"/>
        <v>0</v>
      </c>
      <c r="M70" s="931">
        <f t="shared" si="33"/>
        <v>0</v>
      </c>
      <c r="N70" s="905">
        <f t="shared" si="34"/>
        <v>0</v>
      </c>
      <c r="O70" s="882">
        <v>0</v>
      </c>
      <c r="P70" s="1552">
        <f t="shared" si="35"/>
        <v>0</v>
      </c>
      <c r="Q70" s="1734">
        <f>+'[4]Table 5C1I-LA Key Academy'!M69*8</f>
        <v>0</v>
      </c>
      <c r="R70" s="1734">
        <f t="shared" si="36"/>
        <v>0</v>
      </c>
      <c r="S70" s="1552">
        <f t="shared" si="37"/>
        <v>0</v>
      </c>
      <c r="T70" s="1802">
        <f>'Table 5C1A-Madison Prep'!T70</f>
        <v>7391</v>
      </c>
      <c r="U70" s="1555">
        <f t="shared" si="38"/>
        <v>0</v>
      </c>
      <c r="V70" s="1758">
        <f>+'[3]Oct midyear Key Academy'!E69</f>
        <v>0</v>
      </c>
      <c r="W70" s="1759">
        <f t="shared" si="39"/>
        <v>0</v>
      </c>
      <c r="X70" s="1758">
        <f>'[3]Feb midyear Key Academy'!E69</f>
        <v>0</v>
      </c>
      <c r="Y70" s="1759">
        <f t="shared" si="40"/>
        <v>0</v>
      </c>
      <c r="Z70" s="1653">
        <f t="shared" si="41"/>
        <v>0</v>
      </c>
      <c r="AA70" s="1486">
        <f t="shared" si="42"/>
        <v>0</v>
      </c>
      <c r="AB70" s="937">
        <f t="shared" si="43"/>
        <v>0</v>
      </c>
      <c r="AC70" s="899">
        <f t="shared" si="44"/>
        <v>0</v>
      </c>
      <c r="AD70" s="1830">
        <v>0</v>
      </c>
      <c r="AE70" s="899">
        <f t="shared" si="45"/>
        <v>0</v>
      </c>
      <c r="AF70" s="1834">
        <f>+'[4]Table 5C1I-LA Key Academy'!T69*8</f>
        <v>0</v>
      </c>
      <c r="AG70" s="1834">
        <f t="shared" si="46"/>
        <v>0</v>
      </c>
      <c r="AH70" s="899">
        <f t="shared" si="47"/>
        <v>0</v>
      </c>
      <c r="AI70" s="900">
        <f t="shared" si="51"/>
        <v>0</v>
      </c>
      <c r="AJ70" s="900">
        <f t="shared" si="48"/>
        <v>0</v>
      </c>
      <c r="AL70" s="2034">
        <f>-'[4]Table 5C1I-LA Key Academy'!P69</f>
        <v>0</v>
      </c>
      <c r="AM70" s="2034">
        <f t="shared" si="49"/>
        <v>0</v>
      </c>
      <c r="AN70" s="2034">
        <f t="shared" si="50"/>
        <v>0</v>
      </c>
    </row>
    <row r="71" spans="1:40">
      <c r="A71" s="876">
        <v>64</v>
      </c>
      <c r="B71" s="877" t="s">
        <v>154</v>
      </c>
      <c r="C71" s="972">
        <v>0</v>
      </c>
      <c r="D71" s="882">
        <f>'Table 3 Levels 1&amp;2'!AL71</f>
        <v>5960.2049072003338</v>
      </c>
      <c r="E71" s="921">
        <f t="shared" si="28"/>
        <v>0</v>
      </c>
      <c r="F71" s="921">
        <f>'Table 4 Level 3'!P69</f>
        <v>592.66</v>
      </c>
      <c r="G71" s="921">
        <f t="shared" si="29"/>
        <v>0</v>
      </c>
      <c r="H71" s="905">
        <f t="shared" si="30"/>
        <v>0</v>
      </c>
      <c r="I71" s="1734">
        <f>+'[3]Oct midyear Key Academy'!K70</f>
        <v>0</v>
      </c>
      <c r="J71" s="1734">
        <f>'[3]Feb midyear Key Academy'!K70</f>
        <v>0</v>
      </c>
      <c r="K71" s="1545">
        <f t="shared" si="31"/>
        <v>0</v>
      </c>
      <c r="L71" s="1489">
        <f t="shared" si="32"/>
        <v>0</v>
      </c>
      <c r="M71" s="931">
        <f t="shared" si="33"/>
        <v>0</v>
      </c>
      <c r="N71" s="905">
        <f t="shared" si="34"/>
        <v>0</v>
      </c>
      <c r="O71" s="882">
        <v>0</v>
      </c>
      <c r="P71" s="1552">
        <f t="shared" si="35"/>
        <v>0</v>
      </c>
      <c r="Q71" s="1734">
        <f>+'[4]Table 5C1I-LA Key Academy'!M70*8</f>
        <v>0</v>
      </c>
      <c r="R71" s="1734">
        <f t="shared" si="36"/>
        <v>0</v>
      </c>
      <c r="S71" s="1552">
        <f t="shared" si="37"/>
        <v>0</v>
      </c>
      <c r="T71" s="1802">
        <f>'Table 5C1A-Madison Prep'!T71</f>
        <v>2902</v>
      </c>
      <c r="U71" s="1555">
        <f t="shared" si="38"/>
        <v>0</v>
      </c>
      <c r="V71" s="1758">
        <f>+'[3]Oct midyear Key Academy'!E70</f>
        <v>0</v>
      </c>
      <c r="W71" s="1759">
        <f t="shared" si="39"/>
        <v>0</v>
      </c>
      <c r="X71" s="1758">
        <f>'[3]Feb midyear Key Academy'!E70</f>
        <v>0</v>
      </c>
      <c r="Y71" s="1759">
        <f t="shared" si="40"/>
        <v>0</v>
      </c>
      <c r="Z71" s="1653">
        <f t="shared" si="41"/>
        <v>0</v>
      </c>
      <c r="AA71" s="1486">
        <f t="shared" si="42"/>
        <v>0</v>
      </c>
      <c r="AB71" s="937">
        <f t="shared" si="43"/>
        <v>0</v>
      </c>
      <c r="AC71" s="899">
        <f t="shared" si="44"/>
        <v>0</v>
      </c>
      <c r="AD71" s="1830">
        <v>0</v>
      </c>
      <c r="AE71" s="899">
        <f t="shared" si="45"/>
        <v>0</v>
      </c>
      <c r="AF71" s="1834">
        <f>+'[4]Table 5C1I-LA Key Academy'!T70*8</f>
        <v>0</v>
      </c>
      <c r="AG71" s="1834">
        <f t="shared" si="46"/>
        <v>0</v>
      </c>
      <c r="AH71" s="899">
        <f t="shared" si="47"/>
        <v>0</v>
      </c>
      <c r="AI71" s="900">
        <f t="shared" si="51"/>
        <v>0</v>
      </c>
      <c r="AJ71" s="900">
        <f t="shared" si="48"/>
        <v>0</v>
      </c>
      <c r="AL71" s="2034">
        <f>-'[4]Table 5C1I-LA Key Academy'!P70</f>
        <v>0</v>
      </c>
      <c r="AM71" s="2034">
        <f t="shared" si="49"/>
        <v>0</v>
      </c>
      <c r="AN71" s="2034">
        <f t="shared" si="50"/>
        <v>0</v>
      </c>
    </row>
    <row r="72" spans="1:40">
      <c r="A72" s="879">
        <v>65</v>
      </c>
      <c r="B72" s="880" t="s">
        <v>155</v>
      </c>
      <c r="C72" s="973">
        <v>0</v>
      </c>
      <c r="D72" s="883">
        <f>'Table 3 Levels 1&amp;2'!AL72</f>
        <v>4579.2772303106676</v>
      </c>
      <c r="E72" s="922">
        <f t="shared" si="28"/>
        <v>0</v>
      </c>
      <c r="F72" s="922">
        <f>'Table 4 Level 3'!P70</f>
        <v>829.12</v>
      </c>
      <c r="G72" s="922">
        <f t="shared" si="29"/>
        <v>0</v>
      </c>
      <c r="H72" s="906">
        <f t="shared" si="30"/>
        <v>0</v>
      </c>
      <c r="I72" s="1735">
        <f>+'[3]Oct midyear Key Academy'!K71</f>
        <v>0</v>
      </c>
      <c r="J72" s="1735">
        <f>'[3]Feb midyear Key Academy'!K71</f>
        <v>0</v>
      </c>
      <c r="K72" s="1546">
        <f t="shared" si="31"/>
        <v>0</v>
      </c>
      <c r="L72" s="1490">
        <f t="shared" si="32"/>
        <v>0</v>
      </c>
      <c r="M72" s="932">
        <f t="shared" si="33"/>
        <v>0</v>
      </c>
      <c r="N72" s="906">
        <f t="shared" si="34"/>
        <v>0</v>
      </c>
      <c r="O72" s="883">
        <v>0</v>
      </c>
      <c r="P72" s="1553">
        <f t="shared" si="35"/>
        <v>0</v>
      </c>
      <c r="Q72" s="1735">
        <f>+'[4]Table 5C1I-LA Key Academy'!M71*8</f>
        <v>0</v>
      </c>
      <c r="R72" s="1735">
        <f t="shared" si="36"/>
        <v>0</v>
      </c>
      <c r="S72" s="1553">
        <f t="shared" si="37"/>
        <v>0</v>
      </c>
      <c r="T72" s="1807">
        <f>'Table 5C1A-Madison Prep'!T72</f>
        <v>4823</v>
      </c>
      <c r="U72" s="1556">
        <f t="shared" si="38"/>
        <v>0</v>
      </c>
      <c r="V72" s="1762">
        <f>+'[3]Oct midyear Key Academy'!E71</f>
        <v>0</v>
      </c>
      <c r="W72" s="1763">
        <f t="shared" si="39"/>
        <v>0</v>
      </c>
      <c r="X72" s="1762">
        <f>'[3]Feb midyear Key Academy'!E71</f>
        <v>0</v>
      </c>
      <c r="Y72" s="1763">
        <f t="shared" si="40"/>
        <v>0</v>
      </c>
      <c r="Z72" s="1654">
        <f t="shared" si="41"/>
        <v>0</v>
      </c>
      <c r="AA72" s="1488">
        <f t="shared" si="42"/>
        <v>0</v>
      </c>
      <c r="AB72" s="938">
        <f t="shared" si="43"/>
        <v>0</v>
      </c>
      <c r="AC72" s="903">
        <f t="shared" si="44"/>
        <v>0</v>
      </c>
      <c r="AD72" s="1831">
        <v>0</v>
      </c>
      <c r="AE72" s="903">
        <f t="shared" si="45"/>
        <v>0</v>
      </c>
      <c r="AF72" s="1835">
        <f>+'[4]Table 5C1I-LA Key Academy'!T71*8</f>
        <v>0</v>
      </c>
      <c r="AG72" s="1835">
        <f t="shared" si="46"/>
        <v>0</v>
      </c>
      <c r="AH72" s="903">
        <f t="shared" si="47"/>
        <v>0</v>
      </c>
      <c r="AI72" s="904">
        <f t="shared" si="51"/>
        <v>0</v>
      </c>
      <c r="AJ72" s="904">
        <f t="shared" si="48"/>
        <v>0</v>
      </c>
      <c r="AL72" s="2034">
        <f>-'[4]Table 5C1I-LA Key Academy'!P71</f>
        <v>0</v>
      </c>
      <c r="AM72" s="2034">
        <f t="shared" si="49"/>
        <v>0</v>
      </c>
      <c r="AN72" s="2034">
        <f t="shared" si="50"/>
        <v>0</v>
      </c>
    </row>
    <row r="73" spans="1:40">
      <c r="A73" s="870">
        <v>66</v>
      </c>
      <c r="B73" s="871" t="s">
        <v>156</v>
      </c>
      <c r="C73" s="974">
        <v>0</v>
      </c>
      <c r="D73" s="884">
        <f>'Table 3 Levels 1&amp;2'!AL73</f>
        <v>6370.8108195713585</v>
      </c>
      <c r="E73" s="923">
        <f t="shared" ref="E73:E76" si="52">C73*D73</f>
        <v>0</v>
      </c>
      <c r="F73" s="923">
        <f>'Table 4 Level 3'!P71</f>
        <v>730.06</v>
      </c>
      <c r="G73" s="923">
        <f t="shared" ref="G73:G76" si="53">C73*F73</f>
        <v>0</v>
      </c>
      <c r="H73" s="907">
        <f t="shared" ref="H73:H76" si="54">E73+G73</f>
        <v>0</v>
      </c>
      <c r="I73" s="1723">
        <f>+'[3]Oct midyear Key Academy'!K72</f>
        <v>0</v>
      </c>
      <c r="J73" s="1723">
        <f>'[3]Feb midyear Key Academy'!K72</f>
        <v>0</v>
      </c>
      <c r="K73" s="1547">
        <f t="shared" ref="K73:K76" si="55">+I73+J73</f>
        <v>0</v>
      </c>
      <c r="L73" s="1491">
        <f t="shared" ref="L73:L76" si="56">+H73+K73</f>
        <v>0</v>
      </c>
      <c r="M73" s="933">
        <f t="shared" ref="M73:M76" si="57">-(0.25%*L73)</f>
        <v>0</v>
      </c>
      <c r="N73" s="907">
        <f t="shared" ref="N73:N76" si="58">SUM(L73:M73)</f>
        <v>0</v>
      </c>
      <c r="O73" s="884">
        <v>0</v>
      </c>
      <c r="P73" s="996">
        <f t="shared" ref="P73:P76" si="59">SUM(N73:O73)</f>
        <v>0</v>
      </c>
      <c r="Q73" s="1723">
        <f>+'[4]Table 5C1I-LA Key Academy'!M72*8</f>
        <v>0</v>
      </c>
      <c r="R73" s="1723">
        <f t="shared" ref="R73:R76" si="60">+P73-Q73</f>
        <v>0</v>
      </c>
      <c r="S73" s="996">
        <f t="shared" ref="S73:S76" si="61">ROUND(R73/4,0)</f>
        <v>0</v>
      </c>
      <c r="T73" s="1802">
        <f>'Table 5C1A-Madison Prep'!T73</f>
        <v>3524</v>
      </c>
      <c r="U73" s="999">
        <f t="shared" ref="U73:U76" si="62">C73*T73</f>
        <v>0</v>
      </c>
      <c r="V73" s="1754">
        <f>+'[3]Oct midyear Key Academy'!E72</f>
        <v>0</v>
      </c>
      <c r="W73" s="1755">
        <f t="shared" ref="W73:W76" si="63">+T73*V73</f>
        <v>0</v>
      </c>
      <c r="X73" s="1754">
        <f>'[3]Feb midyear Key Academy'!E72</f>
        <v>0</v>
      </c>
      <c r="Y73" s="1755">
        <f t="shared" ref="Y73:Y76" si="64">(T73*X73)*0.5</f>
        <v>0</v>
      </c>
      <c r="Z73" s="1652">
        <f t="shared" ref="Z73:Z76" si="65">+W73+Y73</f>
        <v>0</v>
      </c>
      <c r="AA73" s="1521">
        <f t="shared" ref="AA73:AA76" si="66">+U73+Z73</f>
        <v>0</v>
      </c>
      <c r="AB73" s="936">
        <f t="shared" ref="AB73:AB76" si="67">-(0.25%*AA73)</f>
        <v>0</v>
      </c>
      <c r="AC73" s="874">
        <f t="shared" ref="AC73:AC76" si="68">SUM(AA73:AB73)</f>
        <v>0</v>
      </c>
      <c r="AD73" s="1829">
        <v>0</v>
      </c>
      <c r="AE73" s="874">
        <f t="shared" ref="AE73:AE76" si="69">SUM(AC73:AD73)</f>
        <v>0</v>
      </c>
      <c r="AF73" s="1829">
        <f>+'[4]Table 5C1I-LA Key Academy'!T72*8</f>
        <v>0</v>
      </c>
      <c r="AG73" s="1829">
        <f t="shared" ref="AG73:AG76" si="70">+AE73-AF73</f>
        <v>0</v>
      </c>
      <c r="AH73" s="874">
        <f t="shared" ref="AH73:AH76" si="71">ROUND(AG73/4,0)</f>
        <v>0</v>
      </c>
      <c r="AI73" s="875">
        <f t="shared" si="51"/>
        <v>0</v>
      </c>
      <c r="AJ73" s="875">
        <f t="shared" ref="AJ73:AJ76" si="72">S73+AH73</f>
        <v>0</v>
      </c>
      <c r="AL73" s="2034">
        <f>-'[4]Table 5C1I-LA Key Academy'!P72</f>
        <v>0</v>
      </c>
      <c r="AM73" s="2034">
        <f t="shared" ref="AM73:AM76" si="73">AB73</f>
        <v>0</v>
      </c>
      <c r="AN73" s="2034">
        <f t="shared" ref="AN73:AN76" si="74">SUM(AL73:AM73)</f>
        <v>0</v>
      </c>
    </row>
    <row r="74" spans="1:40">
      <c r="A74" s="876">
        <v>67</v>
      </c>
      <c r="B74" s="877" t="s">
        <v>32</v>
      </c>
      <c r="C74" s="972">
        <v>0</v>
      </c>
      <c r="D74" s="882">
        <f>'Table 3 Levels 1&amp;2'!AL74</f>
        <v>4951.6009932106244</v>
      </c>
      <c r="E74" s="921">
        <f t="shared" si="52"/>
        <v>0</v>
      </c>
      <c r="F74" s="921">
        <f>'Table 4 Level 3'!P72</f>
        <v>715.61</v>
      </c>
      <c r="G74" s="921">
        <f t="shared" si="53"/>
        <v>0</v>
      </c>
      <c r="H74" s="905">
        <f t="shared" si="54"/>
        <v>0</v>
      </c>
      <c r="I74" s="1734">
        <f>+'[3]Oct midyear Key Academy'!K73</f>
        <v>0</v>
      </c>
      <c r="J74" s="1734">
        <f>'[3]Feb midyear Key Academy'!K73</f>
        <v>0</v>
      </c>
      <c r="K74" s="1545">
        <f t="shared" si="55"/>
        <v>0</v>
      </c>
      <c r="L74" s="1489">
        <f t="shared" si="56"/>
        <v>0</v>
      </c>
      <c r="M74" s="931">
        <f t="shared" si="57"/>
        <v>0</v>
      </c>
      <c r="N74" s="905">
        <f t="shared" si="58"/>
        <v>0</v>
      </c>
      <c r="O74" s="882">
        <v>0</v>
      </c>
      <c r="P74" s="1552">
        <f t="shared" si="59"/>
        <v>0</v>
      </c>
      <c r="Q74" s="1734">
        <f>+'[4]Table 5C1I-LA Key Academy'!M73*8</f>
        <v>0</v>
      </c>
      <c r="R74" s="1734">
        <f t="shared" si="60"/>
        <v>0</v>
      </c>
      <c r="S74" s="1552">
        <f t="shared" si="61"/>
        <v>0</v>
      </c>
      <c r="T74" s="1802">
        <f>'Table 5C1A-Madison Prep'!T74</f>
        <v>5007</v>
      </c>
      <c r="U74" s="1555">
        <f t="shared" si="62"/>
        <v>0</v>
      </c>
      <c r="V74" s="1758">
        <f>+'[3]Oct midyear Key Academy'!E73</f>
        <v>0</v>
      </c>
      <c r="W74" s="1759">
        <f t="shared" si="63"/>
        <v>0</v>
      </c>
      <c r="X74" s="1758">
        <f>'[3]Feb midyear Key Academy'!E73</f>
        <v>0</v>
      </c>
      <c r="Y74" s="1759">
        <f t="shared" si="64"/>
        <v>0</v>
      </c>
      <c r="Z74" s="1653">
        <f t="shared" si="65"/>
        <v>0</v>
      </c>
      <c r="AA74" s="1486">
        <f t="shared" si="66"/>
        <v>0</v>
      </c>
      <c r="AB74" s="937">
        <f t="shared" si="67"/>
        <v>0</v>
      </c>
      <c r="AC74" s="899">
        <f t="shared" si="68"/>
        <v>0</v>
      </c>
      <c r="AD74" s="1830">
        <v>0</v>
      </c>
      <c r="AE74" s="899">
        <f t="shared" si="69"/>
        <v>0</v>
      </c>
      <c r="AF74" s="1834">
        <f>+'[4]Table 5C1I-LA Key Academy'!T73*8</f>
        <v>0</v>
      </c>
      <c r="AG74" s="1834">
        <f t="shared" si="70"/>
        <v>0</v>
      </c>
      <c r="AH74" s="899">
        <f t="shared" si="71"/>
        <v>0</v>
      </c>
      <c r="AI74" s="900">
        <f t="shared" si="51"/>
        <v>0</v>
      </c>
      <c r="AJ74" s="900">
        <f t="shared" si="72"/>
        <v>0</v>
      </c>
      <c r="AL74" s="2034">
        <f>-'[4]Table 5C1I-LA Key Academy'!P73</f>
        <v>0</v>
      </c>
      <c r="AM74" s="2034">
        <f t="shared" si="73"/>
        <v>0</v>
      </c>
      <c r="AN74" s="2034">
        <f t="shared" si="74"/>
        <v>0</v>
      </c>
    </row>
    <row r="75" spans="1:40">
      <c r="A75" s="876">
        <v>68</v>
      </c>
      <c r="B75" s="877" t="s">
        <v>30</v>
      </c>
      <c r="C75" s="972">
        <v>0</v>
      </c>
      <c r="D75" s="882">
        <f>'Table 3 Levels 1&amp;2'!AL75</f>
        <v>6077.2398733698947</v>
      </c>
      <c r="E75" s="921">
        <f t="shared" si="52"/>
        <v>0</v>
      </c>
      <c r="F75" s="921">
        <f>'Table 4 Level 3'!P73</f>
        <v>798.7</v>
      </c>
      <c r="G75" s="921">
        <f t="shared" si="53"/>
        <v>0</v>
      </c>
      <c r="H75" s="905">
        <f t="shared" si="54"/>
        <v>0</v>
      </c>
      <c r="I75" s="1734">
        <f>+'[3]Oct midyear Key Academy'!K74</f>
        <v>0</v>
      </c>
      <c r="J75" s="1734">
        <f>'[3]Feb midyear Key Academy'!K74</f>
        <v>0</v>
      </c>
      <c r="K75" s="1545">
        <f t="shared" si="55"/>
        <v>0</v>
      </c>
      <c r="L75" s="1489">
        <f t="shared" si="56"/>
        <v>0</v>
      </c>
      <c r="M75" s="931">
        <f t="shared" si="57"/>
        <v>0</v>
      </c>
      <c r="N75" s="905">
        <f t="shared" si="58"/>
        <v>0</v>
      </c>
      <c r="O75" s="882">
        <v>0</v>
      </c>
      <c r="P75" s="1552">
        <f t="shared" si="59"/>
        <v>0</v>
      </c>
      <c r="Q75" s="1734">
        <f>+'[4]Table 5C1I-LA Key Academy'!M74*8</f>
        <v>0</v>
      </c>
      <c r="R75" s="1734">
        <f t="shared" si="60"/>
        <v>0</v>
      </c>
      <c r="S75" s="1552">
        <f t="shared" si="61"/>
        <v>0</v>
      </c>
      <c r="T75" s="1802">
        <f>'Table 5C1A-Madison Prep'!T75</f>
        <v>2927</v>
      </c>
      <c r="U75" s="1555">
        <f t="shared" si="62"/>
        <v>0</v>
      </c>
      <c r="V75" s="1758">
        <f>+'[3]Oct midyear Key Academy'!E74</f>
        <v>0</v>
      </c>
      <c r="W75" s="1759">
        <f t="shared" si="63"/>
        <v>0</v>
      </c>
      <c r="X75" s="1758">
        <f>'[3]Feb midyear Key Academy'!E74</f>
        <v>0</v>
      </c>
      <c r="Y75" s="1759">
        <f t="shared" si="64"/>
        <v>0</v>
      </c>
      <c r="Z75" s="1653">
        <f t="shared" si="65"/>
        <v>0</v>
      </c>
      <c r="AA75" s="1486">
        <f t="shared" si="66"/>
        <v>0</v>
      </c>
      <c r="AB75" s="937">
        <f t="shared" si="67"/>
        <v>0</v>
      </c>
      <c r="AC75" s="899">
        <f t="shared" si="68"/>
        <v>0</v>
      </c>
      <c r="AD75" s="1830">
        <v>0</v>
      </c>
      <c r="AE75" s="899">
        <f t="shared" si="69"/>
        <v>0</v>
      </c>
      <c r="AF75" s="1834">
        <f>+'[4]Table 5C1I-LA Key Academy'!T74*8</f>
        <v>0</v>
      </c>
      <c r="AG75" s="1834">
        <f t="shared" si="70"/>
        <v>0</v>
      </c>
      <c r="AH75" s="899">
        <f t="shared" si="71"/>
        <v>0</v>
      </c>
      <c r="AI75" s="900">
        <f t="shared" si="51"/>
        <v>0</v>
      </c>
      <c r="AJ75" s="900">
        <f t="shared" si="72"/>
        <v>0</v>
      </c>
      <c r="AL75" s="2034">
        <f>-'[4]Table 5C1I-LA Key Academy'!P74</f>
        <v>0</v>
      </c>
      <c r="AM75" s="2034">
        <f t="shared" si="73"/>
        <v>0</v>
      </c>
      <c r="AN75" s="2034">
        <f t="shared" si="74"/>
        <v>0</v>
      </c>
    </row>
    <row r="76" spans="1:40">
      <c r="A76" s="885">
        <v>69</v>
      </c>
      <c r="B76" s="886" t="s">
        <v>205</v>
      </c>
      <c r="C76" s="975">
        <v>0</v>
      </c>
      <c r="D76" s="887">
        <f>'Table 3 Levels 1&amp;2'!AL76</f>
        <v>5585.8253106686579</v>
      </c>
      <c r="E76" s="924">
        <f t="shared" si="52"/>
        <v>0</v>
      </c>
      <c r="F76" s="924">
        <f>'Table 4 Level 3'!P74</f>
        <v>705.67</v>
      </c>
      <c r="G76" s="924">
        <f t="shared" si="53"/>
        <v>0</v>
      </c>
      <c r="H76" s="908">
        <f t="shared" si="54"/>
        <v>0</v>
      </c>
      <c r="I76" s="1736">
        <f>+'[3]Oct midyear Key Academy'!K75</f>
        <v>0</v>
      </c>
      <c r="J76" s="1736">
        <f>'[3]Feb midyear Key Academy'!K75</f>
        <v>3145.747655334329</v>
      </c>
      <c r="K76" s="1548">
        <f t="shared" si="55"/>
        <v>3145.747655334329</v>
      </c>
      <c r="L76" s="1492">
        <f t="shared" si="56"/>
        <v>3145.747655334329</v>
      </c>
      <c r="M76" s="934">
        <f t="shared" si="57"/>
        <v>-7.8643691383358227</v>
      </c>
      <c r="N76" s="908">
        <f t="shared" si="58"/>
        <v>3137.8832861959932</v>
      </c>
      <c r="O76" s="887">
        <v>0</v>
      </c>
      <c r="P76" s="1554">
        <f t="shared" si="59"/>
        <v>3137.8832861959932</v>
      </c>
      <c r="Q76" s="1736">
        <f>+'[4]Table 5C1I-LA Key Academy'!M75*8</f>
        <v>0</v>
      </c>
      <c r="R76" s="1736">
        <f t="shared" si="60"/>
        <v>3137.8832861959932</v>
      </c>
      <c r="S76" s="1554">
        <f t="shared" si="61"/>
        <v>784</v>
      </c>
      <c r="T76" s="1802">
        <f>'Table 5C1A-Madison Prep'!T76</f>
        <v>3404</v>
      </c>
      <c r="U76" s="1557">
        <f t="shared" si="62"/>
        <v>0</v>
      </c>
      <c r="V76" s="1766">
        <f>+'[3]Oct midyear Key Academy'!E75</f>
        <v>0</v>
      </c>
      <c r="W76" s="1767">
        <f t="shared" si="63"/>
        <v>0</v>
      </c>
      <c r="X76" s="1766">
        <f>'[3]Feb midyear Key Academy'!E75</f>
        <v>1</v>
      </c>
      <c r="Y76" s="1767">
        <f t="shared" si="64"/>
        <v>1702</v>
      </c>
      <c r="Z76" s="1655">
        <f t="shared" si="65"/>
        <v>1702</v>
      </c>
      <c r="AA76" s="1493">
        <f t="shared" si="66"/>
        <v>1702</v>
      </c>
      <c r="AB76" s="939">
        <f t="shared" si="67"/>
        <v>-4.2549999999999999</v>
      </c>
      <c r="AC76" s="909">
        <f t="shared" si="68"/>
        <v>1697.7449999999999</v>
      </c>
      <c r="AD76" s="1832">
        <v>0</v>
      </c>
      <c r="AE76" s="909">
        <f t="shared" si="69"/>
        <v>1697.7449999999999</v>
      </c>
      <c r="AF76" s="1836">
        <f>+'[4]Table 5C1I-LA Key Academy'!T75*8</f>
        <v>0</v>
      </c>
      <c r="AG76" s="1836">
        <f t="shared" si="70"/>
        <v>1697.7449999999999</v>
      </c>
      <c r="AH76" s="909">
        <f t="shared" si="71"/>
        <v>424</v>
      </c>
      <c r="AI76" s="910">
        <f t="shared" si="51"/>
        <v>4835.6282861959935</v>
      </c>
      <c r="AJ76" s="910">
        <f t="shared" si="72"/>
        <v>1208</v>
      </c>
      <c r="AL76" s="2034">
        <f>-'[4]Table 5C1I-LA Key Academy'!P75</f>
        <v>0</v>
      </c>
      <c r="AM76" s="2034">
        <f t="shared" si="73"/>
        <v>-4.2549999999999999</v>
      </c>
      <c r="AN76" s="2034">
        <f t="shared" si="74"/>
        <v>-4.2549999999999999</v>
      </c>
    </row>
    <row r="77" spans="1:40" ht="13.5" thickBot="1">
      <c r="A77" s="888"/>
      <c r="B77" s="889" t="s">
        <v>157</v>
      </c>
      <c r="C77" s="890">
        <f>SUM(C8:C76)</f>
        <v>138</v>
      </c>
      <c r="D77" s="891"/>
      <c r="E77" s="925">
        <f>SUM(E8:E76)</f>
        <v>490174.06026554783</v>
      </c>
      <c r="F77" s="925">
        <f>'[33]Table 4 Level 3'!P75</f>
        <v>703.90028204588873</v>
      </c>
      <c r="G77" s="925">
        <f t="shared" ref="G77:R77" si="75">SUM(G8:G76)</f>
        <v>104651.63865848747</v>
      </c>
      <c r="H77" s="892">
        <f t="shared" si="75"/>
        <v>594825.6989240353</v>
      </c>
      <c r="I77" s="1737">
        <f t="shared" si="75"/>
        <v>-63764.884117443959</v>
      </c>
      <c r="J77" s="1737">
        <f t="shared" si="75"/>
        <v>11781.909350634702</v>
      </c>
      <c r="K77" s="1549">
        <f t="shared" si="75"/>
        <v>-51982.974766809239</v>
      </c>
      <c r="L77" s="1482">
        <f t="shared" si="75"/>
        <v>542842.72415722592</v>
      </c>
      <c r="M77" s="935">
        <f t="shared" si="75"/>
        <v>-1357.1068103930652</v>
      </c>
      <c r="N77" s="892">
        <f t="shared" si="75"/>
        <v>541485.61734683299</v>
      </c>
      <c r="O77" s="891">
        <f t="shared" si="75"/>
        <v>0</v>
      </c>
      <c r="P77" s="997">
        <f t="shared" si="75"/>
        <v>541485.61734683299</v>
      </c>
      <c r="Q77" s="1737">
        <f t="shared" si="75"/>
        <v>395559.08978448354</v>
      </c>
      <c r="R77" s="1737">
        <f t="shared" si="75"/>
        <v>145926.52756234948</v>
      </c>
      <c r="S77" s="997">
        <f>SUM(S8:S76)</f>
        <v>36481</v>
      </c>
      <c r="T77" s="1812">
        <f>'Table 5C1A-Madison Prep'!T77</f>
        <v>4626</v>
      </c>
      <c r="U77" s="1000">
        <f t="shared" ref="U77:AJ77" si="76">SUM(U8:U76)</f>
        <v>889540</v>
      </c>
      <c r="V77" s="1770">
        <f t="shared" si="76"/>
        <v>-13</v>
      </c>
      <c r="W77" s="1771">
        <f t="shared" si="76"/>
        <v>-59695</v>
      </c>
      <c r="X77" s="1770">
        <f t="shared" si="76"/>
        <v>5</v>
      </c>
      <c r="Y77" s="1771">
        <f t="shared" si="76"/>
        <v>14777</v>
      </c>
      <c r="Z77" s="1665">
        <f t="shared" si="76"/>
        <v>-44918</v>
      </c>
      <c r="AA77" s="1717">
        <f t="shared" si="76"/>
        <v>844622</v>
      </c>
      <c r="AB77" s="940">
        <f t="shared" si="76"/>
        <v>-2111.5550000000007</v>
      </c>
      <c r="AC77" s="1000">
        <f t="shared" si="76"/>
        <v>842510.44499999995</v>
      </c>
      <c r="AD77" s="1828">
        <f t="shared" si="76"/>
        <v>0</v>
      </c>
      <c r="AE77" s="1000">
        <f t="shared" si="76"/>
        <v>842510.44499999995</v>
      </c>
      <c r="AF77" s="1771">
        <f t="shared" si="76"/>
        <v>582583.89</v>
      </c>
      <c r="AG77" s="1771">
        <f t="shared" si="76"/>
        <v>259926.55500000002</v>
      </c>
      <c r="AH77" s="1000">
        <f t="shared" si="76"/>
        <v>64981</v>
      </c>
      <c r="AI77" s="894">
        <f t="shared" si="76"/>
        <v>1383996.0623468328</v>
      </c>
      <c r="AJ77" s="894">
        <f t="shared" si="76"/>
        <v>101462</v>
      </c>
      <c r="AL77" s="2034">
        <f>SUM(AL8:AL76)</f>
        <v>2190.1650000000004</v>
      </c>
      <c r="AM77" s="2034">
        <f>SUM(AM8:AM76)</f>
        <v>-2111.5550000000007</v>
      </c>
      <c r="AN77" s="2034">
        <f>SUM(AN8:AN76)</f>
        <v>78.609999999999857</v>
      </c>
    </row>
    <row r="78" spans="1:40" ht="10.5" customHeight="1" thickTop="1"/>
    <row r="79" spans="1:40" hidden="1"/>
    <row r="80" spans="1:40" hidden="1">
      <c r="M80" s="1464" t="s">
        <v>951</v>
      </c>
      <c r="N80" s="2034">
        <f>-'[4]Table 5C1I-LA Key Academy'!$I$76</f>
        <v>1487.0642473100884</v>
      </c>
    </row>
    <row r="81" spans="13:14" hidden="1">
      <c r="M81" s="1464" t="s">
        <v>952</v>
      </c>
      <c r="N81" s="2034">
        <f>M77</f>
        <v>-1357.1068103930652</v>
      </c>
    </row>
    <row r="82" spans="13:14" hidden="1">
      <c r="M82" s="1464" t="s">
        <v>953</v>
      </c>
      <c r="N82" s="2034">
        <f>SUM(N80:N81)</f>
        <v>129.95743691702319</v>
      </c>
    </row>
    <row r="83" spans="13:14" hidden="1"/>
  </sheetData>
  <mergeCells count="30">
    <mergeCell ref="S4:S5"/>
    <mergeCell ref="T4:T5"/>
    <mergeCell ref="A2:B5"/>
    <mergeCell ref="C2:S2"/>
    <mergeCell ref="T2:AH2"/>
    <mergeCell ref="K4:K5"/>
    <mergeCell ref="L4:L5"/>
    <mergeCell ref="V4:V5"/>
    <mergeCell ref="W4:W5"/>
    <mergeCell ref="X4:X5"/>
    <mergeCell ref="Y4:Y5"/>
    <mergeCell ref="AA4:AA5"/>
    <mergeCell ref="V3:Z3"/>
    <mergeCell ref="C4:C5"/>
    <mergeCell ref="AI2:AI5"/>
    <mergeCell ref="AJ2:AJ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I3:K3"/>
    <mergeCell ref="I4:I5"/>
    <mergeCell ref="J4:J5"/>
    <mergeCell ref="P4:P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5C1-I: FY2013-14 MFP Budget Letter (March 2014) 
Louisiana Key Academy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86"/>
  <sheetViews>
    <sheetView view="pageBreakPreview" zoomScale="90" zoomScaleNormal="75" zoomScaleSheetLayoutView="9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activeCell="O89" sqref="O89"/>
    </sheetView>
  </sheetViews>
  <sheetFormatPr defaultRowHeight="12.75"/>
  <cols>
    <col min="1" max="1" width="4.140625" customWidth="1"/>
    <col min="2" max="2" width="19.28515625" customWidth="1"/>
    <col min="3" max="3" width="16.85546875" customWidth="1"/>
    <col min="4" max="4" width="14.85546875" customWidth="1"/>
    <col min="5" max="5" width="15.28515625" customWidth="1"/>
    <col min="6" max="6" width="15.5703125" customWidth="1"/>
    <col min="7" max="7" width="15" customWidth="1"/>
    <col min="8" max="8" width="16.140625" customWidth="1"/>
    <col min="9" max="9" width="13.85546875" style="1464" bestFit="1" customWidth="1"/>
    <col min="10" max="10" width="15" style="1464" bestFit="1" customWidth="1"/>
    <col min="11" max="11" width="16.140625" style="1464" customWidth="1"/>
    <col min="12" max="14" width="17.85546875" style="1464" bestFit="1" customWidth="1"/>
    <col min="15" max="15" width="14.42578125" customWidth="1"/>
    <col min="16" max="16" width="12.140625" bestFit="1" customWidth="1"/>
    <col min="17" max="17" width="12.42578125" customWidth="1"/>
    <col min="18" max="19" width="13" bestFit="1" customWidth="1"/>
    <col min="20" max="20" width="16.28515625" bestFit="1" customWidth="1"/>
    <col min="21" max="21" width="13.28515625" bestFit="1" customWidth="1"/>
    <col min="22" max="22" width="13" bestFit="1" customWidth="1"/>
    <col min="23" max="23" width="13.140625" customWidth="1"/>
    <col min="24" max="24" width="13.28515625" bestFit="1" customWidth="1"/>
    <col min="25" max="25" width="17.140625" bestFit="1" customWidth="1"/>
    <col min="26" max="26" width="14.85546875" bestFit="1" customWidth="1"/>
    <col min="27" max="27" width="17.140625" bestFit="1" customWidth="1"/>
    <col min="28" max="28" width="16" customWidth="1"/>
    <col min="29" max="29" width="16.42578125" style="1464" bestFit="1" customWidth="1"/>
    <col min="30" max="30" width="14.42578125" style="1464" bestFit="1" customWidth="1"/>
    <col min="31" max="31" width="11.140625" bestFit="1" customWidth="1"/>
    <col min="32" max="32" width="16.85546875" customWidth="1"/>
    <col min="33" max="33" width="1.85546875" hidden="1" customWidth="1"/>
    <col min="34" max="34" width="14.5703125" hidden="1" customWidth="1"/>
    <col min="35" max="35" width="17.140625" hidden="1" customWidth="1"/>
  </cols>
  <sheetData>
    <row r="1" spans="1:35" ht="21" customHeight="1">
      <c r="D1" s="2122" t="s">
        <v>511</v>
      </c>
      <c r="E1" s="2123"/>
      <c r="F1" s="2123"/>
      <c r="G1" s="2123"/>
      <c r="H1" s="2124"/>
      <c r="I1" s="2141" t="s">
        <v>772</v>
      </c>
      <c r="J1" s="2142"/>
      <c r="K1" s="2142"/>
      <c r="L1" s="2142"/>
      <c r="M1" s="2142"/>
      <c r="N1" s="2143"/>
      <c r="AE1" s="1223"/>
    </row>
    <row r="2" spans="1:35" ht="20.25" customHeight="1">
      <c r="A2" s="2144" t="s">
        <v>183</v>
      </c>
      <c r="B2" s="2154" t="s">
        <v>242</v>
      </c>
      <c r="C2" s="2148" t="s">
        <v>567</v>
      </c>
      <c r="D2" s="2151" t="s">
        <v>758</v>
      </c>
      <c r="E2" s="2151" t="s">
        <v>759</v>
      </c>
      <c r="F2" s="2151" t="s">
        <v>463</v>
      </c>
      <c r="G2" s="2147" t="s">
        <v>243</v>
      </c>
      <c r="H2" s="2147"/>
      <c r="I2" s="2129" t="s">
        <v>773</v>
      </c>
      <c r="J2" s="2130"/>
      <c r="K2" s="2131"/>
      <c r="L2" s="2129" t="s">
        <v>774</v>
      </c>
      <c r="M2" s="2130"/>
      <c r="N2" s="2131"/>
      <c r="O2" s="2125" t="s">
        <v>513</v>
      </c>
      <c r="P2" s="2162" t="s">
        <v>913</v>
      </c>
      <c r="Q2" s="2162" t="s">
        <v>912</v>
      </c>
      <c r="R2" s="2162" t="s">
        <v>911</v>
      </c>
      <c r="S2" s="2162" t="s">
        <v>910</v>
      </c>
      <c r="T2" s="2165" t="s">
        <v>909</v>
      </c>
      <c r="U2" s="2162" t="s">
        <v>908</v>
      </c>
      <c r="V2" s="2162" t="s">
        <v>907</v>
      </c>
      <c r="W2" s="2162" t="s">
        <v>906</v>
      </c>
      <c r="X2" s="2162" t="s">
        <v>905</v>
      </c>
      <c r="Y2" s="2165" t="s">
        <v>904</v>
      </c>
      <c r="Z2" s="2126" t="s">
        <v>514</v>
      </c>
      <c r="AA2" s="2118" t="s">
        <v>555</v>
      </c>
      <c r="AB2" s="2118" t="s">
        <v>924</v>
      </c>
      <c r="AC2" s="2118" t="s">
        <v>923</v>
      </c>
      <c r="AD2" s="2118" t="s">
        <v>872</v>
      </c>
      <c r="AE2" s="2119" t="s">
        <v>925</v>
      </c>
      <c r="AF2" s="2118" t="s">
        <v>873</v>
      </c>
      <c r="AG2" s="1126"/>
      <c r="AH2" s="2117" t="s">
        <v>1005</v>
      </c>
      <c r="AI2" s="2116" t="s">
        <v>487</v>
      </c>
    </row>
    <row r="3" spans="1:35" ht="28.5" customHeight="1">
      <c r="A3" s="2145"/>
      <c r="B3" s="2145"/>
      <c r="C3" s="2149"/>
      <c r="D3" s="2152"/>
      <c r="E3" s="2152"/>
      <c r="F3" s="2152"/>
      <c r="G3" s="2147"/>
      <c r="H3" s="2147"/>
      <c r="I3" s="2132" t="s">
        <v>921</v>
      </c>
      <c r="J3" s="2132" t="s">
        <v>922</v>
      </c>
      <c r="K3" s="2135" t="s">
        <v>775</v>
      </c>
      <c r="L3" s="2132" t="s">
        <v>943</v>
      </c>
      <c r="M3" s="2132" t="s">
        <v>942</v>
      </c>
      <c r="N3" s="2138" t="s">
        <v>941</v>
      </c>
      <c r="O3" s="2125"/>
      <c r="P3" s="2163"/>
      <c r="Q3" s="2163"/>
      <c r="R3" s="2163"/>
      <c r="S3" s="2163"/>
      <c r="T3" s="2166"/>
      <c r="U3" s="2163"/>
      <c r="V3" s="2163"/>
      <c r="W3" s="2163"/>
      <c r="X3" s="2163"/>
      <c r="Y3" s="2166"/>
      <c r="Z3" s="2127"/>
      <c r="AA3" s="2118"/>
      <c r="AB3" s="2118"/>
      <c r="AC3" s="2118"/>
      <c r="AD3" s="2118"/>
      <c r="AE3" s="2120"/>
      <c r="AF3" s="2118"/>
      <c r="AG3" s="1126"/>
      <c r="AH3" s="2117"/>
      <c r="AI3" s="2116"/>
    </row>
    <row r="4" spans="1:35" ht="106.9" customHeight="1">
      <c r="A4" s="2145"/>
      <c r="B4" s="2145"/>
      <c r="C4" s="2149"/>
      <c r="D4" s="2152"/>
      <c r="E4" s="2152"/>
      <c r="F4" s="2152"/>
      <c r="G4" s="2147" t="s">
        <v>244</v>
      </c>
      <c r="H4" s="2147" t="s">
        <v>245</v>
      </c>
      <c r="I4" s="2133"/>
      <c r="J4" s="2133"/>
      <c r="K4" s="2136"/>
      <c r="L4" s="2133"/>
      <c r="M4" s="2133"/>
      <c r="N4" s="2139"/>
      <c r="O4" s="2125"/>
      <c r="P4" s="2163"/>
      <c r="Q4" s="2163"/>
      <c r="R4" s="2163"/>
      <c r="S4" s="2163"/>
      <c r="T4" s="2166"/>
      <c r="U4" s="2163"/>
      <c r="V4" s="2163"/>
      <c r="W4" s="2163"/>
      <c r="X4" s="2163"/>
      <c r="Y4" s="2166"/>
      <c r="Z4" s="2127"/>
      <c r="AA4" s="2118"/>
      <c r="AB4" s="2118"/>
      <c r="AC4" s="2118"/>
      <c r="AD4" s="2118"/>
      <c r="AE4" s="2120"/>
      <c r="AF4" s="2118"/>
      <c r="AG4" s="1126"/>
      <c r="AH4" s="2117"/>
      <c r="AI4" s="2116"/>
    </row>
    <row r="5" spans="1:35" ht="41.25" customHeight="1">
      <c r="A5" s="2146"/>
      <c r="B5" s="2146"/>
      <c r="C5" s="2150"/>
      <c r="D5" s="2153"/>
      <c r="E5" s="2153"/>
      <c r="F5" s="2153"/>
      <c r="G5" s="2147"/>
      <c r="H5" s="2147"/>
      <c r="I5" s="2134"/>
      <c r="J5" s="2134"/>
      <c r="K5" s="2137"/>
      <c r="L5" s="2134"/>
      <c r="M5" s="2134"/>
      <c r="N5" s="2140"/>
      <c r="O5" s="2125"/>
      <c r="P5" s="2164"/>
      <c r="Q5" s="2164"/>
      <c r="R5" s="2164"/>
      <c r="S5" s="2164"/>
      <c r="T5" s="2167"/>
      <c r="U5" s="2164"/>
      <c r="V5" s="2164"/>
      <c r="W5" s="2164"/>
      <c r="X5" s="2164"/>
      <c r="Y5" s="2167"/>
      <c r="Z5" s="2128"/>
      <c r="AA5" s="2118"/>
      <c r="AB5" s="2118"/>
      <c r="AC5" s="2118"/>
      <c r="AD5" s="2118"/>
      <c r="AE5" s="2121"/>
      <c r="AF5" s="2118"/>
      <c r="AG5" s="1126"/>
      <c r="AH5" s="2117"/>
      <c r="AI5" s="2116"/>
    </row>
    <row r="6" spans="1:35" s="47" customFormat="1">
      <c r="A6" s="346"/>
      <c r="B6" s="347"/>
      <c r="C6" s="308">
        <f t="shared" ref="C6:H6" si="0">B6+1</f>
        <v>1</v>
      </c>
      <c r="D6" s="308">
        <f t="shared" si="0"/>
        <v>2</v>
      </c>
      <c r="E6" s="308">
        <f t="shared" si="0"/>
        <v>3</v>
      </c>
      <c r="F6" s="308">
        <f t="shared" si="0"/>
        <v>4</v>
      </c>
      <c r="G6" s="308">
        <f t="shared" si="0"/>
        <v>5</v>
      </c>
      <c r="H6" s="308">
        <f t="shared" si="0"/>
        <v>6</v>
      </c>
      <c r="I6" s="308">
        <f>H6+1</f>
        <v>7</v>
      </c>
      <c r="J6" s="308">
        <f t="shared" ref="J6:O6" si="1">I6+1</f>
        <v>8</v>
      </c>
      <c r="K6" s="308">
        <f t="shared" si="1"/>
        <v>9</v>
      </c>
      <c r="L6" s="308">
        <f t="shared" si="1"/>
        <v>10</v>
      </c>
      <c r="M6" s="308">
        <f t="shared" si="1"/>
        <v>11</v>
      </c>
      <c r="N6" s="308">
        <f t="shared" si="1"/>
        <v>12</v>
      </c>
      <c r="O6" s="308">
        <f t="shared" si="1"/>
        <v>13</v>
      </c>
      <c r="P6" s="308">
        <f>O6+1</f>
        <v>14</v>
      </c>
      <c r="Q6" s="308">
        <f t="shared" ref="Q6:U6" si="2">P6+1</f>
        <v>15</v>
      </c>
      <c r="R6" s="308">
        <f t="shared" si="2"/>
        <v>16</v>
      </c>
      <c r="S6" s="308">
        <f t="shared" si="2"/>
        <v>17</v>
      </c>
      <c r="T6" s="308">
        <f t="shared" si="2"/>
        <v>18</v>
      </c>
      <c r="U6" s="308">
        <f t="shared" si="2"/>
        <v>19</v>
      </c>
      <c r="V6" s="308">
        <f t="shared" ref="V6" si="3">U6+1</f>
        <v>20</v>
      </c>
      <c r="W6" s="308">
        <f t="shared" ref="W6" si="4">V6+1</f>
        <v>21</v>
      </c>
      <c r="X6" s="308">
        <f t="shared" ref="X6" si="5">W6+1</f>
        <v>22</v>
      </c>
      <c r="Y6" s="308">
        <f t="shared" ref="Y6" si="6">X6+1</f>
        <v>23</v>
      </c>
      <c r="Z6" s="308">
        <f t="shared" ref="Z6" si="7">Y6+1</f>
        <v>24</v>
      </c>
      <c r="AA6" s="308">
        <f t="shared" ref="AA6" si="8">Z6+1</f>
        <v>25</v>
      </c>
      <c r="AB6" s="308">
        <f t="shared" ref="AB6" si="9">AA6+1</f>
        <v>26</v>
      </c>
      <c r="AC6" s="308">
        <f t="shared" ref="AC6" si="10">AB6+1</f>
        <v>27</v>
      </c>
      <c r="AD6" s="308">
        <f t="shared" ref="AD6" si="11">AC6+1</f>
        <v>28</v>
      </c>
      <c r="AE6" s="308">
        <f t="shared" ref="AE6" si="12">AD6+1</f>
        <v>29</v>
      </c>
      <c r="AF6" s="308">
        <f t="shared" ref="AF6" si="13">AE6+1</f>
        <v>30</v>
      </c>
      <c r="AG6" s="1127"/>
      <c r="AH6" s="1116">
        <v>30</v>
      </c>
      <c r="AI6" s="1116"/>
    </row>
    <row r="7" spans="1:35" s="47" customFormat="1">
      <c r="A7" s="1638"/>
      <c r="B7" s="1639"/>
      <c r="C7" s="1640"/>
      <c r="D7" s="1640"/>
      <c r="E7" s="1640"/>
      <c r="F7" s="1640"/>
      <c r="G7" s="1640"/>
      <c r="H7" s="1640"/>
      <c r="I7" s="1640"/>
      <c r="J7" s="1640"/>
      <c r="K7" s="1640"/>
      <c r="L7" s="1640"/>
      <c r="M7" s="1640"/>
      <c r="N7" s="1640"/>
      <c r="O7" s="1640"/>
      <c r="P7" s="308" t="s">
        <v>931</v>
      </c>
      <c r="Q7" s="308" t="s">
        <v>931</v>
      </c>
      <c r="R7" s="308" t="s">
        <v>931</v>
      </c>
      <c r="S7" s="308" t="s">
        <v>931</v>
      </c>
      <c r="T7" s="308" t="s">
        <v>931</v>
      </c>
      <c r="U7" s="308" t="s">
        <v>931</v>
      </c>
      <c r="V7" s="308" t="s">
        <v>931</v>
      </c>
      <c r="W7" s="308" t="s">
        <v>931</v>
      </c>
      <c r="X7" s="308" t="s">
        <v>932</v>
      </c>
      <c r="Y7" s="308" t="s">
        <v>932</v>
      </c>
      <c r="Z7" s="308"/>
      <c r="AA7" s="1640"/>
      <c r="AB7" s="1640"/>
      <c r="AC7" s="1640"/>
      <c r="AD7" s="1640"/>
      <c r="AE7" s="1640"/>
      <c r="AF7" s="1640"/>
      <c r="AG7" s="1127"/>
      <c r="AH7" s="1116"/>
      <c r="AI7" s="1116"/>
    </row>
    <row r="8" spans="1:35">
      <c r="A8" s="99">
        <v>1</v>
      </c>
      <c r="B8" s="301" t="s">
        <v>92</v>
      </c>
      <c r="C8" s="310">
        <f>'Table 3 Levels 1&amp;2'!AO8</f>
        <v>51525404.411200002</v>
      </c>
      <c r="D8" s="356">
        <f>'[1]Adjusted Amounts'!C7</f>
        <v>0</v>
      </c>
      <c r="E8" s="356">
        <f>'[2]Adjusted Amounts'!H7</f>
        <v>0</v>
      </c>
      <c r="F8" s="356">
        <f>SUM(D8:E8)</f>
        <v>0</v>
      </c>
      <c r="G8" s="310">
        <f t="shared" ref="G8:G71" si="14">IF(F8&gt;0,F8,0)</f>
        <v>0</v>
      </c>
      <c r="H8" s="356">
        <f>IF(F8&lt;0,F8,0)</f>
        <v>0</v>
      </c>
      <c r="I8" s="1378">
        <f>'[3]October midyear adj'!K6</f>
        <v>1236265.7014996873</v>
      </c>
      <c r="J8" s="1378">
        <f>'[3]February midyear adj '!K6</f>
        <v>-322504.09604339668</v>
      </c>
      <c r="K8" s="1378">
        <f>SUM(I8:J8)</f>
        <v>913761.60545629053</v>
      </c>
      <c r="L8" s="1378">
        <f>'[3]Oct midyear Madison Prep'!K7+'[3]Oct midyear DArbonne'!K7+'[3]Oct midyear Intl_VIBE '!K7+'[3]Oct midyear NOMMA'!K7+'[3]Oct midyear LFNO'!K7+'[3]Oct midyear Lake Charles Chtr'!K7+'[3]Oct midyear JS Clark Academy'!K7+'[3]Oct midyear Southwest LA Chtr'!K7+'[3]Oct midyear LA Virtual Admy'!K4+'[3]Oct midyear LA Connections'!K4</f>
        <v>24187.807203254746</v>
      </c>
      <c r="M8" s="1378">
        <f>'[3]Feb midyear Madison Prep'!K7+'[3]Feb midyear DArbonne'!K7+'[3]Feb midyear Intl_VIBE '!K7+'[3]Feb midyear NOMMA'!K7+'[3]Feb midyear LFNO '!K7+'[3]Feb midyear Lake Charles Ch'!K7+'[3]Feb midyear JS Clark Academy'!K7+'[3]Feb midyear Southwest LA Ch '!K7+'[3]Feb midyear LA Virtual Admy'!K4+'[3]Feb midyear LA Connections'!K4</f>
        <v>-12093.903601627373</v>
      </c>
      <c r="N8" s="1378">
        <f>SUM(L8:M8)</f>
        <v>12093.903601627373</v>
      </c>
      <c r="O8" s="356"/>
      <c r="P8" s="356">
        <f>-'Table 5C1A-Madison Prep'!L8</f>
        <v>0</v>
      </c>
      <c r="Q8" s="356">
        <f>-'Table 5C1B-DArbonne'!L8</f>
        <v>0</v>
      </c>
      <c r="R8" s="356">
        <f>-'Table 5C1C-Intl_VIBE'!L8</f>
        <v>0</v>
      </c>
      <c r="S8" s="356">
        <f>-'Table 5C1D-NOMMA'!L8</f>
        <v>0</v>
      </c>
      <c r="T8" s="356">
        <f>-'Table 5C1E-LFNO'!L8</f>
        <v>0</v>
      </c>
      <c r="U8" s="358">
        <f>-'Table 5C1F-Lake Charles Charter'!L8</f>
        <v>0</v>
      </c>
      <c r="V8" s="356">
        <f>-'Table 5C1G-JS Clark Academy'!L8</f>
        <v>0</v>
      </c>
      <c r="W8" s="356">
        <f>-'Table 5C1H-Southwest LA Charter'!L8</f>
        <v>0</v>
      </c>
      <c r="X8" s="314">
        <f>-('Table 5C2 - LA Virtual Admy'!M6+'Table 5C2 - LA Virtual Admy'!I6)</f>
        <v>-94601.201506063007</v>
      </c>
      <c r="Y8" s="314">
        <f>-('Table 5C3 - LA Connections EBR'!M6+'Table 5C3 - LA Connections EBR'!I6)</f>
        <v>-89494.88665204258</v>
      </c>
      <c r="Z8" s="314">
        <f t="shared" ref="Z8:Z39" si="15">SUM(O8:Y8)</f>
        <v>-184096.08815810559</v>
      </c>
      <c r="AA8" s="539">
        <f>ROUND(C8+F8+K8+N8+Z8,0)</f>
        <v>52267164</v>
      </c>
      <c r="AB8" s="310">
        <f>('[4]Table 2_State Distrib and Adjs'!V7*6)+('[5]Table 2_State Distrib and Adjs'!AD7*2)</f>
        <v>34235600</v>
      </c>
      <c r="AC8" s="1531">
        <f>AA8-AB8</f>
        <v>18031564</v>
      </c>
      <c r="AD8" s="1531">
        <f>ROUND(AC8/4,0)</f>
        <v>4507891</v>
      </c>
      <c r="AE8" s="310">
        <f>'Table 4A Stipends'!G4</f>
        <v>0</v>
      </c>
      <c r="AF8" s="310">
        <f>AA8+AE8</f>
        <v>52267164</v>
      </c>
      <c r="AG8" s="1117"/>
      <c r="AH8" s="1120">
        <f>(('2-1-13 SIS'!C7+'2-1-13 SIS'!R7)*'Table 3 Levels 1&amp;2'!AP8)+K8+F8+AE8</f>
        <v>52267163.832099818</v>
      </c>
      <c r="AI8" s="1120">
        <f>AF8-AH8</f>
        <v>0.16790018230676651</v>
      </c>
    </row>
    <row r="9" spans="1:35">
      <c r="A9" s="99">
        <v>2</v>
      </c>
      <c r="B9" s="301" t="s">
        <v>93</v>
      </c>
      <c r="C9" s="310">
        <f>'Table 3 Levels 1&amp;2'!AO9</f>
        <v>28682059.780479997</v>
      </c>
      <c r="D9" s="356">
        <f>'[1]Adjusted Amounts'!C8</f>
        <v>10338.090149683587</v>
      </c>
      <c r="E9" s="356">
        <f>'[2]Adjusted Amounts'!H8</f>
        <v>-10424.079088565875</v>
      </c>
      <c r="F9" s="356">
        <f t="shared" ref="F9:F72" si="16">SUM(D9:E9)</f>
        <v>-85.988938882288494</v>
      </c>
      <c r="G9" s="310">
        <f t="shared" si="14"/>
        <v>0</v>
      </c>
      <c r="H9" s="356">
        <f t="shared" ref="H9:H72" si="17">IF(F9&lt;0,F9,0)</f>
        <v>-85.988938882288494</v>
      </c>
      <c r="I9" s="1378">
        <f>'[3]October midyear adj'!K7</f>
        <v>175618.78386284594</v>
      </c>
      <c r="J9" s="1378">
        <f>'[3]February midyear adj '!K7</f>
        <v>-112396.0216722214</v>
      </c>
      <c r="K9" s="1378">
        <f t="shared" ref="K9:K72" si="18">SUM(I9:J9)</f>
        <v>63222.762190624548</v>
      </c>
      <c r="L9" s="1378">
        <f>'[3]Oct midyear Madison Prep'!K8+'[3]Oct midyear DArbonne'!K8+'[3]Oct midyear Intl_VIBE '!K8+'[3]Oct midyear NOMMA'!K8+'[3]Oct midyear LFNO'!K8+'[3]Oct midyear Lake Charles Chtr'!K8+'[3]Oct midyear JS Clark Academy'!K8+'[3]Oct midyear Southwest LA Chtr'!K8+'[3]Oct midyear LA Virtual Admy'!K5+'[3]Oct midyear LA Connections'!K5</f>
        <v>50578.209752499628</v>
      </c>
      <c r="M9" s="1378">
        <f>'[3]Feb midyear Madison Prep'!K8+'[3]Feb midyear DArbonne'!K8+'[3]Feb midyear Intl_VIBE '!K8+'[3]Feb midyear NOMMA'!K8+'[3]Feb midyear LFNO '!K8+'[3]Feb midyear Lake Charles Ch'!K8+'[3]Feb midyear JS Clark Academy'!K8+'[3]Feb midyear Southwest LA Ch '!K8+'[3]Feb midyear LA Virtual Admy'!K5+'[3]Feb midyear LA Connections'!K5</f>
        <v>9483.4143285936807</v>
      </c>
      <c r="N9" s="1378">
        <f t="shared" ref="N9:N72" si="19">SUM(L9:M9)</f>
        <v>60061.624081093309</v>
      </c>
      <c r="O9" s="356"/>
      <c r="P9" s="356">
        <f>-'Table 5C1A-Madison Prep'!L9</f>
        <v>0</v>
      </c>
      <c r="Q9" s="356">
        <f>-'Table 5C1B-DArbonne'!L9</f>
        <v>0</v>
      </c>
      <c r="R9" s="356">
        <f>-'Table 5C1C-Intl_VIBE'!L9</f>
        <v>0</v>
      </c>
      <c r="S9" s="356">
        <f>-'Table 5C1D-NOMMA'!L9</f>
        <v>0</v>
      </c>
      <c r="T9" s="356">
        <f>-'Table 5C1E-LFNO'!L9</f>
        <v>0</v>
      </c>
      <c r="U9" s="356">
        <f>-'Table 5C1F-Lake Charles Charter'!L9</f>
        <v>0</v>
      </c>
      <c r="V9" s="356">
        <f>-'Table 5C1G-JS Clark Academy'!L9</f>
        <v>0</v>
      </c>
      <c r="W9" s="356">
        <f>-'Table 5C1H-Southwest LA Charter'!L9</f>
        <v>0</v>
      </c>
      <c r="X9" s="314">
        <f>-('Table 5C2 - LA Virtual Admy'!M7+'Table 5C2 - LA Virtual Admy'!I7)</f>
        <v>-47065.834075242703</v>
      </c>
      <c r="Y9" s="314">
        <f>-('Table 5C3 - LA Connections EBR'!M7+'Table 5C3 - LA Connections EBR'!I7)</f>
        <v>-55144.298132933618</v>
      </c>
      <c r="Z9" s="314">
        <f t="shared" si="15"/>
        <v>-102210.13220817632</v>
      </c>
      <c r="AA9" s="539">
        <f t="shared" ref="AA9:AA72" si="20">ROUND(C9+F9+K9+N9+Z9,0)</f>
        <v>28703048</v>
      </c>
      <c r="AB9" s="310">
        <f>('[4]Table 2_State Distrib and Adjs'!V8*6)+('[5]Table 2_State Distrib and Adjs'!AD8*2)</f>
        <v>19093216</v>
      </c>
      <c r="AC9" s="1531">
        <f t="shared" ref="AC9:AC72" si="21">AA9-AB9</f>
        <v>9609832</v>
      </c>
      <c r="AD9" s="1531">
        <f t="shared" ref="AD9:AD72" si="22">ROUND(AC9/4,0)</f>
        <v>2402458</v>
      </c>
      <c r="AE9" s="310">
        <f>'Table 4A Stipends'!G5</f>
        <v>0</v>
      </c>
      <c r="AF9" s="310">
        <f t="shared" ref="AF9:AF72" si="23">AA9+AE9</f>
        <v>28703048</v>
      </c>
      <c r="AG9" s="1117"/>
      <c r="AH9" s="1120">
        <f>(('2-1-13 SIS'!C8+'2-1-13 SIS'!R8)*'Table 3 Levels 1&amp;2'!AP9)+K9+F9+AE9</f>
        <v>28703048.045604657</v>
      </c>
      <c r="AI9" s="1125">
        <f t="shared" ref="AI9:AI72" si="24">AF9-AH9</f>
        <v>-4.5604657381772995E-2</v>
      </c>
    </row>
    <row r="10" spans="1:35">
      <c r="A10" s="99">
        <v>3</v>
      </c>
      <c r="B10" s="301" t="s">
        <v>94</v>
      </c>
      <c r="C10" s="310">
        <f>'Table 3 Levels 1&amp;2'!AO10</f>
        <v>98914716.790416956</v>
      </c>
      <c r="D10" s="356">
        <f>'[1]Adjusted Amounts'!C9</f>
        <v>0</v>
      </c>
      <c r="E10" s="356">
        <f>'[2]Adjusted Amounts'!H9</f>
        <v>0</v>
      </c>
      <c r="F10" s="356">
        <f t="shared" si="16"/>
        <v>0</v>
      </c>
      <c r="G10" s="310">
        <f t="shared" si="14"/>
        <v>0</v>
      </c>
      <c r="H10" s="356">
        <f t="shared" si="17"/>
        <v>0</v>
      </c>
      <c r="I10" s="1378">
        <f>'[3]October midyear adj'!K8</f>
        <v>1959848.7009756274</v>
      </c>
      <c r="J10" s="1378">
        <f>'[3]February midyear adj '!K8</f>
        <v>-192142.02950741444</v>
      </c>
      <c r="K10" s="1378">
        <f t="shared" si="18"/>
        <v>1767706.671468213</v>
      </c>
      <c r="L10" s="1378">
        <f>'[3]Oct midyear Madison Prep'!K9+'[3]Oct midyear DArbonne'!K9+'[3]Oct midyear Intl_VIBE '!K9+'[3]Oct midyear NOMMA'!K9+'[3]Oct midyear LFNO'!K9+'[3]Oct midyear Lake Charles Chtr'!K9+'[3]Oct midyear JS Clark Academy'!K9+'[3]Oct midyear Southwest LA Chtr'!K9+'[3]Oct midyear LA Virtual Admy'!K6+'[3]Oct midyear LA Connections'!K6</f>
        <v>95110.304606170146</v>
      </c>
      <c r="M10" s="1378">
        <f>'[3]Feb midyear Madison Prep'!K9+'[3]Feb midyear DArbonne'!K9+'[3]Feb midyear Intl_VIBE '!K9+'[3]Feb midyear NOMMA'!K9+'[3]Feb midyear LFNO '!K9+'[3]Feb midyear Lake Charles Ch'!K9+'[3]Feb midyear JS Clark Academy'!K9+'[3]Feb midyear Southwest LA Ch '!K9+'[3]Feb midyear LA Virtual Admy'!K6+'[3]Feb midyear LA Connections'!K6</f>
        <v>15131.184823708887</v>
      </c>
      <c r="N10" s="1378">
        <f t="shared" si="19"/>
        <v>110241.48942987903</v>
      </c>
      <c r="O10" s="356"/>
      <c r="P10" s="356">
        <f>-'Table 5C1A-Madison Prep'!L10</f>
        <v>0</v>
      </c>
      <c r="Q10" s="356">
        <f>-'Table 5C1B-DArbonne'!L10</f>
        <v>0</v>
      </c>
      <c r="R10" s="356">
        <f>-'Table 5C1C-Intl_VIBE'!L10</f>
        <v>0</v>
      </c>
      <c r="S10" s="356">
        <f>-'Table 5C1D-NOMMA'!L10</f>
        <v>0</v>
      </c>
      <c r="T10" s="356">
        <f>-'Table 5C1E-LFNO'!L10</f>
        <v>0</v>
      </c>
      <c r="U10" s="356">
        <f>-'Table 5C1F-Lake Charles Charter'!L10</f>
        <v>0</v>
      </c>
      <c r="V10" s="356">
        <f>-'Table 5C1G-JS Clark Academy'!L10</f>
        <v>0</v>
      </c>
      <c r="W10" s="356">
        <f>-'Table 5C1H-Southwest LA Charter'!L10</f>
        <v>0</v>
      </c>
      <c r="X10" s="314">
        <f>-('Table 5C2 - LA Virtual Admy'!M8+'Table 5C2 - LA Virtual Admy'!I8)</f>
        <v>-246181.97530637475</v>
      </c>
      <c r="Y10" s="314">
        <f>-('Table 5C3 - LA Connections EBR'!M8+'Table 5C3 - LA Connections EBR'!I8)</f>
        <v>-185897.41354842347</v>
      </c>
      <c r="Z10" s="314">
        <f t="shared" si="15"/>
        <v>-432079.38885479822</v>
      </c>
      <c r="AA10" s="539">
        <f t="shared" si="20"/>
        <v>100360586</v>
      </c>
      <c r="AB10" s="310">
        <f>('[4]Table 2_State Distrib and Adjs'!V9*6)+('[5]Table 2_State Distrib and Adjs'!AD9*2)</f>
        <v>65728586</v>
      </c>
      <c r="AC10" s="1531">
        <f t="shared" si="21"/>
        <v>34632000</v>
      </c>
      <c r="AD10" s="1531">
        <f t="shared" si="22"/>
        <v>8658000</v>
      </c>
      <c r="AE10" s="310">
        <f>'Table 4A Stipends'!G6</f>
        <v>0</v>
      </c>
      <c r="AF10" s="310">
        <f t="shared" si="23"/>
        <v>100360586</v>
      </c>
      <c r="AG10" s="1117"/>
      <c r="AH10" s="1120">
        <f>(('2-1-13 SIS'!C9+'2-1-13 SIS'!R9)*'Table 3 Levels 1&amp;2'!AP10)+K10+F10+AE10</f>
        <v>100360585.56246024</v>
      </c>
      <c r="AI10" s="1125">
        <f t="shared" si="24"/>
        <v>0.43753975629806519</v>
      </c>
    </row>
    <row r="11" spans="1:35">
      <c r="A11" s="99">
        <v>4</v>
      </c>
      <c r="B11" s="301" t="s">
        <v>95</v>
      </c>
      <c r="C11" s="310">
        <f>'Table 3 Levels 1&amp;2'!AO11</f>
        <v>23341643.964439437</v>
      </c>
      <c r="D11" s="356">
        <f>'[1]Adjusted Amounts'!C10</f>
        <v>0</v>
      </c>
      <c r="E11" s="356">
        <f>'[2]Adjusted Amounts'!H10</f>
        <v>26832.697836016825</v>
      </c>
      <c r="F11" s="356">
        <f t="shared" si="16"/>
        <v>26832.697836016825</v>
      </c>
      <c r="G11" s="310">
        <f t="shared" si="14"/>
        <v>26832.697836016825</v>
      </c>
      <c r="H11" s="356">
        <f t="shared" si="17"/>
        <v>0</v>
      </c>
      <c r="I11" s="1378">
        <f>'[3]October midyear adj'!K9</f>
        <v>341809.48638435674</v>
      </c>
      <c r="J11" s="1378">
        <f>'[3]February midyear adj '!K9</f>
        <v>-105172.14965672516</v>
      </c>
      <c r="K11" s="1378">
        <f t="shared" si="18"/>
        <v>236637.33672763157</v>
      </c>
      <c r="L11" s="1378">
        <f>'[3]Oct midyear Madison Prep'!K10+'[3]Oct midyear DArbonne'!K10+'[3]Oct midyear Intl_VIBE '!K10+'[3]Oct midyear NOMMA'!K10+'[3]Oct midyear LFNO'!K10+'[3]Oct midyear Lake Charles Chtr'!K10+'[3]Oct midyear JS Clark Academy'!K10+'[3]Oct midyear Southwest LA Chtr'!K10+'[3]Oct midyear LA Virtual Admy'!K7+'[3]Oct midyear LA Connections'!K7</f>
        <v>-5915.9334181907907</v>
      </c>
      <c r="M11" s="1378">
        <f>'[3]Feb midyear Madison Prep'!K10+'[3]Feb midyear DArbonne'!K10+'[3]Feb midyear Intl_VIBE '!K10+'[3]Feb midyear NOMMA'!K10+'[3]Feb midyear LFNO '!K10+'[3]Feb midyear Lake Charles Ch'!K10+'[3]Feb midyear JS Clark Academy'!K10+'[3]Feb midyear Southwest LA Ch '!K10+'[3]Feb midyear LA Virtual Admy'!K7+'[3]Feb midyear LA Connections'!K7</f>
        <v>-2957.9667090953953</v>
      </c>
      <c r="N11" s="1378">
        <f t="shared" si="19"/>
        <v>-8873.900127286186</v>
      </c>
      <c r="O11" s="356"/>
      <c r="P11" s="356">
        <f>-'Table 5C1A-Madison Prep'!L11</f>
        <v>0</v>
      </c>
      <c r="Q11" s="356">
        <f>-'Table 5C1B-DArbonne'!L11</f>
        <v>0</v>
      </c>
      <c r="R11" s="356">
        <f>-'Table 5C1C-Intl_VIBE'!L11</f>
        <v>0</v>
      </c>
      <c r="S11" s="356">
        <f>-'Table 5C1D-NOMMA'!L11</f>
        <v>0</v>
      </c>
      <c r="T11" s="356">
        <f>-'Table 5C1E-LFNO'!L11</f>
        <v>0</v>
      </c>
      <c r="U11" s="356">
        <f>-'Table 5C1F-Lake Charles Charter'!L11</f>
        <v>0</v>
      </c>
      <c r="V11" s="356">
        <f>-'Table 5C1G-JS Clark Academy'!L11</f>
        <v>0</v>
      </c>
      <c r="W11" s="356">
        <f>-'Table 5C1H-Southwest LA Charter'!L11</f>
        <v>0</v>
      </c>
      <c r="X11" s="314">
        <f>-('Table 5C2 - LA Virtual Admy'!M9+'Table 5C2 - LA Virtual Admy'!I9)</f>
        <v>-10845.877933349781</v>
      </c>
      <c r="Y11" s="314">
        <f>-('Table 5C3 - LA Connections EBR'!M9+'Table 5C3 - LA Connections EBR'!I9)</f>
        <v>-19719.778060635967</v>
      </c>
      <c r="Z11" s="314">
        <f t="shared" si="15"/>
        <v>-30565.655993985747</v>
      </c>
      <c r="AA11" s="539">
        <f t="shared" si="20"/>
        <v>23565674</v>
      </c>
      <c r="AB11" s="310">
        <f>('[4]Table 2_State Distrib and Adjs'!V10*6)+('[5]Table 2_State Distrib and Adjs'!AD10*2)</f>
        <v>15552690</v>
      </c>
      <c r="AC11" s="1531">
        <f t="shared" si="21"/>
        <v>8012984</v>
      </c>
      <c r="AD11" s="1531">
        <f t="shared" si="22"/>
        <v>2003246</v>
      </c>
      <c r="AE11" s="310">
        <f>'Table 4A Stipends'!G7</f>
        <v>22000</v>
      </c>
      <c r="AF11" s="310">
        <f t="shared" si="23"/>
        <v>23587674</v>
      </c>
      <c r="AG11" s="1117"/>
      <c r="AH11" s="1120">
        <f>(('2-1-13 SIS'!C10+'2-1-13 SIS'!R10)*'Table 3 Levels 1&amp;2'!AP11)+K11+F11+AE11</f>
        <v>23587674.442881811</v>
      </c>
      <c r="AI11" s="1125">
        <f t="shared" si="24"/>
        <v>-0.44288181141018867</v>
      </c>
    </row>
    <row r="12" spans="1:35">
      <c r="A12" s="100">
        <v>5</v>
      </c>
      <c r="B12" s="302" t="s">
        <v>96</v>
      </c>
      <c r="C12" s="318">
        <f>'Table 3 Levels 1&amp;2'!AO12</f>
        <v>31909477.56992</v>
      </c>
      <c r="D12" s="357">
        <f>'[1]Adjusted Amounts'!C11</f>
        <v>-2718.3215289424334</v>
      </c>
      <c r="E12" s="357">
        <f>'[2]Adjusted Amounts'!H11</f>
        <v>-15433.970269679656</v>
      </c>
      <c r="F12" s="357">
        <f t="shared" si="16"/>
        <v>-18152.291798622089</v>
      </c>
      <c r="G12" s="318">
        <f t="shared" si="14"/>
        <v>0</v>
      </c>
      <c r="H12" s="357">
        <f t="shared" si="17"/>
        <v>-18152.291798622089</v>
      </c>
      <c r="I12" s="357">
        <f>'[3]October midyear adj'!K10</f>
        <v>-360277.2350260205</v>
      </c>
      <c r="J12" s="357">
        <f>'[3]February midyear adj '!K10</f>
        <v>-133025.44062499219</v>
      </c>
      <c r="K12" s="357">
        <f t="shared" si="18"/>
        <v>-493302.67565101269</v>
      </c>
      <c r="L12" s="357">
        <f>'[3]Oct midyear Madison Prep'!K11+'[3]Oct midyear DArbonne'!K11+'[3]Oct midyear Intl_VIBE '!K11+'[3]Oct midyear NOMMA'!K11+'[3]Oct midyear LFNO'!K11+'[3]Oct midyear Lake Charles Chtr'!K11+'[3]Oct midyear JS Clark Academy'!K11+'[3]Oct midyear Southwest LA Chtr'!K11+'[3]Oct midyear LA Virtual Admy'!K8+'[3]Oct midyear LA Connections'!K8</f>
        <v>44896.086210934867</v>
      </c>
      <c r="M12" s="357">
        <f>'[3]Feb midyear Madison Prep'!K11+'[3]Feb midyear DArbonne'!K11+'[3]Feb midyear Intl_VIBE '!K11+'[3]Feb midyear NOMMA'!K11+'[3]Feb midyear LFNO '!K11+'[3]Feb midyear Lake Charles Ch'!K11+'[3]Feb midyear JS Clark Academy'!K11+'[3]Feb midyear Southwest LA Ch '!K11+'[3]Feb midyear LA Virtual Admy'!K8+'[3]Feb midyear LA Connections'!K8</f>
        <v>-7482.6810351558106</v>
      </c>
      <c r="N12" s="357">
        <f t="shared" si="19"/>
        <v>37413.405175779058</v>
      </c>
      <c r="O12" s="357"/>
      <c r="P12" s="357">
        <f>-'Table 5C1A-Madison Prep'!L12</f>
        <v>0</v>
      </c>
      <c r="Q12" s="357">
        <f>-'Table 5C1B-DArbonne'!L12</f>
        <v>0</v>
      </c>
      <c r="R12" s="357">
        <f>-'Table 5C1C-Intl_VIBE'!L12</f>
        <v>0</v>
      </c>
      <c r="S12" s="357">
        <f>-'Table 5C1D-NOMMA'!L12</f>
        <v>0</v>
      </c>
      <c r="T12" s="357">
        <f>-'Table 5C1E-LFNO'!L12</f>
        <v>0</v>
      </c>
      <c r="U12" s="357">
        <f>-'Table 5C1F-Lake Charles Charter'!L12</f>
        <v>0</v>
      </c>
      <c r="V12" s="357">
        <f>-'Table 5C1G-JS Clark Academy'!L12</f>
        <v>0</v>
      </c>
      <c r="W12" s="357">
        <f>-'Table 5C1H-Southwest LA Charter'!L12</f>
        <v>0</v>
      </c>
      <c r="X12" s="320">
        <f>-('Table 5C2 - LA Virtual Admy'!M10+'Table 5C2 - LA Virtual Admy'!I10)</f>
        <v>-153256.39305337641</v>
      </c>
      <c r="Y12" s="320">
        <f>-('Table 5C3 - LA Connections EBR'!M10+'Table 5C3 - LA Connections EBR'!I10)</f>
        <v>-72609.719674474894</v>
      </c>
      <c r="Z12" s="320">
        <f t="shared" si="15"/>
        <v>-225866.11272785132</v>
      </c>
      <c r="AA12" s="540">
        <f t="shared" si="20"/>
        <v>31209570</v>
      </c>
      <c r="AB12" s="318">
        <f>('[4]Table 2_State Distrib and Adjs'!V11*6)+('[5]Table 2_State Distrib and Adjs'!AD11*2)</f>
        <v>21135248</v>
      </c>
      <c r="AC12" s="318">
        <f t="shared" si="21"/>
        <v>10074322</v>
      </c>
      <c r="AD12" s="318">
        <f t="shared" si="22"/>
        <v>2518581</v>
      </c>
      <c r="AE12" s="318">
        <f>'Table 4A Stipends'!G8</f>
        <v>0</v>
      </c>
      <c r="AF12" s="318">
        <f t="shared" si="23"/>
        <v>31209570</v>
      </c>
      <c r="AG12" s="1117"/>
      <c r="AH12" s="1120">
        <f>(('2-1-13 SIS'!C11+'2-1-13 SIS'!R11)*'Table 3 Levels 1&amp;2'!AP12)+K12+F12+AE12</f>
        <v>31209569.894918289</v>
      </c>
      <c r="AI12" s="1120">
        <f t="shared" si="24"/>
        <v>0.1050817109644413</v>
      </c>
    </row>
    <row r="13" spans="1:35">
      <c r="A13" s="99">
        <v>6</v>
      </c>
      <c r="B13" s="301" t="s">
        <v>97</v>
      </c>
      <c r="C13" s="310">
        <f>'Table 3 Levels 1&amp;2'!AO13</f>
        <v>36089231.337960638</v>
      </c>
      <c r="D13" s="356">
        <f>'[1]Adjusted Amounts'!C12</f>
        <v>-3090.6922071054432</v>
      </c>
      <c r="E13" s="356">
        <f>'[2]Adjusted Amounts'!H12</f>
        <v>-559520.47628364025</v>
      </c>
      <c r="F13" s="356">
        <f t="shared" si="16"/>
        <v>-562611.16849074571</v>
      </c>
      <c r="G13" s="310">
        <f t="shared" si="14"/>
        <v>0</v>
      </c>
      <c r="H13" s="356">
        <f t="shared" si="17"/>
        <v>-562611.16849074571</v>
      </c>
      <c r="I13" s="1378">
        <f>'[3]October midyear adj'!K11</f>
        <v>-434953.58885110228</v>
      </c>
      <c r="J13" s="1378">
        <f>'[3]February midyear adj '!K11</f>
        <v>-250247.27029789446</v>
      </c>
      <c r="K13" s="1378">
        <f t="shared" si="18"/>
        <v>-685200.85914899677</v>
      </c>
      <c r="L13" s="1378">
        <f>'[3]Oct midyear Madison Prep'!K12+'[3]Oct midyear DArbonne'!K12+'[3]Oct midyear Intl_VIBE '!K12+'[3]Oct midyear NOMMA'!K12+'[3]Oct midyear LFNO'!K12+'[3]Oct midyear Lake Charles Chtr'!K12+'[3]Oct midyear JS Clark Academy'!K12+'[3]Oct midyear Southwest LA Chtr'!K12+'[3]Oct midyear LA Virtual Admy'!K9+'[3]Oct midyear LA Connections'!K9</f>
        <v>0</v>
      </c>
      <c r="M13" s="1378">
        <f>'[3]Feb midyear Madison Prep'!K12+'[3]Feb midyear DArbonne'!K12+'[3]Feb midyear Intl_VIBE '!K12+'[3]Feb midyear NOMMA'!K12+'[3]Feb midyear LFNO '!K12+'[3]Feb midyear Lake Charles Ch'!K12+'[3]Feb midyear JS Clark Academy'!K12+'[3]Feb midyear Southwest LA Ch '!K12+'[3]Feb midyear LA Virtual Admy'!K9+'[3]Feb midyear LA Connections'!K9</f>
        <v>-21449.766025533812</v>
      </c>
      <c r="N13" s="1378">
        <f t="shared" si="19"/>
        <v>-21449.766025533812</v>
      </c>
      <c r="O13" s="356"/>
      <c r="P13" s="356">
        <f>-'Table 5C1A-Madison Prep'!L13</f>
        <v>0</v>
      </c>
      <c r="Q13" s="356">
        <f>-'Table 5C1B-DArbonne'!L13</f>
        <v>0</v>
      </c>
      <c r="R13" s="356">
        <f>-'Table 5C1C-Intl_VIBE'!L13</f>
        <v>0</v>
      </c>
      <c r="S13" s="356">
        <f>-'Table 5C1D-NOMMA'!L13</f>
        <v>0</v>
      </c>
      <c r="T13" s="356">
        <f>-'Table 5C1E-LFNO'!L13</f>
        <v>0</v>
      </c>
      <c r="U13" s="356">
        <f>-'Table 5C1F-Lake Charles Charter'!L13</f>
        <v>0</v>
      </c>
      <c r="V13" s="356">
        <f>-'Table 5C1G-JS Clark Academy'!L13</f>
        <v>0</v>
      </c>
      <c r="W13" s="356">
        <f>-'Table 5C1H-Southwest LA Charter'!L13</f>
        <v>0</v>
      </c>
      <c r="X13" s="314">
        <f>-('Table 5C2 - LA Virtual Admy'!M11+'Table 5C2 - LA Virtual Admy'!I11)</f>
        <v>-144190.09383831065</v>
      </c>
      <c r="Y13" s="314">
        <f>-('Table 5C3 - LA Connections EBR'!M11+'Table 5C3 - LA Connections EBR'!I11)</f>
        <v>-66732.605412771867</v>
      </c>
      <c r="Z13" s="314">
        <f t="shared" si="15"/>
        <v>-210922.69925108252</v>
      </c>
      <c r="AA13" s="539">
        <f t="shared" si="20"/>
        <v>34609047</v>
      </c>
      <c r="AB13" s="310">
        <f>('[4]Table 2_State Distrib and Adjs'!V12*6)+('[5]Table 2_State Distrib and Adjs'!AD12*2)</f>
        <v>23529498</v>
      </c>
      <c r="AC13" s="1531">
        <f t="shared" si="21"/>
        <v>11079549</v>
      </c>
      <c r="AD13" s="1531">
        <f t="shared" si="22"/>
        <v>2769887</v>
      </c>
      <c r="AE13" s="310">
        <f>'Table 4A Stipends'!G9</f>
        <v>0</v>
      </c>
      <c r="AF13" s="310">
        <f t="shared" si="23"/>
        <v>34609047</v>
      </c>
      <c r="AG13" s="1117"/>
      <c r="AH13" s="1120">
        <f>(('2-1-13 SIS'!C12+'2-1-13 SIS'!R12)*'Table 3 Levels 1&amp;2'!AP13)+K13+F13+AE13</f>
        <v>34609046.845044285</v>
      </c>
      <c r="AI13" s="1125">
        <f t="shared" si="24"/>
        <v>0.15495571494102478</v>
      </c>
    </row>
    <row r="14" spans="1:35">
      <c r="A14" s="99">
        <v>7</v>
      </c>
      <c r="B14" s="301" t="s">
        <v>98</v>
      </c>
      <c r="C14" s="310">
        <f>'Table 3 Levels 1&amp;2'!AO14</f>
        <v>5558218.2599999998</v>
      </c>
      <c r="D14" s="356">
        <f>'[1]Adjusted Amounts'!C13</f>
        <v>-1148.4454043616533</v>
      </c>
      <c r="E14" s="356">
        <f>'[2]Adjusted Amounts'!H13</f>
        <v>231.94927088567511</v>
      </c>
      <c r="F14" s="356">
        <f t="shared" si="16"/>
        <v>-916.49613347597824</v>
      </c>
      <c r="G14" s="310">
        <f t="shared" si="14"/>
        <v>0</v>
      </c>
      <c r="H14" s="356">
        <f t="shared" si="17"/>
        <v>-916.49613347597824</v>
      </c>
      <c r="I14" s="1378">
        <f>'[3]October midyear adj'!K12</f>
        <v>-15138.134162505674</v>
      </c>
      <c r="J14" s="1378">
        <f>'[3]February midyear adj '!K12</f>
        <v>-8830.5782614616419</v>
      </c>
      <c r="K14" s="1378">
        <f t="shared" si="18"/>
        <v>-23968.712423967314</v>
      </c>
      <c r="L14" s="1378">
        <f>'[3]Oct midyear Madison Prep'!K13+'[3]Oct midyear DArbonne'!K13+'[3]Oct midyear Intl_VIBE '!K13+'[3]Oct midyear NOMMA'!K13+'[3]Oct midyear LFNO'!K13+'[3]Oct midyear Lake Charles Chtr'!K13+'[3]Oct midyear JS Clark Academy'!K13+'[3]Oct midyear Southwest LA Chtr'!K13+'[3]Oct midyear LA Virtual Admy'!K10+'[3]Oct midyear LA Connections'!K10</f>
        <v>2270.7201243758509</v>
      </c>
      <c r="M14" s="1378">
        <f>'[3]Feb midyear Madison Prep'!K13+'[3]Feb midyear DArbonne'!K13+'[3]Feb midyear Intl_VIBE '!K13+'[3]Feb midyear NOMMA'!K13+'[3]Feb midyear LFNO '!K13+'[3]Feb midyear Lake Charles Ch'!K13+'[3]Feb midyear JS Clark Academy'!K13+'[3]Feb midyear Southwest LA Ch '!K13+'[3]Feb midyear LA Virtual Admy'!K10+'[3]Feb midyear LA Connections'!K10</f>
        <v>-1135.3600621879255</v>
      </c>
      <c r="N14" s="1378">
        <f t="shared" si="19"/>
        <v>1135.3600621879255</v>
      </c>
      <c r="O14" s="356"/>
      <c r="P14" s="356">
        <f>-'Table 5C1A-Madison Prep'!L14</f>
        <v>0</v>
      </c>
      <c r="Q14" s="356">
        <f>-'Table 5C1B-DArbonne'!L14</f>
        <v>0</v>
      </c>
      <c r="R14" s="356">
        <f>-'Table 5C1C-Intl_VIBE'!L14</f>
        <v>0</v>
      </c>
      <c r="S14" s="356">
        <f>-'Table 5C1D-NOMMA'!L14</f>
        <v>0</v>
      </c>
      <c r="T14" s="356">
        <f>-'Table 5C1E-LFNO'!L14</f>
        <v>0</v>
      </c>
      <c r="U14" s="356">
        <f>-'Table 5C1F-Lake Charles Charter'!L14</f>
        <v>0</v>
      </c>
      <c r="V14" s="356">
        <f>-'Table 5C1G-JS Clark Academy'!L14</f>
        <v>0</v>
      </c>
      <c r="W14" s="356">
        <f>-'Table 5C1H-Southwest LA Charter'!L14</f>
        <v>0</v>
      </c>
      <c r="X14" s="314">
        <f>-('Table 5C2 - LA Virtual Admy'!M12+'Table 5C2 - LA Virtual Admy'!I12)</f>
        <v>-15768.889752610075</v>
      </c>
      <c r="Y14" s="314">
        <f>-('Table 5C3 - LA Connections EBR'!M12+'Table 5C3 - LA Connections EBR'!I12)</f>
        <v>-15642.738634589195</v>
      </c>
      <c r="Z14" s="314">
        <f t="shared" si="15"/>
        <v>-31411.628387199271</v>
      </c>
      <c r="AA14" s="539">
        <f t="shared" si="20"/>
        <v>5503057</v>
      </c>
      <c r="AB14" s="310">
        <f>('[4]Table 2_State Distrib and Adjs'!V13*6)+('[5]Table 2_State Distrib and Adjs'!AD13*2)</f>
        <v>3684682</v>
      </c>
      <c r="AC14" s="1531">
        <f t="shared" si="21"/>
        <v>1818375</v>
      </c>
      <c r="AD14" s="1531">
        <f t="shared" si="22"/>
        <v>454594</v>
      </c>
      <c r="AE14" s="310">
        <f>'Table 4A Stipends'!G10</f>
        <v>0</v>
      </c>
      <c r="AF14" s="310">
        <f t="shared" si="23"/>
        <v>5503057</v>
      </c>
      <c r="AG14" s="1117"/>
      <c r="AH14" s="1120">
        <f>(('2-1-13 SIS'!C13+'2-1-13 SIS'!R13)*'Table 3 Levels 1&amp;2'!AP14)+K14+F14+AE14</f>
        <v>5503056.7831175458</v>
      </c>
      <c r="AI14" s="1120">
        <f t="shared" si="24"/>
        <v>0.21688245423138142</v>
      </c>
    </row>
    <row r="15" spans="1:35">
      <c r="A15" s="99">
        <v>8</v>
      </c>
      <c r="B15" s="301" t="s">
        <v>99</v>
      </c>
      <c r="C15" s="310">
        <f>'Table 3 Levels 1&amp;2'!AO15</f>
        <v>106273515.37262344</v>
      </c>
      <c r="D15" s="356">
        <f>'[1]Adjusted Amounts'!C14</f>
        <v>0</v>
      </c>
      <c r="E15" s="356">
        <f>'[2]Adjusted Amounts'!H14</f>
        <v>278.403015368458</v>
      </c>
      <c r="F15" s="356">
        <f t="shared" si="16"/>
        <v>278.403015368458</v>
      </c>
      <c r="G15" s="310">
        <f t="shared" si="14"/>
        <v>278.403015368458</v>
      </c>
      <c r="H15" s="356">
        <f t="shared" si="17"/>
        <v>0</v>
      </c>
      <c r="I15" s="1378">
        <f>'[3]October midyear adj'!K13</f>
        <v>2191671.8366133291</v>
      </c>
      <c r="J15" s="1378">
        <f>'[3]February midyear adj '!K13</f>
        <v>-230702.29859087674</v>
      </c>
      <c r="K15" s="1378">
        <f t="shared" si="18"/>
        <v>1960969.5380224525</v>
      </c>
      <c r="L15" s="1378">
        <f>'[3]Oct midyear Madison Prep'!K14+'[3]Oct midyear DArbonne'!K14+'[3]Oct midyear Intl_VIBE '!K14+'[3]Oct midyear NOMMA'!K14+'[3]Oct midyear LFNO'!K14+'[3]Oct midyear Lake Charles Chtr'!K14+'[3]Oct midyear JS Clark Academy'!K14+'[3]Oct midyear Southwest LA Chtr'!K14+'[3]Oct midyear LA Virtual Admy'!K11+'[3]Oct midyear LA Connections'!K11</f>
        <v>153467.18123653973</v>
      </c>
      <c r="M15" s="1378">
        <f>'[3]Feb midyear Madison Prep'!K14+'[3]Feb midyear DArbonne'!K14+'[3]Feb midyear Intl_VIBE '!K14+'[3]Feb midyear NOMMA'!K14+'[3]Feb midyear LFNO '!K14+'[3]Feb midyear Lake Charles Ch'!K14+'[3]Feb midyear JS Clark Academy'!K14+'[3]Feb midyear Southwest LA Ch '!K14+'[3]Feb midyear LA Virtual Admy'!K11+'[3]Feb midyear LA Connections'!K11</f>
        <v>-15798.092186114385</v>
      </c>
      <c r="N15" s="1378">
        <f t="shared" si="19"/>
        <v>137669.08905042536</v>
      </c>
      <c r="O15" s="356"/>
      <c r="P15" s="356">
        <f>-'Table 5C1A-Madison Prep'!L15</f>
        <v>0</v>
      </c>
      <c r="Q15" s="356">
        <f>-'Table 5C1B-DArbonne'!L15</f>
        <v>0</v>
      </c>
      <c r="R15" s="356">
        <f>-'Table 5C1C-Intl_VIBE'!L15</f>
        <v>0</v>
      </c>
      <c r="S15" s="356">
        <f>-'Table 5C1D-NOMMA'!L15</f>
        <v>0</v>
      </c>
      <c r="T15" s="356">
        <f>-'Table 5C1E-LFNO'!L15</f>
        <v>0</v>
      </c>
      <c r="U15" s="356">
        <f>-'Table 5C1F-Lake Charles Charter'!L15</f>
        <v>0</v>
      </c>
      <c r="V15" s="356">
        <f>-'Table 5C1G-JS Clark Academy'!L15</f>
        <v>0</v>
      </c>
      <c r="W15" s="356">
        <f>-'Table 5C1H-Southwest LA Charter'!L15</f>
        <v>0</v>
      </c>
      <c r="X15" s="314">
        <f>-('Table 5C2 - LA Virtual Admy'!M13+'Table 5C2 - LA Virtual Admy'!I13)</f>
        <v>-335772.14979693911</v>
      </c>
      <c r="Y15" s="314">
        <f>-('Table 5C3 - LA Connections EBR'!M13+'Table 5C3 - LA Connections EBR'!I13)</f>
        <v>-203118.32810718491</v>
      </c>
      <c r="Z15" s="314">
        <f t="shared" si="15"/>
        <v>-538890.47790412395</v>
      </c>
      <c r="AA15" s="539">
        <f t="shared" si="20"/>
        <v>107833542</v>
      </c>
      <c r="AB15" s="310">
        <f>('[4]Table 2_State Distrib and Adjs'!V14*6)+('[5]Table 2_State Distrib and Adjs'!AD14*2)</f>
        <v>70581714</v>
      </c>
      <c r="AC15" s="1531">
        <f t="shared" si="21"/>
        <v>37251828</v>
      </c>
      <c r="AD15" s="1531">
        <f t="shared" si="22"/>
        <v>9312957</v>
      </c>
      <c r="AE15" s="310">
        <f>'Table 4A Stipends'!G11</f>
        <v>10000</v>
      </c>
      <c r="AF15" s="310">
        <f t="shared" si="23"/>
        <v>107843542</v>
      </c>
      <c r="AG15" s="1117"/>
      <c r="AH15" s="1120">
        <f>(('2-1-13 SIS'!C14+'2-1-13 SIS'!R14)*'Table 3 Levels 1&amp;2'!AP15)+K15+F15+AE15</f>
        <v>107843541.92480759</v>
      </c>
      <c r="AI15" s="1120">
        <f t="shared" si="24"/>
        <v>7.51924067735672E-2</v>
      </c>
    </row>
    <row r="16" spans="1:35">
      <c r="A16" s="99">
        <v>9</v>
      </c>
      <c r="B16" s="301" t="s">
        <v>100</v>
      </c>
      <c r="C16" s="310">
        <f>'Table 3 Levels 1&amp;2'!AO16</f>
        <v>210117986.96323681</v>
      </c>
      <c r="D16" s="356">
        <f>'[1]Adjusted Amounts'!C15</f>
        <v>-15389.013847659691</v>
      </c>
      <c r="E16" s="356">
        <f>'[2]Adjusted Amounts'!H15</f>
        <v>-271285.20897772937</v>
      </c>
      <c r="F16" s="356">
        <f t="shared" si="16"/>
        <v>-286674.22282538906</v>
      </c>
      <c r="G16" s="310">
        <f t="shared" si="14"/>
        <v>0</v>
      </c>
      <c r="H16" s="356">
        <f t="shared" si="17"/>
        <v>-286674.22282538906</v>
      </c>
      <c r="I16" s="1378">
        <f>'[3]October midyear adj'!K14</f>
        <v>-498616.41881382652</v>
      </c>
      <c r="J16" s="1378">
        <f>'[3]February midyear adj '!K14</f>
        <v>-447212.66429693718</v>
      </c>
      <c r="K16" s="1378">
        <f t="shared" si="18"/>
        <v>-945829.08311076369</v>
      </c>
      <c r="L16" s="2019">
        <f>'[3]Oct midyear Madison Prep'!K15+'[3]Oct midyear DArbonne'!K15+'[3]Oct midyear Intl_VIBE '!K15+'[3]Oct midyear NOMMA'!K15+'[3]Oct midyear LFNO'!K15+'[3]Oct midyear Lake Charles Chtr'!K15+'[3]Oct midyear JS Clark Academy'!K15+'[3]Oct midyear Southwest LA Chtr'!K15+'[3]Oct midyear LA Virtual Admy'!K12+'[3]Oct midyear LA Connections'!K12+'[3]October midyear adj'!$K$130+'[3]October midyear adj'!$K$204</f>
        <v>113088.25993715652</v>
      </c>
      <c r="M16" s="1378">
        <f>'[3]Feb midyear Madison Prep'!K15+'[3]Feb midyear DArbonne'!K15+'[3]Feb midyear Intl_VIBE '!K15+'[3]Feb midyear NOMMA'!K15+'[3]Feb midyear LFNO '!K15+'[3]Feb midyear Lake Charles Ch'!K15+'[3]Feb midyear JS Clark Academy'!K15+'[3]Feb midyear Southwest LA Ch '!K15+'[3]Feb midyear LA Virtual Admy'!K12+'[3]Feb midyear LA Connections'!K12+'[3]February midyear adj '!$K$130+'[3]February midyear adj '!$K$204</f>
        <v>-34440.515526315845</v>
      </c>
      <c r="N16" s="1378">
        <f t="shared" si="19"/>
        <v>78647.744410840678</v>
      </c>
      <c r="O16" s="356">
        <f>-'Table 5B2_RSD_LA'!L30</f>
        <v>-3390077.4895326002</v>
      </c>
      <c r="P16" s="356">
        <f>-'Table 5C1A-Madison Prep'!L16</f>
        <v>0</v>
      </c>
      <c r="Q16" s="356">
        <f>-'Table 5C1B-DArbonne'!L16</f>
        <v>0</v>
      </c>
      <c r="R16" s="356">
        <f>-'Table 5C1C-Intl_VIBE'!L16</f>
        <v>0</v>
      </c>
      <c r="S16" s="356">
        <f>-'Table 5C1D-NOMMA'!L16</f>
        <v>0</v>
      </c>
      <c r="T16" s="356">
        <f>-'Table 5C1E-LFNO'!L16</f>
        <v>0</v>
      </c>
      <c r="U16" s="356">
        <f>-'Table 5C1F-Lake Charles Charter'!L16</f>
        <v>0</v>
      </c>
      <c r="V16" s="356">
        <f>-'Table 5C1G-JS Clark Academy'!L16</f>
        <v>0</v>
      </c>
      <c r="W16" s="356">
        <f>-'Table 5C1H-Southwest LA Charter'!L16</f>
        <v>0</v>
      </c>
      <c r="X16" s="314">
        <f>-('Table 5C2 - LA Virtual Admy'!M14+'Table 5C2 - LA Virtual Admy'!I14)</f>
        <v>-484223.36754909751</v>
      </c>
      <c r="Y16" s="314">
        <f>-('Table 5C3 - LA Connections EBR'!M14+'Table 5C3 - LA Connections EBR'!I14)</f>
        <v>-352629.75598586083</v>
      </c>
      <c r="Z16" s="314">
        <f t="shared" si="15"/>
        <v>-4226930.613067559</v>
      </c>
      <c r="AA16" s="542">
        <f t="shared" si="20"/>
        <v>204737201</v>
      </c>
      <c r="AB16" s="310">
        <f>('[4]Table 2_State Distrib and Adjs'!V15*6)+('[5]Table 2_State Distrib and Adjs'!AD15*2)</f>
        <v>137122022</v>
      </c>
      <c r="AC16" s="1531">
        <f t="shared" si="21"/>
        <v>67615179</v>
      </c>
      <c r="AD16" s="1531">
        <f t="shared" si="22"/>
        <v>16903795</v>
      </c>
      <c r="AE16" s="310">
        <f>'Table 4A Stipends'!G12</f>
        <v>38000</v>
      </c>
      <c r="AF16" s="356">
        <f t="shared" si="23"/>
        <v>204775201</v>
      </c>
      <c r="AG16" s="1118"/>
      <c r="AH16" s="1120">
        <f>(('2-1-13 SIS'!C15+'2-1-13 SIS'!R15)*'Table 3 Levels 1&amp;2'!AP16)+K16+F16+AE16</f>
        <v>204775200.66778773</v>
      </c>
      <c r="AI16" s="1121">
        <f t="shared" si="24"/>
        <v>0.33221226930618286</v>
      </c>
    </row>
    <row r="17" spans="1:35">
      <c r="A17" s="100">
        <v>10</v>
      </c>
      <c r="B17" s="302" t="s">
        <v>101</v>
      </c>
      <c r="C17" s="318">
        <f>'Table 3 Levels 1&amp;2'!AO17</f>
        <v>155796053.3316232</v>
      </c>
      <c r="D17" s="357">
        <f>'[1]Adjusted Amounts'!C16</f>
        <v>-41821.566594872507</v>
      </c>
      <c r="E17" s="357">
        <f>'[2]Adjusted Amounts'!H16</f>
        <v>-69465.223290625945</v>
      </c>
      <c r="F17" s="357">
        <f t="shared" si="16"/>
        <v>-111286.78988549845</v>
      </c>
      <c r="G17" s="318">
        <f t="shared" si="14"/>
        <v>0</v>
      </c>
      <c r="H17" s="357">
        <f t="shared" si="17"/>
        <v>-111286.78988549845</v>
      </c>
      <c r="I17" s="357">
        <f>'[3]October midyear adj'!K15</f>
        <v>583396.56742790935</v>
      </c>
      <c r="J17" s="357">
        <f>'[3]February midyear adj '!K15</f>
        <v>-199327.16053786903</v>
      </c>
      <c r="K17" s="357">
        <f t="shared" si="18"/>
        <v>384069.40689004032</v>
      </c>
      <c r="L17" s="357">
        <f>'[3]Oct midyear Madison Prep'!K16+'[3]Oct midyear DArbonne'!K16+'[3]Oct midyear Intl_VIBE '!K16+'[3]Oct midyear NOMMA'!K16+'[3]Oct midyear LFNO'!K16+'[3]Oct midyear Lake Charles Chtr'!K16+'[3]Oct midyear JS Clark Academy'!K16+'[3]Oct midyear Southwest LA Chtr'!K16+'[3]Oct midyear LA Virtual Admy'!K13+'[3]Oct midyear LA Connections'!K13</f>
        <v>1362230.9849441682</v>
      </c>
      <c r="M17" s="357">
        <f>'[3]Feb midyear Madison Prep'!K16+'[3]Feb midyear DArbonne'!K16+'[3]Feb midyear Intl_VIBE '!K16+'[3]Feb midyear NOMMA'!K16+'[3]Feb midyear LFNO '!K16+'[3]Feb midyear Lake Charles Ch'!K16+'[3]Feb midyear JS Clark Academy'!K16+'[3]Feb midyear Southwest LA Ch '!K16+'[3]Feb midyear LA Virtual Admy'!K13+'[3]Feb midyear LA Connections'!K13</f>
        <v>-21148.125569261712</v>
      </c>
      <c r="N17" s="357">
        <f t="shared" si="19"/>
        <v>1341082.8593749066</v>
      </c>
      <c r="O17" s="357"/>
      <c r="P17" s="58">
        <f>-'Table 5C1A-Madison Prep'!L17</f>
        <v>0</v>
      </c>
      <c r="Q17" s="58">
        <f>-'Table 5C1B-DArbonne'!L17</f>
        <v>0</v>
      </c>
      <c r="R17" s="357">
        <f>-'Table 5C1C-Intl_VIBE'!L17</f>
        <v>0</v>
      </c>
      <c r="S17" s="357">
        <f>-'Table 5C1D-NOMMA'!L17</f>
        <v>0</v>
      </c>
      <c r="T17" s="357">
        <f>-'Table 5C1E-LFNO'!L17</f>
        <v>0</v>
      </c>
      <c r="U17" s="357">
        <f>-'Table 5C1F-Lake Charles Charter'!L17</f>
        <v>-4222332.656759494</v>
      </c>
      <c r="V17" s="357">
        <f>-'Table 5C1G-JS Clark Academy'!L17</f>
        <v>0</v>
      </c>
      <c r="W17" s="357">
        <f>-'Table 5C1H-Southwest LA Charter'!L17</f>
        <v>-3281605.6917819898</v>
      </c>
      <c r="X17" s="320">
        <f>-('Table 5C2 - LA Virtual Admy'!M15+'Table 5C2 - LA Virtual Admy'!I15)</f>
        <v>-360247.38038673403</v>
      </c>
      <c r="Y17" s="320">
        <f>-('Table 5C3 - LA Connections EBR'!M15+'Table 5C3 - LA Connections EBR'!I15)</f>
        <v>-224850.76036284005</v>
      </c>
      <c r="Z17" s="320">
        <f t="shared" si="15"/>
        <v>-8089036.4892910579</v>
      </c>
      <c r="AA17" s="540">
        <f t="shared" si="20"/>
        <v>149320882</v>
      </c>
      <c r="AB17" s="318">
        <f>('[4]Table 2_State Distrib and Adjs'!V16*6)+('[5]Table 2_State Distrib and Adjs'!AD16*2)</f>
        <v>99291208</v>
      </c>
      <c r="AC17" s="318">
        <f t="shared" si="21"/>
        <v>50029674</v>
      </c>
      <c r="AD17" s="318">
        <f t="shared" si="22"/>
        <v>12507419</v>
      </c>
      <c r="AE17" s="318">
        <f>'Table 4A Stipends'!G13</f>
        <v>128000</v>
      </c>
      <c r="AF17" s="318">
        <f t="shared" si="23"/>
        <v>149448882</v>
      </c>
      <c r="AG17" s="1117"/>
      <c r="AH17" s="1120">
        <f>(('2-1-13 SIS'!C16+'2-1-13 SIS'!R16)*'Table 3 Levels 1&amp;2'!AP17)+K17+F17+AE17</f>
        <v>149448882.31871158</v>
      </c>
      <c r="AI17" s="1125">
        <f t="shared" si="24"/>
        <v>-0.31871157884597778</v>
      </c>
    </row>
    <row r="18" spans="1:35">
      <c r="A18" s="99">
        <v>11</v>
      </c>
      <c r="B18" s="301" t="s">
        <v>102</v>
      </c>
      <c r="C18" s="310">
        <f>'Table 3 Levels 1&amp;2'!AO18</f>
        <v>11732287.88517152</v>
      </c>
      <c r="D18" s="356">
        <f>'[1]Adjusted Amounts'!C17</f>
        <v>0</v>
      </c>
      <c r="E18" s="356">
        <f>'[2]Adjusted Amounts'!H17</f>
        <v>0</v>
      </c>
      <c r="F18" s="356">
        <f t="shared" si="16"/>
        <v>0</v>
      </c>
      <c r="G18" s="310">
        <f t="shared" si="14"/>
        <v>0</v>
      </c>
      <c r="H18" s="356">
        <f t="shared" si="17"/>
        <v>0</v>
      </c>
      <c r="I18" s="1378">
        <f>'[3]October midyear adj'!K16</f>
        <v>211664.9876190738</v>
      </c>
      <c r="J18" s="1378">
        <f>'[3]February midyear adj '!K16</f>
        <v>-26458.123452384225</v>
      </c>
      <c r="K18" s="1378">
        <f t="shared" si="18"/>
        <v>185206.86416668957</v>
      </c>
      <c r="L18" s="1378">
        <f>'[3]Oct midyear Madison Prep'!K17+'[3]Oct midyear DArbonne'!K17+'[3]Oct midyear Intl_VIBE '!K17+'[3]Oct midyear NOMMA'!K17+'[3]Oct midyear LFNO'!K17+'[3]Oct midyear Lake Charles Chtr'!K17+'[3]Oct midyear JS Clark Academy'!K17+'[3]Oct midyear Southwest LA Chtr'!K17+'[3]Oct midyear LA Virtual Admy'!K14+'[3]Oct midyear LA Connections'!K14</f>
        <v>-40821.104755107088</v>
      </c>
      <c r="M18" s="1378">
        <f>'[3]Feb midyear Madison Prep'!K17+'[3]Feb midyear DArbonne'!K17+'[3]Feb midyear Intl_VIBE '!K17+'[3]Feb midyear NOMMA'!K17+'[3]Feb midyear LFNO '!K17+'[3]Feb midyear Lake Charles Ch'!K17+'[3]Feb midyear JS Clark Academy'!K17+'[3]Feb midyear Southwest LA Ch '!K17+'[3]Feb midyear LA Virtual Admy'!K14+'[3]Feb midyear LA Connections'!K14</f>
        <v>6803.5174591845152</v>
      </c>
      <c r="N18" s="1378">
        <f t="shared" si="19"/>
        <v>-34017.587295922574</v>
      </c>
      <c r="O18" s="356"/>
      <c r="P18" s="356">
        <f>-'Table 5C1A-Madison Prep'!L18</f>
        <v>0</v>
      </c>
      <c r="Q18" s="356">
        <f>-'Table 5C1B-DArbonne'!L18</f>
        <v>0</v>
      </c>
      <c r="R18" s="356">
        <f>-'Table 5C1C-Intl_VIBE'!L18</f>
        <v>0</v>
      </c>
      <c r="S18" s="356">
        <f>-'Table 5C1D-NOMMA'!L18</f>
        <v>0</v>
      </c>
      <c r="T18" s="356">
        <f>-'Table 5C1E-LFNO'!L18</f>
        <v>0</v>
      </c>
      <c r="U18" s="356">
        <f>-'Table 5C1F-Lake Charles Charter'!L18</f>
        <v>0</v>
      </c>
      <c r="V18" s="356">
        <f>-'Table 5C1G-JS Clark Academy'!L18</f>
        <v>0</v>
      </c>
      <c r="W18" s="356">
        <f>-'Table 5C1H-Southwest LA Charter'!L18</f>
        <v>0</v>
      </c>
      <c r="X18" s="314">
        <f>-('Table 5C2 - LA Virtual Admy'!M16+'Table 5C2 - LA Virtual Admy'!I16)</f>
        <v>-25702.177068030389</v>
      </c>
      <c r="Y18" s="314">
        <f>-('Table 5C3 - LA Connections EBR'!M16+'Table 5C3 - LA Connections EBR'!I16)</f>
        <v>-8315.4102278921837</v>
      </c>
      <c r="Z18" s="314">
        <f t="shared" si="15"/>
        <v>-34017.587295922574</v>
      </c>
      <c r="AA18" s="539">
        <f t="shared" si="20"/>
        <v>11849460</v>
      </c>
      <c r="AB18" s="310">
        <f>('[4]Table 2_State Distrib and Adjs'!V17*6)+('[5]Table 2_State Distrib and Adjs'!AD17*2)</f>
        <v>7776168</v>
      </c>
      <c r="AC18" s="1531">
        <f t="shared" si="21"/>
        <v>4073292</v>
      </c>
      <c r="AD18" s="1531">
        <f t="shared" si="22"/>
        <v>1018323</v>
      </c>
      <c r="AE18" s="310">
        <f>'Table 4A Stipends'!G14</f>
        <v>0</v>
      </c>
      <c r="AF18" s="310">
        <f t="shared" si="23"/>
        <v>11849460</v>
      </c>
      <c r="AG18" s="1117"/>
      <c r="AH18" s="1120">
        <f>(('2-1-13 SIS'!C17+'2-1-13 SIS'!R17)*'Table 3 Levels 1&amp;2'!AP18)+K18+F18+AE18</f>
        <v>11849459.574746365</v>
      </c>
      <c r="AI18" s="1120">
        <f t="shared" si="24"/>
        <v>0.42525363527238369</v>
      </c>
    </row>
    <row r="19" spans="1:35">
      <c r="A19" s="99">
        <v>12</v>
      </c>
      <c r="B19" s="301" t="s">
        <v>103</v>
      </c>
      <c r="C19" s="310">
        <f>'Table 3 Levels 1&amp;2'!AO19</f>
        <v>3393022.5300000003</v>
      </c>
      <c r="D19" s="356">
        <f>'[1]Adjusted Amounts'!C18</f>
        <v>0</v>
      </c>
      <c r="E19" s="356">
        <f>'[2]Adjusted Amounts'!H18</f>
        <v>0</v>
      </c>
      <c r="F19" s="356">
        <f t="shared" si="16"/>
        <v>0</v>
      </c>
      <c r="G19" s="310">
        <f t="shared" si="14"/>
        <v>0</v>
      </c>
      <c r="H19" s="356">
        <f t="shared" si="17"/>
        <v>0</v>
      </c>
      <c r="I19" s="1378">
        <f>'[3]October midyear adj'!K17</f>
        <v>64335.958936521027</v>
      </c>
      <c r="J19" s="1378">
        <f>'[3]February midyear adj '!K17</f>
        <v>-25174.94045342127</v>
      </c>
      <c r="K19" s="1378">
        <f t="shared" si="18"/>
        <v>39161.01848309976</v>
      </c>
      <c r="L19" s="1378">
        <f>'[3]Oct midyear Madison Prep'!K18+'[3]Oct midyear DArbonne'!K18+'[3]Oct midyear Intl_VIBE '!K18+'[3]Oct midyear NOMMA'!K18+'[3]Oct midyear LFNO'!K18+'[3]Oct midyear Lake Charles Chtr'!K18+'[3]Oct midyear JS Clark Academy'!K18+'[3]Oct midyear Southwest LA Chtr'!K18+'[3]Oct midyear LA Virtual Admy'!K15+'[3]Oct midyear LA Connections'!K15</f>
        <v>2517.4940453421268</v>
      </c>
      <c r="M19" s="1378">
        <f>'[3]Feb midyear Madison Prep'!K18+'[3]Feb midyear DArbonne'!K18+'[3]Feb midyear Intl_VIBE '!K18+'[3]Feb midyear NOMMA'!K18+'[3]Feb midyear LFNO '!K18+'[3]Feb midyear Lake Charles Ch'!K18+'[3]Feb midyear JS Clark Academy'!K18+'[3]Feb midyear Southwest LA Ch '!K18+'[3]Feb midyear LA Virtual Admy'!K15+'[3]Feb midyear LA Connections'!K15</f>
        <v>1258.7470226710634</v>
      </c>
      <c r="N19" s="1378">
        <f t="shared" si="19"/>
        <v>3776.2410680131902</v>
      </c>
      <c r="O19" s="356"/>
      <c r="P19" s="356">
        <f>-'Table 5C1A-Madison Prep'!L19</f>
        <v>0</v>
      </c>
      <c r="Q19" s="356">
        <f>-'Table 5C1B-DArbonne'!L19</f>
        <v>0</v>
      </c>
      <c r="R19" s="356">
        <f>-'Table 5C1C-Intl_VIBE'!L19</f>
        <v>0</v>
      </c>
      <c r="S19" s="356">
        <f>-'Table 5C1D-NOMMA'!L19</f>
        <v>0</v>
      </c>
      <c r="T19" s="356">
        <f>-'Table 5C1E-LFNO'!L19</f>
        <v>0</v>
      </c>
      <c r="U19" s="356">
        <f>-'Table 5C1F-Lake Charles Charter'!L19</f>
        <v>0</v>
      </c>
      <c r="V19" s="356">
        <f>-'Table 5C1G-JS Clark Academy'!L19</f>
        <v>0</v>
      </c>
      <c r="W19" s="356">
        <f>-'Table 5C1H-Southwest LA Charter'!L19</f>
        <v>0</v>
      </c>
      <c r="X19" s="314">
        <f>-('Table 5C2 - LA Virtual Admy'!M17+'Table 5C2 - LA Virtual Admy'!I17)</f>
        <v>-3776.2410680131902</v>
      </c>
      <c r="Y19" s="314">
        <f>-('Table 5C3 - LA Connections EBR'!M17+'Table 5C3 - LA Connections EBR'!I17)</f>
        <v>-2797.2156059356967</v>
      </c>
      <c r="Z19" s="314">
        <f t="shared" si="15"/>
        <v>-6573.4566739488873</v>
      </c>
      <c r="AA19" s="539">
        <f t="shared" si="20"/>
        <v>3429386</v>
      </c>
      <c r="AB19" s="310">
        <f>('[4]Table 2_State Distrib and Adjs'!V18*6)+('[5]Table 2_State Distrib and Adjs'!AD18*2)</f>
        <v>2260152</v>
      </c>
      <c r="AC19" s="1531">
        <f t="shared" si="21"/>
        <v>1169234</v>
      </c>
      <c r="AD19" s="1531">
        <f t="shared" si="22"/>
        <v>292309</v>
      </c>
      <c r="AE19" s="310">
        <f>'Table 4A Stipends'!G15</f>
        <v>0</v>
      </c>
      <c r="AF19" s="310">
        <f t="shared" si="23"/>
        <v>3429386</v>
      </c>
      <c r="AG19" s="1117"/>
      <c r="AH19" s="1120">
        <f>(('2-1-13 SIS'!C18+'2-1-13 SIS'!R18)*'Table 3 Levels 1&amp;2'!AP19)+K19+F19+AE19</f>
        <v>3429386.3328771638</v>
      </c>
      <c r="AI19" s="1125">
        <f t="shared" si="24"/>
        <v>-0.33287716377526522</v>
      </c>
    </row>
    <row r="20" spans="1:35">
      <c r="A20" s="99">
        <v>13</v>
      </c>
      <c r="B20" s="301" t="s">
        <v>104</v>
      </c>
      <c r="C20" s="310">
        <f>'Table 3 Levels 1&amp;2'!AO20</f>
        <v>10617387.657480001</v>
      </c>
      <c r="D20" s="356">
        <f>'[1]Adjusted Amounts'!C19</f>
        <v>3362.7373720844844</v>
      </c>
      <c r="E20" s="356">
        <f>'[2]Adjusted Amounts'!H19</f>
        <v>-2080.2769246181197</v>
      </c>
      <c r="F20" s="356">
        <f t="shared" si="16"/>
        <v>1282.4604474663647</v>
      </c>
      <c r="G20" s="310">
        <f t="shared" si="14"/>
        <v>1282.4604474663647</v>
      </c>
      <c r="H20" s="356">
        <f t="shared" si="17"/>
        <v>0</v>
      </c>
      <c r="I20" s="1378">
        <f>'[3]October midyear adj'!K18</f>
        <v>-420213.23182638525</v>
      </c>
      <c r="J20" s="1378">
        <f>'[3]February midyear adj '!K18</f>
        <v>-45523.10011452507</v>
      </c>
      <c r="K20" s="1378">
        <f t="shared" si="18"/>
        <v>-465736.33194091031</v>
      </c>
      <c r="L20" s="1378">
        <f>'[3]Oct midyear Madison Prep'!K19+'[3]Oct midyear DArbonne'!K19+'[3]Oct midyear Intl_VIBE '!K19+'[3]Oct midyear NOMMA'!K19+'[3]Oct midyear LFNO'!K19+'[3]Oct midyear Lake Charles Chtr'!K19+'[3]Oct midyear JS Clark Academy'!K19+'[3]Oct midyear Southwest LA Chtr'!K19+'[3]Oct midyear LA Virtual Admy'!K16+'[3]Oct midyear LA Connections'!K16</f>
        <v>12606.396954791562</v>
      </c>
      <c r="M20" s="1378">
        <f>'[3]Feb midyear Madison Prep'!K19+'[3]Feb midyear DArbonne'!K19+'[3]Feb midyear Intl_VIBE '!K19+'[3]Feb midyear NOMMA'!K19+'[3]Feb midyear LFNO '!K19+'[3]Feb midyear Lake Charles Ch'!K19+'[3]Feb midyear JS Clark Academy'!K19+'[3]Feb midyear Southwest LA Ch '!K19+'[3]Feb midyear LA Virtual Admy'!K16+'[3]Feb midyear LA Connections'!K16</f>
        <v>3151.5992386978896</v>
      </c>
      <c r="N20" s="1378">
        <f t="shared" si="19"/>
        <v>15757.996193489453</v>
      </c>
      <c r="O20" s="356"/>
      <c r="P20" s="356">
        <f>-'Table 5C1A-Madison Prep'!L20</f>
        <v>0</v>
      </c>
      <c r="Q20" s="356">
        <f>-'Table 5C1B-DArbonne'!L20</f>
        <v>0</v>
      </c>
      <c r="R20" s="356">
        <f>-'Table 5C1C-Intl_VIBE'!L20</f>
        <v>0</v>
      </c>
      <c r="S20" s="356">
        <f>-'Table 5C1D-NOMMA'!L20</f>
        <v>0</v>
      </c>
      <c r="T20" s="356">
        <f>-'Table 5C1E-LFNO'!L20</f>
        <v>0</v>
      </c>
      <c r="U20" s="356">
        <f>-'Table 5C1F-Lake Charles Charter'!L20</f>
        <v>0</v>
      </c>
      <c r="V20" s="356">
        <f>-'Table 5C1G-JS Clark Academy'!L20</f>
        <v>0</v>
      </c>
      <c r="W20" s="356">
        <f>-'Table 5C1H-Southwest LA Charter'!L20</f>
        <v>0</v>
      </c>
      <c r="X20" s="314">
        <f>-('Table 5C2 - LA Virtual Admy'!M18+'Table 5C2 - LA Virtual Admy'!I18)</f>
        <v>-51125.943205543546</v>
      </c>
      <c r="Y20" s="314">
        <f>-('Table 5C3 - LA Connections EBR'!M18+'Table 5C3 - LA Connections EBR'!I18)</f>
        <v>-55678.253216996047</v>
      </c>
      <c r="Z20" s="314">
        <f t="shared" si="15"/>
        <v>-106804.19642253959</v>
      </c>
      <c r="AA20" s="539">
        <f t="shared" si="20"/>
        <v>10061888</v>
      </c>
      <c r="AB20" s="310">
        <f>('[4]Table 2_State Distrib and Adjs'!V19*6)+('[5]Table 2_State Distrib and Adjs'!AD19*2)</f>
        <v>7018416</v>
      </c>
      <c r="AC20" s="1531">
        <f t="shared" si="21"/>
        <v>3043472</v>
      </c>
      <c r="AD20" s="1531">
        <f t="shared" si="22"/>
        <v>760868</v>
      </c>
      <c r="AE20" s="310">
        <f>'Table 4A Stipends'!G16</f>
        <v>0</v>
      </c>
      <c r="AF20" s="310">
        <f t="shared" si="23"/>
        <v>10061888</v>
      </c>
      <c r="AG20" s="1117"/>
      <c r="AH20" s="1120">
        <f>(('2-1-13 SIS'!C19+'2-1-13 SIS'!R19)*'Table 3 Levels 1&amp;2'!AP20)+K20+F20+AE20</f>
        <v>10061887.585757507</v>
      </c>
      <c r="AI20" s="1125">
        <f t="shared" si="24"/>
        <v>0.41424249298870564</v>
      </c>
    </row>
    <row r="21" spans="1:35">
      <c r="A21" s="99">
        <v>14</v>
      </c>
      <c r="B21" s="301" t="s">
        <v>105</v>
      </c>
      <c r="C21" s="310">
        <f>'Table 3 Levels 1&amp;2'!AO21</f>
        <v>11571370.651008001</v>
      </c>
      <c r="D21" s="356">
        <f>'[1]Adjusted Amounts'!C20</f>
        <v>-3279.4790639259299</v>
      </c>
      <c r="E21" s="356">
        <f>'[2]Adjusted Amounts'!H20</f>
        <v>1294.3388056557724</v>
      </c>
      <c r="F21" s="356">
        <f t="shared" si="16"/>
        <v>-1985.1402582701576</v>
      </c>
      <c r="G21" s="310">
        <f t="shared" si="14"/>
        <v>0</v>
      </c>
      <c r="H21" s="356">
        <f t="shared" si="17"/>
        <v>-1985.1402582701576</v>
      </c>
      <c r="I21" s="1378">
        <f>'[3]October midyear adj'!K19</f>
        <v>-1181888.6600762182</v>
      </c>
      <c r="J21" s="1378">
        <f>'[3]February midyear adj '!K19</f>
        <v>-12375.797487709091</v>
      </c>
      <c r="K21" s="1378">
        <f t="shared" si="18"/>
        <v>-1194264.4575639274</v>
      </c>
      <c r="L21" s="1378">
        <f>'[3]Oct midyear Madison Prep'!K20+'[3]Oct midyear DArbonne'!K20+'[3]Oct midyear Intl_VIBE '!K20+'[3]Oct midyear NOMMA'!K20+'[3]Oct midyear LFNO'!K20+'[3]Oct midyear Lake Charles Chtr'!K20+'[3]Oct midyear JS Clark Academy'!K20+'[3]Oct midyear Southwest LA Chtr'!K20+'[3]Oct midyear LA Virtual Admy'!K17+'[3]Oct midyear LA Connections'!K17</f>
        <v>11138.217738938183</v>
      </c>
      <c r="M21" s="1378">
        <f>'[3]Feb midyear Madison Prep'!K20+'[3]Feb midyear DArbonne'!K20+'[3]Feb midyear Intl_VIBE '!K20+'[3]Feb midyear NOMMA'!K20+'[3]Feb midyear LFNO '!K20+'[3]Feb midyear Lake Charles Ch'!K20+'[3]Feb midyear JS Clark Academy'!K20+'[3]Feb midyear Southwest LA Ch '!K20+'[3]Feb midyear LA Virtual Admy'!K17+'[3]Feb midyear LA Connections'!K17</f>
        <v>8353.6633042036374</v>
      </c>
      <c r="N21" s="1378">
        <f t="shared" si="19"/>
        <v>19491.881043141821</v>
      </c>
      <c r="O21" s="356"/>
      <c r="P21" s="356">
        <f>-'Table 5C1A-Madison Prep'!L21</f>
        <v>0</v>
      </c>
      <c r="Q21" s="356">
        <f>-'Table 5C1B-DArbonne'!L21</f>
        <v>-12375.797487709091</v>
      </c>
      <c r="R21" s="356">
        <f>-'Table 5C1C-Intl_VIBE'!L21</f>
        <v>0</v>
      </c>
      <c r="S21" s="356">
        <f>-'Table 5C1D-NOMMA'!L21</f>
        <v>0</v>
      </c>
      <c r="T21" s="356">
        <f>-'Table 5C1E-LFNO'!L21</f>
        <v>0</v>
      </c>
      <c r="U21" s="356">
        <f>-'Table 5C1F-Lake Charles Charter'!L21</f>
        <v>0</v>
      </c>
      <c r="V21" s="356">
        <f>-'Table 5C1G-JS Clark Academy'!L21</f>
        <v>0</v>
      </c>
      <c r="W21" s="356">
        <f>-'Table 5C1H-Southwest LA Charter'!L21</f>
        <v>0</v>
      </c>
      <c r="X21" s="314">
        <f>-('Table 5C2 - LA Virtual Admy'!M19+'Table 5C2 - LA Virtual Admy'!I19)</f>
        <v>-3403.3443091200002</v>
      </c>
      <c r="Y21" s="314">
        <f>-('Table 5C3 - LA Connections EBR'!M19+'Table 5C3 - LA Connections EBR'!I19)</f>
        <v>-90343.321660276357</v>
      </c>
      <c r="Z21" s="314">
        <f t="shared" si="15"/>
        <v>-106122.46345710545</v>
      </c>
      <c r="AA21" s="539">
        <f t="shared" si="20"/>
        <v>10288490</v>
      </c>
      <c r="AB21" s="310">
        <f>('[4]Table 2_State Distrib and Adjs'!V20*6)+('[5]Table 2_State Distrib and Adjs'!AD20*2)</f>
        <v>7655170</v>
      </c>
      <c r="AC21" s="1531">
        <f t="shared" si="21"/>
        <v>2633320</v>
      </c>
      <c r="AD21" s="1531">
        <f t="shared" si="22"/>
        <v>658330</v>
      </c>
      <c r="AE21" s="310">
        <f>'Table 4A Stipends'!G17</f>
        <v>0</v>
      </c>
      <c r="AF21" s="310">
        <f t="shared" si="23"/>
        <v>10288490</v>
      </c>
      <c r="AG21" s="1117"/>
      <c r="AH21" s="1120">
        <f>(('2-1-13 SIS'!C20+'2-1-13 SIS'!R20)*'Table 3 Levels 1&amp;2'!AP21)+K21+F21+AE21</f>
        <v>10288490.47077184</v>
      </c>
      <c r="AI21" s="1120">
        <f t="shared" si="24"/>
        <v>-0.47077183984220028</v>
      </c>
    </row>
    <row r="22" spans="1:35">
      <c r="A22" s="100">
        <v>15</v>
      </c>
      <c r="B22" s="302" t="s">
        <v>106</v>
      </c>
      <c r="C22" s="318">
        <f>'Table 3 Levels 1&amp;2'!AO22</f>
        <v>22057836.689375997</v>
      </c>
      <c r="D22" s="357">
        <f>'[1]Adjusted Amounts'!C21</f>
        <v>0</v>
      </c>
      <c r="E22" s="357">
        <f>'[2]Adjusted Amounts'!H21</f>
        <v>0</v>
      </c>
      <c r="F22" s="357">
        <f t="shared" si="16"/>
        <v>0</v>
      </c>
      <c r="G22" s="318">
        <f t="shared" si="14"/>
        <v>0</v>
      </c>
      <c r="H22" s="357">
        <f t="shared" si="17"/>
        <v>0</v>
      </c>
      <c r="I22" s="357">
        <f>'[3]October midyear adj'!K20</f>
        <v>-1240639.2844314044</v>
      </c>
      <c r="J22" s="357">
        <f>'[3]February midyear adj '!K20</f>
        <v>-127712.86751499752</v>
      </c>
      <c r="K22" s="357">
        <f t="shared" si="18"/>
        <v>-1368352.1519464019</v>
      </c>
      <c r="L22" s="357">
        <f>'[3]Oct midyear Madison Prep'!K21+'[3]Oct midyear DArbonne'!K21+'[3]Oct midyear Intl_VIBE '!K21+'[3]Oct midyear NOMMA'!K21+'[3]Oct midyear LFNO'!K21+'[3]Oct midyear Lake Charles Chtr'!K21+'[3]Oct midyear JS Clark Academy'!K21+'[3]Oct midyear Southwest LA Chtr'!K21+'[3]Oct midyear LA Virtual Admy'!K18+'[3]Oct midyear LA Connections'!K18</f>
        <v>114941.58076349775</v>
      </c>
      <c r="M22" s="357">
        <f>'[3]Feb midyear Madison Prep'!K21+'[3]Feb midyear DArbonne'!K21+'[3]Feb midyear Intl_VIBE '!K21+'[3]Feb midyear NOMMA'!K21+'[3]Feb midyear LFNO '!K21+'[3]Feb midyear Lake Charles Ch'!K21+'[3]Feb midyear JS Clark Academy'!K21+'[3]Feb midyear Southwest LA Ch '!K21+'[3]Feb midyear LA Virtual Admy'!K18+'[3]Feb midyear LA Connections'!K18</f>
        <v>-2736.7043038928036</v>
      </c>
      <c r="N22" s="357">
        <f t="shared" si="19"/>
        <v>112204.87645960494</v>
      </c>
      <c r="O22" s="357"/>
      <c r="P22" s="357">
        <f>-'Table 5C1A-Madison Prep'!L22</f>
        <v>0</v>
      </c>
      <c r="Q22" s="357">
        <f>-'Table 5C1B-DArbonne'!L22</f>
        <v>0</v>
      </c>
      <c r="R22" s="357">
        <f>-'Table 5C1C-Intl_VIBE'!L22</f>
        <v>0</v>
      </c>
      <c r="S22" s="357">
        <f>-'Table 5C1D-NOMMA'!L22</f>
        <v>0</v>
      </c>
      <c r="T22" s="357">
        <f>-'Table 5C1E-LFNO'!L22</f>
        <v>0</v>
      </c>
      <c r="U22" s="357">
        <f>-'Table 5C1F-Lake Charles Charter'!L22</f>
        <v>0</v>
      </c>
      <c r="V22" s="357">
        <f>-'Table 5C1G-JS Clark Academy'!L22</f>
        <v>0</v>
      </c>
      <c r="W22" s="357">
        <f>-'Table 5C1H-Southwest LA Charter'!L22</f>
        <v>0</v>
      </c>
      <c r="X22" s="320">
        <f>-('Table 5C2 - LA Virtual Admy'!M20+'Table 5C2 - LA Virtual Admy'!I20)</f>
        <v>-128321.0240269737</v>
      </c>
      <c r="Y22" s="320">
        <f>-('Table 5C3 - LA Connections EBR'!M20+'Table 5C3 - LA Connections EBR'!I20)</f>
        <v>-26454.808270963767</v>
      </c>
      <c r="Z22" s="320">
        <f t="shared" si="15"/>
        <v>-154775.83229793748</v>
      </c>
      <c r="AA22" s="540">
        <f t="shared" si="20"/>
        <v>20646914</v>
      </c>
      <c r="AB22" s="318">
        <f>('[4]Table 2_State Distrib and Adjs'!V21*6)+('[5]Table 2_State Distrib and Adjs'!AD21*2)</f>
        <v>14676846</v>
      </c>
      <c r="AC22" s="318">
        <f t="shared" si="21"/>
        <v>5970068</v>
      </c>
      <c r="AD22" s="318">
        <f t="shared" si="22"/>
        <v>1492517</v>
      </c>
      <c r="AE22" s="318">
        <f>'Table 4A Stipends'!G18</f>
        <v>12000</v>
      </c>
      <c r="AF22" s="318">
        <f t="shared" si="23"/>
        <v>20658914</v>
      </c>
      <c r="AG22" s="1117"/>
      <c r="AH22" s="1120">
        <f>(('2-1-13 SIS'!C21+'2-1-13 SIS'!R21)*'Table 3 Levels 1&amp;2'!AP22)+K22+F22+AE22</f>
        <v>20658913.58159126</v>
      </c>
      <c r="AI22" s="1120">
        <f t="shared" si="24"/>
        <v>0.41840874031186104</v>
      </c>
    </row>
    <row r="23" spans="1:35">
      <c r="A23" s="99">
        <v>16</v>
      </c>
      <c r="B23" s="301" t="s">
        <v>107</v>
      </c>
      <c r="C23" s="310">
        <f>'Table 3 Levels 1&amp;2'!AO23</f>
        <v>10983502.92</v>
      </c>
      <c r="D23" s="356">
        <f>'[1]Adjusted Amounts'!C22</f>
        <v>3299.8885375240538</v>
      </c>
      <c r="E23" s="356">
        <f>'[2]Adjusted Amounts'!H22</f>
        <v>0</v>
      </c>
      <c r="F23" s="356">
        <f t="shared" si="16"/>
        <v>3299.8885375240538</v>
      </c>
      <c r="G23" s="310">
        <f t="shared" si="14"/>
        <v>3299.8885375240538</v>
      </c>
      <c r="H23" s="356">
        <f t="shared" si="17"/>
        <v>0</v>
      </c>
      <c r="I23" s="1378">
        <f>'[3]October midyear adj'!K21</f>
        <v>-126374.57941865161</v>
      </c>
      <c r="J23" s="1378">
        <f>'[3]February midyear adj '!K21</f>
        <v>-35473.566152603962</v>
      </c>
      <c r="K23" s="1378">
        <f t="shared" si="18"/>
        <v>-161848.14557125559</v>
      </c>
      <c r="L23" s="1378">
        <f>'[3]Oct midyear Madison Prep'!K22+'[3]Oct midyear DArbonne'!K22+'[3]Oct midyear Intl_VIBE '!K22+'[3]Oct midyear NOMMA'!K22+'[3]Oct midyear LFNO'!K22+'[3]Oct midyear Lake Charles Chtr'!K22+'[3]Oct midyear JS Clark Academy'!K22+'[3]Oct midyear Southwest LA Chtr'!K22+'[3]Oct midyear LA Virtual Admy'!K19+'[3]Oct midyear LA Connections'!K19</f>
        <v>17958.492864755754</v>
      </c>
      <c r="M23" s="1378">
        <f>'[3]Feb midyear Madison Prep'!K22+'[3]Feb midyear DArbonne'!K22+'[3]Feb midyear Intl_VIBE '!K22+'[3]Feb midyear NOMMA'!K22+'[3]Feb midyear LFNO '!K22+'[3]Feb midyear Lake Charles Ch'!K22+'[3]Feb midyear JS Clark Academy'!K22+'[3]Feb midyear Southwest LA Ch '!K22+'[3]Feb midyear LA Virtual Admy'!K19+'[3]Feb midyear LA Connections'!K19</f>
        <v>-2993.0821441259591</v>
      </c>
      <c r="N23" s="1378">
        <f t="shared" si="19"/>
        <v>14965.410720629794</v>
      </c>
      <c r="O23" s="356"/>
      <c r="P23" s="356">
        <f>-'Table 5C1A-Madison Prep'!L23</f>
        <v>0</v>
      </c>
      <c r="Q23" s="356">
        <f>-'Table 5C1B-DArbonne'!L23</f>
        <v>0</v>
      </c>
      <c r="R23" s="356">
        <f>-'Table 5C1C-Intl_VIBE'!L23</f>
        <v>0</v>
      </c>
      <c r="S23" s="356">
        <f>-'Table 5C1D-NOMMA'!L23</f>
        <v>0</v>
      </c>
      <c r="T23" s="356">
        <f>-'Table 5C1E-LFNO'!L23</f>
        <v>0</v>
      </c>
      <c r="U23" s="356">
        <f>-'Table 5C1F-Lake Charles Charter'!L23</f>
        <v>0</v>
      </c>
      <c r="V23" s="356">
        <f>-'Table 5C1G-JS Clark Academy'!L23</f>
        <v>0</v>
      </c>
      <c r="W23" s="356">
        <f>-'Table 5C1H-Southwest LA Charter'!L23</f>
        <v>0</v>
      </c>
      <c r="X23" s="314">
        <f>-('Table 5C2 - LA Virtual Admy'!M21+'Table 5C2 - LA Virtual Admy'!I21)</f>
        <v>-40351.181498587001</v>
      </c>
      <c r="Y23" s="314">
        <f>-('Table 5C3 - LA Connections EBR'!M21+'Table 5C3 - LA Connections EBR'!I21)</f>
        <v>-12304.893259184497</v>
      </c>
      <c r="Z23" s="314">
        <f t="shared" si="15"/>
        <v>-52656.074757771494</v>
      </c>
      <c r="AA23" s="539">
        <f t="shared" si="20"/>
        <v>10787264</v>
      </c>
      <c r="AB23" s="310">
        <f>('[4]Table 2_State Distrib and Adjs'!V22*6)+('[5]Table 2_State Distrib and Adjs'!AD22*2)</f>
        <v>7299408</v>
      </c>
      <c r="AC23" s="1531">
        <f t="shared" si="21"/>
        <v>3487856</v>
      </c>
      <c r="AD23" s="1531">
        <f t="shared" si="22"/>
        <v>871964</v>
      </c>
      <c r="AE23" s="310">
        <f>'Table 4A Stipends'!G19</f>
        <v>0</v>
      </c>
      <c r="AF23" s="310">
        <f t="shared" si="23"/>
        <v>10787264</v>
      </c>
      <c r="AG23" s="1117"/>
      <c r="AH23" s="1120">
        <f>(('2-1-13 SIS'!C22+'2-1-13 SIS'!R22)*'Table 3 Levels 1&amp;2'!AP23)+K23+F23+AE23</f>
        <v>10787263.998929126</v>
      </c>
      <c r="AI23" s="1120">
        <f t="shared" si="24"/>
        <v>1.070873811841011E-3</v>
      </c>
    </row>
    <row r="24" spans="1:35">
      <c r="A24" s="99">
        <v>17</v>
      </c>
      <c r="B24" s="301" t="s">
        <v>108</v>
      </c>
      <c r="C24" s="310">
        <f>'Table 3 Levels 1&amp;2'!AO24</f>
        <v>177032381.13584569</v>
      </c>
      <c r="D24" s="356">
        <f>'[1]Adjusted Amounts'!C23</f>
        <v>-120014.25804068119</v>
      </c>
      <c r="E24" s="356">
        <f>'[2]Adjusted Amounts'!H23</f>
        <v>-130002.43251403188</v>
      </c>
      <c r="F24" s="356">
        <f t="shared" si="16"/>
        <v>-250016.69055471307</v>
      </c>
      <c r="G24" s="310">
        <f t="shared" si="14"/>
        <v>0</v>
      </c>
      <c r="H24" s="356">
        <f t="shared" si="17"/>
        <v>-250016.69055471307</v>
      </c>
      <c r="I24" s="1378">
        <f>'[3]October midyear adj'!K22</f>
        <v>-765305.23151739175</v>
      </c>
      <c r="J24" s="1378">
        <f>'[3]February midyear adj '!K22</f>
        <v>18515.449149614316</v>
      </c>
      <c r="K24" s="1378">
        <f t="shared" si="18"/>
        <v>-746789.78236777743</v>
      </c>
      <c r="L24" s="2019">
        <f>'[3]Oct midyear Madison Prep'!K23+'[3]Oct midyear DArbonne'!K23+'[3]Oct midyear Intl_VIBE '!K23+'[3]Oct midyear NOMMA'!K23+'[3]Oct midyear LFNO'!K23+'[3]Oct midyear Lake Charles Chtr'!K23+'[3]Oct midyear JS Clark Academy'!K23+'[3]Oct midyear Southwest LA Chtr'!K23+'[3]Oct midyear LA Virtual Admy'!K20+'[3]Oct midyear LA Connections'!K20+'[3]October midyear adj'!$K$201+'[3]October midyear adj'!$K$131+'[3]October midyear adj'!$K$132+'[3]October midyear adj'!$K$133+'[3]October midyear adj'!$K$134+'[3]October midyear adj'!$K$136+'[3]October midyear adj'!$K$137+'[3]October midyear adj'!$K$138</f>
        <v>363725.71218353469</v>
      </c>
      <c r="M24" s="1378">
        <f>'[3]Feb midyear Madison Prep'!K23+'[3]Feb midyear DArbonne'!K23+'[3]Feb midyear Intl_VIBE '!K23+'[3]Feb midyear NOMMA'!K23+'[3]Feb midyear LFNO '!K23+'[3]Feb midyear Lake Charles Ch'!K23+'[3]Feb midyear JS Clark Academy'!K23+'[3]Feb midyear Southwest LA Ch '!K23+'[3]Feb midyear LA Virtual Admy'!K20+'[3]Feb midyear LA Connections'!K20+'[3]February midyear adj '!$K$131+'[3]February midyear adj '!$K$132+'[3]February midyear adj '!$K$133+'[3]February midyear adj '!$K$134+'[3]February midyear adj '!$K$136+'[3]February midyear adj '!$K$137+'[3]February midyear adj '!$K$138+'[3]February midyear adj '!$K$201</f>
        <v>-242346.65664717407</v>
      </c>
      <c r="N24" s="1378">
        <f t="shared" si="19"/>
        <v>121379.05553636063</v>
      </c>
      <c r="O24" s="356">
        <f>-'Table 5B2_RSD_LA'!L18</f>
        <v>-8953248.5127359889</v>
      </c>
      <c r="P24" s="356">
        <f>-'Table 5C1A-Madison Prep'!L24</f>
        <v>-1080067.8670608352</v>
      </c>
      <c r="Q24" s="356">
        <f>-'Table 5C1B-DArbonne'!L24</f>
        <v>0</v>
      </c>
      <c r="R24" s="356">
        <f>-'Table 5C1C-Intl_VIBE'!L24</f>
        <v>0</v>
      </c>
      <c r="S24" s="356">
        <f>-'Table 5C1D-NOMMA'!L24</f>
        <v>0</v>
      </c>
      <c r="T24" s="356">
        <f>-'Table 5C1E-LFNO'!L24</f>
        <v>0</v>
      </c>
      <c r="U24" s="356">
        <f>-'Table 5C1F-Lake Charles Charter'!L24</f>
        <v>0</v>
      </c>
      <c r="V24" s="356">
        <f>-'Table 5C1G-JS Clark Academy'!L24</f>
        <v>0</v>
      </c>
      <c r="W24" s="356">
        <f>-'Table 5C1H-Southwest LA Charter'!L24</f>
        <v>0</v>
      </c>
      <c r="X24" s="314">
        <f>-('Table 5C2 - LA Virtual Admy'!M22+'Table 5C2 - LA Virtual Admy'!I22)</f>
        <v>-430175.60190937272</v>
      </c>
      <c r="Y24" s="314">
        <f>-('Table 5C3 - LA Connections EBR'!M22+'Table 5C3 - LA Connections EBR'!I22)</f>
        <v>-351587.80662989855</v>
      </c>
      <c r="Z24" s="314">
        <f t="shared" si="15"/>
        <v>-10815079.788336094</v>
      </c>
      <c r="AA24" s="542">
        <f t="shared" si="20"/>
        <v>165341874</v>
      </c>
      <c r="AB24" s="310">
        <f>('[4]Table 2_State Distrib and Adjs'!V23*6)+('[5]Table 2_State Distrib and Adjs'!AD23*2)</f>
        <v>110725776</v>
      </c>
      <c r="AC24" s="1531">
        <f t="shared" si="21"/>
        <v>54616098</v>
      </c>
      <c r="AD24" s="1531">
        <f t="shared" si="22"/>
        <v>13654025</v>
      </c>
      <c r="AE24" s="310">
        <f>'Table 4A Stipends'!G20</f>
        <v>44000</v>
      </c>
      <c r="AF24" s="356">
        <f t="shared" si="23"/>
        <v>165385874</v>
      </c>
      <c r="AG24" s="1118"/>
      <c r="AH24" s="1120">
        <f>(('2-1-13 SIS'!C23+'2-1-13 SIS'!R23)*'Table 3 Levels 1&amp;2'!AP24)+K24+F24+AE24</f>
        <v>165385874.14295709</v>
      </c>
      <c r="AI24" s="1121">
        <f t="shared" si="24"/>
        <v>-0.14295709133148193</v>
      </c>
    </row>
    <row r="25" spans="1:35">
      <c r="A25" s="99">
        <v>18</v>
      </c>
      <c r="B25" s="301" t="s">
        <v>109</v>
      </c>
      <c r="C25" s="310">
        <f>'Table 3 Levels 1&amp;2'!AO25</f>
        <v>7614284.9008639995</v>
      </c>
      <c r="D25" s="356">
        <f>'[1]Adjusted Amounts'!C24</f>
        <v>9922.943186610486</v>
      </c>
      <c r="E25" s="356">
        <f>'[2]Adjusted Amounts'!H24</f>
        <v>8237.5986609904867</v>
      </c>
      <c r="F25" s="356">
        <f t="shared" si="16"/>
        <v>18160.541847600973</v>
      </c>
      <c r="G25" s="310">
        <f t="shared" si="14"/>
        <v>18160.541847600973</v>
      </c>
      <c r="H25" s="356">
        <f t="shared" si="17"/>
        <v>0</v>
      </c>
      <c r="I25" s="1378">
        <f>'[3]October midyear adj'!K23</f>
        <v>-321249.00389641646</v>
      </c>
      <c r="J25" s="1378">
        <f>'[3]February midyear adj '!K23</f>
        <v>-61515.766703569112</v>
      </c>
      <c r="K25" s="1378">
        <f t="shared" si="18"/>
        <v>-382764.77059998555</v>
      </c>
      <c r="L25" s="1378">
        <f>'[3]Oct midyear Madison Prep'!K24+'[3]Oct midyear DArbonne'!K24+'[3]Oct midyear Intl_VIBE '!K24+'[3]Oct midyear NOMMA'!K24+'[3]Oct midyear LFNO'!K24+'[3]Oct midyear Lake Charles Chtr'!K24+'[3]Oct midyear JS Clark Academy'!K24+'[3]Oct midyear Southwest LA Chtr'!K24+'[3]Oct midyear LA Virtual Admy'!K21+'[3]Oct midyear LA Connections'!K21</f>
        <v>12303.153340713823</v>
      </c>
      <c r="M25" s="1378">
        <f>'[3]Feb midyear Madison Prep'!K24+'[3]Feb midyear DArbonne'!K24+'[3]Feb midyear Intl_VIBE '!K24+'[3]Feb midyear NOMMA'!K24+'[3]Feb midyear LFNO '!K24+'[3]Feb midyear Lake Charles Ch'!K24+'[3]Feb midyear JS Clark Academy'!K24+'[3]Feb midyear Southwest LA Ch '!K24+'[3]Feb midyear LA Virtual Admy'!K21+'[3]Feb midyear LA Connections'!K21</f>
        <v>0</v>
      </c>
      <c r="N25" s="1378">
        <f t="shared" si="19"/>
        <v>12303.153340713823</v>
      </c>
      <c r="O25" s="356"/>
      <c r="P25" s="356">
        <f>-'Table 5C1A-Madison Prep'!L25</f>
        <v>0</v>
      </c>
      <c r="Q25" s="356">
        <f>-'Table 5C1B-DArbonne'!L25</f>
        <v>0</v>
      </c>
      <c r="R25" s="356">
        <f>-'Table 5C1C-Intl_VIBE'!L25</f>
        <v>0</v>
      </c>
      <c r="S25" s="356">
        <f>-'Table 5C1D-NOMMA'!L25</f>
        <v>0</v>
      </c>
      <c r="T25" s="356">
        <f>-'Table 5C1E-LFNO'!L25</f>
        <v>0</v>
      </c>
      <c r="U25" s="356">
        <f>-'Table 5C1F-Lake Charles Charter'!L25</f>
        <v>0</v>
      </c>
      <c r="V25" s="356">
        <f>-'Table 5C1G-JS Clark Academy'!L25</f>
        <v>0</v>
      </c>
      <c r="W25" s="356">
        <f>-'Table 5C1H-Southwest LA Charter'!L25</f>
        <v>0</v>
      </c>
      <c r="X25" s="314">
        <f>-('Table 5C2 - LA Virtual Admy'!M23+'Table 5C2 - LA Virtual Admy'!I23)</f>
        <v>-19138.238529999282</v>
      </c>
      <c r="Y25" s="314">
        <f>-('Table 5C3 - LA Connections EBR'!M23+'Table 5C3 - LA Connections EBR'!I23)</f>
        <v>0</v>
      </c>
      <c r="Z25" s="314">
        <f t="shared" si="15"/>
        <v>-19138.238529999282</v>
      </c>
      <c r="AA25" s="542">
        <f t="shared" si="20"/>
        <v>7242846</v>
      </c>
      <c r="AB25" s="310">
        <f>('[4]Table 2_State Distrib and Adjs'!V24*6)+('[5]Table 2_State Distrib and Adjs'!AD24*2)</f>
        <v>5083742</v>
      </c>
      <c r="AC25" s="1531">
        <f t="shared" si="21"/>
        <v>2159104</v>
      </c>
      <c r="AD25" s="1531">
        <f t="shared" si="22"/>
        <v>539776</v>
      </c>
      <c r="AE25" s="310">
        <f>'Table 4A Stipends'!G21</f>
        <v>0</v>
      </c>
      <c r="AF25" s="356">
        <f t="shared" si="23"/>
        <v>7242846</v>
      </c>
      <c r="AG25" s="1118"/>
      <c r="AH25" s="1120">
        <f>(('2-1-13 SIS'!C24+'2-1-13 SIS'!R24)*'Table 3 Levels 1&amp;2'!AP25)+K25+F25+AE25</f>
        <v>7242845.5869223289</v>
      </c>
      <c r="AI25" s="1121">
        <f t="shared" si="24"/>
        <v>0.41307767108082771</v>
      </c>
    </row>
    <row r="26" spans="1:35">
      <c r="A26" s="99">
        <v>19</v>
      </c>
      <c r="B26" s="301" t="s">
        <v>110</v>
      </c>
      <c r="C26" s="310">
        <f>'Table 3 Levels 1&amp;2'!AO26</f>
        <v>11932494.330064001</v>
      </c>
      <c r="D26" s="356">
        <f>'[1]Adjusted Amounts'!C25</f>
        <v>3054.7964737814182</v>
      </c>
      <c r="E26" s="356">
        <f>'[2]Adjusted Amounts'!H25</f>
        <v>-14679.077750957269</v>
      </c>
      <c r="F26" s="356">
        <f t="shared" si="16"/>
        <v>-11624.281277175851</v>
      </c>
      <c r="G26" s="310">
        <f t="shared" si="14"/>
        <v>0</v>
      </c>
      <c r="H26" s="356">
        <f t="shared" si="17"/>
        <v>-11624.281277175851</v>
      </c>
      <c r="I26" s="1378">
        <f>'[3]October midyear adj'!K24</f>
        <v>-136869.06947935768</v>
      </c>
      <c r="J26" s="1378">
        <f>'[3]February midyear adj '!K24</f>
        <v>-3110.6606699854019</v>
      </c>
      <c r="K26" s="1378">
        <f t="shared" si="18"/>
        <v>-139979.73014934309</v>
      </c>
      <c r="L26" s="1378">
        <f>'[3]Oct midyear Madison Prep'!K25+'[3]Oct midyear DArbonne'!K25+'[3]Oct midyear Intl_VIBE '!K25+'[3]Oct midyear NOMMA'!K25+'[3]Oct midyear LFNO'!K25+'[3]Oct midyear Lake Charles Chtr'!K25+'[3]Oct midyear JS Clark Academy'!K25+'[3]Oct midyear Southwest LA Chtr'!K25+'[3]Oct midyear LA Virtual Admy'!K22+'[3]Oct midyear LA Connections'!K22</f>
        <v>39194.324441816061</v>
      </c>
      <c r="M26" s="1378">
        <f>'[3]Feb midyear Madison Prep'!K25+'[3]Feb midyear DArbonne'!K25+'[3]Feb midyear Intl_VIBE '!K25+'[3]Feb midyear NOMMA'!K25+'[3]Feb midyear LFNO '!K25+'[3]Feb midyear Lake Charles Ch'!K25+'[3]Feb midyear JS Clark Academy'!K25+'[3]Feb midyear Southwest LA Ch '!K25+'[3]Feb midyear LA Virtual Admy'!K22+'[3]Feb midyear LA Connections'!K22</f>
        <v>5599.1892059737229</v>
      </c>
      <c r="N26" s="1378">
        <f t="shared" si="19"/>
        <v>44793.513647789783</v>
      </c>
      <c r="O26" s="356"/>
      <c r="P26" s="356">
        <f>-'Table 5C1A-Madison Prep'!L26</f>
        <v>0</v>
      </c>
      <c r="Q26" s="356">
        <f>-'Table 5C1B-DArbonne'!L26</f>
        <v>0</v>
      </c>
      <c r="R26" s="356">
        <f>-'Table 5C1C-Intl_VIBE'!L26</f>
        <v>0</v>
      </c>
      <c r="S26" s="356">
        <f>-'Table 5C1D-NOMMA'!L26</f>
        <v>0</v>
      </c>
      <c r="T26" s="356">
        <f>-'Table 5C1E-LFNO'!L26</f>
        <v>0</v>
      </c>
      <c r="U26" s="356">
        <f>-'Table 5C1F-Lake Charles Charter'!L26</f>
        <v>0</v>
      </c>
      <c r="V26" s="356">
        <f>-'Table 5C1G-JS Clark Academy'!L26</f>
        <v>0</v>
      </c>
      <c r="W26" s="356">
        <f>-'Table 5C1H-Southwest LA Charter'!L26</f>
        <v>0</v>
      </c>
      <c r="X26" s="314">
        <f>-('Table 5C2 - LA Virtual Admy'!M24+'Table 5C2 - LA Virtual Admy'!I24)</f>
        <v>-78699.714950630674</v>
      </c>
      <c r="Y26" s="314">
        <f>-('Table 5C3 - LA Connections EBR'!M24+'Table 5C3 - LA Connections EBR'!I24)</f>
        <v>-34528.333436837958</v>
      </c>
      <c r="Z26" s="314">
        <f t="shared" si="15"/>
        <v>-113228.04838746863</v>
      </c>
      <c r="AA26" s="542">
        <f t="shared" si="20"/>
        <v>11712456</v>
      </c>
      <c r="AB26" s="310">
        <f>('[4]Table 2_State Distrib and Adjs'!V25*6)+('[5]Table 2_State Distrib and Adjs'!AD25*2)</f>
        <v>7901624</v>
      </c>
      <c r="AC26" s="1531">
        <f t="shared" si="21"/>
        <v>3810832</v>
      </c>
      <c r="AD26" s="1531">
        <f t="shared" si="22"/>
        <v>952708</v>
      </c>
      <c r="AE26" s="310">
        <f>'Table 4A Stipends'!G22</f>
        <v>0</v>
      </c>
      <c r="AF26" s="356">
        <f t="shared" si="23"/>
        <v>11712456</v>
      </c>
      <c r="AG26" s="1118"/>
      <c r="AH26" s="1120">
        <f>(('2-1-13 SIS'!C25+'2-1-13 SIS'!R25)*'Table 3 Levels 1&amp;2'!AP26)+K26+F26+AE26</f>
        <v>11712455.783897802</v>
      </c>
      <c r="AI26" s="1121">
        <f t="shared" si="24"/>
        <v>0.21610219776630402</v>
      </c>
    </row>
    <row r="27" spans="1:35">
      <c r="A27" s="100">
        <v>20</v>
      </c>
      <c r="B27" s="302" t="s">
        <v>111</v>
      </c>
      <c r="C27" s="318">
        <f>'Table 3 Levels 1&amp;2'!AO27</f>
        <v>35395563.702288002</v>
      </c>
      <c r="D27" s="357">
        <f>'[1]Adjusted Amounts'!C26</f>
        <v>0</v>
      </c>
      <c r="E27" s="357">
        <f>'[2]Adjusted Amounts'!H26</f>
        <v>0</v>
      </c>
      <c r="F27" s="357">
        <f t="shared" si="16"/>
        <v>0</v>
      </c>
      <c r="G27" s="318">
        <f t="shared" si="14"/>
        <v>0</v>
      </c>
      <c r="H27" s="357">
        <f t="shared" si="17"/>
        <v>0</v>
      </c>
      <c r="I27" s="357">
        <f>'[3]October midyear adj'!K25</f>
        <v>252267.7202606645</v>
      </c>
      <c r="J27" s="357">
        <f>'[3]February midyear adj '!K25</f>
        <v>-255270.90740662478</v>
      </c>
      <c r="K27" s="357">
        <f t="shared" si="18"/>
        <v>-3003.1871459602844</v>
      </c>
      <c r="L27" s="357">
        <f>'[3]Oct midyear Madison Prep'!K26+'[3]Oct midyear DArbonne'!K26+'[3]Oct midyear Intl_VIBE '!K26+'[3]Oct midyear NOMMA'!K26+'[3]Oct midyear LFNO'!K26+'[3]Oct midyear Lake Charles Chtr'!K26+'[3]Oct midyear JS Clark Academy'!K26+'[3]Oct midyear Southwest LA Chtr'!K26+'[3]Oct midyear LA Virtual Admy'!K23+'[3]Oct midyear LA Connections'!K23</f>
        <v>21622.9474509141</v>
      </c>
      <c r="M27" s="357">
        <f>'[3]Feb midyear Madison Prep'!K26+'[3]Feb midyear DArbonne'!K26+'[3]Feb midyear Intl_VIBE '!K26+'[3]Feb midyear NOMMA'!K26+'[3]Feb midyear LFNO '!K26+'[3]Feb midyear Lake Charles Ch'!K26+'[3]Feb midyear JS Clark Academy'!K26+'[3]Feb midyear Southwest LA Ch '!K26+'[3]Feb midyear LA Virtual Admy'!K23+'[3]Feb midyear LA Connections'!K23</f>
        <v>0</v>
      </c>
      <c r="N27" s="357">
        <f t="shared" si="19"/>
        <v>21622.9474509141</v>
      </c>
      <c r="O27" s="357"/>
      <c r="P27" s="357">
        <f>-'Table 5C1A-Madison Prep'!L27</f>
        <v>0</v>
      </c>
      <c r="Q27" s="357">
        <f>-'Table 5C1B-DArbonne'!L27</f>
        <v>0</v>
      </c>
      <c r="R27" s="357">
        <f>-'Table 5C1C-Intl_VIBE'!L27</f>
        <v>0</v>
      </c>
      <c r="S27" s="357">
        <f>-'Table 5C1D-NOMMA'!L27</f>
        <v>0</v>
      </c>
      <c r="T27" s="357">
        <f>-'Table 5C1E-LFNO'!L27</f>
        <v>0</v>
      </c>
      <c r="U27" s="357">
        <f>-'Table 5C1F-Lake Charles Charter'!L27</f>
        <v>0</v>
      </c>
      <c r="V27" s="357">
        <f>-'Table 5C1G-JS Clark Academy'!L27</f>
        <v>0</v>
      </c>
      <c r="W27" s="357">
        <f>-'Table 5C1H-Southwest LA Charter'!L27</f>
        <v>0</v>
      </c>
      <c r="X27" s="320">
        <f>-('Table 5C2 - LA Virtual Admy'!M25+'Table 5C2 - LA Virtual Admy'!I25)</f>
        <v>-44146.851045616291</v>
      </c>
      <c r="Y27" s="320">
        <f>-('Table 5C3 - LA Connections EBR'!M25+'Table 5C3 - LA Connections EBR'!I25)</f>
        <v>-37539.839324503642</v>
      </c>
      <c r="Z27" s="320">
        <f t="shared" si="15"/>
        <v>-81686.690370119934</v>
      </c>
      <c r="AA27" s="543">
        <f t="shared" si="20"/>
        <v>35332497</v>
      </c>
      <c r="AB27" s="318">
        <f>('[4]Table 2_State Distrib and Adjs'!V26*6)+('[5]Table 2_State Distrib and Adjs'!AD26*2)</f>
        <v>23557000</v>
      </c>
      <c r="AC27" s="318">
        <f t="shared" si="21"/>
        <v>11775497</v>
      </c>
      <c r="AD27" s="318">
        <f t="shared" si="22"/>
        <v>2943874</v>
      </c>
      <c r="AE27" s="318">
        <f>'Table 4A Stipends'!G23</f>
        <v>0</v>
      </c>
      <c r="AF27" s="357">
        <f t="shared" si="23"/>
        <v>35332497</v>
      </c>
      <c r="AG27" s="1118"/>
      <c r="AH27" s="1120">
        <f>(('2-1-13 SIS'!C26+'2-1-13 SIS'!R26)*'Table 3 Levels 1&amp;2'!AP27)+K27+F27+AE27</f>
        <v>35332496.772222832</v>
      </c>
      <c r="AI27" s="1121">
        <f t="shared" si="24"/>
        <v>0.22777716815471649</v>
      </c>
    </row>
    <row r="28" spans="1:35">
      <c r="A28" s="99">
        <v>21</v>
      </c>
      <c r="B28" s="301" t="s">
        <v>112</v>
      </c>
      <c r="C28" s="310">
        <f>'Table 3 Levels 1&amp;2'!AO28</f>
        <v>18795620.088659998</v>
      </c>
      <c r="D28" s="356">
        <f>'[1]Adjusted Amounts'!C27</f>
        <v>0</v>
      </c>
      <c r="E28" s="356">
        <f>'[2]Adjusted Amounts'!H27</f>
        <v>0</v>
      </c>
      <c r="F28" s="356">
        <f t="shared" si="16"/>
        <v>0</v>
      </c>
      <c r="G28" s="310">
        <f t="shared" si="14"/>
        <v>0</v>
      </c>
      <c r="H28" s="356">
        <f t="shared" si="17"/>
        <v>0</v>
      </c>
      <c r="I28" s="1378">
        <f>'[3]October midyear adj'!K26</f>
        <v>-304074.74359813955</v>
      </c>
      <c r="J28" s="1378">
        <f>'[3]February midyear adj '!K26</f>
        <v>-50679.123933023257</v>
      </c>
      <c r="K28" s="1378">
        <f t="shared" si="18"/>
        <v>-354753.8675311628</v>
      </c>
      <c r="L28" s="1378">
        <f>'[3]Oct midyear Madison Prep'!K27+'[3]Oct midyear DArbonne'!K27+'[3]Oct midyear Intl_VIBE '!K27+'[3]Oct midyear NOMMA'!K27+'[3]Oct midyear LFNO'!K27+'[3]Oct midyear Lake Charles Chtr'!K27+'[3]Oct midyear JS Clark Academy'!K27+'[3]Oct midyear Southwest LA Chtr'!K27+'[3]Oct midyear LA Virtual Admy'!K24+'[3]Oct midyear LA Connections'!K24</f>
        <v>5701.4014424651141</v>
      </c>
      <c r="M28" s="1378">
        <f>'[3]Feb midyear Madison Prep'!K27+'[3]Feb midyear DArbonne'!K27+'[3]Feb midyear Intl_VIBE '!K27+'[3]Feb midyear NOMMA'!K27+'[3]Feb midyear LFNO '!K27+'[3]Feb midyear Lake Charles Ch'!K27+'[3]Feb midyear JS Clark Academy'!K27+'[3]Feb midyear Southwest LA Ch '!K27+'[3]Feb midyear LA Virtual Admy'!K24+'[3]Feb midyear LA Connections'!K24</f>
        <v>-5701.4014424651159</v>
      </c>
      <c r="N28" s="1378">
        <f t="shared" si="19"/>
        <v>0</v>
      </c>
      <c r="O28" s="356"/>
      <c r="P28" s="356">
        <f>-'Table 5C1A-Madison Prep'!L28</f>
        <v>0</v>
      </c>
      <c r="Q28" s="356">
        <f>-'Table 5C1B-DArbonne'!L28</f>
        <v>0</v>
      </c>
      <c r="R28" s="356">
        <f>-'Table 5C1C-Intl_VIBE'!L28</f>
        <v>0</v>
      </c>
      <c r="S28" s="356">
        <f>-'Table 5C1D-NOMMA'!L28</f>
        <v>0</v>
      </c>
      <c r="T28" s="356">
        <f>-'Table 5C1E-LFNO'!L28</f>
        <v>0</v>
      </c>
      <c r="U28" s="356">
        <f>-'Table 5C1F-Lake Charles Charter'!L28</f>
        <v>0</v>
      </c>
      <c r="V28" s="356">
        <f>-'Table 5C1G-JS Clark Academy'!L28</f>
        <v>0</v>
      </c>
      <c r="W28" s="356">
        <f>-'Table 5C1H-Southwest LA Charter'!L28</f>
        <v>0</v>
      </c>
      <c r="X28" s="314">
        <f>-('Table 5C2 - LA Virtual Admy'!M26+'Table 5C2 - LA Virtual Admy'!I26)</f>
        <v>-36108.875802279064</v>
      </c>
      <c r="Y28" s="314">
        <f>-('Table 5C3 - LA Connections EBR'!M26+'Table 5C3 - LA Connections EBR'!I26)</f>
        <v>-46244.700588883723</v>
      </c>
      <c r="Z28" s="314">
        <f t="shared" si="15"/>
        <v>-82353.576391162787</v>
      </c>
      <c r="AA28" s="542">
        <f t="shared" si="20"/>
        <v>18358513</v>
      </c>
      <c r="AB28" s="310">
        <f>('[4]Table 2_State Distrib and Adjs'!V27*6)+('[5]Table 2_State Distrib and Adjs'!AD27*2)</f>
        <v>12475512</v>
      </c>
      <c r="AC28" s="1531">
        <f t="shared" si="21"/>
        <v>5883001</v>
      </c>
      <c r="AD28" s="1531">
        <f t="shared" si="22"/>
        <v>1470750</v>
      </c>
      <c r="AE28" s="310">
        <f>'Table 4A Stipends'!G24</f>
        <v>0</v>
      </c>
      <c r="AF28" s="356">
        <f t="shared" si="23"/>
        <v>18358513</v>
      </c>
      <c r="AG28" s="1118"/>
      <c r="AH28" s="1120">
        <f>(('2-1-13 SIS'!C27+'2-1-13 SIS'!R27)*'Table 3 Levels 1&amp;2'!AP28)+K28+F28+AE28</f>
        <v>18358512.644737672</v>
      </c>
      <c r="AI28" s="1121">
        <f t="shared" si="24"/>
        <v>0.35526232793927193</v>
      </c>
    </row>
    <row r="29" spans="1:35">
      <c r="A29" s="99">
        <v>22</v>
      </c>
      <c r="B29" s="301" t="s">
        <v>113</v>
      </c>
      <c r="C29" s="310">
        <f>'Table 3 Levels 1&amp;2'!AO29</f>
        <v>21505887.339760002</v>
      </c>
      <c r="D29" s="356">
        <f>'[1]Adjusted Amounts'!C28</f>
        <v>0</v>
      </c>
      <c r="E29" s="356">
        <f>'[2]Adjusted Amounts'!H28</f>
        <v>0</v>
      </c>
      <c r="F29" s="356">
        <f t="shared" si="16"/>
        <v>0</v>
      </c>
      <c r="G29" s="310">
        <f t="shared" si="14"/>
        <v>0</v>
      </c>
      <c r="H29" s="356">
        <f t="shared" si="17"/>
        <v>0</v>
      </c>
      <c r="I29" s="1378">
        <f>'[3]October midyear adj'!K27</f>
        <v>-489074.69651167601</v>
      </c>
      <c r="J29" s="1378">
        <f>'[3]February midyear adj '!K27</f>
        <v>-13399.306753744548</v>
      </c>
      <c r="K29" s="1378">
        <f t="shared" si="18"/>
        <v>-502474.00326542056</v>
      </c>
      <c r="L29" s="1378">
        <f>'[3]Oct midyear Madison Prep'!K28+'[3]Oct midyear DArbonne'!K28+'[3]Oct midyear Intl_VIBE '!K28+'[3]Oct midyear NOMMA'!K28+'[3]Oct midyear LFNO'!K28+'[3]Oct midyear Lake Charles Chtr'!K28+'[3]Oct midyear JS Clark Academy'!K28+'[3]Oct midyear Southwest LA Chtr'!K28+'[3]Oct midyear LA Virtual Admy'!K25+'[3]Oct midyear LA Connections'!K25</f>
        <v>60296.880391850471</v>
      </c>
      <c r="M29" s="1378">
        <f>'[3]Feb midyear Madison Prep'!K28+'[3]Feb midyear DArbonne'!K28+'[3]Feb midyear Intl_VIBE '!K28+'[3]Feb midyear NOMMA'!K28+'[3]Feb midyear LFNO '!K28+'[3]Feb midyear Lake Charles Ch'!K28+'[3]Feb midyear JS Clark Academy'!K28+'[3]Feb midyear Southwest LA Ch '!K28+'[3]Feb midyear LA Virtual Admy'!K25+'[3]Feb midyear LA Connections'!K25</f>
        <v>0</v>
      </c>
      <c r="N29" s="1378">
        <f t="shared" si="19"/>
        <v>60296.880391850471</v>
      </c>
      <c r="O29" s="356"/>
      <c r="P29" s="356">
        <f>-'Table 5C1A-Madison Prep'!L29</f>
        <v>0</v>
      </c>
      <c r="Q29" s="356">
        <f>-'Table 5C1B-DArbonne'!L29</f>
        <v>0</v>
      </c>
      <c r="R29" s="356">
        <f>-'Table 5C1C-Intl_VIBE'!L29</f>
        <v>0</v>
      </c>
      <c r="S29" s="356">
        <f>-'Table 5C1D-NOMMA'!L29</f>
        <v>0</v>
      </c>
      <c r="T29" s="356">
        <f>-'Table 5C1E-LFNO'!L29</f>
        <v>0</v>
      </c>
      <c r="U29" s="356">
        <f>-'Table 5C1F-Lake Charles Charter'!L29</f>
        <v>0</v>
      </c>
      <c r="V29" s="356">
        <f>-'Table 5C1G-JS Clark Academy'!L29</f>
        <v>0</v>
      </c>
      <c r="W29" s="356">
        <f>-'Table 5C1H-Southwest LA Charter'!L29</f>
        <v>0</v>
      </c>
      <c r="X29" s="314">
        <f>-('Table 5C2 - LA Virtual Admy'!M27+'Table 5C2 - LA Virtual Admy'!I27)</f>
        <v>-46562.590969262303</v>
      </c>
      <c r="Y29" s="314">
        <f>-('Table 5C3 - LA Connections EBR'!M27+'Table 5C3 - LA Connections EBR'!I27)</f>
        <v>-60631.863060694086</v>
      </c>
      <c r="Z29" s="314">
        <f t="shared" si="15"/>
        <v>-107194.4540299564</v>
      </c>
      <c r="AA29" s="542">
        <f t="shared" si="20"/>
        <v>20956516</v>
      </c>
      <c r="AB29" s="310">
        <f>('[4]Table 2_State Distrib and Adjs'!V28*6)+('[5]Table 2_State Distrib and Adjs'!AD28*2)</f>
        <v>14305992</v>
      </c>
      <c r="AC29" s="1531">
        <f t="shared" si="21"/>
        <v>6650524</v>
      </c>
      <c r="AD29" s="1531">
        <f t="shared" si="22"/>
        <v>1662631</v>
      </c>
      <c r="AE29" s="310">
        <f>'Table 4A Stipends'!G25</f>
        <v>0</v>
      </c>
      <c r="AF29" s="356">
        <f t="shared" si="23"/>
        <v>20956516</v>
      </c>
      <c r="AG29" s="1118"/>
      <c r="AH29" s="1120">
        <f>(('2-1-13 SIS'!C28+'2-1-13 SIS'!R28)*'Table 3 Levels 1&amp;2'!AP29)+K29+F29+AE29</f>
        <v>20956515.762856476</v>
      </c>
      <c r="AI29" s="1121">
        <f t="shared" si="24"/>
        <v>0.23714352399110794</v>
      </c>
    </row>
    <row r="30" spans="1:35">
      <c r="A30" s="99">
        <v>23</v>
      </c>
      <c r="B30" s="301" t="s">
        <v>114</v>
      </c>
      <c r="C30" s="310">
        <f>'Table 3 Levels 1&amp;2'!AO30</f>
        <v>74319417.823662877</v>
      </c>
      <c r="D30" s="356">
        <f>'[1]Adjusted Amounts'!C29</f>
        <v>-2758.9448518506833</v>
      </c>
      <c r="E30" s="356">
        <f>'[2]Adjusted Amounts'!H29</f>
        <v>0</v>
      </c>
      <c r="F30" s="356">
        <f t="shared" si="16"/>
        <v>-2758.9448518506833</v>
      </c>
      <c r="G30" s="310">
        <f t="shared" si="14"/>
        <v>0</v>
      </c>
      <c r="H30" s="356">
        <f t="shared" si="17"/>
        <v>-2758.9448518506833</v>
      </c>
      <c r="I30" s="1378">
        <f>'[3]October midyear adj'!K28</f>
        <v>1201021.2740344687</v>
      </c>
      <c r="J30" s="1378">
        <f>'[3]February midyear adj '!K28</f>
        <v>-334846.94506490947</v>
      </c>
      <c r="K30" s="1378">
        <f t="shared" si="18"/>
        <v>866174.32896955917</v>
      </c>
      <c r="L30" s="1378">
        <f>'[3]Oct midyear Madison Prep'!K29+'[3]Oct midyear DArbonne'!K29+'[3]Oct midyear Intl_VIBE '!K29+'[3]Oct midyear NOMMA'!K29+'[3]Oct midyear LFNO'!K29+'[3]Oct midyear Lake Charles Chtr'!K29+'[3]Oct midyear JS Clark Academy'!K29+'[3]Oct midyear Southwest LA Chtr'!K29+'[3]Oct midyear LA Virtual Admy'!K26+'[3]Oct midyear LA Connections'!K26</f>
        <v>69736.719137485285</v>
      </c>
      <c r="M30" s="1378">
        <f>'[3]Feb midyear Madison Prep'!K29+'[3]Feb midyear DArbonne'!K29+'[3]Feb midyear Intl_VIBE '!K29+'[3]Feb midyear NOMMA'!K29+'[3]Feb midyear LFNO '!K29+'[3]Feb midyear Lake Charles Ch'!K29+'[3]Feb midyear JS Clark Academy'!K29+'[3]Feb midyear Southwest LA Ch '!K29+'[3]Feb midyear LA Virtual Admy'!K26+'[3]Feb midyear LA Connections'!K26</f>
        <v>-2490.5971120530457</v>
      </c>
      <c r="N30" s="1378">
        <f t="shared" si="19"/>
        <v>67246.12202543224</v>
      </c>
      <c r="O30" s="356"/>
      <c r="P30" s="356">
        <f>-'Table 5C1A-Madison Prep'!L30</f>
        <v>0</v>
      </c>
      <c r="Q30" s="356">
        <f>-'Table 5C1B-DArbonne'!L30</f>
        <v>0</v>
      </c>
      <c r="R30" s="356">
        <f>-'Table 5C1C-Intl_VIBE'!L30</f>
        <v>0</v>
      </c>
      <c r="S30" s="356">
        <f>-'Table 5C1D-NOMMA'!L30</f>
        <v>0</v>
      </c>
      <c r="T30" s="356">
        <f>-'Table 5C1E-LFNO'!L30</f>
        <v>0</v>
      </c>
      <c r="U30" s="356">
        <f>-'Table 5C1F-Lake Charles Charter'!L30</f>
        <v>0</v>
      </c>
      <c r="V30" s="356">
        <f>-'Table 5C1G-JS Clark Academy'!L30</f>
        <v>0</v>
      </c>
      <c r="W30" s="356">
        <f>-'Table 5C1H-Southwest LA Charter'!L30</f>
        <v>0</v>
      </c>
      <c r="X30" s="314">
        <f>-('Table 5C2 - LA Virtual Admy'!M28+'Table 5C2 - LA Virtual Admy'!I28)</f>
        <v>-106265.47678092995</v>
      </c>
      <c r="Y30" s="314">
        <f>-('Table 5C3 - LA Connections EBR'!M28+'Table 5C3 - LA Connections EBR'!I28)</f>
        <v>-127020.45271470534</v>
      </c>
      <c r="Z30" s="314">
        <f t="shared" si="15"/>
        <v>-233285.9294956353</v>
      </c>
      <c r="AA30" s="542">
        <f t="shared" si="20"/>
        <v>75016793</v>
      </c>
      <c r="AB30" s="310">
        <f>('[4]Table 2_State Distrib and Adjs'!V29*6)+('[5]Table 2_State Distrib and Adjs'!AD29*2)</f>
        <v>49433746</v>
      </c>
      <c r="AC30" s="1531">
        <f t="shared" si="21"/>
        <v>25583047</v>
      </c>
      <c r="AD30" s="1531">
        <f t="shared" si="22"/>
        <v>6395762</v>
      </c>
      <c r="AE30" s="310">
        <f>'Table 4A Stipends'!G26</f>
        <v>26000</v>
      </c>
      <c r="AF30" s="356">
        <f t="shared" si="23"/>
        <v>75042793</v>
      </c>
      <c r="AG30" s="1118"/>
      <c r="AH30" s="1120">
        <f>(('2-1-13 SIS'!C29+'2-1-13 SIS'!R29)*'Table 3 Levels 1&amp;2'!AP30)+K30+F30+AE30</f>
        <v>75042793.400310382</v>
      </c>
      <c r="AI30" s="1121">
        <f t="shared" si="24"/>
        <v>-0.40031038224697113</v>
      </c>
    </row>
    <row r="31" spans="1:35">
      <c r="A31" s="99">
        <v>24</v>
      </c>
      <c r="B31" s="301" t="s">
        <v>115</v>
      </c>
      <c r="C31" s="310">
        <f>'Table 3 Levels 1&amp;2'!AO31</f>
        <v>16326093</v>
      </c>
      <c r="D31" s="356">
        <f>'[1]Adjusted Amounts'!C30</f>
        <v>0</v>
      </c>
      <c r="E31" s="356">
        <f>'[2]Adjusted Amounts'!H30</f>
        <v>0</v>
      </c>
      <c r="F31" s="356">
        <f t="shared" si="16"/>
        <v>0</v>
      </c>
      <c r="G31" s="310">
        <f t="shared" si="14"/>
        <v>0</v>
      </c>
      <c r="H31" s="356">
        <f t="shared" si="17"/>
        <v>0</v>
      </c>
      <c r="I31" s="1378">
        <f>'[3]October midyear adj'!K29</f>
        <v>253286.01728723405</v>
      </c>
      <c r="J31" s="1378">
        <f>'[3]February midyear adj '!K29</f>
        <v>-9045.9291888297885</v>
      </c>
      <c r="K31" s="1378">
        <f t="shared" si="18"/>
        <v>244240.08809840426</v>
      </c>
      <c r="L31" s="1378">
        <f>'[3]Oct midyear Madison Prep'!K30+'[3]Oct midyear DArbonne'!K30+'[3]Oct midyear Intl_VIBE '!K30+'[3]Oct midyear NOMMA'!K30+'[3]Oct midyear LFNO'!K30+'[3]Oct midyear Lake Charles Chtr'!K30+'[3]Oct midyear JS Clark Academy'!K30+'[3]Oct midyear Southwest LA Chtr'!K30+'[3]Oct midyear LA Virtual Admy'!K27+'[3]Oct midyear LA Connections'!K27</f>
        <v>6874.9061835106386</v>
      </c>
      <c r="M31" s="1378">
        <f>'[3]Feb midyear Madison Prep'!K30+'[3]Feb midyear DArbonne'!K30+'[3]Feb midyear Intl_VIBE '!K30+'[3]Feb midyear NOMMA'!K30+'[3]Feb midyear LFNO '!K30+'[3]Feb midyear Lake Charles Ch'!K30+'[3]Feb midyear JS Clark Academy'!K30+'[3]Feb midyear Southwest LA Ch '!K30+'[3]Feb midyear LA Virtual Admy'!K27+'[3]Feb midyear LA Connections'!K27</f>
        <v>6513.0690159574469</v>
      </c>
      <c r="N31" s="1378">
        <f t="shared" si="19"/>
        <v>13387.975199468085</v>
      </c>
      <c r="O31" s="356"/>
      <c r="P31" s="356">
        <f>-'Table 5C1A-Madison Prep'!L31</f>
        <v>-3618.3716755319151</v>
      </c>
      <c r="Q31" s="356">
        <f>-'Table 5C1B-DArbonne'!L31</f>
        <v>0</v>
      </c>
      <c r="R31" s="356">
        <f>-'Table 5C1C-Intl_VIBE'!L31</f>
        <v>0</v>
      </c>
      <c r="S31" s="356">
        <f>-'Table 5C1D-NOMMA'!L31</f>
        <v>0</v>
      </c>
      <c r="T31" s="356">
        <f>-'Table 5C1E-LFNO'!L31</f>
        <v>0</v>
      </c>
      <c r="U31" s="356">
        <f>-'Table 5C1F-Lake Charles Charter'!L31</f>
        <v>0</v>
      </c>
      <c r="V31" s="356">
        <f>-'Table 5C1G-JS Clark Academy'!L31</f>
        <v>0</v>
      </c>
      <c r="W31" s="356">
        <f>-'Table 5C1H-Southwest LA Charter'!L31</f>
        <v>0</v>
      </c>
      <c r="X31" s="314">
        <f>-('Table 5C2 - LA Virtual Admy'!M29+'Table 5C2 - LA Virtual Admy'!I29)</f>
        <v>-44325.053025265959</v>
      </c>
      <c r="Y31" s="314">
        <f>-('Table 5C3 - LA Connections EBR'!M29+'Table 5C3 - LA Connections EBR'!I29)</f>
        <v>-5246.6389295212766</v>
      </c>
      <c r="Z31" s="314">
        <f t="shared" si="15"/>
        <v>-53190.063630319157</v>
      </c>
      <c r="AA31" s="542">
        <f t="shared" si="20"/>
        <v>16530531</v>
      </c>
      <c r="AB31" s="310">
        <f>('[4]Table 2_State Distrib and Adjs'!V30*6)+('[5]Table 2_State Distrib and Adjs'!AD30*2)</f>
        <v>10857528</v>
      </c>
      <c r="AC31" s="1531">
        <f t="shared" si="21"/>
        <v>5673003</v>
      </c>
      <c r="AD31" s="1531">
        <f t="shared" si="22"/>
        <v>1418251</v>
      </c>
      <c r="AE31" s="310">
        <f>'Table 4A Stipends'!G27</f>
        <v>0</v>
      </c>
      <c r="AF31" s="356">
        <f t="shared" si="23"/>
        <v>16530531</v>
      </c>
      <c r="AG31" s="1118"/>
      <c r="AH31" s="1120">
        <f>(('2-1-13 SIS'!C30+'2-1-13 SIS'!R30)*'Table 3 Levels 1&amp;2'!AP31)+K31+F31+AE31</f>
        <v>16530530.999667555</v>
      </c>
      <c r="AI31" s="1121">
        <f t="shared" si="24"/>
        <v>3.3244490623474121E-4</v>
      </c>
    </row>
    <row r="32" spans="1:35">
      <c r="A32" s="100">
        <v>25</v>
      </c>
      <c r="B32" s="302" t="s">
        <v>116</v>
      </c>
      <c r="C32" s="318">
        <f>'Table 3 Levels 1&amp;2'!AO32</f>
        <v>10050578.84784344</v>
      </c>
      <c r="D32" s="357">
        <f>'[1]Adjusted Amounts'!C31</f>
        <v>0</v>
      </c>
      <c r="E32" s="357">
        <f>'[2]Adjusted Amounts'!H31</f>
        <v>0</v>
      </c>
      <c r="F32" s="357">
        <f t="shared" si="16"/>
        <v>0</v>
      </c>
      <c r="G32" s="318">
        <f t="shared" si="14"/>
        <v>0</v>
      </c>
      <c r="H32" s="357">
        <f t="shared" si="17"/>
        <v>0</v>
      </c>
      <c r="I32" s="357">
        <f>'[3]October midyear adj'!K30</f>
        <v>262228.32801390887</v>
      </c>
      <c r="J32" s="357">
        <f>'[3]February midyear adj '!K30</f>
        <v>20345.301311423966</v>
      </c>
      <c r="K32" s="357">
        <f t="shared" si="18"/>
        <v>282573.62932533282</v>
      </c>
      <c r="L32" s="357">
        <f>'[3]Oct midyear Madison Prep'!K31+'[3]Oct midyear DArbonne'!K31+'[3]Oct midyear Intl_VIBE '!K31+'[3]Oct midyear NOMMA'!K31+'[3]Oct midyear LFNO'!K31+'[3]Oct midyear Lake Charles Chtr'!K31+'[3]Oct midyear JS Clark Academy'!K31+'[3]Oct midyear Southwest LA Chtr'!K31+'[3]Oct midyear LA Virtual Admy'!K28+'[3]Oct midyear LA Connections'!K28</f>
        <v>-16276.241049139173</v>
      </c>
      <c r="M32" s="357">
        <f>'[3]Feb midyear Madison Prep'!K31+'[3]Feb midyear DArbonne'!K31+'[3]Feb midyear Intl_VIBE '!K31+'[3]Feb midyear NOMMA'!K31+'[3]Feb midyear LFNO '!K31+'[3]Feb midyear Lake Charles Ch'!K31+'[3]Feb midyear JS Clark Academy'!K31+'[3]Feb midyear Southwest LA Ch '!K31+'[3]Feb midyear LA Virtual Admy'!K28+'[3]Feb midyear LA Connections'!K28</f>
        <v>2034.5301311423966</v>
      </c>
      <c r="N32" s="357">
        <f t="shared" si="19"/>
        <v>-14241.710917996776</v>
      </c>
      <c r="O32" s="357"/>
      <c r="P32" s="357">
        <f>-'Table 5C1A-Madison Prep'!L32</f>
        <v>0</v>
      </c>
      <c r="Q32" s="357">
        <f>-'Table 5C1B-DArbonne'!L32</f>
        <v>0</v>
      </c>
      <c r="R32" s="357">
        <f>-'Table 5C1C-Intl_VIBE'!L32</f>
        <v>0</v>
      </c>
      <c r="S32" s="357">
        <f>-'Table 5C1D-NOMMA'!L32</f>
        <v>0</v>
      </c>
      <c r="T32" s="357">
        <f>-'Table 5C1E-LFNO'!L32</f>
        <v>0</v>
      </c>
      <c r="U32" s="357">
        <f>-'Table 5C1F-Lake Charles Charter'!L32</f>
        <v>0</v>
      </c>
      <c r="V32" s="357">
        <f>-'Table 5C1G-JS Clark Academy'!L32</f>
        <v>0</v>
      </c>
      <c r="W32" s="357">
        <f>-'Table 5C1H-Southwest LA Charter'!L32</f>
        <v>0</v>
      </c>
      <c r="X32" s="320">
        <f>-('Table 5C2 - LA Virtual Admy'!M30+'Table 5C2 - LA Virtual Admy'!I30)</f>
        <v>-5877.5314899669229</v>
      </c>
      <c r="Y32" s="320">
        <f>-('Table 5C3 - LA Connections EBR'!M30+'Table 5C3 - LA Connections EBR'!I30)</f>
        <v>-2486.6479380629289</v>
      </c>
      <c r="Z32" s="320">
        <f t="shared" si="15"/>
        <v>-8364.1794280298527</v>
      </c>
      <c r="AA32" s="543">
        <f t="shared" si="20"/>
        <v>10310547</v>
      </c>
      <c r="AB32" s="318">
        <f>('[4]Table 2_State Distrib and Adjs'!V31*6)+('[5]Table 2_State Distrib and Adjs'!AD31*2)</f>
        <v>6685314</v>
      </c>
      <c r="AC32" s="318">
        <f t="shared" si="21"/>
        <v>3625233</v>
      </c>
      <c r="AD32" s="318">
        <f t="shared" si="22"/>
        <v>906308</v>
      </c>
      <c r="AE32" s="318">
        <f>'Table 4A Stipends'!G28</f>
        <v>0</v>
      </c>
      <c r="AF32" s="357">
        <f t="shared" si="23"/>
        <v>10310547</v>
      </c>
      <c r="AG32" s="1118"/>
      <c r="AH32" s="1120">
        <f>(('2-1-13 SIS'!C31+'2-1-13 SIS'!R31)*'Table 3 Levels 1&amp;2'!AP32)+K32+F32+AE32</f>
        <v>10310546.586822746</v>
      </c>
      <c r="AI32" s="1121">
        <f t="shared" si="24"/>
        <v>0.41317725367844105</v>
      </c>
    </row>
    <row r="33" spans="1:56">
      <c r="A33" s="99">
        <v>26</v>
      </c>
      <c r="B33" s="301" t="s">
        <v>117</v>
      </c>
      <c r="C33" s="310">
        <f>'Table 3 Levels 1&amp;2'!AO33</f>
        <v>181708925.3096149</v>
      </c>
      <c r="D33" s="356">
        <f>'[1]Adjusted Amounts'!C32</f>
        <v>-11961.53370293905</v>
      </c>
      <c r="E33" s="356">
        <f>'[2]Adjusted Amounts'!H32</f>
        <v>-577422.02464747627</v>
      </c>
      <c r="F33" s="356">
        <f t="shared" si="16"/>
        <v>-589383.55835041532</v>
      </c>
      <c r="G33" s="310">
        <f t="shared" si="14"/>
        <v>0</v>
      </c>
      <c r="H33" s="356">
        <f t="shared" si="17"/>
        <v>-589383.55835041532</v>
      </c>
      <c r="I33" s="1378">
        <f>'[3]October midyear adj'!K31</f>
        <v>4192266.1996922102</v>
      </c>
      <c r="J33" s="1378">
        <f>'[3]February midyear adj '!K31</f>
        <v>287056.65111192968</v>
      </c>
      <c r="K33" s="1378">
        <f t="shared" si="18"/>
        <v>4479322.8508041399</v>
      </c>
      <c r="L33" s="1378">
        <f>'[3]Oct midyear Madison Prep'!K32+'[3]Oct midyear DArbonne'!K32+'[3]Oct midyear Intl_VIBE '!K32+'[3]Oct midyear NOMMA'!K32+'[3]Oct midyear LFNO'!K32+'[3]Oct midyear Lake Charles Chtr'!K32+'[3]Oct midyear JS Clark Academy'!K32+'[3]Oct midyear Southwest LA Chtr'!K32+'[3]Oct midyear LA Virtual Admy'!K29+'[3]Oct midyear LA Connections'!K29</f>
        <v>751716.69787584466</v>
      </c>
      <c r="M33" s="1378">
        <f>'[3]Feb midyear Madison Prep'!K32+'[3]Feb midyear DArbonne'!K32+'[3]Feb midyear Intl_VIBE '!K32+'[3]Feb midyear NOMMA'!K32+'[3]Feb midyear LFNO '!K32+'[3]Feb midyear Lake Charles Ch'!K32+'[3]Feb midyear JS Clark Academy'!K32+'[3]Feb midyear Southwest LA Ch '!K32+'[3]Feb midyear LA Virtual Admy'!K29+'[3]Feb midyear LA Connections'!K29</f>
        <v>1032.5778816975876</v>
      </c>
      <c r="N33" s="1378">
        <f t="shared" si="19"/>
        <v>752749.27575754223</v>
      </c>
      <c r="O33" s="356"/>
      <c r="P33" s="1002">
        <f>-'Table 5C1A-Madison Prep'!L33</f>
        <v>0</v>
      </c>
      <c r="Q33" s="49">
        <f>-'Table 5C1B-DArbonne'!L33</f>
        <v>0</v>
      </c>
      <c r="R33" s="356">
        <f>-'Table 5C1C-Intl_VIBE'!L33</f>
        <v>-247818.69160742129</v>
      </c>
      <c r="S33" s="356">
        <f>-'Table 5C1D-NOMMA'!L33</f>
        <v>-790954.65738035296</v>
      </c>
      <c r="T33" s="356">
        <f>-'Table 5C1E-LFNO'!L33</f>
        <v>-291186.96263872006</v>
      </c>
      <c r="U33" s="356">
        <f>-'Table 5C1F-Lake Charles Charter'!L33</f>
        <v>0</v>
      </c>
      <c r="V33" s="356">
        <f>-'Table 5C1G-JS Clark Academy'!L33</f>
        <v>0</v>
      </c>
      <c r="W33" s="356">
        <f>-'Table 5C1H-Southwest LA Charter'!L33</f>
        <v>0</v>
      </c>
      <c r="X33" s="314">
        <f>-('Table 5C2 - LA Virtual Admy'!M31+'Table 5C2 - LA Virtual Admy'!I31)</f>
        <v>-649284.97201144381</v>
      </c>
      <c r="Y33" s="314">
        <f>-('Table 5C3 - LA Connections EBR'!M31+'Table 5C3 - LA Connections EBR'!I31)</f>
        <v>-421498.29130895576</v>
      </c>
      <c r="Z33" s="314">
        <f t="shared" si="15"/>
        <v>-2400743.5749468938</v>
      </c>
      <c r="AA33" s="542">
        <f t="shared" si="20"/>
        <v>183950870</v>
      </c>
      <c r="AB33" s="310">
        <f>('[4]Table 2_State Distrib and Adjs'!V32*6)+('[5]Table 2_State Distrib and Adjs'!AD32*2)</f>
        <v>119647698</v>
      </c>
      <c r="AC33" s="1531">
        <f t="shared" si="21"/>
        <v>64303172</v>
      </c>
      <c r="AD33" s="1531">
        <f t="shared" si="22"/>
        <v>16075793</v>
      </c>
      <c r="AE33" s="310">
        <f>'Table 4A Stipends'!G29</f>
        <v>6000</v>
      </c>
      <c r="AF33" s="356">
        <f t="shared" si="23"/>
        <v>183956870</v>
      </c>
      <c r="AG33" s="1118"/>
      <c r="AH33" s="1120">
        <f>(('2-1-13 SIS'!C32+'2-1-13 SIS'!R32)*'Table 3 Levels 1&amp;2'!AP33)+K33+F33+AE33</f>
        <v>183956870.3028793</v>
      </c>
      <c r="AI33" s="1121">
        <f t="shared" si="24"/>
        <v>-0.30287930369377136</v>
      </c>
    </row>
    <row r="34" spans="1:56">
      <c r="A34" s="99">
        <v>27</v>
      </c>
      <c r="B34" s="301" t="s">
        <v>118</v>
      </c>
      <c r="C34" s="310">
        <f>'Table 3 Levels 1&amp;2'!AO34</f>
        <v>35782697.068258241</v>
      </c>
      <c r="D34" s="356">
        <f>'[1]Adjusted Amounts'!C33</f>
        <v>0</v>
      </c>
      <c r="E34" s="356">
        <f>'[2]Adjusted Amounts'!H33</f>
        <v>0</v>
      </c>
      <c r="F34" s="356">
        <f t="shared" si="16"/>
        <v>0</v>
      </c>
      <c r="G34" s="310">
        <f t="shared" si="14"/>
        <v>0</v>
      </c>
      <c r="H34" s="356">
        <f t="shared" si="17"/>
        <v>0</v>
      </c>
      <c r="I34" s="1378">
        <f>'[3]October midyear adj'!K32</f>
        <v>216710.31355909869</v>
      </c>
      <c r="J34" s="1378">
        <f>'[3]February midyear adj '!K32</f>
        <v>-31869.163758690986</v>
      </c>
      <c r="K34" s="1378">
        <f t="shared" si="18"/>
        <v>184841.1498004077</v>
      </c>
      <c r="L34" s="1378">
        <f>'[3]Oct midyear Madison Prep'!K33+'[3]Oct midyear DArbonne'!K33+'[3]Oct midyear Intl_VIBE '!K33+'[3]Oct midyear NOMMA'!K33+'[3]Oct midyear LFNO'!K33+'[3]Oct midyear Lake Charles Chtr'!K33+'[3]Oct midyear JS Clark Academy'!K33+'[3]Oct midyear Southwest LA Chtr'!K33+'[3]Oct midyear LA Virtual Admy'!K30+'[3]Oct midyear LA Connections'!K30</f>
        <v>-28044.86410764806</v>
      </c>
      <c r="M34" s="1378">
        <f>'[3]Feb midyear Madison Prep'!K33+'[3]Feb midyear DArbonne'!K33+'[3]Feb midyear Intl_VIBE '!K33+'[3]Feb midyear NOMMA'!K33+'[3]Feb midyear LFNO '!K33+'[3]Feb midyear Lake Charles Ch'!K33+'[3]Feb midyear JS Clark Academy'!K33+'[3]Feb midyear Southwest LA Ch '!K33+'[3]Feb midyear LA Virtual Admy'!K30+'[3]Feb midyear LA Connections'!K30</f>
        <v>8604.6742148465673</v>
      </c>
      <c r="N34" s="1378">
        <f t="shared" si="19"/>
        <v>-19440.189892801493</v>
      </c>
      <c r="O34" s="356"/>
      <c r="P34" s="356">
        <f>-'Table 5C1A-Madison Prep'!L34</f>
        <v>0</v>
      </c>
      <c r="Q34" s="356">
        <f>-'Table 5C1B-DArbonne'!L34</f>
        <v>0</v>
      </c>
      <c r="R34" s="356">
        <f>-'Table 5C1C-Intl_VIBE'!L34</f>
        <v>0</v>
      </c>
      <c r="S34" s="356">
        <f>-'Table 5C1D-NOMMA'!L34</f>
        <v>0</v>
      </c>
      <c r="T34" s="356">
        <f>-'Table 5C1E-LFNO'!L34</f>
        <v>0</v>
      </c>
      <c r="U34" s="356">
        <f>-'Table 5C1F-Lake Charles Charter'!L34</f>
        <v>0</v>
      </c>
      <c r="V34" s="356">
        <f>-'Table 5C1G-JS Clark Academy'!L34</f>
        <v>0</v>
      </c>
      <c r="W34" s="356">
        <f>-'Table 5C1H-Southwest LA Charter'!L34</f>
        <v>0</v>
      </c>
      <c r="X34" s="314">
        <f>-('Table 5C2 - LA Virtual Admy'!M32+'Table 5C2 - LA Virtual Admy'!I32)</f>
        <v>-62144.869329447429</v>
      </c>
      <c r="Y34" s="314">
        <f>-('Table 5C3 - LA Connections EBR'!M32+'Table 5C3 - LA Connections EBR'!I32)</f>
        <v>-33143.930309038624</v>
      </c>
      <c r="Z34" s="314">
        <f t="shared" si="15"/>
        <v>-95288.79963848606</v>
      </c>
      <c r="AA34" s="542">
        <f t="shared" si="20"/>
        <v>35852809</v>
      </c>
      <c r="AB34" s="310">
        <f>('[4]Table 2_State Distrib and Adjs'!V33*6)+('[5]Table 2_State Distrib and Adjs'!AD33*2)</f>
        <v>23778646</v>
      </c>
      <c r="AC34" s="1531">
        <f t="shared" si="21"/>
        <v>12074163</v>
      </c>
      <c r="AD34" s="1531">
        <f t="shared" si="22"/>
        <v>3018541</v>
      </c>
      <c r="AE34" s="310">
        <f>'Table 4A Stipends'!G30</f>
        <v>0</v>
      </c>
      <c r="AF34" s="356">
        <f t="shared" si="23"/>
        <v>35852809</v>
      </c>
      <c r="AG34" s="1118"/>
      <c r="AH34" s="1120">
        <f>(('2-1-13 SIS'!C33+'2-1-13 SIS'!R33)*'Table 3 Levels 1&amp;2'!AP34)+K34+F34+AE34</f>
        <v>35852809.22852736</v>
      </c>
      <c r="AI34" s="1121">
        <f t="shared" si="24"/>
        <v>-0.22852735966444016</v>
      </c>
    </row>
    <row r="35" spans="1:56">
      <c r="A35" s="99">
        <v>28</v>
      </c>
      <c r="B35" s="301" t="s">
        <v>119</v>
      </c>
      <c r="C35" s="310">
        <f>'Table 3 Levels 1&amp;2'!AO35</f>
        <v>115769516.57933185</v>
      </c>
      <c r="D35" s="356">
        <f>'[1]Adjusted Amounts'!C34</f>
        <v>83265.783342431183</v>
      </c>
      <c r="E35" s="356">
        <f>'[2]Adjusted Amounts'!H34</f>
        <v>-102711.67592119289</v>
      </c>
      <c r="F35" s="356">
        <f t="shared" si="16"/>
        <v>-19445.892578761704</v>
      </c>
      <c r="G35" s="310">
        <f t="shared" si="14"/>
        <v>0</v>
      </c>
      <c r="H35" s="356">
        <f t="shared" si="17"/>
        <v>-19445.892578761704</v>
      </c>
      <c r="I35" s="1378">
        <f>'[3]October midyear adj'!K33</f>
        <v>1122552.7081598602</v>
      </c>
      <c r="J35" s="1378">
        <f>'[3]February midyear adj '!K33</f>
        <v>-293175.27773247211</v>
      </c>
      <c r="K35" s="1378">
        <f t="shared" si="18"/>
        <v>829377.43042738806</v>
      </c>
      <c r="L35" s="1378">
        <f>'[3]Oct midyear Madison Prep'!K34+'[3]Oct midyear DArbonne'!K34+'[3]Oct midyear Intl_VIBE '!K34+'[3]Oct midyear NOMMA'!K34+'[3]Oct midyear LFNO'!K34+'[3]Oct midyear Lake Charles Chtr'!K34+'[3]Oct midyear JS Clark Academy'!K34+'[3]Oct midyear Southwest LA Chtr'!K34+'[3]Oct midyear LA Virtual Admy'!K31+'[3]Oct midyear LA Connections'!K31</f>
        <v>169733.05552932597</v>
      </c>
      <c r="M35" s="1378">
        <f>'[3]Feb midyear Madison Prep'!K34+'[3]Feb midyear DArbonne'!K34+'[3]Feb midyear Intl_VIBE '!K34+'[3]Feb midyear NOMMA'!K34+'[3]Feb midyear LFNO '!K34+'[3]Feb midyear Lake Charles Ch'!K34+'[3]Feb midyear JS Clark Academy'!K34+'[3]Feb midyear Southwest LA Ch '!K34+'[3]Feb midyear LA Virtual Admy'!K31+'[3]Feb midyear LA Connections'!K31</f>
        <v>10608.315970582873</v>
      </c>
      <c r="N35" s="1378">
        <f t="shared" si="19"/>
        <v>180341.37149990886</v>
      </c>
      <c r="O35" s="356"/>
      <c r="P35" s="356">
        <f>-'Table 5C1A-Madison Prep'!L35</f>
        <v>0</v>
      </c>
      <c r="Q35" s="356">
        <f>-'Table 5C1B-DArbonne'!L35</f>
        <v>0</v>
      </c>
      <c r="R35" s="356">
        <f>-'Table 5C1C-Intl_VIBE'!L35</f>
        <v>0</v>
      </c>
      <c r="S35" s="356">
        <f>-'Table 5C1D-NOMMA'!L35</f>
        <v>0</v>
      </c>
      <c r="T35" s="356">
        <f>-'Table 5C1E-LFNO'!L35</f>
        <v>0</v>
      </c>
      <c r="U35" s="356">
        <f>-'Table 5C1F-Lake Charles Charter'!L35</f>
        <v>0</v>
      </c>
      <c r="V35" s="356">
        <f>-'Table 5C1G-JS Clark Academy'!L35</f>
        <v>-1928.7847219241585</v>
      </c>
      <c r="W35" s="356">
        <f>-'Table 5C1H-Southwest LA Charter'!L35</f>
        <v>0</v>
      </c>
      <c r="X35" s="314">
        <f>-('Table 5C2 - LA Virtual Admy'!M33+'Table 5C2 - LA Virtual Admy'!I33)</f>
        <v>-304940.8645362095</v>
      </c>
      <c r="Y35" s="314">
        <f>-('Table 5C3 - LA Connections EBR'!M33+'Table 5C3 - LA Connections EBR'!I33)</f>
        <v>-205222.69441273046</v>
      </c>
      <c r="Z35" s="314">
        <f t="shared" si="15"/>
        <v>-512092.34367086412</v>
      </c>
      <c r="AA35" s="542">
        <f t="shared" si="20"/>
        <v>116247697</v>
      </c>
      <c r="AB35" s="310">
        <f>('[4]Table 2_State Distrib and Adjs'!V34*6)+('[5]Table 2_State Distrib and Adjs'!AD34*2)</f>
        <v>76945546</v>
      </c>
      <c r="AC35" s="1531">
        <f t="shared" si="21"/>
        <v>39302151</v>
      </c>
      <c r="AD35" s="1531">
        <f t="shared" si="22"/>
        <v>9825538</v>
      </c>
      <c r="AE35" s="310">
        <f>'Table 4A Stipends'!G31</f>
        <v>76000</v>
      </c>
      <c r="AF35" s="356">
        <f t="shared" si="23"/>
        <v>116323697</v>
      </c>
      <c r="AG35" s="1118"/>
      <c r="AH35" s="1120">
        <f>(('2-1-13 SIS'!C34+'2-1-13 SIS'!R34)*'Table 3 Levels 1&amp;2'!AP35)+K35+F35+AE35</f>
        <v>116323697.1450095</v>
      </c>
      <c r="AI35" s="1121">
        <f t="shared" si="24"/>
        <v>-0.14500950276851654</v>
      </c>
    </row>
    <row r="36" spans="1:56">
      <c r="A36" s="99">
        <v>29</v>
      </c>
      <c r="B36" s="301" t="s">
        <v>120</v>
      </c>
      <c r="C36" s="310">
        <f>'Table 3 Levels 1&amp;2'!AO36</f>
        <v>64394010.321402714</v>
      </c>
      <c r="D36" s="356">
        <f>'[1]Adjusted Amounts'!C35</f>
        <v>0</v>
      </c>
      <c r="E36" s="356">
        <f>'[2]Adjusted Amounts'!H35</f>
        <v>0</v>
      </c>
      <c r="F36" s="356">
        <f t="shared" si="16"/>
        <v>0</v>
      </c>
      <c r="G36" s="310">
        <f t="shared" si="14"/>
        <v>0</v>
      </c>
      <c r="H36" s="356">
        <f t="shared" si="17"/>
        <v>0</v>
      </c>
      <c r="I36" s="1378">
        <f>'[3]October midyear adj'!K34</f>
        <v>1242782.2739125898</v>
      </c>
      <c r="J36" s="1378">
        <f>'[3]February midyear adj '!K34</f>
        <v>-265974.23665174743</v>
      </c>
      <c r="K36" s="1378">
        <f t="shared" si="18"/>
        <v>976808.03726084228</v>
      </c>
      <c r="L36" s="1378">
        <f>'[3]Oct midyear Madison Prep'!K35+'[3]Oct midyear DArbonne'!K35+'[3]Oct midyear Intl_VIBE '!K35+'[3]Oct midyear NOMMA'!K35+'[3]Oct midyear LFNO'!K35+'[3]Oct midyear Lake Charles Chtr'!K35+'[3]Oct midyear JS Clark Academy'!K35+'[3]Oct midyear Southwest LA Chtr'!K35+'[3]Oct midyear LA Virtual Admy'!K32+'[3]Oct midyear LA Connections'!K32</f>
        <v>25891.297373178961</v>
      </c>
      <c r="M36" s="1378">
        <f>'[3]Feb midyear Madison Prep'!K35+'[3]Feb midyear DArbonne'!K35+'[3]Feb midyear Intl_VIBE '!K35+'[3]Feb midyear NOMMA'!K35+'[3]Feb midyear LFNO '!K35+'[3]Feb midyear Lake Charles Ch'!K35+'[3]Feb midyear JS Clark Academy'!K35+'[3]Feb midyear Southwest LA Ch '!K35+'[3]Feb midyear LA Virtual Admy'!K32+'[3]Feb midyear LA Connections'!K32</f>
        <v>4236.7577519747383</v>
      </c>
      <c r="N36" s="1378">
        <f t="shared" si="19"/>
        <v>30128.0551251537</v>
      </c>
      <c r="O36" s="356"/>
      <c r="P36" s="356">
        <f>-'Table 5C1A-Madison Prep'!L36</f>
        <v>0</v>
      </c>
      <c r="Q36" s="356">
        <f>-'Table 5C1B-DArbonne'!L36</f>
        <v>0</v>
      </c>
      <c r="R36" s="356">
        <f>-'Table 5C1C-Intl_VIBE'!L36</f>
        <v>0</v>
      </c>
      <c r="S36" s="356">
        <f>-'Table 5C1D-NOMMA'!L36</f>
        <v>0</v>
      </c>
      <c r="T36" s="356">
        <f>-'Table 5C1E-LFNO'!L36</f>
        <v>-4707.5086133052646</v>
      </c>
      <c r="U36" s="356">
        <f>-'Table 5C1F-Lake Charles Charter'!L36</f>
        <v>0</v>
      </c>
      <c r="V36" s="356">
        <f>-'Table 5C1G-JS Clark Academy'!L36</f>
        <v>0</v>
      </c>
      <c r="W36" s="356">
        <f>-'Table 5C1H-Southwest LA Charter'!L36</f>
        <v>0</v>
      </c>
      <c r="X36" s="314">
        <f>-('Table 5C2 - LA Virtual Admy'!M34+'Table 5C2 - LA Virtual Admy'!I34)</f>
        <v>-103094.4386313853</v>
      </c>
      <c r="Y36" s="314">
        <f>-('Table 5C3 - LA Connections EBR'!M34+'Table 5C3 - LA Connections EBR'!I34)</f>
        <v>-16476.280146568424</v>
      </c>
      <c r="Z36" s="314">
        <f t="shared" si="15"/>
        <v>-124278.22739125899</v>
      </c>
      <c r="AA36" s="542">
        <f t="shared" si="20"/>
        <v>65276668</v>
      </c>
      <c r="AB36" s="310">
        <f>('[4]Table 2_State Distrib and Adjs'!V35*6)+('[5]Table 2_State Distrib and Adjs'!AD35*2)</f>
        <v>42866574</v>
      </c>
      <c r="AC36" s="1531">
        <f t="shared" si="21"/>
        <v>22410094</v>
      </c>
      <c r="AD36" s="1531">
        <f t="shared" si="22"/>
        <v>5602524</v>
      </c>
      <c r="AE36" s="310">
        <f>'Table 4A Stipends'!G32</f>
        <v>44000</v>
      </c>
      <c r="AF36" s="356">
        <f t="shared" si="23"/>
        <v>65320668</v>
      </c>
      <c r="AG36" s="1118"/>
      <c r="AH36" s="1120">
        <f>(('2-1-13 SIS'!C35+'2-1-13 SIS'!R35)*'Table 3 Levels 1&amp;2'!AP36)+K36+F36+AE36</f>
        <v>65320668.186397456</v>
      </c>
      <c r="AI36" s="1121">
        <f t="shared" si="24"/>
        <v>-0.18639745563268661</v>
      </c>
    </row>
    <row r="37" spans="1:56">
      <c r="A37" s="100">
        <v>30</v>
      </c>
      <c r="B37" s="302" t="s">
        <v>121</v>
      </c>
      <c r="C37" s="318">
        <f>'Table 3 Levels 1&amp;2'!AO37</f>
        <v>15786532.911345201</v>
      </c>
      <c r="D37" s="357">
        <f>'[1]Adjusted Amounts'!C36</f>
        <v>0</v>
      </c>
      <c r="E37" s="357">
        <f>'[2]Adjusted Amounts'!H36</f>
        <v>0</v>
      </c>
      <c r="F37" s="357">
        <f t="shared" si="16"/>
        <v>0</v>
      </c>
      <c r="G37" s="318">
        <f t="shared" si="14"/>
        <v>0</v>
      </c>
      <c r="H37" s="357">
        <f t="shared" si="17"/>
        <v>0</v>
      </c>
      <c r="I37" s="357">
        <f>'[3]October midyear adj'!K35</f>
        <v>210402.09453731487</v>
      </c>
      <c r="J37" s="357">
        <f>'[3]February midyear adj '!K35</f>
        <v>-137080.15250158391</v>
      </c>
      <c r="K37" s="357">
        <f t="shared" si="18"/>
        <v>73321.942035730957</v>
      </c>
      <c r="L37" s="357">
        <f>'[3]Oct midyear Madison Prep'!K36+'[3]Oct midyear DArbonne'!K36+'[3]Oct midyear Intl_VIBE '!K36+'[3]Oct midyear NOMMA'!K36+'[3]Oct midyear LFNO'!K36+'[3]Oct midyear Lake Charles Chtr'!K36+'[3]Oct midyear JS Clark Academy'!K36+'[3]Oct midyear Southwest LA Chtr'!K36+'[3]Oct midyear LA Virtual Admy'!K33+'[3]Oct midyear LA Connections'!K33</f>
        <v>-11476.477883853539</v>
      </c>
      <c r="M37" s="357">
        <f>'[3]Feb midyear Madison Prep'!K36+'[3]Feb midyear DArbonne'!K36+'[3]Feb midyear Intl_VIBE '!K36+'[3]Feb midyear NOMMA'!K36+'[3]Feb midyear LFNO '!K36+'[3]Feb midyear Lake Charles Ch'!K36+'[3]Feb midyear JS Clark Academy'!K36+'[3]Feb midyear Southwest LA Ch '!K36+'[3]Feb midyear LA Virtual Admy'!K33+'[3]Feb midyear LA Connections'!K33</f>
        <v>11476.477883853539</v>
      </c>
      <c r="N37" s="357">
        <f t="shared" si="19"/>
        <v>0</v>
      </c>
      <c r="O37" s="357"/>
      <c r="P37" s="357">
        <f>-'Table 5C1A-Madison Prep'!L37</f>
        <v>0</v>
      </c>
      <c r="Q37" s="357">
        <f>-'Table 5C1B-DArbonne'!L37</f>
        <v>0</v>
      </c>
      <c r="R37" s="357">
        <f>-'Table 5C1C-Intl_VIBE'!L37</f>
        <v>0</v>
      </c>
      <c r="S37" s="357">
        <f>-'Table 5C1D-NOMMA'!L37</f>
        <v>0</v>
      </c>
      <c r="T37" s="357">
        <f>-'Table 5C1E-LFNO'!L37</f>
        <v>0</v>
      </c>
      <c r="U37" s="357">
        <f>-'Table 5C1F-Lake Charles Charter'!L37</f>
        <v>0</v>
      </c>
      <c r="V37" s="357">
        <f>-'Table 5C1G-JS Clark Academy'!L37</f>
        <v>0</v>
      </c>
      <c r="W37" s="357">
        <f>-'Table 5C1H-Southwest LA Charter'!L37</f>
        <v>0</v>
      </c>
      <c r="X37" s="320">
        <f>-('Table 5C2 - LA Virtual Admy'!M35+'Table 5C2 - LA Virtual Admy'!I35)</f>
        <v>-22634.16471537781</v>
      </c>
      <c r="Y37" s="320">
        <f>-('Table 5C3 - LA Connections EBR'!M35+'Table 5C3 - LA Connections EBR'!I35)</f>
        <v>-15620.761564133983</v>
      </c>
      <c r="Z37" s="320">
        <f t="shared" si="15"/>
        <v>-38254.926279511797</v>
      </c>
      <c r="AA37" s="543">
        <f t="shared" si="20"/>
        <v>15821600</v>
      </c>
      <c r="AB37" s="318">
        <f>('[4]Table 2_State Distrib and Adjs'!V36*6)+('[5]Table 2_State Distrib and Adjs'!AD36*2)</f>
        <v>10498854</v>
      </c>
      <c r="AC37" s="318">
        <f t="shared" si="21"/>
        <v>5322746</v>
      </c>
      <c r="AD37" s="318">
        <f t="shared" si="22"/>
        <v>1330687</v>
      </c>
      <c r="AE37" s="318">
        <f>'Table 4A Stipends'!G33</f>
        <v>0</v>
      </c>
      <c r="AF37" s="357">
        <f t="shared" si="23"/>
        <v>15821600</v>
      </c>
      <c r="AG37" s="1118"/>
      <c r="AH37" s="1120">
        <f>(('2-1-13 SIS'!C36+'2-1-13 SIS'!R36)*'Table 3 Levels 1&amp;2'!AP37)+K37+F37+AE37</f>
        <v>15821599.92710142</v>
      </c>
      <c r="AI37" s="1121">
        <f t="shared" si="24"/>
        <v>7.2898579761385918E-2</v>
      </c>
    </row>
    <row r="38" spans="1:56">
      <c r="A38" s="99">
        <v>31</v>
      </c>
      <c r="B38" s="301" t="s">
        <v>122</v>
      </c>
      <c r="C38" s="310">
        <f>'Table 3 Levels 1&amp;2'!AO38</f>
        <v>31831317.859458722</v>
      </c>
      <c r="D38" s="356">
        <f>'[1]Adjusted Amounts'!C37</f>
        <v>2426.8569762554553</v>
      </c>
      <c r="E38" s="356">
        <f>'[2]Adjusted Amounts'!H37</f>
        <v>-5016.8919954006033</v>
      </c>
      <c r="F38" s="356">
        <f t="shared" si="16"/>
        <v>-2590.035019145148</v>
      </c>
      <c r="G38" s="310">
        <f t="shared" si="14"/>
        <v>0</v>
      </c>
      <c r="H38" s="356">
        <f t="shared" si="17"/>
        <v>-2590.035019145148</v>
      </c>
      <c r="I38" s="1378">
        <f>'[3]October midyear adj'!K36</f>
        <v>-19879.043159693188</v>
      </c>
      <c r="J38" s="1378">
        <f>'[3]February midyear adj '!K36</f>
        <v>-82001.05303373441</v>
      </c>
      <c r="K38" s="1378">
        <f t="shared" si="18"/>
        <v>-101880.0961934276</v>
      </c>
      <c r="L38" s="1378">
        <f>'[3]Oct midyear Madison Prep'!K37+'[3]Oct midyear DArbonne'!K37+'[3]Oct midyear Intl_VIBE '!K37+'[3]Oct midyear NOMMA'!K37+'[3]Oct midyear LFNO'!K37+'[3]Oct midyear Lake Charles Chtr'!K37+'[3]Oct midyear JS Clark Academy'!K37+'[3]Oct midyear Southwest LA Chtr'!K37+'[3]Oct midyear LA Virtual Admy'!K34+'[3]Oct midyear LA Connections'!K34</f>
        <v>24351.827870624154</v>
      </c>
      <c r="M38" s="1378">
        <f>'[3]Feb midyear Madison Prep'!K37+'[3]Feb midyear DArbonne'!K37+'[3]Feb midyear Intl_VIBE '!K37+'[3]Feb midyear NOMMA'!K37+'[3]Feb midyear LFNO '!K37+'[3]Feb midyear Lake Charles Ch'!K37+'[3]Feb midyear JS Clark Academy'!K37+'[3]Feb midyear Southwest LA Ch '!K37+'[3]Feb midyear LA Virtual Admy'!K34+'[3]Feb midyear LA Connections'!K34</f>
        <v>2236.3923554654839</v>
      </c>
      <c r="N38" s="1378">
        <f t="shared" si="19"/>
        <v>26588.220226089637</v>
      </c>
      <c r="O38" s="356"/>
      <c r="P38" s="49">
        <f>-'Table 5C1A-Madison Prep'!L38</f>
        <v>0</v>
      </c>
      <c r="Q38" s="356">
        <f>-'Table 5C1B-DArbonne'!L38</f>
        <v>-59637.129479079565</v>
      </c>
      <c r="R38" s="356">
        <f>-'Table 5C1C-Intl_VIBE'!L38</f>
        <v>0</v>
      </c>
      <c r="S38" s="356">
        <f>-'Table 5C1D-NOMMA'!L38</f>
        <v>0</v>
      </c>
      <c r="T38" s="356">
        <f>-'Table 5C1E-LFNO'!L38</f>
        <v>0</v>
      </c>
      <c r="U38" s="356">
        <f>-'Table 5C1F-Lake Charles Charter'!L38</f>
        <v>0</v>
      </c>
      <c r="V38" s="356">
        <f>-'Table 5C1G-JS Clark Academy'!L38</f>
        <v>0</v>
      </c>
      <c r="W38" s="356">
        <f>-'Table 5C1H-Southwest LA Charter'!L38</f>
        <v>0</v>
      </c>
      <c r="X38" s="314">
        <f>-('Table 5C2 - LA Virtual Admy'!M36+'Table 5C2 - LA Virtual Admy'!I36)</f>
        <v>-18885.09100170853</v>
      </c>
      <c r="Y38" s="314">
        <f>-('Table 5C3 - LA Connections EBR'!M36+'Table 5C3 - LA Connections EBR'!I36)</f>
        <v>-17642.650804227706</v>
      </c>
      <c r="Z38" s="314">
        <f t="shared" si="15"/>
        <v>-96164.871285015804</v>
      </c>
      <c r="AA38" s="542">
        <f t="shared" si="20"/>
        <v>31657271</v>
      </c>
      <c r="AB38" s="310">
        <f>('[4]Table 2_State Distrib and Adjs'!V37*6)+('[5]Table 2_State Distrib and Adjs'!AD37*2)</f>
        <v>21172768</v>
      </c>
      <c r="AC38" s="1531">
        <f t="shared" si="21"/>
        <v>10484503</v>
      </c>
      <c r="AD38" s="1531">
        <f t="shared" si="22"/>
        <v>2621126</v>
      </c>
      <c r="AE38" s="310">
        <f>'Table 4A Stipends'!G34</f>
        <v>0</v>
      </c>
      <c r="AF38" s="356">
        <f t="shared" si="23"/>
        <v>31657271</v>
      </c>
      <c r="AG38" s="1118"/>
      <c r="AH38" s="1120">
        <f>(('2-1-13 SIS'!C37+'2-1-13 SIS'!R37)*'Table 3 Levels 1&amp;2'!AP38)+K38+F38+AE38</f>
        <v>31657271.077187225</v>
      </c>
      <c r="AI38" s="1121">
        <f t="shared" si="24"/>
        <v>-7.7187225222587585E-2</v>
      </c>
    </row>
    <row r="39" spans="1:56">
      <c r="A39" s="99">
        <v>32</v>
      </c>
      <c r="B39" s="301" t="s">
        <v>123</v>
      </c>
      <c r="C39" s="310">
        <f>'Table 3 Levels 1&amp;2'!AO39</f>
        <v>151155256.27201599</v>
      </c>
      <c r="D39" s="356">
        <f>'[1]Adjusted Amounts'!C38</f>
        <v>0</v>
      </c>
      <c r="E39" s="356">
        <f>'[2]Adjusted Amounts'!H38</f>
        <v>0</v>
      </c>
      <c r="F39" s="356">
        <f t="shared" si="16"/>
        <v>0</v>
      </c>
      <c r="G39" s="310">
        <f t="shared" si="14"/>
        <v>0</v>
      </c>
      <c r="H39" s="356">
        <f t="shared" si="17"/>
        <v>0</v>
      </c>
      <c r="I39" s="1378">
        <f>'[3]October midyear adj'!K37</f>
        <v>2948182.3105241088</v>
      </c>
      <c r="J39" s="1378">
        <f>'[3]February midyear adj '!K37</f>
        <v>-523850.57583692839</v>
      </c>
      <c r="K39" s="1378">
        <f t="shared" si="18"/>
        <v>2424331.7346871803</v>
      </c>
      <c r="L39" s="1378">
        <f>'[3]Oct midyear Madison Prep'!K38+'[3]Oct midyear DArbonne'!K38+'[3]Oct midyear Intl_VIBE '!K38+'[3]Oct midyear NOMMA'!K38+'[3]Oct midyear LFNO'!K38+'[3]Oct midyear Lake Charles Chtr'!K38+'[3]Oct midyear JS Clark Academy'!K38+'[3]Oct midyear Southwest LA Chtr'!K38+'[3]Oct midyear LA Virtual Admy'!K35+'[3]Oct midyear LA Connections'!K35</f>
        <v>208321.97318166221</v>
      </c>
      <c r="M39" s="1378">
        <f>'[3]Feb midyear Madison Prep'!K38+'[3]Feb midyear DArbonne'!K38+'[3]Feb midyear Intl_VIBE '!K38+'[3]Feb midyear NOMMA'!K38+'[3]Feb midyear LFNO '!K38+'[3]Feb midyear Lake Charles Ch'!K38+'[3]Feb midyear JS Clark Academy'!K38+'[3]Feb midyear Southwest LA Ch '!K38+'[3]Feb midyear LA Virtual Admy'!K35+'[3]Feb midyear LA Connections'!K35</f>
        <v>16446.471566973334</v>
      </c>
      <c r="N39" s="1378">
        <f t="shared" si="19"/>
        <v>224768.44474863555</v>
      </c>
      <c r="O39" s="356"/>
      <c r="P39" s="356">
        <f>-'Table 5C1A-Madison Prep'!L39</f>
        <v>0</v>
      </c>
      <c r="Q39" s="356">
        <f>-'Table 5C1B-DArbonne'!L39</f>
        <v>0</v>
      </c>
      <c r="R39" s="356">
        <f>-'Table 5C1C-Intl_VIBE'!L39</f>
        <v>0</v>
      </c>
      <c r="S39" s="356">
        <f>-'Table 5C1D-NOMMA'!L39</f>
        <v>0</v>
      </c>
      <c r="T39" s="356">
        <f>-'Table 5C1E-LFNO'!L39</f>
        <v>0</v>
      </c>
      <c r="U39" s="356">
        <f>-'Table 5C1F-Lake Charles Charter'!L39</f>
        <v>0</v>
      </c>
      <c r="V39" s="356">
        <f>-'Table 5C1G-JS Clark Academy'!L39</f>
        <v>0</v>
      </c>
      <c r="W39" s="356">
        <f>-'Table 5C1H-Southwest LA Charter'!L39</f>
        <v>0</v>
      </c>
      <c r="X39" s="314">
        <f>-('Table 5C2 - LA Virtual Admy'!M37+'Table 5C2 - LA Virtual Admy'!I37)</f>
        <v>-441618.21800206171</v>
      </c>
      <c r="Y39" s="314">
        <f>-('Table 5C3 - LA Connections EBR'!M37+'Table 5C3 - LA Connections EBR'!I37)</f>
        <v>-441009.08942550712</v>
      </c>
      <c r="Z39" s="314">
        <f t="shared" si="15"/>
        <v>-882627.30742756883</v>
      </c>
      <c r="AA39" s="542">
        <f t="shared" si="20"/>
        <v>152921729</v>
      </c>
      <c r="AB39" s="310">
        <f>('[4]Table 2_State Distrib and Adjs'!V38*6)+('[5]Table 2_State Distrib and Adjs'!AD38*2)</f>
        <v>100331600</v>
      </c>
      <c r="AC39" s="1531">
        <f t="shared" si="21"/>
        <v>52590129</v>
      </c>
      <c r="AD39" s="1531">
        <f t="shared" si="22"/>
        <v>13147532</v>
      </c>
      <c r="AE39" s="310">
        <f>'Table 4A Stipends'!G35</f>
        <v>0</v>
      </c>
      <c r="AF39" s="356">
        <f t="shared" si="23"/>
        <v>152921729</v>
      </c>
      <c r="AG39" s="1118"/>
      <c r="AH39" s="1120">
        <f>(('2-1-13 SIS'!C38+'2-1-13 SIS'!R38)*'Table 3 Levels 1&amp;2'!AP39)+K39+F39+AE39</f>
        <v>152921729.14402422</v>
      </c>
      <c r="AI39" s="1121">
        <f t="shared" si="24"/>
        <v>-0.14402422308921814</v>
      </c>
    </row>
    <row r="40" spans="1:56">
      <c r="A40" s="99">
        <v>33</v>
      </c>
      <c r="B40" s="301" t="s">
        <v>124</v>
      </c>
      <c r="C40" s="310">
        <f>'Table 3 Levels 1&amp;2'!AO40</f>
        <v>10724859.125391999</v>
      </c>
      <c r="D40" s="356">
        <f>'[1]Adjusted Amounts'!C39</f>
        <v>-22324.016662026203</v>
      </c>
      <c r="E40" s="356">
        <f>'[2]Adjusted Amounts'!H39</f>
        <v>-31461.550738993945</v>
      </c>
      <c r="F40" s="356">
        <f t="shared" si="16"/>
        <v>-53785.567401020147</v>
      </c>
      <c r="G40" s="310">
        <f t="shared" si="14"/>
        <v>0</v>
      </c>
      <c r="H40" s="356">
        <f t="shared" si="17"/>
        <v>-53785.567401020147</v>
      </c>
      <c r="I40" s="1378">
        <f>'[3]October midyear adj'!K38</f>
        <v>-2142577.8833093396</v>
      </c>
      <c r="J40" s="1378">
        <f>'[3]February midyear adj '!K38</f>
        <v>-32916.699324584821</v>
      </c>
      <c r="K40" s="1378">
        <f t="shared" si="18"/>
        <v>-2175494.5826339247</v>
      </c>
      <c r="L40" s="1378">
        <f>'[3]Oct midyear Madison Prep'!K39+'[3]Oct midyear DArbonne'!K39+'[3]Oct midyear Intl_VIBE '!K39+'[3]Oct midyear NOMMA'!K39+'[3]Oct midyear LFNO'!K39+'[3]Oct midyear Lake Charles Chtr'!K39+'[3]Oct midyear JS Clark Academy'!K39+'[3]Oct midyear Southwest LA Chtr'!K39+'[3]Oct midyear LA Virtual Admy'!K36+'[3]Oct midyear LA Connections'!K36</f>
        <v>-26931.844901933036</v>
      </c>
      <c r="M40" s="1378">
        <f>'[3]Feb midyear Madison Prep'!K39+'[3]Feb midyear DArbonne'!K39+'[3]Feb midyear Intl_VIBE '!K39+'[3]Feb midyear NOMMA'!K39+'[3]Feb midyear LFNO '!K39+'[3]Feb midyear Lake Charles Ch'!K39+'[3]Feb midyear JS Clark Academy'!K39+'[3]Feb midyear Southwest LA Ch '!K39+'[3]Feb midyear LA Virtual Admy'!K36+'[3]Feb midyear LA Connections'!K36</f>
        <v>2693.1844901933036</v>
      </c>
      <c r="N40" s="1378">
        <f t="shared" si="19"/>
        <v>-24238.660411739733</v>
      </c>
      <c r="O40" s="356"/>
      <c r="P40" s="356">
        <f>-'Table 5C1A-Madison Prep'!L40</f>
        <v>0</v>
      </c>
      <c r="Q40" s="356">
        <f>-'Table 5C1B-DArbonne'!L40</f>
        <v>0</v>
      </c>
      <c r="R40" s="356">
        <f>-'Table 5C1C-Intl_VIBE'!L40</f>
        <v>0</v>
      </c>
      <c r="S40" s="356">
        <f>-'Table 5C1D-NOMMA'!L40</f>
        <v>0</v>
      </c>
      <c r="T40" s="356">
        <f>-'Table 5C1E-LFNO'!L40</f>
        <v>0</v>
      </c>
      <c r="U40" s="356">
        <f>-'Table 5C1F-Lake Charles Charter'!L40</f>
        <v>0</v>
      </c>
      <c r="V40" s="356">
        <f>-'Table 5C1G-JS Clark Academy'!L40</f>
        <v>0</v>
      </c>
      <c r="W40" s="356">
        <f>-'Table 5C1H-Southwest LA Charter'!L40</f>
        <v>0</v>
      </c>
      <c r="X40" s="314">
        <f>-('Table 5C2 - LA Virtual Admy'!M38+'Table 5C2 - LA Virtual Admy'!I38)</f>
        <v>-9276.5243551102685</v>
      </c>
      <c r="Y40" s="314">
        <f>-('Table 5C3 - LA Connections EBR'!M38+'Table 5C3 - LA Connections EBR'!I38)</f>
        <v>-2393.9417690607152</v>
      </c>
      <c r="Z40" s="314">
        <f t="shared" ref="Z40:Z71" si="25">SUM(O40:Y40)</f>
        <v>-11670.466124170984</v>
      </c>
      <c r="AA40" s="542">
        <f t="shared" si="20"/>
        <v>8459670</v>
      </c>
      <c r="AB40" s="310">
        <f>('[4]Table 2_State Distrib and Adjs'!V39*6)+('[5]Table 2_State Distrib and Adjs'!AD39*2)</f>
        <v>6375918</v>
      </c>
      <c r="AC40" s="1531">
        <f t="shared" si="21"/>
        <v>2083752</v>
      </c>
      <c r="AD40" s="1531">
        <f t="shared" si="22"/>
        <v>520938</v>
      </c>
      <c r="AE40" s="310">
        <f>'Table 4A Stipends'!G36</f>
        <v>0</v>
      </c>
      <c r="AF40" s="356">
        <f t="shared" si="23"/>
        <v>8459670</v>
      </c>
      <c r="AG40" s="1118"/>
      <c r="AH40" s="1120">
        <f>(('2-1-13 SIS'!C39+'2-1-13 SIS'!R39)*'Table 3 Levels 1&amp;2'!AP40)+K40+F40+AE40</f>
        <v>8459669.8488211427</v>
      </c>
      <c r="AI40" s="1121">
        <f t="shared" si="24"/>
        <v>0.15117885731160641</v>
      </c>
    </row>
    <row r="41" spans="1:56">
      <c r="A41" s="99">
        <v>34</v>
      </c>
      <c r="B41" s="301" t="s">
        <v>125</v>
      </c>
      <c r="C41" s="310">
        <f>'Table 3 Levels 1&amp;2'!AO41</f>
        <v>28399157.805536002</v>
      </c>
      <c r="D41" s="356">
        <f>'[1]Adjusted Amounts'!C40</f>
        <v>-3204.4489837342553</v>
      </c>
      <c r="E41" s="356">
        <f>'[2]Adjusted Amounts'!H40</f>
        <v>1196.099079508449</v>
      </c>
      <c r="F41" s="356">
        <f t="shared" si="16"/>
        <v>-2008.3499042258063</v>
      </c>
      <c r="G41" s="310">
        <f t="shared" si="14"/>
        <v>0</v>
      </c>
      <c r="H41" s="356">
        <f t="shared" si="17"/>
        <v>-2008.3499042258063</v>
      </c>
      <c r="I41" s="1378">
        <f>'[3]October midyear adj'!K39</f>
        <v>1063638.8691211985</v>
      </c>
      <c r="J41" s="1378">
        <f>'[3]February midyear adj '!K39</f>
        <v>-116335.50131013111</v>
      </c>
      <c r="K41" s="1378">
        <f t="shared" si="18"/>
        <v>947303.3678110675</v>
      </c>
      <c r="L41" s="1378">
        <f>'[3]Oct midyear Madison Prep'!K40+'[3]Oct midyear DArbonne'!K40+'[3]Oct midyear Intl_VIBE '!K40+'[3]Oct midyear NOMMA'!K40+'[3]Oct midyear LFNO'!K40+'[3]Oct midyear Lake Charles Chtr'!K40+'[3]Oct midyear JS Clark Academy'!K40+'[3]Oct midyear Southwest LA Chtr'!K40+'[3]Oct midyear LA Virtual Admy'!K37+'[3]Oct midyear LA Connections'!K37</f>
        <v>35897.811832840453</v>
      </c>
      <c r="M41" s="1378">
        <f>'[3]Feb midyear Madison Prep'!K40+'[3]Feb midyear DArbonne'!K40+'[3]Feb midyear Intl_VIBE '!K40+'[3]Feb midyear NOMMA'!K40+'[3]Feb midyear LFNO '!K40+'[3]Feb midyear Lake Charles Ch'!K40+'[3]Feb midyear JS Clark Academy'!K40+'[3]Feb midyear Southwest LA Ch '!K40+'[3]Feb midyear LA Virtual Admy'!K37+'[3]Feb midyear LA Connections'!K37</f>
        <v>0</v>
      </c>
      <c r="N41" s="1378">
        <f t="shared" si="19"/>
        <v>35897.811832840453</v>
      </c>
      <c r="O41" s="356"/>
      <c r="P41" s="356">
        <f>-'Table 5C1A-Madison Prep'!L41</f>
        <v>0</v>
      </c>
      <c r="Q41" s="356">
        <f>-'Table 5C1B-DArbonne'!L41</f>
        <v>0</v>
      </c>
      <c r="R41" s="356">
        <f>-'Table 5C1C-Intl_VIBE'!L41</f>
        <v>0</v>
      </c>
      <c r="S41" s="356">
        <f>-'Table 5C1D-NOMMA'!L41</f>
        <v>0</v>
      </c>
      <c r="T41" s="356">
        <f>-'Table 5C1E-LFNO'!L41</f>
        <v>0</v>
      </c>
      <c r="U41" s="356">
        <f>-'Table 5C1F-Lake Charles Charter'!L41</f>
        <v>0</v>
      </c>
      <c r="V41" s="356">
        <f>-'Table 5C1G-JS Clark Academy'!L41</f>
        <v>0</v>
      </c>
      <c r="W41" s="356">
        <f>-'Table 5C1H-Southwest LA Charter'!L41</f>
        <v>0</v>
      </c>
      <c r="X41" s="314">
        <f>-('Table 5C2 - LA Virtual Admy'!M39+'Table 5C2 - LA Virtual Admy'!I39)</f>
        <v>-153562.86172937305</v>
      </c>
      <c r="Y41" s="314">
        <f>-('Table 5C3 - LA Connections EBR'!M39+'Table 5C3 - LA Connections EBR'!I39)</f>
        <v>-28585.294607632211</v>
      </c>
      <c r="Z41" s="314">
        <f t="shared" si="25"/>
        <v>-182148.15633700526</v>
      </c>
      <c r="AA41" s="542">
        <f t="shared" si="20"/>
        <v>29198202</v>
      </c>
      <c r="AB41" s="310">
        <f>('[4]Table 2_State Distrib and Adjs'!V40*6)+('[5]Table 2_State Distrib and Adjs'!AD40*2)</f>
        <v>18833934</v>
      </c>
      <c r="AC41" s="1531">
        <f t="shared" si="21"/>
        <v>10364268</v>
      </c>
      <c r="AD41" s="1531">
        <f t="shared" si="22"/>
        <v>2591067</v>
      </c>
      <c r="AE41" s="310">
        <f>'Table 4A Stipends'!G37</f>
        <v>0</v>
      </c>
      <c r="AF41" s="356">
        <f t="shared" si="23"/>
        <v>29198202</v>
      </c>
      <c r="AG41" s="1118"/>
      <c r="AH41" s="1120">
        <f>(('2-1-13 SIS'!C40+'2-1-13 SIS'!R40)*'Table 3 Levels 1&amp;2'!AP41)+K41+F41+AE41</f>
        <v>29198202.47893868</v>
      </c>
      <c r="AI41" s="1121">
        <f t="shared" si="24"/>
        <v>-0.47893868014216423</v>
      </c>
    </row>
    <row r="42" spans="1:56">
      <c r="A42" s="100">
        <v>35</v>
      </c>
      <c r="B42" s="302" t="s">
        <v>126</v>
      </c>
      <c r="C42" s="318">
        <f>'Table 3 Levels 1&amp;2'!AO42</f>
        <v>33391832.964128643</v>
      </c>
      <c r="D42" s="357">
        <f>'[1]Adjusted Amounts'!C41</f>
        <v>-2751.2730480111859</v>
      </c>
      <c r="E42" s="357">
        <f>'[2]Adjusted Amounts'!H41</f>
        <v>1367.8040450900012</v>
      </c>
      <c r="F42" s="357">
        <f t="shared" si="16"/>
        <v>-1383.4690029211847</v>
      </c>
      <c r="G42" s="318">
        <f t="shared" si="14"/>
        <v>0</v>
      </c>
      <c r="H42" s="357">
        <f t="shared" si="17"/>
        <v>-1383.4690029211847</v>
      </c>
      <c r="I42" s="357">
        <f>'[3]October midyear adj'!K40</f>
        <v>-30870.72384973372</v>
      </c>
      <c r="J42" s="357">
        <f>'[3]February midyear adj '!K40</f>
        <v>-208377.38598570263</v>
      </c>
      <c r="K42" s="357">
        <f t="shared" si="18"/>
        <v>-239248.10983543633</v>
      </c>
      <c r="L42" s="357">
        <f>'[3]Oct midyear Madison Prep'!K41+'[3]Oct midyear DArbonne'!K41+'[3]Oct midyear Intl_VIBE '!K41+'[3]Oct midyear NOMMA'!K41+'[3]Oct midyear LFNO'!K41+'[3]Oct midyear Lake Charles Chtr'!K41+'[3]Oct midyear JS Clark Academy'!K41+'[3]Oct midyear Southwest LA Chtr'!K41+'[3]Oct midyear LA Virtual Admy'!K38+'[3]Oct midyear LA Connections'!K38</f>
        <v>9261.2171549201157</v>
      </c>
      <c r="M42" s="357">
        <f>'[3]Feb midyear Madison Prep'!K41+'[3]Feb midyear DArbonne'!K41+'[3]Feb midyear Intl_VIBE '!K41+'[3]Feb midyear NOMMA'!K41+'[3]Feb midyear LFNO '!K41+'[3]Feb midyear Lake Charles Ch'!K41+'[3]Feb midyear JS Clark Academy'!K41+'[3]Feb midyear Southwest LA Ch '!K41+'[3]Feb midyear LA Virtual Admy'!K38+'[3]Feb midyear LA Connections'!K38</f>
        <v>2315.3042887300289</v>
      </c>
      <c r="N42" s="357">
        <f t="shared" si="19"/>
        <v>11576.521443650145</v>
      </c>
      <c r="O42" s="357"/>
      <c r="P42" s="357">
        <f>-'Table 5C1A-Madison Prep'!L42</f>
        <v>0</v>
      </c>
      <c r="Q42" s="357">
        <f>-'Table 5C1B-DArbonne'!L42</f>
        <v>0</v>
      </c>
      <c r="R42" s="357">
        <f>-'Table 5C1C-Intl_VIBE'!L42</f>
        <v>0</v>
      </c>
      <c r="S42" s="357">
        <f>-'Table 5C1D-NOMMA'!L42</f>
        <v>0</v>
      </c>
      <c r="T42" s="357">
        <f>-'Table 5C1E-LFNO'!L42</f>
        <v>0</v>
      </c>
      <c r="U42" s="357">
        <f>-'Table 5C1F-Lake Charles Charter'!L42</f>
        <v>0</v>
      </c>
      <c r="V42" s="357">
        <f>-'Table 5C1G-JS Clark Academy'!L42</f>
        <v>0</v>
      </c>
      <c r="W42" s="357">
        <f>-'Table 5C1H-Southwest LA Charter'!L42</f>
        <v>0</v>
      </c>
      <c r="X42" s="320">
        <f>-('Table 5C2 - LA Virtual Admy'!M40+'Table 5C2 - LA Virtual Admy'!I40)</f>
        <v>-92097.659485038937</v>
      </c>
      <c r="Y42" s="320">
        <f>-('Table 5C3 - LA Connections EBR'!M40+'Table 5C3 - LA Connections EBR'!I40)</f>
        <v>-89267.843132146678</v>
      </c>
      <c r="Z42" s="320">
        <f t="shared" si="25"/>
        <v>-181365.50261718562</v>
      </c>
      <c r="AA42" s="543">
        <f t="shared" si="20"/>
        <v>32981412</v>
      </c>
      <c r="AB42" s="318">
        <f>('[4]Table 2_State Distrib and Adjs'!V41*6)+('[5]Table 2_State Distrib and Adjs'!AD41*2)</f>
        <v>22147106</v>
      </c>
      <c r="AC42" s="318">
        <f t="shared" si="21"/>
        <v>10834306</v>
      </c>
      <c r="AD42" s="318">
        <f t="shared" si="22"/>
        <v>2708577</v>
      </c>
      <c r="AE42" s="318">
        <f>'Table 4A Stipends'!G38</f>
        <v>0</v>
      </c>
      <c r="AF42" s="357">
        <f t="shared" si="23"/>
        <v>32981412</v>
      </c>
      <c r="AG42" s="1118"/>
      <c r="AH42" s="1120">
        <f>(('2-1-13 SIS'!C41+'2-1-13 SIS'!R41)*'Table 3 Levels 1&amp;2'!AP42)+K42+F42+AE42</f>
        <v>32981412.40411675</v>
      </c>
      <c r="AI42" s="1121">
        <f t="shared" si="24"/>
        <v>-0.40411674976348877</v>
      </c>
    </row>
    <row r="43" spans="1:56" ht="12.75" customHeight="1">
      <c r="A43" s="99">
        <v>36</v>
      </c>
      <c r="B43" s="301" t="s">
        <v>127</v>
      </c>
      <c r="C43" s="310">
        <f>'Table 3 Levels 1&amp;2'!AO43</f>
        <v>173218184.92818975</v>
      </c>
      <c r="D43" s="356">
        <f>'[1]Adjusted Amounts'!C42</f>
        <v>1989.6294367055889</v>
      </c>
      <c r="E43" s="356">
        <f>'[2]Adjusted Amounts'!H42</f>
        <v>-6279.6590136872237</v>
      </c>
      <c r="F43" s="356">
        <f t="shared" si="16"/>
        <v>-4290.0295769816348</v>
      </c>
      <c r="G43" s="310">
        <f t="shared" si="14"/>
        <v>0</v>
      </c>
      <c r="H43" s="356">
        <f t="shared" si="17"/>
        <v>-4290.0295769816348</v>
      </c>
      <c r="I43" s="1378">
        <f>'[3]October midyear adj'!K41</f>
        <v>4850897.6232026611</v>
      </c>
      <c r="J43" s="1378">
        <f>'[3]February midyear adj '!K41</f>
        <v>-140174.7999699543</v>
      </c>
      <c r="K43" s="1378">
        <f t="shared" si="18"/>
        <v>4710722.8232327066</v>
      </c>
      <c r="L43" s="2019">
        <f>'[3]Oct midyear Madison Prep'!K42+'[3]Oct midyear DArbonne'!K42+'[3]Oct midyear Intl_VIBE '!K42+'[3]Oct midyear NOMMA'!K42+'[3]Oct midyear LFNO'!K42+'[3]Oct midyear Lake Charles Chtr'!K42+'[3]Oct midyear JS Clark Academy'!K42+'[3]Oct midyear Southwest LA Chtr'!K42+'[3]Oct midyear LA Virtual Admy'!K39+'[3]Oct midyear LA Connections'!K39+'[3]October midyear adj'!$K$198+'[3]October midyear adj'!$K$128</f>
        <v>1081694.1986227846</v>
      </c>
      <c r="M43" s="1378">
        <f>'[3]Feb midyear Madison Prep'!K42+'[3]Feb midyear DArbonne'!K42+'[3]Feb midyear Intl_VIBE '!K42+'[3]Feb midyear NOMMA'!K42+'[3]Feb midyear LFNO '!K42+'[3]Feb midyear Lake Charles Ch'!K42+'[3]Feb midyear JS Clark Academy'!K42+'[3]Feb midyear Southwest LA Ch '!K42+'[3]Feb midyear LA Virtual Admy'!K39+'[3]Feb midyear LA Connections'!K39+'[3]February midyear adj '!$K$128+'[3]February midyear adj '!$K$198</f>
        <v>116719.29920232861</v>
      </c>
      <c r="N43" s="1378">
        <f t="shared" si="19"/>
        <v>1198413.4978251131</v>
      </c>
      <c r="O43" s="356">
        <f>-'Table 5B1_RSD_Orleans'!L70</f>
        <v>-123930074.42137612</v>
      </c>
      <c r="P43" s="49">
        <f>-'Table 5C1A-Madison Prep'!L43</f>
        <v>0</v>
      </c>
      <c r="Q43" s="356">
        <f>-'Table 5C1B-DArbonne'!L43</f>
        <v>0</v>
      </c>
      <c r="R43" s="356">
        <f>-'Table 5C1C-Intl_VIBE'!L43</f>
        <v>-1725808.5516453716</v>
      </c>
      <c r="S43" s="356">
        <f>-'Table 5C1D-NOMMA'!L43</f>
        <v>-667710.84878244915</v>
      </c>
      <c r="T43" s="356">
        <f>-'Table 5C1E-LFNO'!L43</f>
        <v>-955701.15097296238</v>
      </c>
      <c r="U43" s="356">
        <f>-'Table 5C1F-Lake Charles Charter'!L43</f>
        <v>0</v>
      </c>
      <c r="V43" s="356">
        <f>-'Table 5C1G-JS Clark Academy'!L43</f>
        <v>0</v>
      </c>
      <c r="W43" s="356">
        <f>-'Table 5C1H-Southwest LA Charter'!L43</f>
        <v>0</v>
      </c>
      <c r="X43" s="314">
        <f>-('Table 5C2 - LA Virtual Admy'!M41+'Table 5C2 - LA Virtual Admy'!I41)</f>
        <v>-284239.36946487124</v>
      </c>
      <c r="Y43" s="314">
        <f>-('Table 5C3 - LA Connections EBR'!M41+'Table 5C3 - LA Connections EBR'!I41)</f>
        <v>-146173.24047126333</v>
      </c>
      <c r="Z43" s="314">
        <f t="shared" si="25"/>
        <v>-127709707.58271304</v>
      </c>
      <c r="AA43" s="542">
        <f t="shared" si="20"/>
        <v>51413324</v>
      </c>
      <c r="AB43" s="310">
        <f>('[4]Table 2_State Distrib and Adjs'!V42*6)+('[5]Table 2_State Distrib and Adjs'!AD42*2)</f>
        <v>31135066</v>
      </c>
      <c r="AC43" s="1531">
        <f t="shared" si="21"/>
        <v>20278258</v>
      </c>
      <c r="AD43" s="1531">
        <f t="shared" si="22"/>
        <v>5069565</v>
      </c>
      <c r="AE43" s="310">
        <f>'Table 4A Stipends'!G39</f>
        <v>84000</v>
      </c>
      <c r="AF43" s="356">
        <f t="shared" si="23"/>
        <v>51497324</v>
      </c>
      <c r="AG43" s="1118"/>
      <c r="AH43" s="1120">
        <f>'Table 5B1_RSD_Orleans'!H7+K43+F43+AE43</f>
        <v>51502622.650158577</v>
      </c>
      <c r="AI43" s="1121">
        <f t="shared" si="24"/>
        <v>-5298.6501585766673</v>
      </c>
      <c r="AJ43" s="2114"/>
      <c r="AK43" s="2115"/>
      <c r="AL43" s="2115"/>
      <c r="AM43" s="2115"/>
      <c r="AN43" s="2115"/>
      <c r="AO43" s="2115"/>
      <c r="AP43" s="2115"/>
      <c r="AQ43" s="2115"/>
      <c r="AR43" s="2115"/>
      <c r="AS43" s="2115"/>
      <c r="AT43" s="2115"/>
      <c r="AU43" s="2115"/>
      <c r="AV43" s="2115"/>
      <c r="AW43" s="2115"/>
      <c r="AX43" s="2115"/>
      <c r="AY43" s="2115"/>
      <c r="AZ43" s="2115"/>
      <c r="BA43" s="2115"/>
      <c r="BB43" s="2115"/>
      <c r="BC43" s="2115"/>
      <c r="BD43" s="2115"/>
    </row>
    <row r="44" spans="1:56">
      <c r="A44" s="99">
        <v>37</v>
      </c>
      <c r="B44" s="301" t="s">
        <v>128</v>
      </c>
      <c r="C44" s="310">
        <f>'Table 3 Levels 1&amp;2'!AO44</f>
        <v>120819905.58837695</v>
      </c>
      <c r="D44" s="356">
        <f>'[1]Adjusted Amounts'!C43</f>
        <v>6125.6994180640613</v>
      </c>
      <c r="E44" s="356">
        <f>'[2]Adjusted Amounts'!H43</f>
        <v>-121804.72470372164</v>
      </c>
      <c r="F44" s="356">
        <f t="shared" si="16"/>
        <v>-115679.02528565758</v>
      </c>
      <c r="G44" s="310">
        <f t="shared" si="14"/>
        <v>0</v>
      </c>
      <c r="H44" s="356">
        <f t="shared" si="17"/>
        <v>-115679.02528565758</v>
      </c>
      <c r="I44" s="1378">
        <f>'[3]October midyear adj'!K42</f>
        <v>-332497.95646582177</v>
      </c>
      <c r="J44" s="1378">
        <f>'[3]February midyear adj '!K42</f>
        <v>-375599.54341509496</v>
      </c>
      <c r="K44" s="1378">
        <f t="shared" si="18"/>
        <v>-708097.49988091667</v>
      </c>
      <c r="L44" s="1378">
        <f>'[3]Oct midyear Madison Prep'!K43+'[3]Oct midyear DArbonne'!K43+'[3]Oct midyear Intl_VIBE '!K43+'[3]Oct midyear NOMMA'!K43+'[3]Oct midyear LFNO'!K43+'[3]Oct midyear Lake Charles Chtr'!K43+'[3]Oct midyear JS Clark Academy'!K43+'[3]Oct midyear Southwest LA Chtr'!K43+'[3]Oct midyear LA Virtual Admy'!K40+'[3]Oct midyear LA Connections'!K40</f>
        <v>144082.44780185612</v>
      </c>
      <c r="M44" s="1378">
        <f>'[3]Feb midyear Madison Prep'!K43+'[3]Feb midyear DArbonne'!K43+'[3]Feb midyear Intl_VIBE '!K43+'[3]Feb midyear NOMMA'!K43+'[3]Feb midyear LFNO '!K43+'[3]Feb midyear Lake Charles Ch'!K43+'[3]Feb midyear JS Clark Academy'!K43+'[3]Feb midyear Southwest LA Ch '!K43+'[3]Feb midyear LA Virtual Admy'!K40+'[3]Feb midyear LA Connections'!K40</f>
        <v>11083.265215527394</v>
      </c>
      <c r="N44" s="1378">
        <f t="shared" si="19"/>
        <v>155165.7130173835</v>
      </c>
      <c r="O44" s="356"/>
      <c r="P44" s="49">
        <f>-'Table 5C1A-Madison Prep'!L44</f>
        <v>0</v>
      </c>
      <c r="Q44" s="356">
        <f>-'Table 5C1B-DArbonne'!L44</f>
        <v>-18472.108692545655</v>
      </c>
      <c r="R44" s="356">
        <f>-'Table 5C1C-Intl_VIBE'!L44</f>
        <v>0</v>
      </c>
      <c r="S44" s="356">
        <f>-'Table 5C1D-NOMMA'!L44</f>
        <v>0</v>
      </c>
      <c r="T44" s="356">
        <f>-'Table 5C1E-LFNO'!L44</f>
        <v>0</v>
      </c>
      <c r="U44" s="356">
        <f>-'Table 5C1F-Lake Charles Charter'!L44</f>
        <v>0</v>
      </c>
      <c r="V44" s="356">
        <f>-'Table 5C1G-JS Clark Academy'!L44</f>
        <v>0</v>
      </c>
      <c r="W44" s="356">
        <f>-'Table 5C1H-Southwest LA Charter'!L44</f>
        <v>0</v>
      </c>
      <c r="X44" s="314">
        <f>-('Table 5C2 - LA Virtual Admy'!M42+'Table 5C2 - LA Virtual Admy'!I42)</f>
        <v>-322030.42820671259</v>
      </c>
      <c r="Y44" s="314">
        <f>-('Table 5C3 - LA Connections EBR'!M42+'Table 5C3 - LA Connections EBR'!I42)</f>
        <v>-165633.24127649271</v>
      </c>
      <c r="Z44" s="314">
        <f t="shared" si="25"/>
        <v>-506135.77817575098</v>
      </c>
      <c r="AA44" s="542">
        <f t="shared" si="20"/>
        <v>119645159</v>
      </c>
      <c r="AB44" s="310">
        <f>('[4]Table 2_State Distrib and Adjs'!V43*6)+('[5]Table 2_State Distrib and Adjs'!AD43*2)</f>
        <v>80235504</v>
      </c>
      <c r="AC44" s="1531">
        <f t="shared" si="21"/>
        <v>39409655</v>
      </c>
      <c r="AD44" s="1531">
        <f t="shared" si="22"/>
        <v>9852414</v>
      </c>
      <c r="AE44" s="310">
        <f>'Table 4A Stipends'!G40</f>
        <v>0</v>
      </c>
      <c r="AF44" s="356">
        <f t="shared" si="23"/>
        <v>119645159</v>
      </c>
      <c r="AG44" s="1119"/>
      <c r="AH44" s="1120">
        <f>(('2-1-13 SIS'!C43+'2-1-13 SIS'!R43)*'Table 3 Levels 1&amp;2'!AP44)+K44+F44+AE44</f>
        <v>119645158.998052</v>
      </c>
      <c r="AI44" s="1122">
        <f t="shared" si="24"/>
        <v>1.9479990005493164E-3</v>
      </c>
      <c r="AJ44" s="544"/>
      <c r="AK44" s="544"/>
    </row>
    <row r="45" spans="1:56">
      <c r="A45" s="99">
        <v>38</v>
      </c>
      <c r="B45" s="301" t="s">
        <v>129</v>
      </c>
      <c r="C45" s="310">
        <f>'Table 3 Levels 1&amp;2'!AO45</f>
        <v>11516389.949999999</v>
      </c>
      <c r="D45" s="356">
        <f>'[1]Adjusted Amounts'!C44</f>
        <v>4839.7174128218885</v>
      </c>
      <c r="E45" s="356">
        <f>'[2]Adjusted Amounts'!H44</f>
        <v>-54853.560227771537</v>
      </c>
      <c r="F45" s="356">
        <f t="shared" si="16"/>
        <v>-50013.842814949647</v>
      </c>
      <c r="G45" s="310">
        <f t="shared" si="14"/>
        <v>0</v>
      </c>
      <c r="H45" s="356">
        <f t="shared" si="17"/>
        <v>-50013.842814949647</v>
      </c>
      <c r="I45" s="1378">
        <f>'[3]October midyear adj'!K43</f>
        <v>226700.58956692915</v>
      </c>
      <c r="J45" s="1378">
        <f>'[3]February midyear adj '!K43</f>
        <v>-22670.058956692912</v>
      </c>
      <c r="K45" s="1378">
        <f t="shared" si="18"/>
        <v>204030.53061023622</v>
      </c>
      <c r="L45" s="1378">
        <f>'[3]Oct midyear Madison Prep'!K44+'[3]Oct midyear DArbonne'!K44+'[3]Oct midyear Intl_VIBE '!K44+'[3]Oct midyear NOMMA'!K44+'[3]Oct midyear LFNO'!K44+'[3]Oct midyear Lake Charles Chtr'!K44+'[3]Oct midyear JS Clark Academy'!K44+'[3]Oct midyear Southwest LA Chtr'!K44+'[3]Oct midyear LA Virtual Admy'!K41+'[3]Oct midyear LA Connections'!K41</f>
        <v>23274.593862204725</v>
      </c>
      <c r="M45" s="1378">
        <f>'[3]Feb midyear Madison Prep'!K44+'[3]Feb midyear DArbonne'!K44+'[3]Feb midyear Intl_VIBE '!K44+'[3]Feb midyear NOMMA'!K44+'[3]Feb midyear LFNO '!K44+'[3]Feb midyear Lake Charles Ch'!K44+'[3]Feb midyear JS Clark Academy'!K44+'[3]Feb midyear Southwest LA Ch '!K44+'[3]Feb midyear LA Virtual Admy'!K41+'[3]Feb midyear LA Connections'!K41</f>
        <v>-6196.4827814960627</v>
      </c>
      <c r="N45" s="1378">
        <f t="shared" si="19"/>
        <v>17078.111080708662</v>
      </c>
      <c r="O45" s="356"/>
      <c r="P45" s="49">
        <f>-'Table 5C1A-Madison Prep'!L45</f>
        <v>0</v>
      </c>
      <c r="Q45" s="356">
        <f>-'Table 5C1B-DArbonne'!L45</f>
        <v>0</v>
      </c>
      <c r="R45" s="356">
        <f>-'Table 5C1C-Intl_VIBE'!L45</f>
        <v>0</v>
      </c>
      <c r="S45" s="356">
        <f>-'Table 5C1D-NOMMA'!L45</f>
        <v>-28715.408011811025</v>
      </c>
      <c r="T45" s="356">
        <f>-'Table 5C1E-LFNO'!L45</f>
        <v>-12090.698110236221</v>
      </c>
      <c r="U45" s="356">
        <f>-'Table 5C1F-Lake Charles Charter'!L45</f>
        <v>0</v>
      </c>
      <c r="V45" s="356">
        <f>-'Table 5C1G-JS Clark Academy'!L45</f>
        <v>0</v>
      </c>
      <c r="W45" s="356">
        <f>-'Table 5C1H-Southwest LA Charter'!L45</f>
        <v>0</v>
      </c>
      <c r="X45" s="314">
        <f>-('Table 5C2 - LA Virtual Admy'!M43+'Table 5C2 - LA Virtual Admy'!I43)</f>
        <v>-15566.773816929135</v>
      </c>
      <c r="Y45" s="314">
        <f>-('Table 5C3 - LA Connections EBR'!M43+'Table 5C3 - LA Connections EBR'!I43)</f>
        <v>-18136.047165354332</v>
      </c>
      <c r="Z45" s="314">
        <f t="shared" si="25"/>
        <v>-74508.927104330709</v>
      </c>
      <c r="AA45" s="542">
        <f t="shared" si="20"/>
        <v>11612976</v>
      </c>
      <c r="AB45" s="310">
        <f>('[4]Table 2_State Distrib and Adjs'!V44*6)+('[5]Table 2_State Distrib and Adjs'!AD44*2)</f>
        <v>7605962</v>
      </c>
      <c r="AC45" s="1531">
        <f t="shared" si="21"/>
        <v>4007014</v>
      </c>
      <c r="AD45" s="1531">
        <f t="shared" si="22"/>
        <v>1001754</v>
      </c>
      <c r="AE45" s="310">
        <f>'Table 4A Stipends'!G41</f>
        <v>4000</v>
      </c>
      <c r="AF45" s="356">
        <f t="shared" si="23"/>
        <v>11616976</v>
      </c>
      <c r="AG45" s="1119"/>
      <c r="AH45" s="1120">
        <f>(('2-1-13 SIS'!C44+'2-1-13 SIS'!R44)*'Table 3 Levels 1&amp;2'!AP45)+K45+F45+AE45</f>
        <v>11616975.821771661</v>
      </c>
      <c r="AI45" s="1122">
        <f t="shared" si="24"/>
        <v>0.1782283391803503</v>
      </c>
      <c r="AJ45" s="544"/>
      <c r="AK45" s="544"/>
    </row>
    <row r="46" spans="1:56">
      <c r="A46" s="99">
        <v>39</v>
      </c>
      <c r="B46" s="301" t="s">
        <v>130</v>
      </c>
      <c r="C46" s="310">
        <f>'Table 3 Levels 1&amp;2'!AO46</f>
        <v>12547386.373376422</v>
      </c>
      <c r="D46" s="356">
        <f>'[1]Adjusted Amounts'!C45</f>
        <v>0</v>
      </c>
      <c r="E46" s="356">
        <f>'[2]Adjusted Amounts'!H45</f>
        <v>0</v>
      </c>
      <c r="F46" s="356">
        <f t="shared" si="16"/>
        <v>0</v>
      </c>
      <c r="G46" s="310">
        <f t="shared" si="14"/>
        <v>0</v>
      </c>
      <c r="H46" s="356">
        <f t="shared" si="17"/>
        <v>0</v>
      </c>
      <c r="I46" s="1378">
        <f>'[3]October midyear adj'!K44</f>
        <v>22098.250041170169</v>
      </c>
      <c r="J46" s="1378">
        <f>'[3]February midyear adj '!K44</f>
        <v>-11049.125020585085</v>
      </c>
      <c r="K46" s="1378">
        <f t="shared" si="18"/>
        <v>11049.125020585085</v>
      </c>
      <c r="L46" s="2019">
        <f>'[3]Oct midyear Madison Prep'!K45+'[3]Oct midyear DArbonne'!K45+'[3]Oct midyear Intl_VIBE '!K45+'[3]Oct midyear NOMMA'!K45+'[3]Oct midyear LFNO'!K45+'[3]Oct midyear Lake Charles Chtr'!K45+'[3]Oct midyear JS Clark Academy'!K45+'[3]Oct midyear Southwest LA Chtr'!K45+'[3]Oct midyear LA Virtual Admy'!K42+'[3]Oct midyear LA Connections'!K42+'[3]October midyear adj'!$K$135</f>
        <v>-171482.4203194805</v>
      </c>
      <c r="M46" s="1378">
        <f>'[3]Feb midyear Madison Prep'!K45+'[3]Feb midyear DArbonne'!K45+'[3]Feb midyear Intl_VIBE '!K45+'[3]Feb midyear NOMMA'!K45+'[3]Feb midyear LFNO '!K45+'[3]Feb midyear Lake Charles Ch'!K45+'[3]Feb midyear JS Clark Academy'!K45+'[3]Feb midyear Southwest LA Ch '!K45+'[3]Feb midyear LA Virtual Admy'!K42+'[3]Feb midyear LA Connections'!K42+'[3]February midyear adj '!$K$135</f>
        <v>-10607.160019761681</v>
      </c>
      <c r="N46" s="1378">
        <f t="shared" si="19"/>
        <v>-182089.58033924218</v>
      </c>
      <c r="O46" s="356">
        <f>-'Table 5B2_RSD_LA'!L23</f>
        <v>-811006.09833769698</v>
      </c>
      <c r="P46" s="356">
        <f>-'Table 5C1A-Madison Prep'!L46</f>
        <v>0</v>
      </c>
      <c r="Q46" s="356">
        <f>-'Table 5C1B-DArbonne'!L46</f>
        <v>0</v>
      </c>
      <c r="R46" s="356">
        <f>-'Table 5C1C-Intl_VIBE'!L46</f>
        <v>0</v>
      </c>
      <c r="S46" s="356">
        <f>-'Table 5C1D-NOMMA'!L46</f>
        <v>0</v>
      </c>
      <c r="T46" s="356">
        <f>-'Table 5C1E-LFNO'!L46</f>
        <v>0</v>
      </c>
      <c r="U46" s="356">
        <f>-'Table 5C1F-Lake Charles Charter'!L46</f>
        <v>0</v>
      </c>
      <c r="V46" s="356">
        <f>-'Table 5C1G-JS Clark Academy'!L46</f>
        <v>0</v>
      </c>
      <c r="W46" s="356">
        <f>-'Table 5C1H-Southwest LA Charter'!L46</f>
        <v>0</v>
      </c>
      <c r="X46" s="314">
        <f>-('Table 5C2 - LA Virtual Admy'!M44+'Table 5C2 - LA Virtual Admy'!I44)</f>
        <v>-23203.162543228678</v>
      </c>
      <c r="Y46" s="314">
        <f>-('Table 5C3 - LA Connections EBR'!M44+'Table 5C3 - LA Connections EBR'!I44)</f>
        <v>-39997.832574518012</v>
      </c>
      <c r="Z46" s="314">
        <f t="shared" si="25"/>
        <v>-874207.09345544374</v>
      </c>
      <c r="AA46" s="542">
        <f t="shared" si="20"/>
        <v>11502139</v>
      </c>
      <c r="AB46" s="310">
        <f>('[4]Table 2_State Distrib and Adjs'!V45*6)+('[5]Table 2_State Distrib and Adjs'!AD45*2)</f>
        <v>7660728</v>
      </c>
      <c r="AC46" s="1531">
        <f t="shared" si="21"/>
        <v>3841411</v>
      </c>
      <c r="AD46" s="1531">
        <f t="shared" si="22"/>
        <v>960353</v>
      </c>
      <c r="AE46" s="310">
        <f>'Table 4A Stipends'!G42</f>
        <v>0</v>
      </c>
      <c r="AF46" s="356">
        <f t="shared" si="23"/>
        <v>11502139</v>
      </c>
      <c r="AG46" s="1119"/>
      <c r="AH46" s="1120">
        <f>(('2-1-13 SIS'!C45+'2-1-13 SIS'!R45)*'Table 3 Levels 1&amp;2'!AP46)+K46+F46+AE46</f>
        <v>11502139.146429073</v>
      </c>
      <c r="AI46" s="1122">
        <f t="shared" si="24"/>
        <v>-0.14642907306551933</v>
      </c>
      <c r="AJ46" s="544"/>
      <c r="AK46" s="544"/>
    </row>
    <row r="47" spans="1:56">
      <c r="A47" s="100">
        <v>40</v>
      </c>
      <c r="B47" s="302" t="s">
        <v>131</v>
      </c>
      <c r="C47" s="318">
        <f>'Table 3 Levels 1&amp;2'!AO47</f>
        <v>129320932.07805601</v>
      </c>
      <c r="D47" s="357">
        <f>'[1]Adjusted Amounts'!C46</f>
        <v>-49491.345815212408</v>
      </c>
      <c r="E47" s="357">
        <f>'[2]Adjusted Amounts'!H46</f>
        <v>-84977.022217588383</v>
      </c>
      <c r="F47" s="357">
        <f t="shared" si="16"/>
        <v>-134468.36803280079</v>
      </c>
      <c r="G47" s="318">
        <f t="shared" si="14"/>
        <v>0</v>
      </c>
      <c r="H47" s="357">
        <f t="shared" si="17"/>
        <v>-134468.36803280079</v>
      </c>
      <c r="I47" s="357">
        <f>'[3]October midyear adj'!K45</f>
        <v>1255215.1405182369</v>
      </c>
      <c r="J47" s="357">
        <f>'[3]February midyear adj '!K45</f>
        <v>-588206.19813522766</v>
      </c>
      <c r="K47" s="357">
        <f t="shared" si="18"/>
        <v>667008.94238300924</v>
      </c>
      <c r="L47" s="357">
        <f>'[3]Oct midyear Madison Prep'!K46+'[3]Oct midyear DArbonne'!K46+'[3]Oct midyear Intl_VIBE '!K46+'[3]Oct midyear NOMMA'!K46+'[3]Oct midyear LFNO'!K46+'[3]Oct midyear Lake Charles Chtr'!K46+'[3]Oct midyear JS Clark Academy'!K46+'[3]Oct midyear Southwest LA Chtr'!K46+'[3]Oct midyear LA Virtual Admy'!K43+'[3]Oct midyear LA Connections'!K43</f>
        <v>172240.28385586568</v>
      </c>
      <c r="M47" s="357">
        <f>'[3]Feb midyear Madison Prep'!K46+'[3]Feb midyear DArbonne'!K46+'[3]Feb midyear Intl_VIBE '!K46+'[3]Feb midyear NOMMA'!K46+'[3]Feb midyear LFNO '!K46+'[3]Feb midyear Lake Charles Ch'!K46+'[3]Feb midyear JS Clark Academy'!K46+'[3]Feb midyear Southwest LA Ch '!K46+'[3]Feb midyear LA Virtual Admy'!K43+'[3]Feb midyear LA Connections'!K43</f>
        <v>2532.9453508215543</v>
      </c>
      <c r="N47" s="357">
        <f t="shared" si="19"/>
        <v>174773.22920668725</v>
      </c>
      <c r="O47" s="357"/>
      <c r="P47" s="357">
        <f>-'Table 5C1A-Madison Prep'!L47</f>
        <v>0</v>
      </c>
      <c r="Q47" s="357">
        <f>-'Table 5C1B-DArbonne'!L47</f>
        <v>0</v>
      </c>
      <c r="R47" s="357">
        <f>-'Table 5C1C-Intl_VIBE'!L47</f>
        <v>0</v>
      </c>
      <c r="S47" s="357">
        <f>-'Table 5C1D-NOMMA'!L47</f>
        <v>0</v>
      </c>
      <c r="T47" s="357">
        <f>-'Table 5C1E-LFNO'!L47</f>
        <v>0</v>
      </c>
      <c r="U47" s="357">
        <f>-'Table 5C1F-Lake Charles Charter'!L47</f>
        <v>0</v>
      </c>
      <c r="V47" s="357">
        <f>-'Table 5C1G-JS Clark Academy'!L47</f>
        <v>0</v>
      </c>
      <c r="W47" s="357">
        <f>-'Table 5C1H-Southwest LA Charter'!L47</f>
        <v>0</v>
      </c>
      <c r="X47" s="320">
        <f>-('Table 5C2 - LA Virtual Admy'!M45+'Table 5C2 - LA Virtual Admy'!I45)</f>
        <v>-316899.60722500779</v>
      </c>
      <c r="Y47" s="320">
        <f>-('Table 5C3 - LA Connections EBR'!M45+'Table 5C3 - LA Connections EBR'!I45)</f>
        <v>-189970.90131161659</v>
      </c>
      <c r="Z47" s="320">
        <f t="shared" si="25"/>
        <v>-506870.50853662437</v>
      </c>
      <c r="AA47" s="543">
        <f t="shared" si="20"/>
        <v>129521375</v>
      </c>
      <c r="AB47" s="318">
        <f>('[4]Table 2_State Distrib and Adjs'!V46*6)+('[5]Table 2_State Distrib and Adjs'!AD46*2)</f>
        <v>85902912</v>
      </c>
      <c r="AC47" s="318">
        <f t="shared" si="21"/>
        <v>43618463</v>
      </c>
      <c r="AD47" s="318">
        <f t="shared" si="22"/>
        <v>10904616</v>
      </c>
      <c r="AE47" s="318">
        <f>'Table 4A Stipends'!G43</f>
        <v>0</v>
      </c>
      <c r="AF47" s="357">
        <f t="shared" si="23"/>
        <v>129521375</v>
      </c>
      <c r="AG47" s="1118"/>
      <c r="AH47" s="1120">
        <f>(('2-1-13 SIS'!C46+'2-1-13 SIS'!R46)*'Table 3 Levels 1&amp;2'!AP47)+K47+F47+AE47</f>
        <v>129521375.37307627</v>
      </c>
      <c r="AI47" s="1121">
        <f t="shared" si="24"/>
        <v>-0.37307627499103546</v>
      </c>
    </row>
    <row r="48" spans="1:56">
      <c r="A48" s="99">
        <v>41</v>
      </c>
      <c r="B48" s="301" t="s">
        <v>132</v>
      </c>
      <c r="C48" s="310">
        <f>'Table 3 Levels 1&amp;2'!AO48</f>
        <v>3530069.92</v>
      </c>
      <c r="D48" s="356">
        <f>'[1]Adjusted Amounts'!C47</f>
        <v>0</v>
      </c>
      <c r="E48" s="356">
        <f>'[2]Adjusted Amounts'!H47</f>
        <v>0</v>
      </c>
      <c r="F48" s="356">
        <f t="shared" si="16"/>
        <v>0</v>
      </c>
      <c r="G48" s="310">
        <f t="shared" si="14"/>
        <v>0</v>
      </c>
      <c r="H48" s="356">
        <f t="shared" si="17"/>
        <v>0</v>
      </c>
      <c r="I48" s="1378">
        <f>'[3]October midyear adj'!K46</f>
        <v>105076.49655563429</v>
      </c>
      <c r="J48" s="1378">
        <f>'[3]February midyear adj '!K46</f>
        <v>0</v>
      </c>
      <c r="K48" s="1378">
        <f t="shared" si="18"/>
        <v>105076.49655563429</v>
      </c>
      <c r="L48" s="1378">
        <f>'[3]Oct midyear Madison Prep'!K47+'[3]Oct midyear DArbonne'!K47+'[3]Oct midyear Intl_VIBE '!K47+'[3]Oct midyear NOMMA'!K47+'[3]Oct midyear LFNO'!K47+'[3]Oct midyear Lake Charles Chtr'!K47+'[3]Oct midyear JS Clark Academy'!K47+'[3]Oct midyear Southwest LA Chtr'!K47+'[3]Oct midyear LA Virtual Admy'!K44+'[3]Oct midyear LA Connections'!K44</f>
        <v>-2251.6392119064494</v>
      </c>
      <c r="M48" s="1378">
        <f>'[3]Feb midyear Madison Prep'!K47+'[3]Feb midyear DArbonne'!K47+'[3]Feb midyear Intl_VIBE '!K47+'[3]Feb midyear NOMMA'!K47+'[3]Feb midyear LFNO '!K47+'[3]Feb midyear Lake Charles Ch'!K47+'[3]Feb midyear JS Clark Academy'!K47+'[3]Feb midyear Southwest LA Ch '!K47+'[3]Feb midyear LA Virtual Admy'!K44+'[3]Feb midyear LA Connections'!K44</f>
        <v>-1125.8196059532247</v>
      </c>
      <c r="N48" s="1378">
        <f t="shared" si="19"/>
        <v>-3377.4588178596741</v>
      </c>
      <c r="O48" s="356"/>
      <c r="P48" s="356">
        <f>-'Table 5C1A-Madison Prep'!L48</f>
        <v>0</v>
      </c>
      <c r="Q48" s="356">
        <f>-'Table 5C1B-DArbonne'!L48</f>
        <v>0</v>
      </c>
      <c r="R48" s="356">
        <f>-'Table 5C1C-Intl_VIBE'!L48</f>
        <v>0</v>
      </c>
      <c r="S48" s="356">
        <f>-'Table 5C1D-NOMMA'!L48</f>
        <v>0</v>
      </c>
      <c r="T48" s="356">
        <f>-'Table 5C1E-LFNO'!L48</f>
        <v>0</v>
      </c>
      <c r="U48" s="356">
        <f>-'Table 5C1F-Lake Charles Charter'!L48</f>
        <v>0</v>
      </c>
      <c r="V48" s="356">
        <f>-'Table 5C1G-JS Clark Academy'!L48</f>
        <v>0</v>
      </c>
      <c r="W48" s="356">
        <f>-'Table 5C1H-Southwest LA Charter'!L48</f>
        <v>0</v>
      </c>
      <c r="X48" s="314">
        <f>-('Table 5C2 - LA Virtual Admy'!M46+'Table 5C2 - LA Virtual Admy'!I46)</f>
        <v>-1376.0017406094967</v>
      </c>
      <c r="Y48" s="314">
        <f>-('Table 5C3 - LA Connections EBR'!M46+'Table 5C3 - LA Connections EBR'!I46)</f>
        <v>-250.18213465627207</v>
      </c>
      <c r="Z48" s="314">
        <f t="shared" si="25"/>
        <v>-1626.1838752657686</v>
      </c>
      <c r="AA48" s="542">
        <f t="shared" si="20"/>
        <v>3630143</v>
      </c>
      <c r="AB48" s="310">
        <f>('[4]Table 2_State Distrib and Adjs'!V47*6)+('[5]Table 2_State Distrib and Adjs'!AD47*2)</f>
        <v>2350046</v>
      </c>
      <c r="AC48" s="1531">
        <f t="shared" si="21"/>
        <v>1280097</v>
      </c>
      <c r="AD48" s="1531">
        <f t="shared" si="22"/>
        <v>320024</v>
      </c>
      <c r="AE48" s="310">
        <f>'Table 4A Stipends'!G44</f>
        <v>0</v>
      </c>
      <c r="AF48" s="356">
        <f t="shared" si="23"/>
        <v>3630143</v>
      </c>
      <c r="AG48" s="1118"/>
      <c r="AH48" s="1120">
        <f>(('2-1-13 SIS'!C47+'2-1-13 SIS'!R47)*'Table 3 Levels 1&amp;2'!AP48)+K48+F48+AE48</f>
        <v>3630142.7738625086</v>
      </c>
      <c r="AI48" s="1121">
        <f t="shared" si="24"/>
        <v>0.22613749140873551</v>
      </c>
    </row>
    <row r="49" spans="1:35">
      <c r="A49" s="99">
        <v>42</v>
      </c>
      <c r="B49" s="301" t="s">
        <v>133</v>
      </c>
      <c r="C49" s="310">
        <f>'Table 3 Levels 1&amp;2'!AO49</f>
        <v>19350073.984672002</v>
      </c>
      <c r="D49" s="356">
        <f>'[1]Adjusted Amounts'!C48</f>
        <v>-6035.3656550306769</v>
      </c>
      <c r="E49" s="356">
        <f>'[2]Adjusted Amounts'!H48</f>
        <v>-13872.030784933289</v>
      </c>
      <c r="F49" s="356">
        <f t="shared" si="16"/>
        <v>-19907.396439963966</v>
      </c>
      <c r="G49" s="310">
        <f t="shared" si="14"/>
        <v>0</v>
      </c>
      <c r="H49" s="356">
        <f t="shared" si="17"/>
        <v>-19907.396439963966</v>
      </c>
      <c r="I49" s="1378">
        <f>'[3]October midyear adj'!K47</f>
        <v>-865749.96909921209</v>
      </c>
      <c r="J49" s="1378">
        <f>'[3]February midyear adj '!K47</f>
        <v>-118056.81396807438</v>
      </c>
      <c r="K49" s="1378">
        <f t="shared" si="18"/>
        <v>-983806.78306728648</v>
      </c>
      <c r="L49" s="1378">
        <f>'[3]Oct midyear Madison Prep'!K48+'[3]Oct midyear DArbonne'!K48+'[3]Oct midyear Intl_VIBE '!K48+'[3]Oct midyear NOMMA'!K48+'[3]Oct midyear LFNO'!K48+'[3]Oct midyear Lake Charles Chtr'!K48+'[3]Oct midyear JS Clark Academy'!K48+'[3]Oct midyear Southwest LA Chtr'!K48+'[3]Oct midyear LA Virtual Admy'!K45+'[3]Oct midyear LA Connections'!K45</f>
        <v>-5059.5777414889026</v>
      </c>
      <c r="M49" s="1378">
        <f>'[3]Feb midyear Madison Prep'!K48+'[3]Feb midyear DArbonne'!K48+'[3]Feb midyear Intl_VIBE '!K48+'[3]Feb midyear NOMMA'!K48+'[3]Feb midyear LFNO '!K48+'[3]Feb midyear Lake Charles Ch'!K48+'[3]Feb midyear JS Clark Academy'!K48+'[3]Feb midyear Southwest LA Ch '!K48+'[3]Feb midyear LA Virtual Admy'!K45+'[3]Feb midyear LA Connections'!K45</f>
        <v>-2529.7888707444513</v>
      </c>
      <c r="N49" s="1378">
        <f t="shared" si="19"/>
        <v>-7589.3666122333543</v>
      </c>
      <c r="O49" s="356"/>
      <c r="P49" s="356">
        <f>-'Table 5C1A-Madison Prep'!L49</f>
        <v>0</v>
      </c>
      <c r="Q49" s="356">
        <f>-'Table 5C1B-DArbonne'!L49</f>
        <v>0</v>
      </c>
      <c r="R49" s="356">
        <f>-'Table 5C1C-Intl_VIBE'!L49</f>
        <v>0</v>
      </c>
      <c r="S49" s="356">
        <f>-'Table 5C1D-NOMMA'!L49</f>
        <v>0</v>
      </c>
      <c r="T49" s="356">
        <f>-'Table 5C1E-LFNO'!L49</f>
        <v>0</v>
      </c>
      <c r="U49" s="356">
        <f>-'Table 5C1F-Lake Charles Charter'!L49</f>
        <v>0</v>
      </c>
      <c r="V49" s="356">
        <f>-'Table 5C1G-JS Clark Academy'!L49</f>
        <v>0</v>
      </c>
      <c r="W49" s="356">
        <f>-'Table 5C1H-Southwest LA Charter'!L49</f>
        <v>0</v>
      </c>
      <c r="X49" s="314">
        <f>-('Table 5C2 - LA Virtual Admy'!M47+'Table 5C2 - LA Virtual Admy'!I47)</f>
        <v>-31762.904710458111</v>
      </c>
      <c r="Y49" s="314">
        <f>-('Table 5C3 - LA Connections EBR'!M47+'Table 5C3 - LA Connections EBR'!I47)</f>
        <v>-28108.7652304939</v>
      </c>
      <c r="Z49" s="314">
        <f t="shared" si="25"/>
        <v>-59871.669940952008</v>
      </c>
      <c r="AA49" s="542">
        <f t="shared" si="20"/>
        <v>18278899</v>
      </c>
      <c r="AB49" s="310">
        <f>('[4]Table 2_State Distrib and Adjs'!V48*6)+('[5]Table 2_State Distrib and Adjs'!AD48*2)</f>
        <v>12841806</v>
      </c>
      <c r="AC49" s="1531">
        <f t="shared" si="21"/>
        <v>5437093</v>
      </c>
      <c r="AD49" s="1531">
        <f t="shared" si="22"/>
        <v>1359273</v>
      </c>
      <c r="AE49" s="310">
        <f>'Table 4A Stipends'!G45</f>
        <v>0</v>
      </c>
      <c r="AF49" s="356">
        <f t="shared" si="23"/>
        <v>18278899</v>
      </c>
      <c r="AG49" s="1118"/>
      <c r="AH49" s="1120">
        <f>(('2-1-13 SIS'!C48+'2-1-13 SIS'!R48)*'Table 3 Levels 1&amp;2'!AP49)+K49+F49+AE49</f>
        <v>18278898.768611565</v>
      </c>
      <c r="AI49" s="1121">
        <f t="shared" si="24"/>
        <v>0.23138843476772308</v>
      </c>
    </row>
    <row r="50" spans="1:35">
      <c r="A50" s="99">
        <v>43</v>
      </c>
      <c r="B50" s="301" t="s">
        <v>134</v>
      </c>
      <c r="C50" s="310">
        <f>'Table 3 Levels 1&amp;2'!AO50</f>
        <v>21291532.124101281</v>
      </c>
      <c r="D50" s="356">
        <f>'[1]Adjusted Amounts'!C49</f>
        <v>0</v>
      </c>
      <c r="E50" s="356">
        <f>'[2]Adjusted Amounts'!H49</f>
        <v>0</v>
      </c>
      <c r="F50" s="356">
        <f t="shared" si="16"/>
        <v>0</v>
      </c>
      <c r="G50" s="310">
        <f t="shared" si="14"/>
        <v>0</v>
      </c>
      <c r="H50" s="356">
        <f t="shared" si="17"/>
        <v>0</v>
      </c>
      <c r="I50" s="1378">
        <f>'[3]October midyear adj'!K48</f>
        <v>428688.56625707273</v>
      </c>
      <c r="J50" s="1378">
        <f>'[3]February midyear adj '!K48</f>
        <v>7938.6771529087546</v>
      </c>
      <c r="K50" s="1378">
        <f t="shared" si="18"/>
        <v>436627.24340998149</v>
      </c>
      <c r="L50" s="1378">
        <f>'[3]Oct midyear Madison Prep'!K49+'[3]Oct midyear DArbonne'!K49+'[3]Oct midyear Intl_VIBE '!K49+'[3]Oct midyear NOMMA'!K49+'[3]Oct midyear LFNO'!K49+'[3]Oct midyear Lake Charles Chtr'!K49+'[3]Oct midyear JS Clark Academy'!K49+'[3]Oct midyear Southwest LA Chtr'!K49+'[3]Oct midyear LA Virtual Admy'!K46+'[3]Oct midyear LA Connections'!K46</f>
        <v>28579.237750471515</v>
      </c>
      <c r="M50" s="1378">
        <f>'[3]Feb midyear Madison Prep'!K49+'[3]Feb midyear DArbonne'!K49+'[3]Feb midyear Intl_VIBE '!K49+'[3]Feb midyear NOMMA'!K49+'[3]Feb midyear LFNO '!K49+'[3]Feb midyear Lake Charles Ch'!K49+'[3]Feb midyear JS Clark Academy'!K49+'[3]Feb midyear Southwest LA Ch '!K49+'[3]Feb midyear LA Virtual Admy'!K46+'[3]Feb midyear LA Connections'!K46</f>
        <v>-4763.2062917452531</v>
      </c>
      <c r="N50" s="1378">
        <f t="shared" si="19"/>
        <v>23816.031458726262</v>
      </c>
      <c r="O50" s="356"/>
      <c r="P50" s="356">
        <f>-'Table 5C1A-Madison Prep'!L50</f>
        <v>0</v>
      </c>
      <c r="Q50" s="356">
        <f>-'Table 5C1B-DArbonne'!L50</f>
        <v>0</v>
      </c>
      <c r="R50" s="356">
        <f>-'Table 5C1C-Intl_VIBE'!L50</f>
        <v>0</v>
      </c>
      <c r="S50" s="356">
        <f>-'Table 5C1D-NOMMA'!L50</f>
        <v>0</v>
      </c>
      <c r="T50" s="356">
        <f>-'Table 5C1E-LFNO'!L50</f>
        <v>0</v>
      </c>
      <c r="U50" s="356">
        <f>-'Table 5C1F-Lake Charles Charter'!L50</f>
        <v>0</v>
      </c>
      <c r="V50" s="356">
        <f>-'Table 5C1G-JS Clark Academy'!L50</f>
        <v>0</v>
      </c>
      <c r="W50" s="356">
        <f>-'Table 5C1H-Southwest LA Charter'!L50</f>
        <v>0</v>
      </c>
      <c r="X50" s="314">
        <f>-('Table 5C2 - LA Virtual Admy'!M48+'Table 5C2 - LA Virtual Admy'!I48)</f>
        <v>-57952.343216233909</v>
      </c>
      <c r="Y50" s="314">
        <f>-('Table 5C3 - LA Connections EBR'!M48+'Table 5C3 - LA Connections EBR'!I48)</f>
        <v>-29373.105465762394</v>
      </c>
      <c r="Z50" s="314">
        <f t="shared" si="25"/>
        <v>-87325.448681996306</v>
      </c>
      <c r="AA50" s="539">
        <f t="shared" si="20"/>
        <v>21664650</v>
      </c>
      <c r="AB50" s="310">
        <f>('[4]Table 2_State Distrib and Adjs'!V49*6)+('[5]Table 2_State Distrib and Adjs'!AD49*2)</f>
        <v>14152016</v>
      </c>
      <c r="AC50" s="1531">
        <f t="shared" si="21"/>
        <v>7512634</v>
      </c>
      <c r="AD50" s="1531">
        <f t="shared" si="22"/>
        <v>1878159</v>
      </c>
      <c r="AE50" s="310">
        <f>'Table 4A Stipends'!G46</f>
        <v>0</v>
      </c>
      <c r="AF50" s="310">
        <f t="shared" si="23"/>
        <v>21664650</v>
      </c>
      <c r="AG50" s="1117"/>
      <c r="AH50" s="1120">
        <f>(('2-1-13 SIS'!C49+'2-1-13 SIS'!R49)*'Table 3 Levels 1&amp;2'!AP50)+K50+F50+AE50</f>
        <v>21664649.950287994</v>
      </c>
      <c r="AI50" s="1125">
        <f t="shared" si="24"/>
        <v>4.9712006002664566E-2</v>
      </c>
    </row>
    <row r="51" spans="1:35">
      <c r="A51" s="99">
        <v>44</v>
      </c>
      <c r="B51" s="301" t="s">
        <v>135</v>
      </c>
      <c r="C51" s="310">
        <f>'Table 3 Levels 1&amp;2'!AO51</f>
        <v>34195409.94362928</v>
      </c>
      <c r="D51" s="356">
        <f>'[1]Adjusted Amounts'!C50</f>
        <v>0</v>
      </c>
      <c r="E51" s="356">
        <f>'[2]Adjusted Amounts'!H50</f>
        <v>-4786.1910925032571</v>
      </c>
      <c r="F51" s="356">
        <f t="shared" si="16"/>
        <v>-4786.1910925032571</v>
      </c>
      <c r="G51" s="310">
        <f t="shared" si="14"/>
        <v>0</v>
      </c>
      <c r="H51" s="356">
        <f t="shared" si="17"/>
        <v>-4786.1910925032571</v>
      </c>
      <c r="I51" s="1378">
        <f>'[3]October midyear adj'!K49</f>
        <v>1870563.9608662413</v>
      </c>
      <c r="J51" s="1378">
        <f>'[3]February midyear adj '!K49</f>
        <v>-155433.68156195129</v>
      </c>
      <c r="K51" s="1378">
        <f t="shared" si="18"/>
        <v>1715130.27930429</v>
      </c>
      <c r="L51" s="1378">
        <f>'[3]Oct midyear Madison Prep'!K50+'[3]Oct midyear DArbonne'!K50+'[3]Oct midyear Intl_VIBE '!K50+'[3]Oct midyear NOMMA'!K50+'[3]Oct midyear LFNO'!K50+'[3]Oct midyear Lake Charles Chtr'!K50+'[3]Oct midyear JS Clark Academy'!K50+'[3]Oct midyear Southwest LA Chtr'!K50+'[3]Oct midyear LA Virtual Admy'!K47+'[3]Oct midyear LA Connections'!K47</f>
        <v>13935.43351934736</v>
      </c>
      <c r="M51" s="1378">
        <f>'[3]Feb midyear Madison Prep'!K50+'[3]Feb midyear DArbonne'!K50+'[3]Feb midyear Intl_VIBE '!K50+'[3]Feb midyear NOMMA'!K50+'[3]Feb midyear LFNO '!K50+'[3]Feb midyear Lake Charles Ch'!K50+'[3]Feb midyear JS Clark Academy'!K50+'[3]Feb midyear Southwest LA Ch '!K50+'[3]Feb midyear LA Virtual Admy'!K47+'[3]Feb midyear LA Connections'!K47</f>
        <v>14471.411731629949</v>
      </c>
      <c r="N51" s="1378">
        <f t="shared" si="19"/>
        <v>28406.845250977309</v>
      </c>
      <c r="O51" s="356"/>
      <c r="P51" s="49">
        <f>-'Table 5C1A-Madison Prep'!L51</f>
        <v>0</v>
      </c>
      <c r="Q51" s="356">
        <f>-'Table 5C1B-DArbonne'!L51</f>
        <v>0</v>
      </c>
      <c r="R51" s="356">
        <f>-'Table 5C1C-Intl_VIBE'!L51</f>
        <v>-10719.564245651813</v>
      </c>
      <c r="S51" s="356">
        <f>-'Table 5C1D-NOMMA'!L51</f>
        <v>-5359.7821228259063</v>
      </c>
      <c r="T51" s="356">
        <f>-'Table 5C1E-LFNO'!L51</f>
        <v>-21439.128491303625</v>
      </c>
      <c r="U51" s="356">
        <f>-'Table 5C1F-Lake Charles Charter'!L51</f>
        <v>0</v>
      </c>
      <c r="V51" s="356">
        <f>-'Table 5C1G-JS Clark Academy'!L51</f>
        <v>0</v>
      </c>
      <c r="W51" s="356">
        <f>-'Table 5C1H-Southwest LA Charter'!L51</f>
        <v>0</v>
      </c>
      <c r="X51" s="314">
        <f>-('Table 5C2 - LA Virtual Admy'!M49+'Table 5C2 - LA Virtual Admy'!I49)</f>
        <v>-66729.287429182543</v>
      </c>
      <c r="Y51" s="314">
        <f>-('Table 5C3 - LA Connections EBR'!M49+'Table 5C3 - LA Connections EBR'!I49)</f>
        <v>-31354.725418531547</v>
      </c>
      <c r="Z51" s="314">
        <f t="shared" si="25"/>
        <v>-135602.48770749543</v>
      </c>
      <c r="AA51" s="539">
        <f t="shared" si="20"/>
        <v>35798558</v>
      </c>
      <c r="AB51" s="310">
        <f>('[4]Table 2_State Distrib and Adjs'!V50*6)+('[5]Table 2_State Distrib and Adjs'!AD50*2)</f>
        <v>22722286</v>
      </c>
      <c r="AC51" s="1531">
        <f t="shared" si="21"/>
        <v>13076272</v>
      </c>
      <c r="AD51" s="1531">
        <f t="shared" si="22"/>
        <v>3269068</v>
      </c>
      <c r="AE51" s="310">
        <f>'Table 4A Stipends'!G47</f>
        <v>0</v>
      </c>
      <c r="AF51" s="310">
        <f t="shared" si="23"/>
        <v>35798558</v>
      </c>
      <c r="AG51" s="1117"/>
      <c r="AH51" s="1120">
        <f>(('2-1-13 SIS'!C50+'2-1-13 SIS'!R50)*'Table 3 Levels 1&amp;2'!AP51)+K51+F51+AE51</f>
        <v>35798558.389384545</v>
      </c>
      <c r="AI51" s="1120">
        <f t="shared" si="24"/>
        <v>-0.38938454538583755</v>
      </c>
    </row>
    <row r="52" spans="1:35">
      <c r="A52" s="100">
        <v>45</v>
      </c>
      <c r="B52" s="302" t="s">
        <v>136</v>
      </c>
      <c r="C52" s="318">
        <f>'Table 3 Levels 1&amp;2'!AO52</f>
        <v>27926466.880000003</v>
      </c>
      <c r="D52" s="357">
        <f>'[1]Adjusted Amounts'!C51</f>
        <v>0</v>
      </c>
      <c r="E52" s="357">
        <f>'[2]Adjusted Amounts'!H51</f>
        <v>0</v>
      </c>
      <c r="F52" s="357">
        <f t="shared" si="16"/>
        <v>0</v>
      </c>
      <c r="G52" s="318">
        <f t="shared" si="14"/>
        <v>0</v>
      </c>
      <c r="H52" s="357">
        <f t="shared" si="17"/>
        <v>0</v>
      </c>
      <c r="I52" s="357">
        <f>'[3]October midyear adj'!K50</f>
        <v>-141429.66978687485</v>
      </c>
      <c r="J52" s="357">
        <f>'[3]February midyear adj '!K50</f>
        <v>-22098.385904199196</v>
      </c>
      <c r="K52" s="357">
        <f t="shared" si="18"/>
        <v>-163528.05569107406</v>
      </c>
      <c r="L52" s="357">
        <f>'[3]Oct midyear Madison Prep'!K51+'[3]Oct midyear DArbonne'!K51+'[3]Oct midyear Intl_VIBE '!K51+'[3]Oct midyear NOMMA'!K51+'[3]Oct midyear LFNO'!K51+'[3]Oct midyear Lake Charles Chtr'!K51+'[3]Oct midyear JS Clark Academy'!K51+'[3]Oct midyear Southwest LA Chtr'!K51+'[3]Oct midyear LA Virtual Admy'!K48+'[3]Oct midyear LA Connections'!K48</f>
        <v>-5598.2577623971301</v>
      </c>
      <c r="M52" s="357">
        <f>'[3]Feb midyear Madison Prep'!K51+'[3]Feb midyear DArbonne'!K51+'[3]Feb midyear Intl_VIBE '!K51+'[3]Feb midyear NOMMA'!K51+'[3]Feb midyear LFNO '!K51+'[3]Feb midyear Lake Charles Ch'!K51+'[3]Feb midyear JS Clark Academy'!K51+'[3]Feb midyear Southwest LA Ch '!K51+'[3]Feb midyear LA Virtual Admy'!K48+'[3]Feb midyear LA Connections'!K48</f>
        <v>5303.6126170078078</v>
      </c>
      <c r="N52" s="357">
        <f t="shared" si="19"/>
        <v>-294.64514538932235</v>
      </c>
      <c r="O52" s="357"/>
      <c r="P52" s="58">
        <f>-'Table 5C1A-Madison Prep'!L52</f>
        <v>0</v>
      </c>
      <c r="Q52" s="357">
        <f>-'Table 5C1B-DArbonne'!L52</f>
        <v>0</v>
      </c>
      <c r="R52" s="357">
        <f>-'Table 5C1C-Intl_VIBE'!L52</f>
        <v>0</v>
      </c>
      <c r="S52" s="357">
        <f>-'Table 5C1D-NOMMA'!L52</f>
        <v>0</v>
      </c>
      <c r="T52" s="357">
        <f>-'Table 5C1E-LFNO'!L52</f>
        <v>-5892.9029077864525</v>
      </c>
      <c r="U52" s="357">
        <f>-'Table 5C1F-Lake Charles Charter'!L52</f>
        <v>0</v>
      </c>
      <c r="V52" s="357">
        <f>-'Table 5C1G-JS Clark Academy'!L52</f>
        <v>0</v>
      </c>
      <c r="W52" s="357">
        <f>-'Table 5C1H-Southwest LA Charter'!L52</f>
        <v>0</v>
      </c>
      <c r="X52" s="320">
        <f>-('Table 5C2 - LA Virtual Admy'!M50+'Table 5C2 - LA Virtual Admy'!I50)</f>
        <v>-28433.256530069633</v>
      </c>
      <c r="Y52" s="320">
        <f>-('Table 5C3 - LA Connections EBR'!M50+'Table 5C3 - LA Connections EBR'!I50)</f>
        <v>-36094.030310192022</v>
      </c>
      <c r="Z52" s="320">
        <f t="shared" si="25"/>
        <v>-70420.189748048113</v>
      </c>
      <c r="AA52" s="540">
        <f t="shared" si="20"/>
        <v>27692224</v>
      </c>
      <c r="AB52" s="318">
        <f>('[4]Table 2_State Distrib and Adjs'!V51*6)+('[5]Table 2_State Distrib and Adjs'!AD51*2)</f>
        <v>18570502</v>
      </c>
      <c r="AC52" s="318">
        <f t="shared" si="21"/>
        <v>9121722</v>
      </c>
      <c r="AD52" s="318">
        <f t="shared" si="22"/>
        <v>2280431</v>
      </c>
      <c r="AE52" s="318">
        <f>'Table 4A Stipends'!G48</f>
        <v>0</v>
      </c>
      <c r="AF52" s="318">
        <f t="shared" si="23"/>
        <v>27692224</v>
      </c>
      <c r="AG52" s="1117"/>
      <c r="AH52" s="1120">
        <f>(('2-1-13 SIS'!C51+'2-1-13 SIS'!R51)*'Table 3 Levels 1&amp;2'!AP52)+K52+F52+AE52</f>
        <v>27692223.989415489</v>
      </c>
      <c r="AI52" s="1125">
        <f t="shared" si="24"/>
        <v>1.0584510862827301E-2</v>
      </c>
    </row>
    <row r="53" spans="1:35">
      <c r="A53" s="99">
        <v>46</v>
      </c>
      <c r="B53" s="301" t="s">
        <v>137</v>
      </c>
      <c r="C53" s="310">
        <f>'Table 3 Levels 1&amp;2'!AO53</f>
        <v>6857046.6247999994</v>
      </c>
      <c r="D53" s="356">
        <f>'[1]Adjusted Amounts'!C52</f>
        <v>-6530.1710099800548</v>
      </c>
      <c r="E53" s="356">
        <f>'[2]Adjusted Amounts'!H52</f>
        <v>-74734.707051841833</v>
      </c>
      <c r="F53" s="356">
        <f t="shared" si="16"/>
        <v>-81264.878061821888</v>
      </c>
      <c r="G53" s="310">
        <f t="shared" si="14"/>
        <v>0</v>
      </c>
      <c r="H53" s="356">
        <f t="shared" si="17"/>
        <v>-81264.878061821888</v>
      </c>
      <c r="I53" s="1378">
        <f>'[3]October midyear adj'!K51</f>
        <v>-101963.51858438662</v>
      </c>
      <c r="J53" s="1378">
        <f>'[3]February midyear adj '!K51</f>
        <v>-38236.319469144983</v>
      </c>
      <c r="K53" s="1378">
        <f t="shared" si="18"/>
        <v>-140199.8380535316</v>
      </c>
      <c r="L53" s="2019">
        <f>'[3]Oct midyear Madison Prep'!K52+'[3]Oct midyear DArbonne'!K52+'[3]Oct midyear Intl_VIBE '!K52+'[3]Oct midyear NOMMA'!K52+'[3]Oct midyear LFNO'!K52+'[3]Oct midyear Lake Charles Chtr'!K52+'[3]Oct midyear JS Clark Academy'!K52+'[3]Oct midyear Southwest LA Chtr'!K52+'[3]Oct midyear LA Virtual Admy'!K49+'[3]Oct midyear LA Connections'!K49+'[3]October midyear adj'!$K$129</f>
        <v>-164416.17371732343</v>
      </c>
      <c r="M53" s="1378">
        <f>'[3]Feb midyear Madison Prep'!K52+'[3]Feb midyear DArbonne'!K52+'[3]Feb midyear Intl_VIBE '!K52+'[3]Feb midyear NOMMA'!K52+'[3]Feb midyear LFNO '!K52+'[3]Feb midyear Lake Charles Ch'!K52+'[3]Feb midyear JS Clark Academy'!K52+'[3]Feb midyear Southwest LA Ch '!K52+'[3]Feb midyear LA Virtual Admy'!K49+'[3]Feb midyear LA Connections'!K49+'[3]February midyear adj '!$K$129</f>
        <v>59903.567168327143</v>
      </c>
      <c r="N53" s="1378">
        <f t="shared" si="19"/>
        <v>-104512.60654899629</v>
      </c>
      <c r="O53" s="356">
        <f>-'Table 5B2_RSD_LA'!L35</f>
        <v>-1915002.8013713753</v>
      </c>
      <c r="P53" s="356">
        <f>-'Table 5C1A-Madison Prep'!L53</f>
        <v>0</v>
      </c>
      <c r="Q53" s="356">
        <f>-'Table 5C1B-DArbonne'!L53</f>
        <v>0</v>
      </c>
      <c r="R53" s="356">
        <f>-'Table 5C1C-Intl_VIBE'!L53</f>
        <v>0</v>
      </c>
      <c r="S53" s="356">
        <f>-'Table 5C1D-NOMMA'!L53</f>
        <v>0</v>
      </c>
      <c r="T53" s="356">
        <f>-'Table 5C1E-LFNO'!L53</f>
        <v>0</v>
      </c>
      <c r="U53" s="356">
        <f>-'Table 5C1F-Lake Charles Charter'!L53</f>
        <v>0</v>
      </c>
      <c r="V53" s="356">
        <f>-'Table 5C1G-JS Clark Academy'!L53</f>
        <v>0</v>
      </c>
      <c r="W53" s="356">
        <f>-'Table 5C1H-Southwest LA Charter'!L53</f>
        <v>0</v>
      </c>
      <c r="X53" s="314">
        <f>-('Table 5C2 - LA Virtual Admy'!M51+'Table 5C2 - LA Virtual Admy'!I51)</f>
        <v>-45883.583362973979</v>
      </c>
      <c r="Y53" s="314">
        <f>-('Table 5C3 - LA Connections EBR'!M51+'Table 5C3 - LA Connections EBR'!I51)</f>
        <v>-37599.047477992564</v>
      </c>
      <c r="Z53" s="314">
        <f t="shared" si="25"/>
        <v>-1998485.4322123418</v>
      </c>
      <c r="AA53" s="539">
        <f t="shared" si="20"/>
        <v>4532584</v>
      </c>
      <c r="AB53" s="310">
        <f>('[4]Table 2_State Distrib and Adjs'!V52*6)+('[5]Table 2_State Distrib and Adjs'!AD52*2)</f>
        <v>3115190</v>
      </c>
      <c r="AC53" s="1531">
        <f t="shared" si="21"/>
        <v>1417394</v>
      </c>
      <c r="AD53" s="1531">
        <f t="shared" si="22"/>
        <v>354349</v>
      </c>
      <c r="AE53" s="310">
        <f>'Table 4A Stipends'!G49</f>
        <v>0</v>
      </c>
      <c r="AF53" s="310">
        <f t="shared" si="23"/>
        <v>4532584</v>
      </c>
      <c r="AG53" s="1117"/>
      <c r="AH53" s="1120">
        <f>(('2-1-13 SIS'!C52+'2-1-13 SIS'!R52)*'Table 3 Levels 1&amp;2'!AP53)+K53+F53+AE53</f>
        <v>4532584.3378816722</v>
      </c>
      <c r="AI53" s="1125">
        <f t="shared" si="24"/>
        <v>-0.33788167219609022</v>
      </c>
    </row>
    <row r="54" spans="1:35">
      <c r="A54" s="99">
        <v>47</v>
      </c>
      <c r="B54" s="301" t="s">
        <v>138</v>
      </c>
      <c r="C54" s="310">
        <f>'Table 3 Levels 1&amp;2'!AO54</f>
        <v>13187697.960000001</v>
      </c>
      <c r="D54" s="356">
        <f>'[1]Adjusted Amounts'!C53</f>
        <v>0</v>
      </c>
      <c r="E54" s="356">
        <f>'[2]Adjusted Amounts'!H53</f>
        <v>-1082.6890644338462</v>
      </c>
      <c r="F54" s="356">
        <f t="shared" si="16"/>
        <v>-1082.6890644338462</v>
      </c>
      <c r="G54" s="310">
        <f t="shared" si="14"/>
        <v>0</v>
      </c>
      <c r="H54" s="356">
        <f t="shared" si="17"/>
        <v>-1082.6890644338462</v>
      </c>
      <c r="I54" s="1378">
        <f>'[3]October midyear adj'!K52</f>
        <v>25494.030853355427</v>
      </c>
      <c r="J54" s="1378">
        <f>'[3]February midyear adj '!K52</f>
        <v>1821.0022038111019</v>
      </c>
      <c r="K54" s="1378">
        <f t="shared" si="18"/>
        <v>27315.033057166529</v>
      </c>
      <c r="L54" s="1378">
        <f>'[3]Oct midyear Madison Prep'!K53+'[3]Oct midyear DArbonne'!K53+'[3]Oct midyear Intl_VIBE '!K53+'[3]Oct midyear NOMMA'!K53+'[3]Oct midyear LFNO'!K53+'[3]Oct midyear Lake Charles Chtr'!K53+'[3]Oct midyear JS Clark Academy'!K53+'[3]Oct midyear Southwest LA Chtr'!K53+'[3]Oct midyear LA Virtual Admy'!K50+'[3]Oct midyear LA Connections'!K50</f>
        <v>0</v>
      </c>
      <c r="M54" s="1378">
        <f>'[3]Feb midyear Madison Prep'!K53+'[3]Feb midyear DArbonne'!K53+'[3]Feb midyear Intl_VIBE '!K53+'[3]Feb midyear NOMMA'!K53+'[3]Feb midyear LFNO '!K53+'[3]Feb midyear Lake Charles Ch'!K53+'[3]Feb midyear JS Clark Academy'!K53+'[3]Feb midyear Southwest LA Ch '!K53+'[3]Feb midyear LA Virtual Admy'!K50+'[3]Feb midyear LA Connections'!K50</f>
        <v>0</v>
      </c>
      <c r="N54" s="1378">
        <f t="shared" si="19"/>
        <v>0</v>
      </c>
      <c r="O54" s="356"/>
      <c r="P54" s="356">
        <f>-'Table 5C1A-Madison Prep'!L54</f>
        <v>0</v>
      </c>
      <c r="Q54" s="356">
        <f>-'Table 5C1B-DArbonne'!L54</f>
        <v>0</v>
      </c>
      <c r="R54" s="356">
        <f>-'Table 5C1C-Intl_VIBE'!L54</f>
        <v>0</v>
      </c>
      <c r="S54" s="356">
        <f>-'Table 5C1D-NOMMA'!L54</f>
        <v>0</v>
      </c>
      <c r="T54" s="356">
        <f>-'Table 5C1E-LFNO'!L54</f>
        <v>0</v>
      </c>
      <c r="U54" s="356">
        <f>-'Table 5C1F-Lake Charles Charter'!L54</f>
        <v>0</v>
      </c>
      <c r="V54" s="356">
        <f>-'Table 5C1G-JS Clark Academy'!L54</f>
        <v>0</v>
      </c>
      <c r="W54" s="356">
        <f>-'Table 5C1H-Southwest LA Charter'!L54</f>
        <v>0</v>
      </c>
      <c r="X54" s="314">
        <f>-('Table 5C2 - LA Virtual Admy'!M52+'Table 5C2 - LA Virtual Admy'!I52)</f>
        <v>-7284.0088152444068</v>
      </c>
      <c r="Y54" s="314">
        <f>-('Table 5C3 - LA Connections EBR'!M52+'Table 5C3 - LA Connections EBR'!I52)</f>
        <v>-3642.0044076222034</v>
      </c>
      <c r="Z54" s="314">
        <f t="shared" si="25"/>
        <v>-10926.01322286661</v>
      </c>
      <c r="AA54" s="539">
        <f t="shared" si="20"/>
        <v>13203004</v>
      </c>
      <c r="AB54" s="310">
        <f>('[4]Table 2_State Distrib and Adjs'!V53*6)+('[5]Table 2_State Distrib and Adjs'!AD53*2)</f>
        <v>8783792</v>
      </c>
      <c r="AC54" s="1531">
        <f t="shared" si="21"/>
        <v>4419212</v>
      </c>
      <c r="AD54" s="1531">
        <f t="shared" si="22"/>
        <v>1104803</v>
      </c>
      <c r="AE54" s="310">
        <f>'Table 4A Stipends'!G50</f>
        <v>0</v>
      </c>
      <c r="AF54" s="310">
        <f t="shared" si="23"/>
        <v>13203004</v>
      </c>
      <c r="AG54" s="1117"/>
      <c r="AH54" s="1120">
        <f>(('2-1-13 SIS'!C53+'2-1-13 SIS'!R53)*'Table 3 Levels 1&amp;2'!AP54)+K54+F54+AE54</f>
        <v>13203004.290769866</v>
      </c>
      <c r="AI54" s="1125">
        <f t="shared" si="24"/>
        <v>-0.29076986573636532</v>
      </c>
    </row>
    <row r="55" spans="1:35">
      <c r="A55" s="99">
        <v>48</v>
      </c>
      <c r="B55" s="301" t="s">
        <v>195</v>
      </c>
      <c r="C55" s="310">
        <f>'Table 3 Levels 1&amp;2'!AO55</f>
        <v>29854576.447179202</v>
      </c>
      <c r="D55" s="356">
        <f>'[1]Adjusted Amounts'!C54</f>
        <v>0</v>
      </c>
      <c r="E55" s="356">
        <f>'[2]Adjusted Amounts'!H54</f>
        <v>-8522.8441841659442</v>
      </c>
      <c r="F55" s="356">
        <f t="shared" si="16"/>
        <v>-8522.8441841659442</v>
      </c>
      <c r="G55" s="310">
        <f t="shared" si="14"/>
        <v>0</v>
      </c>
      <c r="H55" s="356">
        <f t="shared" si="17"/>
        <v>-8522.8441841659442</v>
      </c>
      <c r="I55" s="1378">
        <f>'[3]October midyear adj'!K53</f>
        <v>-252045.87283111314</v>
      </c>
      <c r="J55" s="1378">
        <f>'[3]February midyear adj '!K53</f>
        <v>84872.589830885045</v>
      </c>
      <c r="K55" s="1378">
        <f t="shared" si="18"/>
        <v>-167173.28300022811</v>
      </c>
      <c r="L55" s="1378">
        <f>'[3]Oct midyear Madison Prep'!K54+'[3]Oct midyear DArbonne'!K54+'[3]Oct midyear Intl_VIBE '!K54+'[3]Oct midyear NOMMA'!K54+'[3]Oct midyear LFNO'!K54+'[3]Oct midyear Lake Charles Chtr'!K54+'[3]Oct midyear JS Clark Academy'!K54+'[3]Oct midyear Southwest LA Chtr'!K54+'[3]Oct midyear LA Virtual Admy'!K51+'[3]Oct midyear LA Connections'!K51</f>
        <v>32405.897935428835</v>
      </c>
      <c r="M55" s="1378">
        <f>'[3]Feb midyear Madison Prep'!K54+'[3]Feb midyear DArbonne'!K54+'[3]Feb midyear Intl_VIBE '!K54+'[3]Feb midyear NOMMA'!K54+'[3]Feb midyear LFNO '!K54+'[3]Feb midyear Lake Charles Ch'!K54+'[3]Feb midyear JS Clark Academy'!K54+'[3]Feb midyear Southwest LA Ch '!K54+'[3]Feb midyear LA Virtual Admy'!K51+'[3]Feb midyear LA Connections'!K51</f>
        <v>-2314.7069953877735</v>
      </c>
      <c r="N55" s="1378">
        <f t="shared" si="19"/>
        <v>30091.190940041062</v>
      </c>
      <c r="O55" s="356"/>
      <c r="P55" s="49">
        <f>-'Table 5C1A-Madison Prep'!L55</f>
        <v>0</v>
      </c>
      <c r="Q55" s="356">
        <f>-'Table 5C1B-DArbonne'!L55</f>
        <v>0</v>
      </c>
      <c r="R55" s="356">
        <f>-'Table 5C1C-Intl_VIBE'!L55</f>
        <v>-10287.586646167883</v>
      </c>
      <c r="S55" s="356">
        <f>-'Table 5C1D-NOMMA'!L55</f>
        <v>0</v>
      </c>
      <c r="T55" s="356">
        <f>-'Table 5C1E-LFNO'!L55</f>
        <v>0</v>
      </c>
      <c r="U55" s="356">
        <f>-'Table 5C1F-Lake Charles Charter'!L55</f>
        <v>0</v>
      </c>
      <c r="V55" s="356">
        <f>-'Table 5C1G-JS Clark Academy'!L55</f>
        <v>0</v>
      </c>
      <c r="W55" s="356">
        <f>-'Table 5C1H-Southwest LA Charter'!L55</f>
        <v>0</v>
      </c>
      <c r="X55" s="314">
        <f>-('Table 5C2 - LA Virtual Admy'!M53+'Table 5C2 - LA Virtual Admy'!I53)</f>
        <v>-137596.47139249544</v>
      </c>
      <c r="Y55" s="314">
        <f>-('Table 5C3 - LA Connections EBR'!M53+'Table 5C3 - LA Connections EBR'!I53)</f>
        <v>-134253.00573249088</v>
      </c>
      <c r="Z55" s="314">
        <f t="shared" si="25"/>
        <v>-282137.06377115421</v>
      </c>
      <c r="AA55" s="539">
        <f t="shared" si="20"/>
        <v>29426834</v>
      </c>
      <c r="AB55" s="310">
        <f>('[4]Table 2_State Distrib and Adjs'!V54*6)+('[5]Table 2_State Distrib and Adjs'!AD54*2)</f>
        <v>19729338</v>
      </c>
      <c r="AC55" s="1531">
        <f t="shared" si="21"/>
        <v>9697496</v>
      </c>
      <c r="AD55" s="1531">
        <f t="shared" si="22"/>
        <v>2424374</v>
      </c>
      <c r="AE55" s="310">
        <f>'Table 4A Stipends'!G51</f>
        <v>0</v>
      </c>
      <c r="AF55" s="310">
        <f t="shared" si="23"/>
        <v>29426834</v>
      </c>
      <c r="AG55" s="1117"/>
      <c r="AH55" s="1120">
        <f>(('2-1-13 SIS'!C54+'2-1-13 SIS'!R54)*'Table 3 Levels 1&amp;2'!AP55)+K55+F55+AE55</f>
        <v>29426834.447163694</v>
      </c>
      <c r="AI55" s="1125">
        <f t="shared" si="24"/>
        <v>-0.44716369360685349</v>
      </c>
    </row>
    <row r="56" spans="1:35">
      <c r="A56" s="99">
        <v>49</v>
      </c>
      <c r="B56" s="301" t="s">
        <v>139</v>
      </c>
      <c r="C56" s="310">
        <f>'Table 3 Levels 1&amp;2'!AO56</f>
        <v>78429197.331440002</v>
      </c>
      <c r="D56" s="356">
        <f>'[1]Adjusted Amounts'!C55</f>
        <v>-2722.1213310343373</v>
      </c>
      <c r="E56" s="356">
        <f>'[2]Adjusted Amounts'!H55</f>
        <v>77514.951193095912</v>
      </c>
      <c r="F56" s="356">
        <f t="shared" si="16"/>
        <v>74792.829862061568</v>
      </c>
      <c r="G56" s="310">
        <f t="shared" si="14"/>
        <v>74792.829862061568</v>
      </c>
      <c r="H56" s="356">
        <f t="shared" si="17"/>
        <v>0</v>
      </c>
      <c r="I56" s="1378">
        <f>'[3]October midyear adj'!K54</f>
        <v>649337.91084399063</v>
      </c>
      <c r="J56" s="1378">
        <f>'[3]February midyear adj '!K54</f>
        <v>-459947.68684782664</v>
      </c>
      <c r="K56" s="1378">
        <f t="shared" si="18"/>
        <v>189390.22399616399</v>
      </c>
      <c r="L56" s="1378">
        <f>'[3]Oct midyear Madison Prep'!K55+'[3]Oct midyear DArbonne'!K55+'[3]Oct midyear Intl_VIBE '!K55+'[3]Oct midyear NOMMA'!K55+'[3]Oct midyear LFNO'!K55+'[3]Oct midyear Lake Charles Chtr'!K55+'[3]Oct midyear JS Clark Academy'!K55+'[3]Oct midyear Southwest LA Chtr'!K55+'[3]Oct midyear LA Virtual Admy'!K52+'[3]Oct midyear LA Connections'!K52</f>
        <v>283544.22106854257</v>
      </c>
      <c r="M56" s="1378">
        <f>'[3]Feb midyear Madison Prep'!K55+'[3]Feb midyear DArbonne'!K55+'[3]Feb midyear Intl_VIBE '!K55+'[3]Feb midyear NOMMA'!K55+'[3]Feb midyear LFNO '!K55+'[3]Feb midyear Lake Charles Ch'!K55+'[3]Feb midyear JS Clark Academy'!K55+'[3]Feb midyear Southwest LA Ch '!K55+'[3]Feb midyear LA Virtual Admy'!K52+'[3]Feb midyear LA Connections'!K52</f>
        <v>-10010.626125511522</v>
      </c>
      <c r="N56" s="1378">
        <f t="shared" si="19"/>
        <v>273533.59494303103</v>
      </c>
      <c r="O56" s="356"/>
      <c r="P56" s="356">
        <f>-'Table 5C1A-Madison Prep'!L56</f>
        <v>0</v>
      </c>
      <c r="Q56" s="356">
        <f>-'Table 5C1B-DArbonne'!L56</f>
        <v>0</v>
      </c>
      <c r="R56" s="356">
        <f>-'Table 5C1C-Intl_VIBE'!L56</f>
        <v>0</v>
      </c>
      <c r="S56" s="356">
        <f>-'Table 5C1D-NOMMA'!L56</f>
        <v>0</v>
      </c>
      <c r="T56" s="356">
        <f>-'Table 5C1E-LFNO'!L56</f>
        <v>0</v>
      </c>
      <c r="U56" s="356">
        <f>-'Table 5C1F-Lake Charles Charter'!L56</f>
        <v>0</v>
      </c>
      <c r="V56" s="356">
        <f>-'Table 5C1G-JS Clark Academy'!L56</f>
        <v>-1057879.6797500015</v>
      </c>
      <c r="W56" s="356">
        <f>-'Table 5C1H-Southwest LA Charter'!L56</f>
        <v>0</v>
      </c>
      <c r="X56" s="314">
        <f>-('Table 5C2 - LA Virtual Admy'!M54+'Table 5C2 - LA Virtual Admy'!I54)</f>
        <v>-361464.7703698214</v>
      </c>
      <c r="Y56" s="314">
        <f>-('Table 5C3 - LA Connections EBR'!M54+'Table 5C3 - LA Connections EBR'!I54)</f>
        <v>-185331.86205338902</v>
      </c>
      <c r="Z56" s="314">
        <f t="shared" si="25"/>
        <v>-1604676.3121732119</v>
      </c>
      <c r="AA56" s="539">
        <f t="shared" si="20"/>
        <v>77362238</v>
      </c>
      <c r="AB56" s="310">
        <f>('[4]Table 2_State Distrib and Adjs'!V55*6)+('[5]Table 2_State Distrib and Adjs'!AD55*2)</f>
        <v>51448566</v>
      </c>
      <c r="AC56" s="1531">
        <f t="shared" si="21"/>
        <v>25913672</v>
      </c>
      <c r="AD56" s="1531">
        <f t="shared" si="22"/>
        <v>6478418</v>
      </c>
      <c r="AE56" s="310">
        <f>'Table 4A Stipends'!G52</f>
        <v>0</v>
      </c>
      <c r="AF56" s="310">
        <f t="shared" si="23"/>
        <v>77362238</v>
      </c>
      <c r="AG56" s="1117"/>
      <c r="AH56" s="1120">
        <f>(('2-1-13 SIS'!C55+'2-1-13 SIS'!R55)*'Table 3 Levels 1&amp;2'!AP56)+K56+F56+AE56</f>
        <v>77362237.668068051</v>
      </c>
      <c r="AI56" s="1125">
        <f t="shared" si="24"/>
        <v>0.3319319486618042</v>
      </c>
    </row>
    <row r="57" spans="1:35">
      <c r="A57" s="100">
        <v>50</v>
      </c>
      <c r="B57" s="302" t="s">
        <v>140</v>
      </c>
      <c r="C57" s="318">
        <f>'Table 3 Levels 1&amp;2'!AO57</f>
        <v>44696782.785300002</v>
      </c>
      <c r="D57" s="357">
        <f>'[1]Adjusted Amounts'!C56</f>
        <v>8551.242432594765</v>
      </c>
      <c r="E57" s="357">
        <f>'[2]Adjusted Amounts'!H56</f>
        <v>3997.1285109119672</v>
      </c>
      <c r="F57" s="357">
        <f t="shared" si="16"/>
        <v>12548.370943506732</v>
      </c>
      <c r="G57" s="318">
        <f t="shared" si="14"/>
        <v>12548.370943506732</v>
      </c>
      <c r="H57" s="357">
        <f t="shared" si="17"/>
        <v>0</v>
      </c>
      <c r="I57" s="357">
        <f>'[3]October midyear adj'!K55</f>
        <v>368364.5088176112</v>
      </c>
      <c r="J57" s="357">
        <f>'[3]February midyear adj '!K55</f>
        <v>-113342.92579003422</v>
      </c>
      <c r="K57" s="357">
        <f t="shared" si="18"/>
        <v>255021.58302757697</v>
      </c>
      <c r="L57" s="357">
        <f>'[3]Oct midyear Madison Prep'!K56+'[3]Oct midyear DArbonne'!K56+'[3]Oct midyear Intl_VIBE '!K56+'[3]Oct midyear NOMMA'!K56+'[3]Oct midyear LFNO'!K56+'[3]Oct midyear Lake Charles Chtr'!K56+'[3]Oct midyear JS Clark Academy'!K56+'[3]Oct midyear Southwest LA Chtr'!K56+'[3]Oct midyear LA Virtual Admy'!K53+'[3]Oct midyear LA Connections'!K53</f>
        <v>30602.589963309245</v>
      </c>
      <c r="M57" s="357">
        <f>'[3]Feb midyear Madison Prep'!K56+'[3]Feb midyear DArbonne'!K56+'[3]Feb midyear Intl_VIBE '!K56+'[3]Feb midyear NOMMA'!K56+'[3]Feb midyear LFNO '!K56+'[3]Feb midyear Lake Charles Ch'!K56+'[3]Feb midyear JS Clark Academy'!K56+'[3]Feb midyear Southwest LA Ch '!K56+'[3]Feb midyear LA Virtual Admy'!K53+'[3]Feb midyear LA Connections'!K53</f>
        <v>7650.6474908273103</v>
      </c>
      <c r="N57" s="357">
        <f t="shared" si="19"/>
        <v>38253.237454136557</v>
      </c>
      <c r="O57" s="357"/>
      <c r="P57" s="357">
        <f>-'Table 5C1A-Madison Prep'!L57</f>
        <v>0</v>
      </c>
      <c r="Q57" s="357">
        <f>-'Table 5C1B-DArbonne'!L57</f>
        <v>0</v>
      </c>
      <c r="R57" s="357">
        <f>-'Table 5C1C-Intl_VIBE'!L57</f>
        <v>0</v>
      </c>
      <c r="S57" s="357">
        <f>-'Table 5C1D-NOMMA'!L57</f>
        <v>0</v>
      </c>
      <c r="T57" s="357">
        <f>-'Table 5C1E-LFNO'!L57</f>
        <v>0</v>
      </c>
      <c r="U57" s="357">
        <f>-'Table 5C1F-Lake Charles Charter'!L57</f>
        <v>0</v>
      </c>
      <c r="V57" s="357">
        <f>-'Table 5C1G-JS Clark Academy'!L57</f>
        <v>0</v>
      </c>
      <c r="W57" s="357">
        <f>-'Table 5C1H-Southwest LA Charter'!L57</f>
        <v>0</v>
      </c>
      <c r="X57" s="320">
        <f>-('Table 5C2 - LA Virtual Admy'!M55+'Table 5C2 - LA Virtual Admy'!I55)</f>
        <v>-120426.85865191136</v>
      </c>
      <c r="Y57" s="320">
        <f>-('Table 5C3 - LA Connections EBR'!M55+'Table 5C3 - LA Connections EBR'!I55)</f>
        <v>-36836.45088176112</v>
      </c>
      <c r="Z57" s="320">
        <f t="shared" si="25"/>
        <v>-157263.30953367247</v>
      </c>
      <c r="AA57" s="540">
        <f t="shared" si="20"/>
        <v>44845343</v>
      </c>
      <c r="AB57" s="318">
        <f>('[4]Table 2_State Distrib and Adjs'!V56*6)+('[5]Table 2_State Distrib and Adjs'!AD56*2)</f>
        <v>29726880</v>
      </c>
      <c r="AC57" s="318">
        <f t="shared" si="21"/>
        <v>15118463</v>
      </c>
      <c r="AD57" s="318">
        <f t="shared" si="22"/>
        <v>3779616</v>
      </c>
      <c r="AE57" s="318">
        <f>'Table 4A Stipends'!G53</f>
        <v>24000</v>
      </c>
      <c r="AF57" s="318">
        <f t="shared" si="23"/>
        <v>44869343</v>
      </c>
      <c r="AG57" s="1117"/>
      <c r="AH57" s="1120">
        <f>(('2-1-13 SIS'!C56+'2-1-13 SIS'!R56)*'Table 3 Levels 1&amp;2'!AP57)+K57+F57+AE57</f>
        <v>44869342.667191558</v>
      </c>
      <c r="AI57" s="1125">
        <f t="shared" si="24"/>
        <v>0.33280844241380692</v>
      </c>
    </row>
    <row r="58" spans="1:35">
      <c r="A58" s="99">
        <v>51</v>
      </c>
      <c r="B58" s="301" t="s">
        <v>141</v>
      </c>
      <c r="C58" s="310">
        <f>'Table 3 Levels 1&amp;2'!AO58</f>
        <v>44559387.803552404</v>
      </c>
      <c r="D58" s="356">
        <f>'[1]Adjusted Amounts'!C57</f>
        <v>-23603.564440792776</v>
      </c>
      <c r="E58" s="356">
        <f>'[2]Adjusted Amounts'!H57</f>
        <v>2736.5598630378809</v>
      </c>
      <c r="F58" s="356">
        <f t="shared" si="16"/>
        <v>-20867.004577754895</v>
      </c>
      <c r="G58" s="310">
        <f t="shared" si="14"/>
        <v>0</v>
      </c>
      <c r="H58" s="356">
        <f t="shared" si="17"/>
        <v>-20867.004577754895</v>
      </c>
      <c r="I58" s="1378">
        <f>'[3]October midyear adj'!K56</f>
        <v>277350.86328764417</v>
      </c>
      <c r="J58" s="1378">
        <f>'[3]February midyear adj '!K56</f>
        <v>-443266.11186150275</v>
      </c>
      <c r="K58" s="1378">
        <f t="shared" si="18"/>
        <v>-165915.24857385858</v>
      </c>
      <c r="L58" s="1378">
        <f>'[3]Oct midyear Madison Prep'!K57+'[3]Oct midyear DArbonne'!K57+'[3]Oct midyear Intl_VIBE '!K57+'[3]Oct midyear NOMMA'!K57+'[3]Oct midyear LFNO'!K57+'[3]Oct midyear Lake Charles Chtr'!K57+'[3]Oct midyear JS Clark Academy'!K57+'[3]Oct midyear Southwest LA Chtr'!K57+'[3]Oct midyear LA Virtual Admy'!K54+'[3]Oct midyear LA Connections'!K54</f>
        <v>84691.067182477054</v>
      </c>
      <c r="M58" s="1378">
        <f>'[3]Feb midyear Madison Prep'!K57+'[3]Feb midyear DArbonne'!K57+'[3]Feb midyear Intl_VIBE '!K57+'[3]Feb midyear NOMMA'!K57+'[3]Feb midyear LFNO '!K57+'[3]Feb midyear Lake Charles Ch'!K57+'[3]Feb midyear JS Clark Academy'!K57+'[3]Feb midyear Southwest LA Ch '!K57+'[3]Feb midyear LA Virtual Admy'!K54+'[3]Feb midyear LA Connections'!K54</f>
        <v>2228.7122942757119</v>
      </c>
      <c r="N58" s="1378">
        <f t="shared" si="19"/>
        <v>86919.779476752767</v>
      </c>
      <c r="O58" s="356"/>
      <c r="P58" s="356">
        <f>-'Table 5C1A-Madison Prep'!L58</f>
        <v>0</v>
      </c>
      <c r="Q58" s="356">
        <f>-'Table 5C1B-DArbonne'!L58</f>
        <v>0</v>
      </c>
      <c r="R58" s="356">
        <f>-'Table 5C1C-Intl_VIBE'!L58</f>
        <v>0</v>
      </c>
      <c r="S58" s="356">
        <f>-'Table 5C1D-NOMMA'!L58</f>
        <v>0</v>
      </c>
      <c r="T58" s="356">
        <f>-'Table 5C1E-LFNO'!L58</f>
        <v>0</v>
      </c>
      <c r="U58" s="356">
        <f>-'Table 5C1F-Lake Charles Charter'!L58</f>
        <v>0</v>
      </c>
      <c r="V58" s="356">
        <f>-'Table 5C1G-JS Clark Academy'!L58</f>
        <v>0</v>
      </c>
      <c r="W58" s="356">
        <f>-'Table 5C1H-Southwest LA Charter'!L58</f>
        <v>0</v>
      </c>
      <c r="X58" s="314">
        <f>-('Table 5C2 - LA Virtual Admy'!M56+'Table 5C2 - LA Virtual Admy'!I56)</f>
        <v>-76271.487404102139</v>
      </c>
      <c r="Y58" s="314">
        <f>-('Table 5C3 - LA Connections EBR'!M56+'Table 5C3 - LA Connections EBR'!I56)</f>
        <v>-20553.680047209342</v>
      </c>
      <c r="Z58" s="314">
        <f t="shared" si="25"/>
        <v>-96825.167451311485</v>
      </c>
      <c r="AA58" s="539">
        <f t="shared" si="20"/>
        <v>44362700</v>
      </c>
      <c r="AB58" s="310">
        <f>('[4]Table 2_State Distrib and Adjs'!V57*6)+('[5]Table 2_State Distrib and Adjs'!AD57*2)</f>
        <v>29685744</v>
      </c>
      <c r="AC58" s="1531">
        <f t="shared" si="21"/>
        <v>14676956</v>
      </c>
      <c r="AD58" s="1531">
        <f t="shared" si="22"/>
        <v>3669239</v>
      </c>
      <c r="AE58" s="310">
        <f>'Table 4A Stipends'!G54</f>
        <v>0</v>
      </c>
      <c r="AF58" s="310">
        <f t="shared" si="23"/>
        <v>44362700</v>
      </c>
      <c r="AG58" s="1117"/>
      <c r="AH58" s="1120">
        <f>(('2-1-13 SIS'!C57+'2-1-13 SIS'!R57)*'Table 3 Levels 1&amp;2'!AP58)+K58+F58+AE58</f>
        <v>44362700.162426226</v>
      </c>
      <c r="AI58" s="1125">
        <f t="shared" si="24"/>
        <v>-0.16242622584104538</v>
      </c>
    </row>
    <row r="59" spans="1:35">
      <c r="A59" s="99">
        <v>52</v>
      </c>
      <c r="B59" s="301" t="s">
        <v>142</v>
      </c>
      <c r="C59" s="310">
        <f>'Table 3 Levels 1&amp;2'!AO59</f>
        <v>210299512.26220989</v>
      </c>
      <c r="D59" s="356">
        <f>'[1]Adjusted Amounts'!C58</f>
        <v>-33867.362356248894</v>
      </c>
      <c r="E59" s="356">
        <f>'[2]Adjusted Amounts'!H58</f>
        <v>-149518.07778132393</v>
      </c>
      <c r="F59" s="356">
        <f t="shared" si="16"/>
        <v>-183385.44013757282</v>
      </c>
      <c r="G59" s="310">
        <f t="shared" si="14"/>
        <v>0</v>
      </c>
      <c r="H59" s="356">
        <f t="shared" si="17"/>
        <v>-183385.44013757282</v>
      </c>
      <c r="I59" s="1378">
        <f>'[3]October midyear adj'!K57</f>
        <v>1293173.547542582</v>
      </c>
      <c r="J59" s="1378">
        <f>'[3]February midyear adj '!K57</f>
        <v>-280754.78334806056</v>
      </c>
      <c r="K59" s="1378">
        <f t="shared" si="18"/>
        <v>1012418.7641945215</v>
      </c>
      <c r="L59" s="1378">
        <f>'[3]Oct midyear Madison Prep'!K58+'[3]Oct midyear DArbonne'!K58+'[3]Oct midyear Intl_VIBE '!K58+'[3]Oct midyear NOMMA'!K58+'[3]Oct midyear LFNO'!K58+'[3]Oct midyear Lake Charles Chtr'!K58+'[3]Oct midyear JS Clark Academy'!K58+'[3]Oct midyear Southwest LA Chtr'!K58+'[3]Oct midyear LA Virtual Admy'!K55+'[3]Oct midyear LA Connections'!K55</f>
        <v>49344.780103598539</v>
      </c>
      <c r="M59" s="1378">
        <f>'[3]Feb midyear Madison Prep'!K58+'[3]Feb midyear DArbonne'!K58+'[3]Feb midyear Intl_VIBE '!K58+'[3]Feb midyear NOMMA'!K58+'[3]Feb midyear LFNO '!K58+'[3]Feb midyear Lake Charles Ch'!K58+'[3]Feb midyear JS Clark Academy'!K58+'[3]Feb midyear Southwest LA Ch '!K58+'[3]Feb midyear LA Virtual Admy'!K55+'[3]Feb midyear LA Connections'!K55</f>
        <v>22970.84591029587</v>
      </c>
      <c r="N59" s="1378">
        <f t="shared" si="19"/>
        <v>72315.626013894405</v>
      </c>
      <c r="O59" s="356"/>
      <c r="P59" s="49">
        <f>-'Table 5C1A-Madison Prep'!L59</f>
        <v>0</v>
      </c>
      <c r="Q59" s="356">
        <f>-'Table 5C1B-DArbonne'!L59</f>
        <v>0</v>
      </c>
      <c r="R59" s="356">
        <f>-'Table 5C1C-Intl_VIBE'!L59</f>
        <v>0</v>
      </c>
      <c r="S59" s="356">
        <f>-'Table 5C1D-NOMMA'!L59</f>
        <v>0</v>
      </c>
      <c r="T59" s="356">
        <f>-'Table 5C1E-LFNO'!L59</f>
        <v>-5671.8138050113248</v>
      </c>
      <c r="U59" s="356">
        <f>-'Table 5C1F-Lake Charles Charter'!L59</f>
        <v>0</v>
      </c>
      <c r="V59" s="356">
        <f>-'Table 5C1G-JS Clark Academy'!L59</f>
        <v>0</v>
      </c>
      <c r="W59" s="356">
        <f>-'Table 5C1H-Southwest LA Charter'!L59</f>
        <v>0</v>
      </c>
      <c r="X59" s="314">
        <f>-('Table 5C2 - LA Virtual Admy'!M57+'Table 5C2 - LA Virtual Admy'!I57)</f>
        <v>-520956.09799029015</v>
      </c>
      <c r="Y59" s="314">
        <f>-('Table 5C3 - LA Connections EBR'!M57+'Table 5C3 - LA Connections EBR'!I57)</f>
        <v>-560942.38531561999</v>
      </c>
      <c r="Z59" s="314">
        <f t="shared" si="25"/>
        <v>-1087570.2971109215</v>
      </c>
      <c r="AA59" s="539">
        <f t="shared" si="20"/>
        <v>210113291</v>
      </c>
      <c r="AB59" s="310">
        <f>('[4]Table 2_State Distrib and Adjs'!V58*6)+('[5]Table 2_State Distrib and Adjs'!AD58*2)</f>
        <v>139400582</v>
      </c>
      <c r="AC59" s="1531">
        <f t="shared" si="21"/>
        <v>70712709</v>
      </c>
      <c r="AD59" s="1531">
        <f t="shared" si="22"/>
        <v>17678177</v>
      </c>
      <c r="AE59" s="310">
        <f>'Table 4A Stipends'!G55</f>
        <v>0</v>
      </c>
      <c r="AF59" s="310">
        <f t="shared" si="23"/>
        <v>210113291</v>
      </c>
      <c r="AG59" s="1117"/>
      <c r="AH59" s="1120">
        <f>(('2-1-13 SIS'!C58+'2-1-13 SIS'!R58)*'Table 3 Levels 1&amp;2'!AP59)+K59+F59+AE59</f>
        <v>210113290.91516984</v>
      </c>
      <c r="AI59" s="1120">
        <f t="shared" si="24"/>
        <v>8.4830164909362793E-2</v>
      </c>
    </row>
    <row r="60" spans="1:35">
      <c r="A60" s="99">
        <v>53</v>
      </c>
      <c r="B60" s="301" t="s">
        <v>143</v>
      </c>
      <c r="C60" s="310">
        <f>'Table 3 Levels 1&amp;2'!AO60</f>
        <v>104633700.03331999</v>
      </c>
      <c r="D60" s="356">
        <f>'[1]Adjusted Amounts'!C59</f>
        <v>2717.5270563218037</v>
      </c>
      <c r="E60" s="356">
        <f>'[2]Adjusted Amounts'!H59</f>
        <v>535.09967560998848</v>
      </c>
      <c r="F60" s="356">
        <f t="shared" si="16"/>
        <v>3252.6267319317922</v>
      </c>
      <c r="G60" s="310">
        <f t="shared" si="14"/>
        <v>3252.6267319317922</v>
      </c>
      <c r="H60" s="356">
        <f t="shared" si="17"/>
        <v>0</v>
      </c>
      <c r="I60" s="1378">
        <f>'[3]October midyear adj'!K58</f>
        <v>1934726.0282995705</v>
      </c>
      <c r="J60" s="1378">
        <f>'[3]February midyear adj '!K58</f>
        <v>-352513.64074949804</v>
      </c>
      <c r="K60" s="1378">
        <f t="shared" si="18"/>
        <v>1582212.3875500725</v>
      </c>
      <c r="L60" s="1378">
        <f>'[3]Oct midyear Madison Prep'!K59+'[3]Oct midyear DArbonne'!K59+'[3]Oct midyear Intl_VIBE '!K59+'[3]Oct midyear NOMMA'!K59+'[3]Oct midyear LFNO'!K59+'[3]Oct midyear Lake Charles Chtr'!K59+'[3]Oct midyear JS Clark Academy'!K59+'[3]Oct midyear Southwest LA Chtr'!K59+'[3]Oct midyear LA Virtual Admy'!K56+'[3]Oct midyear LA Connections'!K56</f>
        <v>285290.10925773327</v>
      </c>
      <c r="M60" s="1378">
        <f>'[3]Feb midyear Madison Prep'!K59+'[3]Feb midyear DArbonne'!K59+'[3]Feb midyear Intl_VIBE '!K59+'[3]Feb midyear NOMMA'!K59+'[3]Feb midyear LFNO '!K59+'[3]Feb midyear Lake Charles Ch'!K59+'[3]Feb midyear JS Clark Academy'!K59+'[3]Feb midyear Southwest LA Ch '!K59+'[3]Feb midyear LA Virtual Admy'!K56+'[3]Feb midyear LA Connections'!K56</f>
        <v>14756.384961606895</v>
      </c>
      <c r="N60" s="1378">
        <f t="shared" si="19"/>
        <v>300046.49421934015</v>
      </c>
      <c r="O60" s="356"/>
      <c r="P60" s="356">
        <f>-'Table 5C1A-Madison Prep'!L60</f>
        <v>0</v>
      </c>
      <c r="Q60" s="356">
        <f>-'Table 5C1B-DArbonne'!L60</f>
        <v>0</v>
      </c>
      <c r="R60" s="356">
        <f>-'Table 5C1C-Intl_VIBE'!L60</f>
        <v>0</v>
      </c>
      <c r="S60" s="356">
        <f>-'Table 5C1D-NOMMA'!L60</f>
        <v>0</v>
      </c>
      <c r="T60" s="356">
        <f>-'Table 5C1E-LFNO'!L60</f>
        <v>0</v>
      </c>
      <c r="U60" s="356">
        <f>-'Table 5C1F-Lake Charles Charter'!L60</f>
        <v>0</v>
      </c>
      <c r="V60" s="356">
        <f>-'Table 5C1G-JS Clark Academy'!L60</f>
        <v>0</v>
      </c>
      <c r="W60" s="356">
        <f>-'Table 5C1H-Southwest LA Charter'!L60</f>
        <v>0</v>
      </c>
      <c r="X60" s="314">
        <f>-('Table 5C2 - LA Virtual Admy'!M58+'Table 5C2 - LA Virtual Admy'!I58)</f>
        <v>-519752.67031437618</v>
      </c>
      <c r="Y60" s="314">
        <f>-('Table 5C3 - LA Connections EBR'!M58+'Table 5C3 - LA Connections EBR'!I58)</f>
        <v>-359618.56684212352</v>
      </c>
      <c r="Z60" s="314">
        <f t="shared" si="25"/>
        <v>-879371.23715649964</v>
      </c>
      <c r="AA60" s="539">
        <f t="shared" si="20"/>
        <v>105639840</v>
      </c>
      <c r="AB60" s="310">
        <f>('[4]Table 2_State Distrib and Adjs'!V59*6)+('[5]Table 2_State Distrib and Adjs'!AD59*2)</f>
        <v>69371752</v>
      </c>
      <c r="AC60" s="1531">
        <f t="shared" si="21"/>
        <v>36268088</v>
      </c>
      <c r="AD60" s="1531">
        <f t="shared" si="22"/>
        <v>9067022</v>
      </c>
      <c r="AE60" s="310">
        <f>'Table 4A Stipends'!G56</f>
        <v>22000</v>
      </c>
      <c r="AF60" s="310">
        <f t="shared" si="23"/>
        <v>105661840</v>
      </c>
      <c r="AG60" s="1117"/>
      <c r="AH60" s="1120">
        <f>(('2-1-13 SIS'!C59+'2-1-13 SIS'!R59)*'Table 3 Levels 1&amp;2'!AP60)+K60+F60+AE60</f>
        <v>105661840.30466484</v>
      </c>
      <c r="AI60" s="1125">
        <f t="shared" si="24"/>
        <v>-0.30466483533382416</v>
      </c>
    </row>
    <row r="61" spans="1:35">
      <c r="A61" s="99">
        <v>54</v>
      </c>
      <c r="B61" s="301" t="s">
        <v>144</v>
      </c>
      <c r="C61" s="310">
        <f>'Table 3 Levels 1&amp;2'!AO61</f>
        <v>4708017.1401439998</v>
      </c>
      <c r="D61" s="356">
        <f>'[1]Adjusted Amounts'!C60</f>
        <v>0</v>
      </c>
      <c r="E61" s="356">
        <f>'[2]Adjusted Amounts'!H60</f>
        <v>0</v>
      </c>
      <c r="F61" s="356">
        <f t="shared" si="16"/>
        <v>0</v>
      </c>
      <c r="G61" s="310">
        <f t="shared" si="14"/>
        <v>0</v>
      </c>
      <c r="H61" s="356">
        <f t="shared" si="17"/>
        <v>0</v>
      </c>
      <c r="I61" s="1378">
        <f>'[3]October midyear adj'!K59</f>
        <v>-124258.51689529618</v>
      </c>
      <c r="J61" s="1378">
        <f>'[3]February midyear adj '!K59</f>
        <v>-51774.382039706747</v>
      </c>
      <c r="K61" s="1378">
        <f t="shared" si="18"/>
        <v>-176032.89893500292</v>
      </c>
      <c r="L61" s="1378">
        <f>'[3]Oct midyear Madison Prep'!K60+'[3]Oct midyear DArbonne'!K60+'[3]Oct midyear Intl_VIBE '!K60+'[3]Oct midyear NOMMA'!K60+'[3]Oct midyear LFNO'!K60+'[3]Oct midyear Lake Charles Chtr'!K60+'[3]Oct midyear JS Clark Academy'!K60+'[3]Oct midyear Southwest LA Chtr'!K60+'[3]Oct midyear LA Virtual Admy'!K57+'[3]Oct midyear LA Connections'!K57</f>
        <v>6212.9258447648099</v>
      </c>
      <c r="M61" s="1378">
        <f>'[3]Feb midyear Madison Prep'!K60+'[3]Feb midyear DArbonne'!K60+'[3]Feb midyear Intl_VIBE '!K60+'[3]Feb midyear NOMMA'!K60+'[3]Feb midyear LFNO '!K60+'[3]Feb midyear Lake Charles Ch'!K60+'[3]Feb midyear JS Clark Academy'!K60+'[3]Feb midyear Southwest LA Ch '!K60+'[3]Feb midyear LA Virtual Admy'!K57+'[3]Feb midyear LA Connections'!K57</f>
        <v>0</v>
      </c>
      <c r="N61" s="1378">
        <f t="shared" si="19"/>
        <v>6212.9258447648099</v>
      </c>
      <c r="O61" s="356"/>
      <c r="P61" s="356">
        <f>-'Table 5C1A-Madison Prep'!L61</f>
        <v>0</v>
      </c>
      <c r="Q61" s="356">
        <f>-'Table 5C1B-DArbonne'!L61</f>
        <v>0</v>
      </c>
      <c r="R61" s="356">
        <f>-'Table 5C1C-Intl_VIBE'!L61</f>
        <v>0</v>
      </c>
      <c r="S61" s="356">
        <f>-'Table 5C1D-NOMMA'!L61</f>
        <v>0</v>
      </c>
      <c r="T61" s="356">
        <f>-'Table 5C1E-LFNO'!L61</f>
        <v>0</v>
      </c>
      <c r="U61" s="356">
        <f>-'Table 5C1F-Lake Charles Charter'!L61</f>
        <v>0</v>
      </c>
      <c r="V61" s="356">
        <f>-'Table 5C1G-JS Clark Academy'!L61</f>
        <v>0</v>
      </c>
      <c r="W61" s="356">
        <f>-'Table 5C1H-Southwest LA Charter'!L61</f>
        <v>0</v>
      </c>
      <c r="X61" s="314">
        <f>-('Table 5C2 - LA Virtual Admy'!M59+'Table 5C2 - LA Virtual Admy'!I59)</f>
        <v>0</v>
      </c>
      <c r="Y61" s="314">
        <f>-('Table 5C3 - LA Connections EBR'!M59+'Table 5C3 - LA Connections EBR'!I59)</f>
        <v>-40729.180537902641</v>
      </c>
      <c r="Z61" s="314">
        <f t="shared" si="25"/>
        <v>-40729.180537902641</v>
      </c>
      <c r="AA61" s="539">
        <f t="shared" si="20"/>
        <v>4497468</v>
      </c>
      <c r="AB61" s="310">
        <f>('[4]Table 2_State Distrib and Adjs'!V60*6)+('[5]Table 2_State Distrib and Adjs'!AD60*2)</f>
        <v>3115666</v>
      </c>
      <c r="AC61" s="1531">
        <f t="shared" si="21"/>
        <v>1381802</v>
      </c>
      <c r="AD61" s="1531">
        <f t="shared" si="22"/>
        <v>345451</v>
      </c>
      <c r="AE61" s="310">
        <f>'Table 4A Stipends'!G57</f>
        <v>0</v>
      </c>
      <c r="AF61" s="310">
        <f t="shared" si="23"/>
        <v>4497468</v>
      </c>
      <c r="AG61" s="1117"/>
      <c r="AH61" s="1120">
        <f>(('2-1-13 SIS'!C60+'2-1-13 SIS'!R60)*'Table 3 Levels 1&amp;2'!AP61)+K61+F61+AE61</f>
        <v>4497467.9865158591</v>
      </c>
      <c r="AI61" s="1125">
        <f t="shared" si="24"/>
        <v>1.3484140858054161E-2</v>
      </c>
    </row>
    <row r="62" spans="1:35">
      <c r="A62" s="100">
        <v>55</v>
      </c>
      <c r="B62" s="302" t="s">
        <v>145</v>
      </c>
      <c r="C62" s="318">
        <f>'Table 3 Levels 1&amp;2'!AO62</f>
        <v>88179553.755879998</v>
      </c>
      <c r="D62" s="357">
        <f>'[1]Adjusted Amounts'!C61</f>
        <v>0</v>
      </c>
      <c r="E62" s="357">
        <f>'[2]Adjusted Amounts'!H61</f>
        <v>-19024.122282890603</v>
      </c>
      <c r="F62" s="357">
        <f t="shared" si="16"/>
        <v>-19024.122282890603</v>
      </c>
      <c r="G62" s="318">
        <f t="shared" si="14"/>
        <v>0</v>
      </c>
      <c r="H62" s="357">
        <f t="shared" si="17"/>
        <v>-19024.122282890603</v>
      </c>
      <c r="I62" s="357">
        <f>'[3]October midyear adj'!K60</f>
        <v>640637.66808450781</v>
      </c>
      <c r="J62" s="357">
        <f>'[3]February midyear adj '!K60</f>
        <v>-255758.44888645079</v>
      </c>
      <c r="K62" s="357">
        <f t="shared" si="18"/>
        <v>384879.21919805702</v>
      </c>
      <c r="L62" s="357">
        <f>'[3]Oct midyear Madison Prep'!K61+'[3]Oct midyear DArbonne'!K61+'[3]Oct midyear Intl_VIBE '!K61+'[3]Oct midyear NOMMA'!K61+'[3]Oct midyear LFNO'!K61+'[3]Oct midyear Lake Charles Chtr'!K61+'[3]Oct midyear JS Clark Academy'!K61+'[3]Oct midyear Southwest LA Chtr'!K61+'[3]Oct midyear LA Virtual Admy'!K58+'[3]Oct midyear LA Connections'!K58</f>
        <v>44695.651261709849</v>
      </c>
      <c r="M62" s="357">
        <f>'[3]Feb midyear Madison Prep'!K61+'[3]Feb midyear DArbonne'!K61+'[3]Feb midyear Intl_VIBE '!K61+'[3]Feb midyear NOMMA'!K61+'[3]Feb midyear LFNO '!K61+'[3]Feb midyear Lake Charles Ch'!K61+'[3]Feb midyear JS Clark Academy'!K61+'[3]Feb midyear Southwest LA Ch '!K61+'[3]Feb midyear LA Virtual Admy'!K58+'[3]Feb midyear LA Connections'!K58</f>
        <v>-4469.5651261709845</v>
      </c>
      <c r="N62" s="357">
        <f t="shared" si="19"/>
        <v>40226.086135538862</v>
      </c>
      <c r="O62" s="357"/>
      <c r="P62" s="357">
        <f>-'Table 5C1A-Madison Prep'!L62</f>
        <v>0</v>
      </c>
      <c r="Q62" s="357">
        <f>-'Table 5C1B-DArbonne'!L62</f>
        <v>0</v>
      </c>
      <c r="R62" s="357">
        <f>-'Table 5C1C-Intl_VIBE'!L62</f>
        <v>0</v>
      </c>
      <c r="S62" s="357">
        <f>-'Table 5C1D-NOMMA'!L62</f>
        <v>0</v>
      </c>
      <c r="T62" s="357">
        <f>-'Table 5C1E-LFNO'!L62</f>
        <v>0</v>
      </c>
      <c r="U62" s="357">
        <f>-'Table 5C1F-Lake Charles Charter'!L62</f>
        <v>0</v>
      </c>
      <c r="V62" s="357">
        <f>-'Table 5C1G-JS Clark Academy'!L62</f>
        <v>0</v>
      </c>
      <c r="W62" s="357">
        <f>-'Table 5C1H-Southwest LA Charter'!L62</f>
        <v>0</v>
      </c>
      <c r="X62" s="320">
        <f>-('Table 5C2 - LA Virtual Admy'!M60+'Table 5C2 - LA Virtual Admy'!I60)</f>
        <v>-178037.6775258109</v>
      </c>
      <c r="Y62" s="320">
        <f>-('Table 5C3 - LA Connections EBR'!M60+'Table 5C3 - LA Connections EBR'!I60)</f>
        <v>-160159.41702112695</v>
      </c>
      <c r="Z62" s="320">
        <f t="shared" si="25"/>
        <v>-338197.09454693785</v>
      </c>
      <c r="AA62" s="540">
        <f t="shared" si="20"/>
        <v>88247438</v>
      </c>
      <c r="AB62" s="318">
        <f>('[4]Table 2_State Distrib and Adjs'!V61*6)+('[5]Table 2_State Distrib and Adjs'!AD61*2)</f>
        <v>58575040</v>
      </c>
      <c r="AC62" s="318">
        <f t="shared" si="21"/>
        <v>29672398</v>
      </c>
      <c r="AD62" s="318">
        <f t="shared" si="22"/>
        <v>7418100</v>
      </c>
      <c r="AE62" s="318">
        <f>'Table 4A Stipends'!G58</f>
        <v>0</v>
      </c>
      <c r="AF62" s="318">
        <f t="shared" si="23"/>
        <v>88247438</v>
      </c>
      <c r="AG62" s="1117"/>
      <c r="AH62" s="1120">
        <f>(('2-1-13 SIS'!C61+'2-1-13 SIS'!R61)*'Table 3 Levels 1&amp;2'!AP62)+K62+F62+AE62</f>
        <v>88247437.844383776</v>
      </c>
      <c r="AI62" s="1125">
        <f t="shared" si="24"/>
        <v>0.15561622381210327</v>
      </c>
    </row>
    <row r="63" spans="1:35">
      <c r="A63" s="99">
        <v>56</v>
      </c>
      <c r="B63" s="301" t="s">
        <v>146</v>
      </c>
      <c r="C63" s="310">
        <f>'Table 3 Levels 1&amp;2'!AO63</f>
        <v>15968104.122464001</v>
      </c>
      <c r="D63" s="356">
        <f>'[1]Adjusted Amounts'!C62</f>
        <v>0</v>
      </c>
      <c r="E63" s="356">
        <f>'[2]Adjusted Amounts'!H62</f>
        <v>0</v>
      </c>
      <c r="F63" s="356">
        <f t="shared" si="16"/>
        <v>0</v>
      </c>
      <c r="G63" s="310">
        <f t="shared" si="14"/>
        <v>0</v>
      </c>
      <c r="H63" s="356">
        <f t="shared" si="17"/>
        <v>0</v>
      </c>
      <c r="I63" s="1378">
        <f>'[3]October midyear adj'!K61</f>
        <v>-580658.33172596362</v>
      </c>
      <c r="J63" s="1378">
        <f>'[3]February midyear adj '!K61</f>
        <v>-58624.158491563634</v>
      </c>
      <c r="K63" s="1378">
        <f t="shared" si="18"/>
        <v>-639282.49021752726</v>
      </c>
      <c r="L63" s="1378">
        <f>'[3]Oct midyear Madison Prep'!K62+'[3]Oct midyear DArbonne'!K62+'[3]Oct midyear Intl_VIBE '!K62+'[3]Oct midyear NOMMA'!K62+'[3]Oct midyear LFNO'!K62+'[3]Oct midyear Lake Charles Chtr'!K62+'[3]Oct midyear JS Clark Academy'!K62+'[3]Oct midyear Southwest LA Chtr'!K62+'[3]Oct midyear LA Virtual Admy'!K59+'[3]Oct midyear LA Connections'!K59</f>
        <v>944686.43969262543</v>
      </c>
      <c r="M63" s="1378">
        <f>'[3]Feb midyear Madison Prep'!K62+'[3]Feb midyear DArbonne'!K62+'[3]Feb midyear Intl_VIBE '!K62+'[3]Feb midyear NOMMA'!K62+'[3]Feb midyear LFNO '!K62+'[3]Feb midyear Lake Charles Ch'!K62+'[3]Feb midyear JS Clark Academy'!K62+'[3]Feb midyear Southwest LA Ch '!K62+'[3]Feb midyear LA Virtual Admy'!K59+'[3]Feb midyear LA Connections'!K59</f>
        <v>-50249.278707054546</v>
      </c>
      <c r="N63" s="1378">
        <f t="shared" si="19"/>
        <v>894437.16098557087</v>
      </c>
      <c r="O63" s="356"/>
      <c r="P63" s="49">
        <f>-'Table 5C1A-Madison Prep'!L63</f>
        <v>0</v>
      </c>
      <c r="Q63" s="1683">
        <f>-'Table 5C1B-DArbonne'!L63-'Table 5C1B-DArbonne'!L77</f>
        <v>-3874777.7136328728</v>
      </c>
      <c r="R63" s="356">
        <f>-'Table 5C1C-Intl_VIBE'!L63</f>
        <v>0</v>
      </c>
      <c r="S63" s="356">
        <f>-'Table 5C1D-NOMMA'!L63</f>
        <v>0</v>
      </c>
      <c r="T63" s="356">
        <f>-'Table 5C1E-LFNO'!L63</f>
        <v>0</v>
      </c>
      <c r="U63" s="356">
        <f>-'Table 5C1F-Lake Charles Charter'!L63</f>
        <v>0</v>
      </c>
      <c r="V63" s="356">
        <f>-'Table 5C1G-JS Clark Academy'!L63</f>
        <v>0</v>
      </c>
      <c r="W63" s="356">
        <f>-'Table 5C1H-Southwest LA Charter'!L63</f>
        <v>0</v>
      </c>
      <c r="X63" s="314">
        <f>-('Table 5C2 - LA Virtual Admy'!M61+'Table 5C2 - LA Virtual Admy'!I61)</f>
        <v>-36570.308392356368</v>
      </c>
      <c r="Y63" s="314">
        <f>-('Table 5C3 - LA Connections EBR'!M61+'Table 5C3 - LA Connections EBR'!I61)</f>
        <v>-20378.874142305456</v>
      </c>
      <c r="Z63" s="314">
        <f t="shared" si="25"/>
        <v>-3931726.8961675344</v>
      </c>
      <c r="AA63" s="539">
        <f t="shared" si="20"/>
        <v>12291532</v>
      </c>
      <c r="AB63" s="310">
        <f>('[4]Table 2_State Distrib and Adjs'!V62*6)+('[5]Table 2_State Distrib and Adjs'!AD62*2)</f>
        <v>8426990</v>
      </c>
      <c r="AC63" s="1531">
        <f t="shared" si="21"/>
        <v>3864542</v>
      </c>
      <c r="AD63" s="1531">
        <f t="shared" si="22"/>
        <v>966136</v>
      </c>
      <c r="AE63" s="310">
        <f>'Table 4A Stipends'!G59</f>
        <v>0</v>
      </c>
      <c r="AF63" s="310">
        <f t="shared" si="23"/>
        <v>12291532</v>
      </c>
      <c r="AG63" s="1117"/>
      <c r="AH63" s="1120">
        <f>(('2-1-13 SIS'!C62+'2-1-13 SIS'!R62)*'Table 3 Levels 1&amp;2'!AP63)+K63+F63+AE63</f>
        <v>12291531.897064511</v>
      </c>
      <c r="AI63" s="1125">
        <f t="shared" si="24"/>
        <v>0.10293548926711082</v>
      </c>
    </row>
    <row r="64" spans="1:35">
      <c r="A64" s="99">
        <v>57</v>
      </c>
      <c r="B64" s="301" t="s">
        <v>147</v>
      </c>
      <c r="C64" s="310">
        <f>'Table 3 Levels 1&amp;2'!AO64</f>
        <v>47498715.931391999</v>
      </c>
      <c r="D64" s="356">
        <f>'[1]Adjusted Amounts'!C63</f>
        <v>0</v>
      </c>
      <c r="E64" s="356">
        <f>'[2]Adjusted Amounts'!H63</f>
        <v>0</v>
      </c>
      <c r="F64" s="356">
        <f t="shared" si="16"/>
        <v>0</v>
      </c>
      <c r="G64" s="310">
        <f t="shared" si="14"/>
        <v>0</v>
      </c>
      <c r="H64" s="356">
        <f t="shared" si="17"/>
        <v>0</v>
      </c>
      <c r="I64" s="1378">
        <f>'[3]October midyear adj'!K62</f>
        <v>761281.50879317347</v>
      </c>
      <c r="J64" s="1378">
        <f>'[3]February midyear adj '!K62</f>
        <v>-212633.80073188638</v>
      </c>
      <c r="K64" s="1378">
        <f t="shared" si="18"/>
        <v>548647.70806128706</v>
      </c>
      <c r="L64" s="1378">
        <f>'[3]Oct midyear Madison Prep'!K63+'[3]Oct midyear DArbonne'!K63+'[3]Oct midyear Intl_VIBE '!K63+'[3]Oct midyear NOMMA'!K63+'[3]Oct midyear LFNO'!K63+'[3]Oct midyear Lake Charles Chtr'!K63+'[3]Oct midyear JS Clark Academy'!K63+'[3]Oct midyear Southwest LA Chtr'!K63+'[3]Oct midyear LA Virtual Admy'!K60+'[3]Oct midyear LA Connections'!K60</f>
        <v>85053.520292754562</v>
      </c>
      <c r="M64" s="1378">
        <f>'[3]Feb midyear Madison Prep'!K63+'[3]Feb midyear DArbonne'!K63+'[3]Feb midyear Intl_VIBE '!K63+'[3]Feb midyear NOMMA'!K63+'[3]Feb midyear LFNO '!K63+'[3]Feb midyear Lake Charles Ch'!K63+'[3]Feb midyear JS Clark Academy'!K63+'[3]Feb midyear Southwest LA Ch '!K63+'[3]Feb midyear LA Virtual Admy'!K60+'[3]Feb midyear LA Connections'!K60</f>
        <v>-9450.3911436393955</v>
      </c>
      <c r="N64" s="1378">
        <f t="shared" si="19"/>
        <v>75603.129149115164</v>
      </c>
      <c r="O64" s="356"/>
      <c r="P64" s="356">
        <f>-'Table 5C1A-Madison Prep'!L64</f>
        <v>0</v>
      </c>
      <c r="Q64" s="356">
        <f>-'Table 5C1B-DArbonne'!L64</f>
        <v>0</v>
      </c>
      <c r="R64" s="356">
        <f>-'Table 5C1C-Intl_VIBE'!L64</f>
        <v>0</v>
      </c>
      <c r="S64" s="356">
        <f>-'Table 5C1D-NOMMA'!L64</f>
        <v>0</v>
      </c>
      <c r="T64" s="356">
        <f>-'Table 5C1E-LFNO'!L64</f>
        <v>0</v>
      </c>
      <c r="U64" s="356">
        <f>-'Table 5C1F-Lake Charles Charter'!L64</f>
        <v>0</v>
      </c>
      <c r="V64" s="356">
        <f>-'Table 5C1G-JS Clark Academy'!L64</f>
        <v>0</v>
      </c>
      <c r="W64" s="356">
        <f>-'Table 5C1H-Southwest LA Charter'!L64</f>
        <v>0</v>
      </c>
      <c r="X64" s="314">
        <f>-('Table 5C2 - LA Virtual Admy'!M62+'Table 5C2 - LA Virtual Admy'!I62)</f>
        <v>-123380.10659751433</v>
      </c>
      <c r="Y64" s="314">
        <f>-('Table 5C3 - LA Connections EBR'!M62+'Table 5C3 - LA Connections EBR'!I62)</f>
        <v>-36226.499383951013</v>
      </c>
      <c r="Z64" s="314">
        <f t="shared" si="25"/>
        <v>-159606.60598146534</v>
      </c>
      <c r="AA64" s="539">
        <f t="shared" si="20"/>
        <v>47963360</v>
      </c>
      <c r="AB64" s="310">
        <f>('[4]Table 2_State Distrib and Adjs'!V63*6)+('[5]Table 2_State Distrib and Adjs'!AD63*2)</f>
        <v>31609808</v>
      </c>
      <c r="AC64" s="1531">
        <f t="shared" si="21"/>
        <v>16353552</v>
      </c>
      <c r="AD64" s="1531">
        <f t="shared" si="22"/>
        <v>4088388</v>
      </c>
      <c r="AE64" s="310">
        <f>'Table 4A Stipends'!G60</f>
        <v>0</v>
      </c>
      <c r="AF64" s="310">
        <f t="shared" si="23"/>
        <v>47963360</v>
      </c>
      <c r="AG64" s="1117"/>
      <c r="AH64" s="1120">
        <f>(('2-1-13 SIS'!C63+'2-1-13 SIS'!R63)*'Table 3 Levels 1&amp;2'!AP64)+K64+F64+AE64</f>
        <v>47963360.162620932</v>
      </c>
      <c r="AI64" s="1120">
        <f t="shared" si="24"/>
        <v>-0.16262093186378479</v>
      </c>
    </row>
    <row r="65" spans="1:35">
      <c r="A65" s="99">
        <v>58</v>
      </c>
      <c r="B65" s="301" t="s">
        <v>148</v>
      </c>
      <c r="C65" s="310">
        <f>'Table 3 Levels 1&amp;2'!AO65</f>
        <v>55948098.088360004</v>
      </c>
      <c r="D65" s="356">
        <f>'[1]Adjusted Amounts'!C64</f>
        <v>0</v>
      </c>
      <c r="E65" s="356">
        <f>'[2]Adjusted Amounts'!H64</f>
        <v>-8216.5165012490943</v>
      </c>
      <c r="F65" s="356">
        <f t="shared" si="16"/>
        <v>-8216.5165012490943</v>
      </c>
      <c r="G65" s="310">
        <f t="shared" si="14"/>
        <v>0</v>
      </c>
      <c r="H65" s="356">
        <f t="shared" si="17"/>
        <v>-8216.5165012490943</v>
      </c>
      <c r="I65" s="1378">
        <f>'[3]October midyear adj'!K63</f>
        <v>240041.34493355779</v>
      </c>
      <c r="J65" s="1378">
        <f>'[3]February midyear adj '!K63</f>
        <v>-436998.34590468212</v>
      </c>
      <c r="K65" s="1378">
        <f t="shared" si="18"/>
        <v>-196957.00097112433</v>
      </c>
      <c r="L65" s="1378">
        <f>'[3]Oct midyear Madison Prep'!K64+'[3]Oct midyear DArbonne'!K64+'[3]Oct midyear Intl_VIBE '!K64+'[3]Oct midyear NOMMA'!K64+'[3]Oct midyear LFNO'!K64+'[3]Oct midyear Lake Charles Chtr'!K64+'[3]Oct midyear JS Clark Academy'!K64+'[3]Oct midyear Southwest LA Chtr'!K64+'[3]Oct midyear LA Virtual Admy'!K61+'[3]Oct midyear LA Connections'!K61</f>
        <v>77551.819132380217</v>
      </c>
      <c r="M65" s="1378">
        <f>'[3]Feb midyear Madison Prep'!K64+'[3]Feb midyear DArbonne'!K64+'[3]Feb midyear Intl_VIBE '!K64+'[3]Feb midyear NOMMA'!K64+'[3]Feb midyear LFNO '!K64+'[3]Feb midyear Lake Charles Ch'!K64+'[3]Feb midyear JS Clark Academy'!K64+'[3]Feb midyear Southwest LA Ch '!K64+'[3]Feb midyear LA Virtual Admy'!K61+'[3]Feb midyear LA Connections'!K61</f>
        <v>22157.662609251489</v>
      </c>
      <c r="N65" s="1378">
        <f t="shared" si="19"/>
        <v>99709.481741631709</v>
      </c>
      <c r="O65" s="356"/>
      <c r="P65" s="356">
        <f>-'Table 5C1A-Madison Prep'!L65</f>
        <v>0</v>
      </c>
      <c r="Q65" s="356">
        <f>-'Table 5C1B-DArbonne'!L65</f>
        <v>0</v>
      </c>
      <c r="R65" s="356">
        <f>-'Table 5C1C-Intl_VIBE'!L65</f>
        <v>0</v>
      </c>
      <c r="S65" s="356">
        <f>-'Table 5C1D-NOMMA'!L65</f>
        <v>0</v>
      </c>
      <c r="T65" s="356">
        <f>-'Table 5C1E-LFNO'!L65</f>
        <v>0</v>
      </c>
      <c r="U65" s="356">
        <f>-'Table 5C1F-Lake Charles Charter'!L65</f>
        <v>0</v>
      </c>
      <c r="V65" s="356">
        <f>-'Table 5C1G-JS Clark Academy'!L65</f>
        <v>0</v>
      </c>
      <c r="W65" s="356">
        <f>-'Table 5C1H-Southwest LA Charter'!L65</f>
        <v>0</v>
      </c>
      <c r="X65" s="314">
        <f>-('Table 5C2 - LA Virtual Admy'!M63+'Table 5C2 - LA Virtual Admy'!I63)</f>
        <v>-276047.54667359142</v>
      </c>
      <c r="Y65" s="314">
        <f>-('Table 5C3 - LA Connections EBR'!M63+'Table 5C3 - LA Connections EBR'!I63)</f>
        <v>-180646.49932820306</v>
      </c>
      <c r="Z65" s="314">
        <f t="shared" si="25"/>
        <v>-456694.04600179452</v>
      </c>
      <c r="AA65" s="539">
        <f t="shared" si="20"/>
        <v>55385940</v>
      </c>
      <c r="AB65" s="310">
        <f>('[4]Table 2_State Distrib and Adjs'!V64*6)+('[5]Table 2_State Distrib and Adjs'!AD64*2)</f>
        <v>37055264</v>
      </c>
      <c r="AC65" s="1531">
        <f t="shared" si="21"/>
        <v>18330676</v>
      </c>
      <c r="AD65" s="1531">
        <f t="shared" si="22"/>
        <v>4582669</v>
      </c>
      <c r="AE65" s="310">
        <f>'Table 4A Stipends'!G61</f>
        <v>0</v>
      </c>
      <c r="AF65" s="310">
        <f t="shared" si="23"/>
        <v>55385940</v>
      </c>
      <c r="AG65" s="1117"/>
      <c r="AH65" s="1120">
        <f>(('2-1-13 SIS'!C64+'2-1-13 SIS'!R64)*'Table 3 Levels 1&amp;2'!AP65)+K65+F65+AE65</f>
        <v>55385940.00662747</v>
      </c>
      <c r="AI65" s="1125">
        <f t="shared" si="24"/>
        <v>-6.6274702548980713E-3</v>
      </c>
    </row>
    <row r="66" spans="1:35">
      <c r="A66" s="99">
        <v>59</v>
      </c>
      <c r="B66" s="301" t="s">
        <v>149</v>
      </c>
      <c r="C66" s="310">
        <f>'Table 3 Levels 1&amp;2'!AO66</f>
        <v>36539051.431552</v>
      </c>
      <c r="D66" s="356">
        <f>'[1]Adjusted Amounts'!C65</f>
        <v>0</v>
      </c>
      <c r="E66" s="356">
        <f>'[2]Adjusted Amounts'!H65</f>
        <v>0</v>
      </c>
      <c r="F66" s="356">
        <f t="shared" si="16"/>
        <v>0</v>
      </c>
      <c r="G66" s="310">
        <f t="shared" si="14"/>
        <v>0</v>
      </c>
      <c r="H66" s="356">
        <f t="shared" si="17"/>
        <v>0</v>
      </c>
      <c r="I66" s="1378">
        <f>'[3]October midyear adj'!K64</f>
        <v>-619778.07840825769</v>
      </c>
      <c r="J66" s="1378">
        <f>'[3]February midyear adj '!K64</f>
        <v>-94011.28155630875</v>
      </c>
      <c r="K66" s="1378">
        <f t="shared" si="18"/>
        <v>-713789.35996456642</v>
      </c>
      <c r="L66" s="1378">
        <f>'[3]Oct midyear Madison Prep'!K65+'[3]Oct midyear DArbonne'!K65+'[3]Oct midyear Intl_VIBE '!K65+'[3]Oct midyear NOMMA'!K65+'[3]Oct midyear LFNO'!K65+'[3]Oct midyear Lake Charles Chtr'!K65+'[3]Oct midyear JS Clark Academy'!K65+'[3]Oct midyear Southwest LA Chtr'!K65+'[3]Oct midyear LA Virtual Admy'!K62+'[3]Oct midyear LA Connections'!K62</f>
        <v>156685.46926051457</v>
      </c>
      <c r="M66" s="1378">
        <f>'[3]Feb midyear Madison Prep'!K65+'[3]Feb midyear DArbonne'!K65+'[3]Feb midyear Intl_VIBE '!K65+'[3]Feb midyear NOMMA'!K65+'[3]Feb midyear LFNO '!K65+'[3]Feb midyear Lake Charles Ch'!K65+'[3]Feb midyear JS Clark Academy'!K65+'[3]Feb midyear Southwest LA Ch '!K65+'[3]Feb midyear LA Virtual Admy'!K62+'[3]Feb midyear LA Connections'!K62</f>
        <v>-59540.478318995541</v>
      </c>
      <c r="N66" s="1378">
        <f t="shared" si="19"/>
        <v>97144.990941519034</v>
      </c>
      <c r="O66" s="356"/>
      <c r="P66" s="356">
        <f>-'Table 5C1A-Madison Prep'!L66</f>
        <v>0</v>
      </c>
      <c r="Q66" s="356">
        <f>-'Table 5C1B-DArbonne'!L66</f>
        <v>0</v>
      </c>
      <c r="R66" s="356">
        <f>-'Table 5C1C-Intl_VIBE'!L66</f>
        <v>0</v>
      </c>
      <c r="S66" s="356">
        <f>-'Table 5C1D-NOMMA'!L66</f>
        <v>0</v>
      </c>
      <c r="T66" s="356">
        <f>-'Table 5C1E-LFNO'!L66</f>
        <v>0</v>
      </c>
      <c r="U66" s="356">
        <f>-'Table 5C1F-Lake Charles Charter'!L66</f>
        <v>0</v>
      </c>
      <c r="V66" s="356">
        <f>-'Table 5C1G-JS Clark Academy'!L66</f>
        <v>0</v>
      </c>
      <c r="W66" s="356">
        <f>-'Table 5C1H-Southwest LA Charter'!L66</f>
        <v>0</v>
      </c>
      <c r="X66" s="314">
        <f>-('Table 5C2 - LA Virtual Admy'!M64+'Table 5C2 - LA Virtual Admy'!I64)</f>
        <v>-197075.50133655831</v>
      </c>
      <c r="Y66" s="314">
        <f>-('Table 5C3 - LA Connections EBR'!M64+'Table 5C3 - LA Connections EBR'!I64)</f>
        <v>-88092.052717578204</v>
      </c>
      <c r="Z66" s="314">
        <f t="shared" si="25"/>
        <v>-285167.5540541365</v>
      </c>
      <c r="AA66" s="539">
        <f t="shared" si="20"/>
        <v>35637240</v>
      </c>
      <c r="AB66" s="310">
        <f>('[4]Table 2_State Distrib and Adjs'!V65*6)+('[5]Table 2_State Distrib and Adjs'!AD65*2)</f>
        <v>24234018</v>
      </c>
      <c r="AC66" s="1531">
        <f t="shared" si="21"/>
        <v>11403222</v>
      </c>
      <c r="AD66" s="1531">
        <f t="shared" si="22"/>
        <v>2850806</v>
      </c>
      <c r="AE66" s="310">
        <f>'Table 4A Stipends'!G62</f>
        <v>0</v>
      </c>
      <c r="AF66" s="310">
        <f t="shared" si="23"/>
        <v>35637240</v>
      </c>
      <c r="AG66" s="1117"/>
      <c r="AH66" s="1120">
        <f>(('2-1-13 SIS'!C65+'2-1-13 SIS'!R65)*'Table 3 Levels 1&amp;2'!AP66)+K66+F66+AE66</f>
        <v>35637239.508474819</v>
      </c>
      <c r="AI66" s="1125">
        <f t="shared" si="24"/>
        <v>0.49152518063783646</v>
      </c>
    </row>
    <row r="67" spans="1:35">
      <c r="A67" s="100">
        <v>60</v>
      </c>
      <c r="B67" s="302" t="s">
        <v>150</v>
      </c>
      <c r="C67" s="318">
        <f>'Table 3 Levels 1&amp;2'!AO67</f>
        <v>35938473.707403839</v>
      </c>
      <c r="D67" s="357">
        <f>'[1]Adjusted Amounts'!C66</f>
        <v>-2753.9485829962941</v>
      </c>
      <c r="E67" s="357">
        <f>'[2]Adjusted Amounts'!H66</f>
        <v>-4544.1652770033907</v>
      </c>
      <c r="F67" s="357">
        <f t="shared" si="16"/>
        <v>-7298.1138599996848</v>
      </c>
      <c r="G67" s="318">
        <f t="shared" si="14"/>
        <v>0</v>
      </c>
      <c r="H67" s="357">
        <f t="shared" si="17"/>
        <v>-7298.1138599996848</v>
      </c>
      <c r="I67" s="357">
        <f>'[3]October midyear adj'!K65</f>
        <v>60884.523453171452</v>
      </c>
      <c r="J67" s="357">
        <f>'[3]February midyear adj '!K65</f>
        <v>-146676.3519553676</v>
      </c>
      <c r="K67" s="357">
        <f t="shared" si="18"/>
        <v>-85791.828502196149</v>
      </c>
      <c r="L67" s="357">
        <f>'[3]Oct midyear Madison Prep'!K66+'[3]Oct midyear DArbonne'!K66+'[3]Oct midyear Intl_VIBE '!K66+'[3]Oct midyear NOMMA'!K66+'[3]Oct midyear LFNO'!K66+'[3]Oct midyear Lake Charles Chtr'!K66+'[3]Oct midyear JS Clark Academy'!K66+'[3]Oct midyear Southwest LA Chtr'!K66+'[3]Oct midyear LA Virtual Admy'!K63+'[3]Oct midyear LA Connections'!K63</f>
        <v>-9962.9220196098759</v>
      </c>
      <c r="M67" s="357">
        <f>'[3]Feb midyear Madison Prep'!K66+'[3]Feb midyear DArbonne'!K66+'[3]Feb midyear Intl_VIBE '!K66+'[3]Feb midyear NOMMA'!K66+'[3]Feb midyear LFNO '!K66+'[3]Feb midyear Lake Charles Ch'!K66+'[3]Feb midyear JS Clark Academy'!K66+'[3]Feb midyear Southwest LA Ch '!K66+'[3]Feb midyear LA Virtual Admy'!K63+'[3]Feb midyear LA Connections'!K63</f>
        <v>-19925.844039219752</v>
      </c>
      <c r="N67" s="357">
        <f t="shared" si="19"/>
        <v>-29888.766058829628</v>
      </c>
      <c r="O67" s="357"/>
      <c r="P67" s="357">
        <f>-'Table 5C1A-Madison Prep'!L67</f>
        <v>0</v>
      </c>
      <c r="Q67" s="357">
        <f>-'Table 5C1B-DArbonne'!L67</f>
        <v>0</v>
      </c>
      <c r="R67" s="357">
        <f>-'Table 5C1C-Intl_VIBE'!L67</f>
        <v>0</v>
      </c>
      <c r="S67" s="357">
        <f>-'Table 5C1D-NOMMA'!L67</f>
        <v>0</v>
      </c>
      <c r="T67" s="357">
        <f>-'Table 5C1E-LFNO'!L67</f>
        <v>0</v>
      </c>
      <c r="U67" s="357">
        <f>-'Table 5C1F-Lake Charles Charter'!L67</f>
        <v>0</v>
      </c>
      <c r="V67" s="357">
        <f>-'Table 5C1G-JS Clark Academy'!L67</f>
        <v>0</v>
      </c>
      <c r="W67" s="357">
        <f>-'Table 5C1H-Southwest LA Charter'!L67</f>
        <v>0</v>
      </c>
      <c r="X67" s="320">
        <f>-('Table 5C2 - LA Virtual Admy'!M65+'Table 5C2 - LA Virtual Admy'!I65)</f>
        <v>-101566.4550332451</v>
      </c>
      <c r="Y67" s="320">
        <f>-('Table 5C3 - LA Connections EBR'!M65+'Table 5C3 - LA Connections EBR'!I65)</f>
        <v>-106547.91604305003</v>
      </c>
      <c r="Z67" s="320">
        <f t="shared" si="25"/>
        <v>-208114.37107629515</v>
      </c>
      <c r="AA67" s="540">
        <f t="shared" si="20"/>
        <v>35607381</v>
      </c>
      <c r="AB67" s="318">
        <f>('[4]Table 2_State Distrib and Adjs'!V66*6)+('[5]Table 2_State Distrib and Adjs'!AD66*2)</f>
        <v>23795448</v>
      </c>
      <c r="AC67" s="318">
        <f t="shared" si="21"/>
        <v>11811933</v>
      </c>
      <c r="AD67" s="318">
        <f t="shared" si="22"/>
        <v>2952983</v>
      </c>
      <c r="AE67" s="318">
        <f>'Table 4A Stipends'!G63</f>
        <v>0</v>
      </c>
      <c r="AF67" s="318">
        <f t="shared" si="23"/>
        <v>35607381</v>
      </c>
      <c r="AG67" s="1117"/>
      <c r="AH67" s="1120">
        <f>(('2-1-13 SIS'!C66+'2-1-13 SIS'!R66)*'Table 3 Levels 1&amp;2'!AP67)+K67+F67+AE67</f>
        <v>35607380.627906524</v>
      </c>
      <c r="AI67" s="1120">
        <f t="shared" si="24"/>
        <v>0.37209347635507584</v>
      </c>
    </row>
    <row r="68" spans="1:35">
      <c r="A68" s="99">
        <v>61</v>
      </c>
      <c r="B68" s="301" t="s">
        <v>151</v>
      </c>
      <c r="C68" s="310">
        <f>'Table 3 Levels 1&amp;2'!AO68</f>
        <v>13545115.042700799</v>
      </c>
      <c r="D68" s="356">
        <f>'[1]Adjusted Amounts'!C67</f>
        <v>0</v>
      </c>
      <c r="E68" s="356">
        <f>'[2]Adjusted Amounts'!H67</f>
        <v>0</v>
      </c>
      <c r="F68" s="356">
        <f t="shared" si="16"/>
        <v>0</v>
      </c>
      <c r="G68" s="310">
        <f t="shared" si="14"/>
        <v>0</v>
      </c>
      <c r="H68" s="356">
        <f t="shared" si="17"/>
        <v>0</v>
      </c>
      <c r="I68" s="1378">
        <f>'[3]October midyear adj'!K66</f>
        <v>52384.422817074919</v>
      </c>
      <c r="J68" s="1378">
        <f>'[3]February midyear adj '!K66</f>
        <v>-28063.083652004421</v>
      </c>
      <c r="K68" s="1378">
        <f t="shared" si="18"/>
        <v>24321.339165070498</v>
      </c>
      <c r="L68" s="1378">
        <f>'[3]Oct midyear Madison Prep'!K67+'[3]Oct midyear DArbonne'!K67+'[3]Oct midyear Intl_VIBE '!K67+'[3]Oct midyear NOMMA'!K67+'[3]Oct midyear LFNO'!K67+'[3]Oct midyear Lake Charles Chtr'!K67+'[3]Oct midyear JS Clark Academy'!K67+'[3]Oct midyear Southwest LA Chtr'!K67+'[3]Oct midyear LA Virtual Admy'!K64+'[3]Oct midyear LA Connections'!K64</f>
        <v>3367.5700382405307</v>
      </c>
      <c r="M68" s="1378">
        <f>'[3]Feb midyear Madison Prep'!K67+'[3]Feb midyear DArbonne'!K67+'[3]Feb midyear Intl_VIBE '!K67+'[3]Feb midyear NOMMA'!K67+'[3]Feb midyear LFNO '!K67+'[3]Feb midyear Lake Charles Ch'!K67+'[3]Feb midyear JS Clark Academy'!K67+'[3]Feb midyear Southwest LA Ch '!K67+'[3]Feb midyear LA Virtual Admy'!K64+'[3]Feb midyear LA Connections'!K64</f>
        <v>0</v>
      </c>
      <c r="N68" s="1378">
        <f t="shared" si="19"/>
        <v>3367.5700382405307</v>
      </c>
      <c r="O68" s="356"/>
      <c r="P68" s="356">
        <f>-'Table 5C1A-Madison Prep'!L68</f>
        <v>-3741.7444869339229</v>
      </c>
      <c r="Q68" s="356">
        <f>-'Table 5C1B-DArbonne'!L68</f>
        <v>0</v>
      </c>
      <c r="R68" s="356">
        <f>-'Table 5C1C-Intl_VIBE'!L68</f>
        <v>0</v>
      </c>
      <c r="S68" s="356">
        <f>-'Table 5C1D-NOMMA'!L68</f>
        <v>0</v>
      </c>
      <c r="T68" s="356">
        <f>-'Table 5C1E-LFNO'!L68</f>
        <v>0</v>
      </c>
      <c r="U68" s="356">
        <f>-'Table 5C1F-Lake Charles Charter'!L68</f>
        <v>0</v>
      </c>
      <c r="V68" s="356">
        <f>-'Table 5C1G-JS Clark Academy'!L68</f>
        <v>0</v>
      </c>
      <c r="W68" s="356">
        <f>-'Table 5C1H-Southwest LA Charter'!L68</f>
        <v>0</v>
      </c>
      <c r="X68" s="314">
        <f>-('Table 5C2 - LA Virtual Admy'!M66+'Table 5C2 - LA Virtual Admy'!I66)</f>
        <v>-24134.251940723803</v>
      </c>
      <c r="Y68" s="314">
        <f>-('Table 5C3 - LA Connections EBR'!M66+'Table 5C3 - LA Connections EBR'!I66)</f>
        <v>-35359.48540152557</v>
      </c>
      <c r="Z68" s="314">
        <f t="shared" si="25"/>
        <v>-63235.481829183293</v>
      </c>
      <c r="AA68" s="539">
        <f t="shared" si="20"/>
        <v>13509568</v>
      </c>
      <c r="AB68" s="310">
        <f>('[4]Table 2_State Distrib and Adjs'!V67*6)+('[5]Table 2_State Distrib and Adjs'!AD67*2)</f>
        <v>8990166</v>
      </c>
      <c r="AC68" s="1531">
        <f t="shared" si="21"/>
        <v>4519402</v>
      </c>
      <c r="AD68" s="1531">
        <f t="shared" si="22"/>
        <v>1129851</v>
      </c>
      <c r="AE68" s="310">
        <f>'Table 4A Stipends'!G64</f>
        <v>0</v>
      </c>
      <c r="AF68" s="310">
        <f t="shared" si="23"/>
        <v>13509568</v>
      </c>
      <c r="AG68" s="1117"/>
      <c r="AH68" s="1120">
        <f>(('2-1-13 SIS'!C67+'2-1-13 SIS'!R67)*'Table 3 Levels 1&amp;2'!AP68)+K68+F68+AE68</f>
        <v>13509568.470074927</v>
      </c>
      <c r="AI68" s="1125">
        <f t="shared" si="24"/>
        <v>-0.47007492743432522</v>
      </c>
    </row>
    <row r="69" spans="1:35">
      <c r="A69" s="99">
        <v>62</v>
      </c>
      <c r="B69" s="301" t="s">
        <v>152</v>
      </c>
      <c r="C69" s="310">
        <f>'Table 3 Levels 1&amp;2'!AO69</f>
        <v>12984172.720080001</v>
      </c>
      <c r="D69" s="356">
        <f>'[1]Adjusted Amounts'!C68</f>
        <v>0</v>
      </c>
      <c r="E69" s="356">
        <f>'[2]Adjusted Amounts'!H68</f>
        <v>0</v>
      </c>
      <c r="F69" s="356">
        <f t="shared" si="16"/>
        <v>0</v>
      </c>
      <c r="G69" s="310">
        <f t="shared" si="14"/>
        <v>0</v>
      </c>
      <c r="H69" s="356">
        <f t="shared" si="17"/>
        <v>0</v>
      </c>
      <c r="I69" s="1378">
        <f>'[3]October midyear adj'!K67</f>
        <v>30841.265368361048</v>
      </c>
      <c r="J69" s="1378">
        <f>'[3]February midyear adj '!K67</f>
        <v>15420.632684180524</v>
      </c>
      <c r="K69" s="1378">
        <f t="shared" si="18"/>
        <v>46261.898052541568</v>
      </c>
      <c r="L69" s="1378">
        <f>'[3]Oct midyear Madison Prep'!K68+'[3]Oct midyear DArbonne'!K68+'[3]Oct midyear Intl_VIBE '!K68+'[3]Oct midyear NOMMA'!K68+'[3]Oct midyear LFNO'!K68+'[3]Oct midyear Lake Charles Chtr'!K68+'[3]Oct midyear JS Clark Academy'!K68+'[3]Oct midyear Southwest LA Chtr'!K68+'[3]Oct midyear LA Virtual Admy'!K65+'[3]Oct midyear LA Connections'!K65</f>
        <v>27757.138831524939</v>
      </c>
      <c r="M69" s="1378">
        <f>'[3]Feb midyear Madison Prep'!K68+'[3]Feb midyear DArbonne'!K68+'[3]Feb midyear Intl_VIBE '!K68+'[3]Feb midyear NOMMA'!K68+'[3]Feb midyear LFNO '!K68+'[3]Feb midyear Lake Charles Ch'!K68+'[3]Feb midyear JS Clark Academy'!K68+'[3]Feb midyear Southwest LA Ch '!K68+'[3]Feb midyear LA Virtual Admy'!K65+'[3]Feb midyear LA Connections'!K65</f>
        <v>11102.855532609976</v>
      </c>
      <c r="N69" s="1378">
        <f t="shared" si="19"/>
        <v>38859.994364134916</v>
      </c>
      <c r="O69" s="356"/>
      <c r="P69" s="356">
        <f>-'Table 5C1A-Madison Prep'!L69</f>
        <v>0</v>
      </c>
      <c r="Q69" s="356">
        <f>-'Table 5C1B-DArbonne'!L69</f>
        <v>0</v>
      </c>
      <c r="R69" s="356">
        <f>-'Table 5C1C-Intl_VIBE'!L69</f>
        <v>0</v>
      </c>
      <c r="S69" s="356">
        <f>-'Table 5C1D-NOMMA'!L69</f>
        <v>0</v>
      </c>
      <c r="T69" s="356">
        <f>-'Table 5C1E-LFNO'!L69</f>
        <v>0</v>
      </c>
      <c r="U69" s="356">
        <f>-'Table 5C1F-Lake Charles Charter'!L69</f>
        <v>0</v>
      </c>
      <c r="V69" s="356">
        <f>-'Table 5C1G-JS Clark Academy'!L69</f>
        <v>0</v>
      </c>
      <c r="W69" s="356">
        <f>-'Table 5C1H-Southwest LA Charter'!L69</f>
        <v>0</v>
      </c>
      <c r="X69" s="314">
        <f>-('Table 5C2 - LA Virtual Admy'!M67+'Table 5C2 - LA Virtual Admy'!I67)</f>
        <v>-45028.247437807127</v>
      </c>
      <c r="Y69" s="314">
        <f>-('Table 5C3 - LA Connections EBR'!M67+'Table 5C3 - LA Connections EBR'!I67)</f>
        <v>-6168.2530736722092</v>
      </c>
      <c r="Z69" s="314">
        <f t="shared" si="25"/>
        <v>-51196.500511479338</v>
      </c>
      <c r="AA69" s="539">
        <f t="shared" si="20"/>
        <v>13018098</v>
      </c>
      <c r="AB69" s="310">
        <f>('[4]Table 2_State Distrib and Adjs'!V68*6)+('[5]Table 2_State Distrib and Adjs'!AD68*2)</f>
        <v>8647890</v>
      </c>
      <c r="AC69" s="1531">
        <f t="shared" si="21"/>
        <v>4370208</v>
      </c>
      <c r="AD69" s="1531">
        <f t="shared" si="22"/>
        <v>1092552</v>
      </c>
      <c r="AE69" s="310">
        <f>'Table 4A Stipends'!G65</f>
        <v>0</v>
      </c>
      <c r="AF69" s="310">
        <f t="shared" si="23"/>
        <v>13018098</v>
      </c>
      <c r="AG69" s="1117"/>
      <c r="AH69" s="1120">
        <f>(('2-1-13 SIS'!C68+'2-1-13 SIS'!R68)*'Table 3 Levels 1&amp;2'!AP69)+K69+F69+AE69</f>
        <v>13018098.111985197</v>
      </c>
      <c r="AI69" s="1125">
        <f t="shared" si="24"/>
        <v>-0.11198519729077816</v>
      </c>
    </row>
    <row r="70" spans="1:35">
      <c r="A70" s="99">
        <v>63</v>
      </c>
      <c r="B70" s="301" t="s">
        <v>153</v>
      </c>
      <c r="C70" s="310">
        <f>'Table 3 Levels 1&amp;2'!AO70</f>
        <v>10432706.9562656</v>
      </c>
      <c r="D70" s="356">
        <f>'[1]Adjusted Amounts'!C69</f>
        <v>0</v>
      </c>
      <c r="E70" s="356">
        <f>'[2]Adjusted Amounts'!H69</f>
        <v>0</v>
      </c>
      <c r="F70" s="356">
        <f t="shared" si="16"/>
        <v>0</v>
      </c>
      <c r="G70" s="310">
        <f t="shared" si="14"/>
        <v>0</v>
      </c>
      <c r="H70" s="356">
        <f t="shared" si="17"/>
        <v>0</v>
      </c>
      <c r="I70" s="1378">
        <f>'[3]October midyear adj'!K68</f>
        <v>30714.544522862416</v>
      </c>
      <c r="J70" s="1378">
        <f>'[3]February midyear adj '!K68</f>
        <v>-20476.363015241612</v>
      </c>
      <c r="K70" s="1378">
        <f t="shared" si="18"/>
        <v>10238.181507620804</v>
      </c>
      <c r="L70" s="1378">
        <f>'[3]Oct midyear Madison Prep'!K69+'[3]Oct midyear DArbonne'!K69+'[3]Oct midyear Intl_VIBE '!K69+'[3]Oct midyear NOMMA'!K69+'[3]Oct midyear LFNO'!K69+'[3]Oct midyear Lake Charles Chtr'!K69+'[3]Oct midyear JS Clark Academy'!K69+'[3]Oct midyear Southwest LA Chtr'!K69+'[3]Oct midyear LA Virtual Admy'!K66+'[3]Oct midyear LA Connections'!K66</f>
        <v>9214.3633568587284</v>
      </c>
      <c r="M70" s="1378">
        <f>'[3]Feb midyear Madison Prep'!K69+'[3]Feb midyear DArbonne'!K69+'[3]Feb midyear Intl_VIBE '!K69+'[3]Feb midyear NOMMA'!K69+'[3]Feb midyear LFNO '!K69+'[3]Feb midyear Lake Charles Ch'!K69+'[3]Feb midyear JS Clark Academy'!K69+'[3]Feb midyear Southwest LA Ch '!K69+'[3]Feb midyear LA Virtual Admy'!K66+'[3]Feb midyear LA Connections'!K66</f>
        <v>0</v>
      </c>
      <c r="N70" s="1378">
        <f t="shared" si="19"/>
        <v>9214.3633568587284</v>
      </c>
      <c r="O70" s="356"/>
      <c r="P70" s="356">
        <f>-'Table 5C1A-Madison Prep'!L70</f>
        <v>0</v>
      </c>
      <c r="Q70" s="356">
        <f>-'Table 5C1B-DArbonne'!L70</f>
        <v>0</v>
      </c>
      <c r="R70" s="356">
        <f>-'Table 5C1C-Intl_VIBE'!L70</f>
        <v>0</v>
      </c>
      <c r="S70" s="356">
        <f>-'Table 5C1D-NOMMA'!L70</f>
        <v>0</v>
      </c>
      <c r="T70" s="356">
        <f>-'Table 5C1E-LFNO'!L70</f>
        <v>0</v>
      </c>
      <c r="U70" s="356">
        <f>-'Table 5C1F-Lake Charles Charter'!L70</f>
        <v>0</v>
      </c>
      <c r="V70" s="356">
        <f>-'Table 5C1G-JS Clark Academy'!L70</f>
        <v>0</v>
      </c>
      <c r="W70" s="356">
        <f>-'Table 5C1H-Southwest LA Charter'!L70</f>
        <v>0</v>
      </c>
      <c r="X70" s="314">
        <f>-('Table 5C2 - LA Virtual Admy'!M68+'Table 5C2 - LA Virtual Admy'!I68)</f>
        <v>-13821.545035288091</v>
      </c>
      <c r="Y70" s="314">
        <f>-('Table 5C3 - LA Connections EBR'!M68+'Table 5C3 - LA Connections EBR'!I68)</f>
        <v>-511.90907538104</v>
      </c>
      <c r="Z70" s="314">
        <f t="shared" si="25"/>
        <v>-14333.45411066913</v>
      </c>
      <c r="AA70" s="539">
        <f t="shared" si="20"/>
        <v>10437826</v>
      </c>
      <c r="AB70" s="310">
        <f>('[4]Table 2_State Distrib and Adjs'!V69*6)+('[5]Table 2_State Distrib and Adjs'!AD69*2)</f>
        <v>6951726</v>
      </c>
      <c r="AC70" s="1531">
        <f t="shared" si="21"/>
        <v>3486100</v>
      </c>
      <c r="AD70" s="1531">
        <f t="shared" si="22"/>
        <v>871525</v>
      </c>
      <c r="AE70" s="310">
        <f>'Table 4A Stipends'!G66</f>
        <v>0</v>
      </c>
      <c r="AF70" s="310">
        <f t="shared" si="23"/>
        <v>10437826</v>
      </c>
      <c r="AG70" s="1117"/>
      <c r="AH70" s="1120">
        <f>(('2-1-13 SIS'!C69+'2-1-13 SIS'!R69)*'Table 3 Levels 1&amp;2'!AP70)+K70+F70+AE70</f>
        <v>10437826.047019411</v>
      </c>
      <c r="AI70" s="1125">
        <f t="shared" si="24"/>
        <v>-4.7019410878419876E-2</v>
      </c>
    </row>
    <row r="71" spans="1:35">
      <c r="A71" s="99">
        <v>64</v>
      </c>
      <c r="B71" s="301" t="s">
        <v>154</v>
      </c>
      <c r="C71" s="310">
        <f>'Table 3 Levels 1&amp;2'!AO71</f>
        <v>15700664.317651998</v>
      </c>
      <c r="D71" s="356">
        <f>'[1]Adjusted Amounts'!C70</f>
        <v>-3224.822370386988</v>
      </c>
      <c r="E71" s="356">
        <f>'[2]Adjusted Amounts'!H70</f>
        <v>-3573.7704120406524</v>
      </c>
      <c r="F71" s="356">
        <f t="shared" si="16"/>
        <v>-6798.5927824276405</v>
      </c>
      <c r="G71" s="310">
        <f t="shared" si="14"/>
        <v>0</v>
      </c>
      <c r="H71" s="356">
        <f t="shared" si="17"/>
        <v>-6798.5927824276405</v>
      </c>
      <c r="I71" s="1378">
        <f>'[3]October midyear adj'!K69</f>
        <v>19658.594721601003</v>
      </c>
      <c r="J71" s="1378">
        <f>'[3]February midyear adj '!K69</f>
        <v>-157268.75777280802</v>
      </c>
      <c r="K71" s="1378">
        <f t="shared" si="18"/>
        <v>-137610.16305120703</v>
      </c>
      <c r="L71" s="1378">
        <f>'[3]Oct midyear Madison Prep'!K70+'[3]Oct midyear DArbonne'!K70+'[3]Oct midyear Intl_VIBE '!K70+'[3]Oct midyear NOMMA'!K70+'[3]Oct midyear LFNO'!K70+'[3]Oct midyear Lake Charles Chtr'!K70+'[3]Oct midyear JS Clark Academy'!K70+'[3]Oct midyear Southwest LA Chtr'!K70+'[3]Oct midyear LA Virtual Admy'!K67+'[3]Oct midyear LA Connections'!K67</f>
        <v>23590.313665921203</v>
      </c>
      <c r="M71" s="1378">
        <f>'[3]Feb midyear Madison Prep'!K70+'[3]Feb midyear DArbonne'!K70+'[3]Feb midyear Intl_VIBE '!K70+'[3]Feb midyear NOMMA'!K70+'[3]Feb midyear LFNO '!K70+'[3]Feb midyear Lake Charles Ch'!K70+'[3]Feb midyear JS Clark Academy'!K70+'[3]Feb midyear Southwest LA Ch '!K70+'[3]Feb midyear LA Virtual Admy'!K67+'[3]Feb midyear LA Connections'!K67</f>
        <v>-2948.7892082401504</v>
      </c>
      <c r="N71" s="1378">
        <f t="shared" si="19"/>
        <v>20641.524457681051</v>
      </c>
      <c r="O71" s="356"/>
      <c r="P71" s="356">
        <f>-'Table 5C1A-Madison Prep'!L71</f>
        <v>0</v>
      </c>
      <c r="Q71" s="356">
        <f>-'Table 5C1B-DArbonne'!L71</f>
        <v>0</v>
      </c>
      <c r="R71" s="356">
        <f>-'Table 5C1C-Intl_VIBE'!L71</f>
        <v>0</v>
      </c>
      <c r="S71" s="356">
        <f>-'Table 5C1D-NOMMA'!L71</f>
        <v>0</v>
      </c>
      <c r="T71" s="356">
        <f>-'Table 5C1E-LFNO'!L71</f>
        <v>0</v>
      </c>
      <c r="U71" s="356">
        <f>-'Table 5C1F-Lake Charles Charter'!L71</f>
        <v>0</v>
      </c>
      <c r="V71" s="356">
        <f>-'Table 5C1G-JS Clark Academy'!L71</f>
        <v>0</v>
      </c>
      <c r="W71" s="356">
        <f>-'Table 5C1H-Southwest LA Charter'!L71</f>
        <v>0</v>
      </c>
      <c r="X71" s="314">
        <f>-('Table 5C2 - LA Virtual Admy'!M69+'Table 5C2 - LA Virtual Admy'!I69)</f>
        <v>-27194.389364881386</v>
      </c>
      <c r="Y71" s="314">
        <f>-('Table 5C3 - LA Connections EBR'!M69+'Table 5C3 - LA Connections EBR'!I69)</f>
        <v>-26211.459628801334</v>
      </c>
      <c r="Z71" s="314">
        <f t="shared" si="25"/>
        <v>-53405.848993682725</v>
      </c>
      <c r="AA71" s="539">
        <f t="shared" si="20"/>
        <v>15523491</v>
      </c>
      <c r="AB71" s="310">
        <f>('[4]Table 2_State Distrib and Adjs'!V70*6)+('[5]Table 2_State Distrib and Adjs'!AD70*2)</f>
        <v>10440736</v>
      </c>
      <c r="AC71" s="1531">
        <f t="shared" si="21"/>
        <v>5082755</v>
      </c>
      <c r="AD71" s="1531">
        <f t="shared" si="22"/>
        <v>1270689</v>
      </c>
      <c r="AE71" s="310">
        <f>'Table 4A Stipends'!G67</f>
        <v>0</v>
      </c>
      <c r="AF71" s="310">
        <f t="shared" si="23"/>
        <v>15523491</v>
      </c>
      <c r="AG71" s="1117"/>
      <c r="AH71" s="1120">
        <f>(('2-1-13 SIS'!C70+'2-1-13 SIS'!R70)*'Table 3 Levels 1&amp;2'!AP71)+K71+F71+AE71</f>
        <v>15523491.23728236</v>
      </c>
      <c r="AI71" s="1120">
        <f t="shared" si="24"/>
        <v>-0.23728235997259617</v>
      </c>
    </row>
    <row r="72" spans="1:35">
      <c r="A72" s="100">
        <v>65</v>
      </c>
      <c r="B72" s="302" t="s">
        <v>155</v>
      </c>
      <c r="C72" s="318">
        <f>'Table 3 Levels 1&amp;2'!AO72</f>
        <v>44597643.561141767</v>
      </c>
      <c r="D72" s="357">
        <f>'[1]Adjusted Amounts'!C71</f>
        <v>10676.329014573741</v>
      </c>
      <c r="E72" s="357">
        <f>'[2]Adjusted Amounts'!H71</f>
        <v>0</v>
      </c>
      <c r="F72" s="357">
        <f t="shared" si="16"/>
        <v>10676.329014573741</v>
      </c>
      <c r="G72" s="318">
        <f>IF(F72&gt;0,F72,0)</f>
        <v>10676.329014573741</v>
      </c>
      <c r="H72" s="357">
        <f t="shared" si="17"/>
        <v>0</v>
      </c>
      <c r="I72" s="357">
        <f>'[3]October midyear adj'!K70</f>
        <v>-654416.06486759079</v>
      </c>
      <c r="J72" s="357">
        <f>'[3]February midyear adj '!K70</f>
        <v>148730.92383354335</v>
      </c>
      <c r="K72" s="357">
        <f t="shared" si="18"/>
        <v>-505685.14103404747</v>
      </c>
      <c r="L72" s="357">
        <f>'[3]Oct midyear Madison Prep'!K71+'[3]Oct midyear DArbonne'!K71+'[3]Oct midyear Intl_VIBE '!K71+'[3]Oct midyear NOMMA'!K71+'[3]Oct midyear LFNO'!K71+'[3]Oct midyear Lake Charles Chtr'!K71+'[3]Oct midyear JS Clark Academy'!K71+'[3]Oct midyear Southwest LA Chtr'!K71+'[3]Oct midyear LA Virtual Admy'!K68+'[3]Oct midyear LA Connections'!K68</f>
        <v>-19470.230029118404</v>
      </c>
      <c r="M72" s="357">
        <f>'[3]Feb midyear Madison Prep'!K71+'[3]Feb midyear DArbonne'!K71+'[3]Feb midyear Intl_VIBE '!K71+'[3]Feb midyear NOMMA'!K71+'[3]Feb midyear LFNO '!K71+'[3]Feb midyear Lake Charles Ch'!K71+'[3]Feb midyear JS Clark Academy'!K71+'[3]Feb midyear Southwest LA Ch '!K71+'[3]Feb midyear LA Virtual Admy'!K68+'[3]Feb midyear LA Connections'!K68</f>
        <v>0</v>
      </c>
      <c r="N72" s="357">
        <f t="shared" si="19"/>
        <v>-19470.230029118404</v>
      </c>
      <c r="O72" s="357"/>
      <c r="P72" s="357">
        <f>-'Table 5C1A-Madison Prep'!L72</f>
        <v>0</v>
      </c>
      <c r="Q72" s="357">
        <f>-'Table 5C1B-DArbonne'!L72</f>
        <v>-16225.191690932003</v>
      </c>
      <c r="R72" s="357">
        <f>-'Table 5C1C-Intl_VIBE'!L72</f>
        <v>0</v>
      </c>
      <c r="S72" s="357">
        <f>-'Table 5C1D-NOMMA'!L72</f>
        <v>0</v>
      </c>
      <c r="T72" s="357">
        <f>-'Table 5C1E-LFNO'!L72</f>
        <v>0</v>
      </c>
      <c r="U72" s="357">
        <f>-'Table 5C1F-Lake Charles Charter'!L72</f>
        <v>0</v>
      </c>
      <c r="V72" s="357">
        <f>-'Table 5C1G-JS Clark Academy'!L72</f>
        <v>0</v>
      </c>
      <c r="W72" s="357">
        <f>-'Table 5C1H-Southwest LA Charter'!L72</f>
        <v>0</v>
      </c>
      <c r="X72" s="320">
        <f>-('Table 5C2 - LA Virtual Admy'!M70+'Table 5C2 - LA Virtual Admy'!I70)</f>
        <v>0</v>
      </c>
      <c r="Y72" s="320">
        <f>-('Table 5C3 - LA Connections EBR'!M70+'Table 5C3 - LA Connections EBR'!I70)</f>
        <v>-2163.3588921242654</v>
      </c>
      <c r="Z72" s="320">
        <f t="shared" ref="Z72:Z76" si="26">SUM(O72:Y72)</f>
        <v>-18388.550583056269</v>
      </c>
      <c r="AA72" s="540">
        <f t="shared" si="20"/>
        <v>44064776</v>
      </c>
      <c r="AB72" s="318">
        <f>('[4]Table 2_State Distrib and Adjs'!V71*6)+('[5]Table 2_State Distrib and Adjs'!AD71*2)</f>
        <v>29713640</v>
      </c>
      <c r="AC72" s="318">
        <f t="shared" si="21"/>
        <v>14351136</v>
      </c>
      <c r="AD72" s="318">
        <f t="shared" si="22"/>
        <v>3587784</v>
      </c>
      <c r="AE72" s="318">
        <f>'Table 4A Stipends'!G68</f>
        <v>0</v>
      </c>
      <c r="AF72" s="318">
        <f t="shared" si="23"/>
        <v>44064776</v>
      </c>
      <c r="AG72" s="1117"/>
      <c r="AH72" s="1120">
        <f>(('2-1-13 SIS'!C71+'2-1-13 SIS'!R71)*'Table 3 Levels 1&amp;2'!AP72)+K72+F72+AE72</f>
        <v>44064775.968510121</v>
      </c>
      <c r="AI72" s="1125">
        <f t="shared" si="24"/>
        <v>3.148987889289856E-2</v>
      </c>
    </row>
    <row r="73" spans="1:35">
      <c r="A73" s="134">
        <v>66</v>
      </c>
      <c r="B73" s="303" t="s">
        <v>156</v>
      </c>
      <c r="C73" s="312">
        <f>'Table 3 Levels 1&amp;2'!AO73</f>
        <v>14379263.409632001</v>
      </c>
      <c r="D73" s="358">
        <f>'[1]Adjusted Amounts'!C72</f>
        <v>0</v>
      </c>
      <c r="E73" s="358">
        <f>'[2]Adjusted Amounts'!H72</f>
        <v>-5196.0756379680797</v>
      </c>
      <c r="F73" s="358">
        <f>SUM(D73:E73)</f>
        <v>-5196.0756379680797</v>
      </c>
      <c r="G73" s="312">
        <f>IF(F73&gt;0,F73,0)</f>
        <v>0</v>
      </c>
      <c r="H73" s="358">
        <f>IF(F73&lt;0,F73,0)</f>
        <v>-5196.0756379680797</v>
      </c>
      <c r="I73" s="1379">
        <f>'[3]October midyear adj'!K71</f>
        <v>-1171643.6852292742</v>
      </c>
      <c r="J73" s="1379">
        <f>'[3]February midyear adj '!K71</f>
        <v>-35504.354097856791</v>
      </c>
      <c r="K73" s="1379">
        <f t="shared" ref="K73:K76" si="27">SUM(I73:J73)</f>
        <v>-1207148.0393271311</v>
      </c>
      <c r="L73" s="1379">
        <f>'[3]Oct midyear Madison Prep'!K72+'[3]Oct midyear DArbonne'!K72+'[3]Oct midyear Intl_VIBE '!K72+'[3]Oct midyear NOMMA'!K72+'[3]Oct midyear LFNO'!K72+'[3]Oct midyear Lake Charles Chtr'!K72+'[3]Oct midyear JS Clark Academy'!K72+'[3]Oct midyear Southwest LA Chtr'!K72+'[3]Oct midyear LA Virtual Admy'!K69+'[3]Oct midyear LA Connections'!K69</f>
        <v>-6390.7837376142224</v>
      </c>
      <c r="M73" s="1379">
        <f>'[3]Feb midyear Madison Prep'!K72+'[3]Feb midyear DArbonne'!K72+'[3]Feb midyear Intl_VIBE '!K72+'[3]Feb midyear NOMMA'!K72+'[3]Feb midyear LFNO '!K72+'[3]Feb midyear Lake Charles Ch'!K72+'[3]Feb midyear JS Clark Academy'!K72+'[3]Feb midyear Southwest LA Ch '!K72+'[3]Feb midyear LA Virtual Admy'!K69+'[3]Feb midyear LA Connections'!K69</f>
        <v>51126.269900913787</v>
      </c>
      <c r="N73" s="1379">
        <f t="shared" ref="N73:N76" si="28">SUM(L73:M73)</f>
        <v>44735.486163299567</v>
      </c>
      <c r="O73" s="358"/>
      <c r="P73" s="358">
        <f>-'Table 5C1A-Madison Prep'!L73</f>
        <v>0</v>
      </c>
      <c r="Q73" s="358">
        <f>-'Table 5C1B-DArbonne'!L73</f>
        <v>0</v>
      </c>
      <c r="R73" s="358">
        <f>-'Table 5C1C-Intl_VIBE'!L73</f>
        <v>0</v>
      </c>
      <c r="S73" s="358">
        <f>-'Table 5C1D-NOMMA'!L73</f>
        <v>0</v>
      </c>
      <c r="T73" s="358">
        <f>-'Table 5C1E-LFNO'!L73</f>
        <v>0</v>
      </c>
      <c r="U73" s="358">
        <f>-'Table 5C1F-Lake Charles Charter'!L73</f>
        <v>0</v>
      </c>
      <c r="V73" s="358">
        <f>-'Table 5C1G-JS Clark Academy'!L73</f>
        <v>0</v>
      </c>
      <c r="W73" s="358">
        <f>-'Table 5C1H-Southwest LA Charter'!L73</f>
        <v>0</v>
      </c>
      <c r="X73" s="583">
        <f>-('Table 5C2 - LA Virtual Admy'!M71+'Table 5C2 - LA Virtual Admy'!I71)</f>
        <v>-62842.706753206519</v>
      </c>
      <c r="Y73" s="583">
        <f>-('Table 5C3 - LA Connections EBR'!M71+'Table 5C3 - LA Connections EBR'!I71)</f>
        <v>-17397.133507949828</v>
      </c>
      <c r="Z73" s="583">
        <f t="shared" si="26"/>
        <v>-80239.840261156351</v>
      </c>
      <c r="AA73" s="541">
        <f t="shared" ref="AA73:AA76" si="29">ROUND(C73+F73+K73+N73+Z73,0)</f>
        <v>13131415</v>
      </c>
      <c r="AB73" s="312">
        <f>('[4]Table 2_State Distrib and Adjs'!V72*6)+('[5]Table 2_State Distrib and Adjs'!AD72*2)</f>
        <v>9168494</v>
      </c>
      <c r="AC73" s="1532">
        <f t="shared" ref="AC73:AC76" si="30">AA73-AB73</f>
        <v>3962921</v>
      </c>
      <c r="AD73" s="1532">
        <f t="shared" ref="AD73:AD76" si="31">ROUND(AC73/4,0)</f>
        <v>990730</v>
      </c>
      <c r="AE73" s="312">
        <f>'Table 4A Stipends'!G69</f>
        <v>0</v>
      </c>
      <c r="AF73" s="312">
        <f t="shared" ref="AF73:AF76" si="32">AA73+AE73</f>
        <v>13131415</v>
      </c>
      <c r="AG73" s="1117"/>
      <c r="AH73" s="1120">
        <f>(('2-1-13 SIS'!C72+'2-1-13 SIS'!R72)*'Table 3 Levels 1&amp;2'!AP73)+K73+F73+AE73</f>
        <v>13131414.940569045</v>
      </c>
      <c r="AI73" s="1125">
        <f t="shared" ref="AI73:AI76" si="33">AF73-AH73</f>
        <v>5.9430954977869987E-2</v>
      </c>
    </row>
    <row r="74" spans="1:35">
      <c r="A74" s="351">
        <v>67</v>
      </c>
      <c r="B74" s="304" t="s">
        <v>32</v>
      </c>
      <c r="C74" s="310">
        <f>'Table 3 Levels 1&amp;2'!AO74</f>
        <v>28891441.643387765</v>
      </c>
      <c r="D74" s="356">
        <f>'[1]Adjusted Amounts'!C73</f>
        <v>0</v>
      </c>
      <c r="E74" s="356">
        <f>'[2]Adjusted Amounts'!H73</f>
        <v>0</v>
      </c>
      <c r="F74" s="356">
        <f>SUM(D74:E74)</f>
        <v>0</v>
      </c>
      <c r="G74" s="310">
        <f>IF(F74&gt;0,F74,0)</f>
        <v>0</v>
      </c>
      <c r="H74" s="356">
        <f>IF(F74&lt;0,F74,0)</f>
        <v>0</v>
      </c>
      <c r="I74" s="1378">
        <f>'[3]October midyear adj'!K72</f>
        <v>1190114.3085742311</v>
      </c>
      <c r="J74" s="1378">
        <f>'[3]February midyear adj '!K72</f>
        <v>-136013.06383705497</v>
      </c>
      <c r="K74" s="1378">
        <f t="shared" si="27"/>
        <v>1054101.2447371762</v>
      </c>
      <c r="L74" s="1378">
        <f>'[3]Oct midyear Madison Prep'!K73+'[3]Oct midyear DArbonne'!K73+'[3]Oct midyear Intl_VIBE '!K73+'[3]Oct midyear NOMMA'!K73+'[3]Oct midyear LFNO'!K73+'[3]Oct midyear Lake Charles Chtr'!K73+'[3]Oct midyear JS Clark Academy'!K73+'[3]Oct midyear Southwest LA Chtr'!K73+'[3]Oct midyear LA Virtual Admy'!K70+'[3]Oct midyear LA Connections'!K70</f>
        <v>-4533.7687945685011</v>
      </c>
      <c r="M74" s="1378">
        <f>'[3]Feb midyear Madison Prep'!K73+'[3]Feb midyear DArbonne'!K73+'[3]Feb midyear Intl_VIBE '!K73+'[3]Feb midyear NOMMA'!K73+'[3]Feb midyear LFNO '!K73+'[3]Feb midyear Lake Charles Ch'!K73+'[3]Feb midyear JS Clark Academy'!K73+'[3]Feb midyear Southwest LA Ch '!K73+'[3]Feb midyear LA Virtual Admy'!K70+'[3]Feb midyear LA Connections'!K70</f>
        <v>5100.4898938895622</v>
      </c>
      <c r="N74" s="1378">
        <f t="shared" si="28"/>
        <v>566.72109932106105</v>
      </c>
      <c r="O74" s="356"/>
      <c r="P74" s="356">
        <f>-'Table 5C1A-Madison Prep'!L74</f>
        <v>-17001.632979631871</v>
      </c>
      <c r="Q74" s="356">
        <f>-'Table 5C1B-DArbonne'!L74</f>
        <v>0</v>
      </c>
      <c r="R74" s="356">
        <f>-'Table 5C1C-Intl_VIBE'!L74</f>
        <v>0</v>
      </c>
      <c r="S74" s="356">
        <f>-'Table 5C1D-NOMMA'!L74</f>
        <v>0</v>
      </c>
      <c r="T74" s="356">
        <f>-'Table 5C1E-LFNO'!L74</f>
        <v>0</v>
      </c>
      <c r="U74" s="356">
        <f>-'Table 5C1F-Lake Charles Charter'!L74</f>
        <v>0</v>
      </c>
      <c r="V74" s="356">
        <f>-'Table 5C1G-JS Clark Academy'!L74</f>
        <v>0</v>
      </c>
      <c r="W74" s="356">
        <f>-'Table 5C1H-Southwest LA Charter'!L74</f>
        <v>0</v>
      </c>
      <c r="X74" s="314">
        <f>-('Table 5C2 - LA Virtual Admy'!M72+'Table 5C2 - LA Virtual Admy'!I72)</f>
        <v>-15868.190780989749</v>
      </c>
      <c r="Y74" s="314">
        <f>-('Table 5C3 - LA Connections EBR'!M72+'Table 5C3 - LA Connections EBR'!I72)</f>
        <v>-1700.1632979631868</v>
      </c>
      <c r="Z74" s="314">
        <f t="shared" si="26"/>
        <v>-34569.987058584811</v>
      </c>
      <c r="AA74" s="539">
        <f t="shared" si="29"/>
        <v>29911540</v>
      </c>
      <c r="AB74" s="310">
        <f>('[4]Table 2_State Distrib and Adjs'!V73*6)+('[5]Table 2_State Distrib and Adjs'!AD73*2)</f>
        <v>19238294</v>
      </c>
      <c r="AC74" s="1531">
        <f t="shared" si="30"/>
        <v>10673246</v>
      </c>
      <c r="AD74" s="1531">
        <f t="shared" si="31"/>
        <v>2668312</v>
      </c>
      <c r="AE74" s="310">
        <f>'Table 4A Stipends'!G70</f>
        <v>0</v>
      </c>
      <c r="AF74" s="310">
        <f t="shared" si="32"/>
        <v>29911540</v>
      </c>
      <c r="AG74" s="1117"/>
      <c r="AH74" s="1120">
        <f>(('2-1-13 SIS'!C73+'2-1-13 SIS'!R73)*'Table 3 Levels 1&amp;2'!AP74)+K74+F74+AE74</f>
        <v>29911539.62216568</v>
      </c>
      <c r="AI74" s="1120">
        <f t="shared" si="33"/>
        <v>0.37783432006835938</v>
      </c>
    </row>
    <row r="75" spans="1:35">
      <c r="A75" s="99">
        <v>68</v>
      </c>
      <c r="B75" s="301" t="s">
        <v>30</v>
      </c>
      <c r="C75" s="310">
        <f>'Table 3 Levels 1&amp;2'!AO75</f>
        <v>11785360.942956001</v>
      </c>
      <c r="D75" s="356">
        <f>'[1]Adjusted Amounts'!C74</f>
        <v>-3327.7966920532344</v>
      </c>
      <c r="E75" s="356">
        <f>'[2]Adjusted Amounts'!H74</f>
        <v>45117.573358364345</v>
      </c>
      <c r="F75" s="356">
        <f>SUM(D75:E75)</f>
        <v>41789.776666311111</v>
      </c>
      <c r="G75" s="310">
        <f>IF(F75&gt;0,F75,0)</f>
        <v>41789.776666311111</v>
      </c>
      <c r="H75" s="356">
        <f>IF(F75&lt;0,F75,0)</f>
        <v>0</v>
      </c>
      <c r="I75" s="1378">
        <f>'[3]October midyear adj'!K73</f>
        <v>-584454.889236441</v>
      </c>
      <c r="J75" s="1378">
        <f>'[3]February midyear adj '!K73</f>
        <v>-48131.579113589265</v>
      </c>
      <c r="K75" s="1378">
        <f t="shared" si="27"/>
        <v>-632586.46835003025</v>
      </c>
      <c r="L75" s="1378">
        <f>'[3]Oct midyear Madison Prep'!K74+'[3]Oct midyear DArbonne'!K74+'[3]Oct midyear Intl_VIBE '!K74+'[3]Oct midyear NOMMA'!K74+'[3]Oct midyear LFNO'!K74+'[3]Oct midyear Lake Charles Chtr'!K74+'[3]Oct midyear JS Clark Academy'!K74+'[3]Oct midyear Southwest LA Chtr'!K74+'[3]Oct midyear LA Virtual Admy'!K71+'[3]Oct midyear LA Connections'!K71</f>
        <v>-41255.639240219374</v>
      </c>
      <c r="M75" s="1378">
        <f>'[3]Feb midyear Madison Prep'!K74+'[3]Feb midyear DArbonne'!K74+'[3]Feb midyear Intl_VIBE '!K74+'[3]Feb midyear NOMMA'!K74+'[3]Feb midyear LFNO '!K74+'[3]Feb midyear Lake Charles Ch'!K74+'[3]Feb midyear JS Clark Academy'!K74+'[3]Feb midyear Southwest LA Ch '!K74+'[3]Feb midyear LA Virtual Admy'!K71+'[3]Feb midyear LA Connections'!K71</f>
        <v>3094.1729430164528</v>
      </c>
      <c r="N75" s="1378">
        <f t="shared" si="28"/>
        <v>-38161.466297202918</v>
      </c>
      <c r="O75" s="356"/>
      <c r="P75" s="356">
        <f>-'Table 5C1A-Madison Prep'!L75</f>
        <v>-48131.579113589265</v>
      </c>
      <c r="Q75" s="356">
        <f>-'Table 5C1B-DArbonne'!L75</f>
        <v>0</v>
      </c>
      <c r="R75" s="356">
        <f>-'Table 5C1C-Intl_VIBE'!L75</f>
        <v>0</v>
      </c>
      <c r="S75" s="356">
        <f>-'Table 5C1D-NOMMA'!L75</f>
        <v>0</v>
      </c>
      <c r="T75" s="356">
        <f>-'Table 5C1E-LFNO'!L75</f>
        <v>0</v>
      </c>
      <c r="U75" s="356">
        <f>-'Table 5C1F-Lake Charles Charter'!L75</f>
        <v>0</v>
      </c>
      <c r="V75" s="356">
        <f>-'Table 5C1G-JS Clark Academy'!L75</f>
        <v>0</v>
      </c>
      <c r="W75" s="356">
        <f>-'Table 5C1H-Southwest LA Charter'!L75</f>
        <v>0</v>
      </c>
      <c r="X75" s="314">
        <f>-('Table 5C2 - LA Virtual Admy'!M73+'Table 5C2 - LA Virtual Admy'!I73)</f>
        <v>-29910.33844915904</v>
      </c>
      <c r="Y75" s="314">
        <f>-('Table 5C3 - LA Connections EBR'!M73+'Table 5C3 - LA Connections EBR'!I73)</f>
        <v>-7563.5338607068788</v>
      </c>
      <c r="Z75" s="314">
        <f t="shared" si="26"/>
        <v>-85605.45142345519</v>
      </c>
      <c r="AA75" s="539">
        <f t="shared" si="29"/>
        <v>11070797</v>
      </c>
      <c r="AB75" s="310">
        <f>('[4]Table 2_State Distrib and Adjs'!V74*6)+('[5]Table 2_State Distrib and Adjs'!AD74*2)</f>
        <v>7802256</v>
      </c>
      <c r="AC75" s="1531">
        <f t="shared" si="30"/>
        <v>3268541</v>
      </c>
      <c r="AD75" s="1531">
        <f t="shared" si="31"/>
        <v>817135</v>
      </c>
      <c r="AE75" s="310">
        <f>'Table 4A Stipends'!G71</f>
        <v>0</v>
      </c>
      <c r="AF75" s="310">
        <f t="shared" si="32"/>
        <v>11070797</v>
      </c>
      <c r="AG75" s="1117"/>
      <c r="AH75" s="1120">
        <f>(('2-1-13 SIS'!C74+'2-1-13 SIS'!R74)*'Table 3 Levels 1&amp;2'!AP75)+K75+F75+AE75</f>
        <v>11070797.333551623</v>
      </c>
      <c r="AI75" s="1120">
        <f t="shared" si="33"/>
        <v>-0.33355162292718887</v>
      </c>
    </row>
    <row r="76" spans="1:35">
      <c r="A76" s="100">
        <v>69</v>
      </c>
      <c r="B76" s="302" t="s">
        <v>205</v>
      </c>
      <c r="C76" s="318">
        <f>'Table 3 Levels 1&amp;2'!AO76</f>
        <v>26380239.837633681</v>
      </c>
      <c r="D76" s="357">
        <f>'[1]Adjusted Amounts'!C75</f>
        <v>0</v>
      </c>
      <c r="E76" s="357">
        <f>'[2]Adjusted Amounts'!H75</f>
        <v>351</v>
      </c>
      <c r="F76" s="357">
        <f>SUM(D76:E76)</f>
        <v>351</v>
      </c>
      <c r="G76" s="318">
        <f>IF(F76&gt;0,F76,0)</f>
        <v>351</v>
      </c>
      <c r="H76" s="357">
        <f>IF(F76&lt;0,F76,0)</f>
        <v>0</v>
      </c>
      <c r="I76" s="357">
        <f>'[3]October midyear adj'!K74</f>
        <v>679481.49355221505</v>
      </c>
      <c r="J76" s="357">
        <f>'[3]February midyear adj '!K74</f>
        <v>22020.233587340303</v>
      </c>
      <c r="K76" s="357">
        <f t="shared" si="27"/>
        <v>701501.72713955538</v>
      </c>
      <c r="L76" s="357">
        <f>'[3]Oct midyear Madison Prep'!K75+'[3]Oct midyear DArbonne'!K75+'[3]Oct midyear Intl_VIBE '!K75+'[3]Oct midyear NOMMA'!K75+'[3]Oct midyear LFNO'!K75+'[3]Oct midyear Lake Charles Chtr'!K75+'[3]Oct midyear JS Clark Academy'!K75+'[3]Oct midyear Southwest LA Chtr'!K75+'[3]Oct midyear LA Virtual Admy'!K72+'[3]Oct midyear LA Connections'!K72</f>
        <v>23278.532649474033</v>
      </c>
      <c r="M76" s="357">
        <f>'[3]Feb midyear Madison Prep'!K75+'[3]Feb midyear DArbonne'!K75+'[3]Feb midyear Intl_VIBE '!K75+'[3]Feb midyear NOMMA'!K75+'[3]Feb midyear LFNO '!K75+'[3]Feb midyear Lake Charles Ch'!K75+'[3]Feb midyear JS Clark Academy'!K75+'[3]Feb midyear Southwest LA Ch '!K75+'[3]Feb midyear LA Virtual Admy'!K72+'[3]Feb midyear LA Connections'!K72</f>
        <v>0</v>
      </c>
      <c r="N76" s="357">
        <f t="shared" si="28"/>
        <v>23278.532649474033</v>
      </c>
      <c r="O76" s="357"/>
      <c r="P76" s="357">
        <f>-'Table 5C1A-Madison Prep'!L76</f>
        <v>-6291.495310668658</v>
      </c>
      <c r="Q76" s="357">
        <f>-'Table 5C1B-DArbonne'!L76</f>
        <v>0</v>
      </c>
      <c r="R76" s="357">
        <f>-'Table 5C1C-Intl_VIBE'!L76</f>
        <v>0</v>
      </c>
      <c r="S76" s="357">
        <f>-'Table 5C1D-NOMMA'!L76</f>
        <v>0</v>
      </c>
      <c r="T76" s="357">
        <f>-'Table 5C1E-LFNO'!L76</f>
        <v>0</v>
      </c>
      <c r="U76" s="357">
        <f>-'Table 5C1F-Lake Charles Charter'!L76</f>
        <v>0</v>
      </c>
      <c r="V76" s="357">
        <f>-'Table 5C1G-JS Clark Academy'!L76</f>
        <v>0</v>
      </c>
      <c r="W76" s="357">
        <f>-'Table 5C1H-Southwest LA Charter'!L76</f>
        <v>0</v>
      </c>
      <c r="X76" s="320">
        <f>-('Table 5C2 - LA Virtual Admy'!M74+'Table 5C2 - LA Virtual Admy'!I74)</f>
        <v>-72352.196072689563</v>
      </c>
      <c r="Y76" s="320">
        <f>-('Table 5C3 - LA Connections EBR'!M74+'Table 5C3 - LA Connections EBR'!I74)</f>
        <v>-1258.2990621337321</v>
      </c>
      <c r="Z76" s="320">
        <f t="shared" si="26"/>
        <v>-79901.99044549196</v>
      </c>
      <c r="AA76" s="540">
        <f t="shared" si="29"/>
        <v>27025469</v>
      </c>
      <c r="AB76" s="318">
        <f>('[4]Table 2_State Distrib and Adjs'!V75*6)+('[5]Table 2_State Distrib and Adjs'!AD75*2)</f>
        <v>17549312</v>
      </c>
      <c r="AC76" s="318">
        <f t="shared" si="30"/>
        <v>9476157</v>
      </c>
      <c r="AD76" s="318">
        <f t="shared" si="31"/>
        <v>2369039</v>
      </c>
      <c r="AE76" s="318">
        <f>'Table 4A Stipends'!G72</f>
        <v>0</v>
      </c>
      <c r="AF76" s="318">
        <f t="shared" si="32"/>
        <v>27025469</v>
      </c>
      <c r="AG76" s="1117"/>
      <c r="AH76" s="1120">
        <f>(('2-1-13 SIS'!C75+'2-1-13 SIS'!R75)*'Table 3 Levels 1&amp;2'!AP76)+K76+F76+AE76</f>
        <v>27025469.106977217</v>
      </c>
      <c r="AI76" s="1120">
        <f t="shared" si="33"/>
        <v>-0.10697721689939499</v>
      </c>
    </row>
    <row r="77" spans="1:35" ht="13.5" thickBot="1">
      <c r="A77" s="411"/>
      <c r="B77" s="412" t="s">
        <v>157</v>
      </c>
      <c r="C77" s="419">
        <f t="shared" ref="C77:AD77" si="34">SUM(C8:C76)</f>
        <v>3410191019.1272569</v>
      </c>
      <c r="D77" s="419">
        <f>SUM(D8:D76)</f>
        <v>-211447.2513803934</v>
      </c>
      <c r="E77" s="419">
        <f>SUM(E8:E76)</f>
        <v>-2180797.8413214996</v>
      </c>
      <c r="F77" s="419">
        <f>SUM(F8:F76)</f>
        <v>-2392245.0927018928</v>
      </c>
      <c r="G77" s="419">
        <f t="shared" si="34"/>
        <v>193264.92490236161</v>
      </c>
      <c r="H77" s="419">
        <f t="shared" si="34"/>
        <v>-2585510.0176042542</v>
      </c>
      <c r="I77" s="419">
        <f t="shared" si="34"/>
        <v>22826779.242837369</v>
      </c>
      <c r="J77" s="419">
        <f t="shared" si="34"/>
        <v>-8890289.3757084254</v>
      </c>
      <c r="K77" s="419">
        <f t="shared" si="34"/>
        <v>13936489.867128946</v>
      </c>
      <c r="L77" s="419">
        <f t="shared" si="34"/>
        <v>6881512.3880339041</v>
      </c>
      <c r="M77" s="419">
        <f t="shared" si="34"/>
        <v>-88725.775842143412</v>
      </c>
      <c r="N77" s="419">
        <f t="shared" si="34"/>
        <v>6792786.6121917572</v>
      </c>
      <c r="O77" s="419">
        <f t="shared" si="34"/>
        <v>-138999409.3233538</v>
      </c>
      <c r="P77" s="419">
        <f t="shared" si="34"/>
        <v>-1158852.6906271908</v>
      </c>
      <c r="Q77" s="419">
        <f t="shared" si="34"/>
        <v>-3981487.940983139</v>
      </c>
      <c r="R77" s="419">
        <f t="shared" si="34"/>
        <v>-1994634.3941446124</v>
      </c>
      <c r="S77" s="419">
        <f t="shared" si="34"/>
        <v>-1492740.6962974393</v>
      </c>
      <c r="T77" s="419">
        <f t="shared" si="34"/>
        <v>-1296690.1655393254</v>
      </c>
      <c r="U77" s="419">
        <f t="shared" si="34"/>
        <v>-4222332.656759494</v>
      </c>
      <c r="V77" s="419">
        <f t="shared" si="34"/>
        <v>-1059808.4644719257</v>
      </c>
      <c r="W77" s="419">
        <f t="shared" si="34"/>
        <v>-3281605.6917819898</v>
      </c>
      <c r="X77" s="419">
        <f>SUM(X8:X76)</f>
        <v>-8955331.2172531858</v>
      </c>
      <c r="Y77" s="419">
        <f t="shared" si="34"/>
        <v>-6172864.3560075806</v>
      </c>
      <c r="Z77" s="419">
        <f t="shared" si="34"/>
        <v>-172615757.59721977</v>
      </c>
      <c r="AA77" s="417">
        <f>SUM(AA8:AA76)</f>
        <v>3255912294</v>
      </c>
      <c r="AB77" s="419">
        <f t="shared" si="34"/>
        <v>2160018922</v>
      </c>
      <c r="AC77" s="419">
        <f t="shared" si="34"/>
        <v>1095893372</v>
      </c>
      <c r="AD77" s="419">
        <f t="shared" si="34"/>
        <v>273973352</v>
      </c>
      <c r="AE77" s="419">
        <f>SUM(AE8:AE76)</f>
        <v>540000</v>
      </c>
      <c r="AF77" s="419">
        <f>SUM(AF8:AF76)</f>
        <v>3256452294</v>
      </c>
      <c r="AG77" s="757"/>
      <c r="AH77" s="1123">
        <v>3214489997</v>
      </c>
      <c r="AI77" s="1124">
        <f>SUM(AI8:AI76)</f>
        <v>-5298.8116196612827</v>
      </c>
    </row>
    <row r="78" spans="1:35" ht="16.5" customHeight="1" thickTop="1">
      <c r="F78" s="49">
        <f>SUM(D77:E77)</f>
        <v>-2392245.0927018928</v>
      </c>
      <c r="O78" t="s">
        <v>391</v>
      </c>
      <c r="AA78" s="97"/>
      <c r="AF78" s="97"/>
      <c r="AG78" s="97"/>
    </row>
    <row r="79" spans="1:35" hidden="1"/>
    <row r="80" spans="1:35" ht="17.25" hidden="1" customHeight="1" thickBot="1">
      <c r="L80" s="2155"/>
      <c r="M80" s="2155"/>
      <c r="N80" s="2155"/>
      <c r="O80" s="2159"/>
      <c r="P80" s="2160"/>
      <c r="Q80" s="2160"/>
      <c r="R80" s="2160"/>
      <c r="S80" s="2160"/>
      <c r="T80" s="2160"/>
      <c r="U80" s="2160"/>
      <c r="V80" s="2160"/>
      <c r="W80" s="2160"/>
      <c r="X80" s="2160"/>
      <c r="Y80" s="2160"/>
      <c r="Z80" s="1098"/>
      <c r="AA80" s="49"/>
      <c r="AF80" s="49"/>
      <c r="AG80" s="49"/>
    </row>
    <row r="81" spans="12:26" ht="32.25" hidden="1" customHeight="1" thickBot="1">
      <c r="L81" s="2155"/>
      <c r="M81" s="2155"/>
      <c r="N81" s="2155"/>
      <c r="O81" s="2159"/>
      <c r="P81" s="2161"/>
      <c r="Q81" s="2161"/>
      <c r="R81" s="2161"/>
      <c r="S81" s="2161"/>
      <c r="T81" s="2161"/>
      <c r="U81" s="2161"/>
      <c r="V81" s="2161"/>
      <c r="W81" s="2161"/>
      <c r="X81" s="2161"/>
      <c r="Y81" s="2161"/>
      <c r="Z81" s="1099"/>
    </row>
    <row r="82" spans="12:26" hidden="1">
      <c r="L82" s="2155"/>
      <c r="M82" s="2155"/>
      <c r="N82" s="2155"/>
      <c r="O82" s="983"/>
      <c r="P82" s="983"/>
      <c r="Q82" s="983"/>
      <c r="R82" s="983"/>
      <c r="S82" s="983"/>
      <c r="T82" s="983"/>
      <c r="U82" s="1003"/>
      <c r="V82" s="1003"/>
      <c r="W82" s="1003"/>
      <c r="X82" s="857"/>
      <c r="Y82" s="1004"/>
      <c r="Z82" s="917"/>
    </row>
    <row r="83" spans="12:26" ht="42" hidden="1" customHeight="1" thickBot="1">
      <c r="L83" s="2155"/>
      <c r="M83" s="2155"/>
      <c r="N83" s="2155"/>
      <c r="O83" s="2156"/>
      <c r="P83" s="2157"/>
      <c r="Q83" s="2157"/>
      <c r="R83" s="2157"/>
      <c r="S83" s="2157"/>
      <c r="T83" s="2157"/>
      <c r="U83" s="2157"/>
      <c r="V83" s="2157"/>
      <c r="W83" s="2157"/>
      <c r="X83" s="2157"/>
      <c r="Y83" s="2158"/>
      <c r="Z83" s="917"/>
    </row>
    <row r="84" spans="12:26" hidden="1">
      <c r="L84" s="2155"/>
      <c r="M84" s="2155"/>
      <c r="N84" s="2155"/>
      <c r="O84" s="983"/>
      <c r="P84" s="983"/>
      <c r="Q84" s="983"/>
      <c r="R84" s="983"/>
      <c r="S84" s="983"/>
      <c r="T84" s="983"/>
      <c r="U84" s="983"/>
      <c r="V84" s="983"/>
      <c r="W84" s="983"/>
      <c r="X84" s="857"/>
      <c r="Y84" s="917"/>
      <c r="Z84" s="917"/>
    </row>
    <row r="85" spans="12:26">
      <c r="O85" s="983"/>
      <c r="P85" s="983"/>
      <c r="Q85" s="983"/>
      <c r="R85" s="983"/>
      <c r="S85" s="983"/>
      <c r="T85" s="983"/>
      <c r="U85" s="983"/>
      <c r="V85" s="983"/>
      <c r="W85" s="983"/>
      <c r="X85" s="857"/>
      <c r="Y85" s="917"/>
      <c r="Z85" s="917"/>
    </row>
    <row r="86" spans="12:26">
      <c r="O86" s="983"/>
      <c r="P86" s="983"/>
      <c r="Q86" s="983"/>
      <c r="R86" s="983"/>
      <c r="S86" s="983"/>
      <c r="T86" s="983"/>
      <c r="U86" s="983"/>
      <c r="V86" s="983"/>
      <c r="W86" s="983"/>
      <c r="X86" s="857"/>
      <c r="Y86" s="917"/>
      <c r="Z86" s="917"/>
    </row>
  </sheetData>
  <mergeCells count="44">
    <mergeCell ref="L80:N84"/>
    <mergeCell ref="O83:Y83"/>
    <mergeCell ref="O80:Y80"/>
    <mergeCell ref="O81:Y81"/>
    <mergeCell ref="P2:P5"/>
    <mergeCell ref="Q2:Q5"/>
    <mergeCell ref="R2:R5"/>
    <mergeCell ref="S2:S5"/>
    <mergeCell ref="T2:T5"/>
    <mergeCell ref="X2:X5"/>
    <mergeCell ref="Y2:Y5"/>
    <mergeCell ref="U2:U5"/>
    <mergeCell ref="V2:V5"/>
    <mergeCell ref="W2:W5"/>
    <mergeCell ref="A2:A5"/>
    <mergeCell ref="G2:H3"/>
    <mergeCell ref="G4:G5"/>
    <mergeCell ref="H4:H5"/>
    <mergeCell ref="C2:C5"/>
    <mergeCell ref="D2:D5"/>
    <mergeCell ref="E2:E5"/>
    <mergeCell ref="F2:F5"/>
    <mergeCell ref="B2:B5"/>
    <mergeCell ref="AB2:AB5"/>
    <mergeCell ref="AC2:AC5"/>
    <mergeCell ref="AD2:AD5"/>
    <mergeCell ref="D1:H1"/>
    <mergeCell ref="O2:O5"/>
    <mergeCell ref="AA2:AA5"/>
    <mergeCell ref="Z2:Z5"/>
    <mergeCell ref="I2:K2"/>
    <mergeCell ref="L2:N2"/>
    <mergeCell ref="I3:I5"/>
    <mergeCell ref="J3:J5"/>
    <mergeCell ref="K3:K5"/>
    <mergeCell ref="L3:L5"/>
    <mergeCell ref="M3:M5"/>
    <mergeCell ref="N3:N5"/>
    <mergeCell ref="I1:N1"/>
    <mergeCell ref="AJ43:BD43"/>
    <mergeCell ref="AI2:AI5"/>
    <mergeCell ref="AH2:AH5"/>
    <mergeCell ref="AF2:AF5"/>
    <mergeCell ref="AE2:AE5"/>
  </mergeCells>
  <phoneticPr fontId="55" type="noConversion"/>
  <printOptions horizontalCentered="1"/>
  <pageMargins left="0.25" right="0.2" top="1.1399999999999999" bottom="0.49" header="0.5" footer="0.25"/>
  <pageSetup paperSize="5" scale="75" firstPageNumber="3" fitToWidth="12" orientation="portrait" useFirstPageNumber="1" r:id="rId1"/>
  <headerFooter alignWithMargins="0">
    <oddHeader xml:space="preserve">&amp;L&amp;"Arial,Bold"&amp;18Table 2:  FY2013-14 Budget Letter (March 2014)&amp;"Arial,Regular"&amp;10
&amp;"Arial,Bold"&amp;18Distribution and Adjustments </oddHeader>
    <oddFooter>&amp;R&amp;12&amp;P</oddFooter>
  </headerFooter>
  <colBreaks count="4" manualBreakCount="4">
    <brk id="8" max="76" man="1"/>
    <brk id="14" max="76" man="1"/>
    <brk id="20" max="76" man="1"/>
    <brk id="26" max="7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view="pageBreakPreview" zoomScale="90" zoomScaleNormal="100" zoomScaleSheetLayoutView="90" workbookViewId="0">
      <pane xSplit="2" ySplit="7" topLeftCell="C8" activePane="bottomRight" state="frozen"/>
      <selection activeCell="AN13" sqref="AN8:AN77"/>
      <selection pane="topRight" activeCell="AN13" sqref="AN8:AN77"/>
      <selection pane="bottomLeft" activeCell="AN13" sqref="AN8:AN77"/>
      <selection pane="bottomRight"/>
    </sheetView>
  </sheetViews>
  <sheetFormatPr defaultColWidth="8.85546875" defaultRowHeight="12.75"/>
  <cols>
    <col min="1" max="1" width="4.28515625" style="968" customWidth="1"/>
    <col min="2" max="2" width="17.85546875" style="968" customWidth="1"/>
    <col min="3" max="3" width="13.7109375" style="968" customWidth="1"/>
    <col min="4" max="4" width="14" style="968" customWidth="1"/>
    <col min="5" max="5" width="10.7109375" style="968" customWidth="1"/>
    <col min="6" max="6" width="13" style="968" customWidth="1"/>
    <col min="7" max="7" width="13.42578125" style="968" customWidth="1"/>
    <col min="8" max="8" width="12.85546875" style="968" customWidth="1"/>
    <col min="9" max="9" width="12.5703125" style="1509" customWidth="1"/>
    <col min="10" max="10" width="13.28515625" style="1509" bestFit="1" customWidth="1"/>
    <col min="11" max="11" width="12.5703125" style="1509" customWidth="1"/>
    <col min="12" max="12" width="15.140625" style="1509" customWidth="1"/>
    <col min="13" max="13" width="12.42578125" style="968" customWidth="1"/>
    <col min="14" max="14" width="13.140625" style="968" customWidth="1"/>
    <col min="15" max="15" width="13.42578125" style="968" bestFit="1" customWidth="1"/>
    <col min="16" max="16" width="14.7109375" style="968" customWidth="1"/>
    <col min="17" max="18" width="14" style="1509" customWidth="1"/>
    <col min="19" max="19" width="10.7109375" style="968" customWidth="1"/>
    <col min="20" max="20" width="11.5703125" style="968" customWidth="1"/>
    <col min="21" max="21" width="10.7109375" style="968" customWidth="1"/>
    <col min="22" max="26" width="12" style="1509" customWidth="1"/>
    <col min="27" max="27" width="13" style="1509" customWidth="1"/>
    <col min="28" max="28" width="12.5703125" style="968" customWidth="1"/>
    <col min="29" max="29" width="13" style="968" customWidth="1"/>
    <col min="30" max="30" width="13.28515625" style="968" customWidth="1"/>
    <col min="31" max="31" width="13" style="968" customWidth="1"/>
    <col min="32" max="33" width="13.140625" style="1509" customWidth="1"/>
    <col min="34" max="34" width="12" style="968" customWidth="1"/>
    <col min="35" max="35" width="11" style="968" customWidth="1"/>
    <col min="36" max="36" width="12.140625" style="968" customWidth="1"/>
    <col min="37" max="37" width="2.5703125" style="968" customWidth="1"/>
    <col min="38" max="38" width="8.85546875" style="2039" hidden="1" customWidth="1"/>
    <col min="39" max="39" width="10.140625" style="968" hidden="1" customWidth="1"/>
    <col min="40" max="40" width="8.85546875" style="968" hidden="1" customWidth="1"/>
    <col min="41" max="16384" width="8.85546875" style="968"/>
  </cols>
  <sheetData>
    <row r="1" spans="1:40"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05"/>
      <c r="O1" s="1105"/>
      <c r="P1" s="1105"/>
      <c r="Q1" s="1105"/>
      <c r="R1" s="1105"/>
      <c r="S1" s="1105"/>
    </row>
    <row r="2" spans="1:40" ht="45" customHeight="1">
      <c r="A2" s="2384" t="s">
        <v>749</v>
      </c>
      <c r="B2" s="2385"/>
      <c r="C2" s="2343" t="s">
        <v>543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20"/>
      <c r="W2" s="2320"/>
      <c r="X2" s="2320"/>
      <c r="Y2" s="2320"/>
      <c r="Z2" s="2320"/>
      <c r="AA2" s="2320"/>
      <c r="AB2" s="2318"/>
      <c r="AC2" s="2318"/>
      <c r="AD2" s="2318"/>
      <c r="AE2" s="2318"/>
      <c r="AF2" s="2320"/>
      <c r="AG2" s="2320"/>
      <c r="AH2" s="2321"/>
      <c r="AI2" s="2307" t="s">
        <v>545</v>
      </c>
      <c r="AJ2" s="2307" t="s">
        <v>527</v>
      </c>
    </row>
    <row r="3" spans="1:40" s="1509" customFormat="1" ht="22.9" customHeight="1">
      <c r="A3" s="2386"/>
      <c r="B3" s="2387"/>
      <c r="C3" s="1585"/>
      <c r="D3" s="1579"/>
      <c r="E3" s="1579"/>
      <c r="F3" s="1579"/>
      <c r="G3" s="1579"/>
      <c r="H3" s="1579"/>
      <c r="I3" s="2373" t="s">
        <v>772</v>
      </c>
      <c r="J3" s="2374"/>
      <c r="K3" s="2375"/>
      <c r="L3" s="1579"/>
      <c r="M3" s="1579"/>
      <c r="N3" s="1579"/>
      <c r="O3" s="1579"/>
      <c r="P3" s="1579"/>
      <c r="Q3" s="1579"/>
      <c r="R3" s="1579"/>
      <c r="S3" s="1580"/>
      <c r="T3" s="1584"/>
      <c r="U3" s="1582"/>
      <c r="V3" s="2376" t="s">
        <v>772</v>
      </c>
      <c r="W3" s="2377"/>
      <c r="X3" s="2377"/>
      <c r="Y3" s="2377"/>
      <c r="Z3" s="2378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  <c r="AL3" s="2039"/>
    </row>
    <row r="4" spans="1:40" ht="135" customHeight="1">
      <c r="A4" s="2388"/>
      <c r="B4" s="2387"/>
      <c r="C4" s="2391" t="s">
        <v>834</v>
      </c>
      <c r="D4" s="2393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35" t="s">
        <v>784</v>
      </c>
      <c r="J4" s="2335" t="s">
        <v>785</v>
      </c>
      <c r="K4" s="2335" t="s">
        <v>793</v>
      </c>
      <c r="L4" s="2336" t="s">
        <v>829</v>
      </c>
      <c r="M4" s="1573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75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83" t="s">
        <v>791</v>
      </c>
      <c r="AA4" s="2316" t="s">
        <v>799</v>
      </c>
      <c r="AB4" s="1575" t="s">
        <v>808</v>
      </c>
      <c r="AC4" s="2314" t="s">
        <v>805</v>
      </c>
      <c r="AD4" s="2314" t="s">
        <v>794</v>
      </c>
      <c r="AE4" s="2314" t="s">
        <v>806</v>
      </c>
      <c r="AF4" s="1578" t="s">
        <v>807</v>
      </c>
      <c r="AG4" s="1578" t="s">
        <v>795</v>
      </c>
      <c r="AH4" s="1575" t="s">
        <v>540</v>
      </c>
      <c r="AI4" s="2309"/>
      <c r="AJ4" s="2309"/>
    </row>
    <row r="5" spans="1:40" ht="22.15" customHeight="1">
      <c r="A5" s="2389"/>
      <c r="B5" s="2390"/>
      <c r="C5" s="2392"/>
      <c r="D5" s="2312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74"/>
      <c r="R5" s="1574"/>
      <c r="S5" s="2312"/>
      <c r="T5" s="2287"/>
      <c r="U5" s="1576"/>
      <c r="V5" s="2285"/>
      <c r="W5" s="2285"/>
      <c r="X5" s="2285"/>
      <c r="Y5" s="2285"/>
      <c r="Z5" s="1577"/>
      <c r="AA5" s="2287" t="s">
        <v>792</v>
      </c>
      <c r="AB5" s="927">
        <v>2.5000000000000001E-3</v>
      </c>
      <c r="AC5" s="2287"/>
      <c r="AD5" s="2287"/>
      <c r="AE5" s="2287"/>
      <c r="AF5" s="1576"/>
      <c r="AG5" s="1576"/>
      <c r="AH5" s="1576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P6" si="1">E6+1</f>
        <v>4</v>
      </c>
      <c r="G6" s="869">
        <f t="shared" si="1"/>
        <v>5</v>
      </c>
      <c r="H6" s="869">
        <f t="shared" si="1"/>
        <v>6</v>
      </c>
      <c r="I6" s="869">
        <f t="shared" ref="I6" si="2">H6+1</f>
        <v>7</v>
      </c>
      <c r="J6" s="869">
        <f t="shared" ref="J6" si="3">I6+1</f>
        <v>8</v>
      </c>
      <c r="K6" s="869">
        <f t="shared" ref="K6" si="4">J6+1</f>
        <v>9</v>
      </c>
      <c r="L6" s="869">
        <f t="shared" ref="L6" si="5">K6+1</f>
        <v>10</v>
      </c>
      <c r="M6" s="869">
        <f t="shared" ref="M6" si="6">L6+1</f>
        <v>11</v>
      </c>
      <c r="N6" s="869">
        <f t="shared" si="1"/>
        <v>12</v>
      </c>
      <c r="O6" s="869">
        <f t="shared" si="1"/>
        <v>13</v>
      </c>
      <c r="P6" s="869">
        <f t="shared" si="1"/>
        <v>14</v>
      </c>
      <c r="Q6" s="869">
        <f t="shared" ref="Q6" si="7">P6+1</f>
        <v>15</v>
      </c>
      <c r="R6" s="869">
        <f t="shared" ref="R6" si="8">Q6+1</f>
        <v>16</v>
      </c>
      <c r="S6" s="869">
        <f t="shared" ref="S6" si="9">R6+1</f>
        <v>17</v>
      </c>
      <c r="T6" s="869">
        <f t="shared" ref="T6" si="10">S6+1</f>
        <v>18</v>
      </c>
      <c r="U6" s="869">
        <f t="shared" ref="U6" si="11">T6+1</f>
        <v>19</v>
      </c>
      <c r="V6" s="869">
        <f t="shared" ref="V6" si="12">U6+1</f>
        <v>20</v>
      </c>
      <c r="W6" s="869">
        <f t="shared" ref="W6" si="13">V6+1</f>
        <v>21</v>
      </c>
      <c r="X6" s="869">
        <f t="shared" ref="X6" si="14">W6+1</f>
        <v>22</v>
      </c>
      <c r="Y6" s="869">
        <f t="shared" ref="Y6" si="15">X6+1</f>
        <v>23</v>
      </c>
      <c r="Z6" s="869">
        <f t="shared" ref="Z6" si="16">Y6+1</f>
        <v>24</v>
      </c>
      <c r="AA6" s="869">
        <f t="shared" ref="AA6" si="17">Z6+1</f>
        <v>25</v>
      </c>
      <c r="AB6" s="869">
        <f t="shared" ref="AB6" si="18">AA6+1</f>
        <v>26</v>
      </c>
      <c r="AC6" s="869">
        <f t="shared" ref="AC6" si="19">AB6+1</f>
        <v>27</v>
      </c>
      <c r="AD6" s="869">
        <f t="shared" ref="AD6" si="20">AC6+1</f>
        <v>28</v>
      </c>
      <c r="AE6" s="869">
        <f t="shared" ref="AE6" si="21">AD6+1</f>
        <v>29</v>
      </c>
      <c r="AF6" s="869">
        <f t="shared" ref="AF6" si="22">AE6+1</f>
        <v>30</v>
      </c>
      <c r="AG6" s="869">
        <f t="shared" ref="AG6" si="23">AF6+1</f>
        <v>31</v>
      </c>
      <c r="AH6" s="869">
        <f t="shared" ref="AH6" si="24">AG6+1</f>
        <v>32</v>
      </c>
      <c r="AI6" s="869">
        <f t="shared" ref="AI6" si="25">AH6+1</f>
        <v>33</v>
      </c>
      <c r="AJ6" s="869">
        <f t="shared" ref="AJ6" si="26">AI6+1</f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535"/>
      <c r="J7" s="1535"/>
      <c r="K7" s="1535"/>
      <c r="L7" s="1535"/>
      <c r="M7" s="896"/>
      <c r="N7" s="896"/>
      <c r="O7" s="896"/>
      <c r="P7" s="896"/>
      <c r="Q7" s="1535"/>
      <c r="R7" s="1535"/>
      <c r="S7" s="896"/>
      <c r="T7" s="896"/>
      <c r="U7" s="896"/>
      <c r="V7" s="1535"/>
      <c r="W7" s="1535"/>
      <c r="X7" s="1535"/>
      <c r="Y7" s="1535"/>
      <c r="Z7" s="1535"/>
      <c r="AA7" s="1535"/>
      <c r="AB7" s="896"/>
      <c r="AC7" s="896"/>
      <c r="AD7" s="896"/>
      <c r="AE7" s="896"/>
      <c r="AF7" s="1535"/>
      <c r="AG7" s="1535"/>
      <c r="AH7" s="896"/>
      <c r="AI7" s="896"/>
      <c r="AJ7" s="896"/>
      <c r="AL7" s="2040" t="s">
        <v>945</v>
      </c>
      <c r="AM7" s="2035" t="s">
        <v>946</v>
      </c>
      <c r="AN7" s="2035" t="s">
        <v>947</v>
      </c>
    </row>
    <row r="8" spans="1:40">
      <c r="A8" s="870">
        <v>1</v>
      </c>
      <c r="B8" s="871" t="s">
        <v>92</v>
      </c>
      <c r="C8" s="971"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Jefferson Chamber'!K7</f>
        <v>0</v>
      </c>
      <c r="J8" s="1718">
        <f>'[3]Feb midyear Jefferson Chamber'!K7</f>
        <v>0</v>
      </c>
      <c r="K8" s="1542">
        <f>+I8+J8</f>
        <v>0</v>
      </c>
      <c r="L8" s="1520">
        <f>+H8+K8</f>
        <v>0</v>
      </c>
      <c r="M8" s="928">
        <f>-(0.25%*L8)</f>
        <v>0</v>
      </c>
      <c r="N8" s="873">
        <f>SUM(L8:M8)</f>
        <v>0</v>
      </c>
      <c r="O8" s="872">
        <v>0</v>
      </c>
      <c r="P8" s="998">
        <f>SUM(N8:O8)</f>
        <v>0</v>
      </c>
      <c r="Q8" s="1718">
        <f>+'[4]Table 5C1J-Jefferson Chamber'!M7*8</f>
        <v>0</v>
      </c>
      <c r="R8" s="1718">
        <f>+P8-Q8</f>
        <v>0</v>
      </c>
      <c r="S8" s="998">
        <f>ROUND(R8/4,0)</f>
        <v>0</v>
      </c>
      <c r="T8" s="1802">
        <f>'Table 5C1A-Madison Prep'!T8</f>
        <v>2180</v>
      </c>
      <c r="U8" s="999">
        <f>C8*T8</f>
        <v>0</v>
      </c>
      <c r="V8" s="1754">
        <f>+'[3]Oct midyear Jefferson Chamber'!E7</f>
        <v>0</v>
      </c>
      <c r="W8" s="1755">
        <f>+T8*V8</f>
        <v>0</v>
      </c>
      <c r="X8" s="1754">
        <f>'[3]Feb midyear Jefferson Chamber'!E7</f>
        <v>0</v>
      </c>
      <c r="Y8" s="1755">
        <f>(T8*X8)*0.5</f>
        <v>0</v>
      </c>
      <c r="Z8" s="1652">
        <f>+W8+Y8</f>
        <v>0</v>
      </c>
      <c r="AA8" s="1521">
        <f>+U8+Z8</f>
        <v>0</v>
      </c>
      <c r="AB8" s="936">
        <f>-(0.25%*AA8)</f>
        <v>0</v>
      </c>
      <c r="AC8" s="874">
        <f>SUM(AA8:AB8)</f>
        <v>0</v>
      </c>
      <c r="AD8" s="1829">
        <v>0</v>
      </c>
      <c r="AE8" s="874">
        <f>SUM(AC8:AD8)</f>
        <v>0</v>
      </c>
      <c r="AF8" s="1829">
        <f>+'[4]Table 5C1J-Jefferson Chamber'!T7*8</f>
        <v>0</v>
      </c>
      <c r="AG8" s="1829">
        <f>+AE8-AF8</f>
        <v>0</v>
      </c>
      <c r="AH8" s="874">
        <f>ROUND(AG8/4,0)</f>
        <v>0</v>
      </c>
      <c r="AI8" s="875">
        <f t="shared" ref="AI8:AI39" si="27">P8+AE8</f>
        <v>0</v>
      </c>
      <c r="AJ8" s="875">
        <f>S8+AH8</f>
        <v>0</v>
      </c>
      <c r="AL8" s="2034">
        <f>-'[4]Table 5C1J-Jefferson Chamber'!P7</f>
        <v>0</v>
      </c>
      <c r="AM8" s="2034">
        <f>AB8</f>
        <v>0</v>
      </c>
      <c r="AN8" s="2034">
        <f>SUM(AL8:AM8)</f>
        <v>0</v>
      </c>
    </row>
    <row r="9" spans="1:40">
      <c r="A9" s="876">
        <v>2</v>
      </c>
      <c r="B9" s="877" t="s">
        <v>93</v>
      </c>
      <c r="C9" s="969">
        <v>0</v>
      </c>
      <c r="D9" s="878">
        <f>'Table 3 Levels 1&amp;2'!AL9</f>
        <v>6182.4313545138375</v>
      </c>
      <c r="E9" s="919">
        <f t="shared" ref="E9:E72" si="28">C9*D9</f>
        <v>0</v>
      </c>
      <c r="F9" s="919">
        <f>'Table 4 Level 3'!P7</f>
        <v>842.32</v>
      </c>
      <c r="G9" s="919">
        <f t="shared" ref="G9:G72" si="29">C9*F9</f>
        <v>0</v>
      </c>
      <c r="H9" s="898">
        <f t="shared" ref="H9:H72" si="30">E9+G9</f>
        <v>0</v>
      </c>
      <c r="I9" s="1732">
        <f>+'[3]Oct midyear Jefferson Chamber'!K8</f>
        <v>0</v>
      </c>
      <c r="J9" s="1732">
        <f>'[3]Feb midyear Jefferson Chamber'!K8</f>
        <v>0</v>
      </c>
      <c r="K9" s="1543">
        <f t="shared" ref="K9:K72" si="31">+I9+J9</f>
        <v>0</v>
      </c>
      <c r="L9" s="1485">
        <f t="shared" ref="L9:L72" si="32">+H9+K9</f>
        <v>0</v>
      </c>
      <c r="M9" s="929">
        <f t="shared" ref="M9:M72" si="33">-(0.25%*L9)</f>
        <v>0</v>
      </c>
      <c r="N9" s="898">
        <f t="shared" ref="N9:N72" si="34">SUM(L9:M9)</f>
        <v>0</v>
      </c>
      <c r="O9" s="878">
        <v>0</v>
      </c>
      <c r="P9" s="1550">
        <f t="shared" ref="P9:P72" si="35">SUM(N9:O9)</f>
        <v>0</v>
      </c>
      <c r="Q9" s="1732">
        <f>+'[4]Table 5C1J-Jefferson Chamber'!M8*8</f>
        <v>0</v>
      </c>
      <c r="R9" s="1732">
        <f t="shared" ref="R9:R72" si="36">+P9-Q9</f>
        <v>0</v>
      </c>
      <c r="S9" s="1550">
        <f t="shared" ref="S9:S72" si="37">ROUND(R9/4,0)</f>
        <v>0</v>
      </c>
      <c r="T9" s="1802">
        <f>'Table 5C1A-Madison Prep'!T9</f>
        <v>2759</v>
      </c>
      <c r="U9" s="1555">
        <f t="shared" ref="U9:U72" si="38">C9*T9</f>
        <v>0</v>
      </c>
      <c r="V9" s="1758">
        <f>+'[3]Oct midyear Jefferson Chamber'!E8</f>
        <v>0</v>
      </c>
      <c r="W9" s="1759">
        <f t="shared" ref="W9:W72" si="39">+T9*V9</f>
        <v>0</v>
      </c>
      <c r="X9" s="1758">
        <f>'[3]Feb midyear Jefferson Chamber'!E8</f>
        <v>0</v>
      </c>
      <c r="Y9" s="1759">
        <f t="shared" ref="Y9:Y72" si="40">(T9*X9)*0.5</f>
        <v>0</v>
      </c>
      <c r="Z9" s="1653">
        <f t="shared" ref="Z9:Z72" si="41">+W9+Y9</f>
        <v>0</v>
      </c>
      <c r="AA9" s="1486">
        <f t="shared" ref="AA9:AA72" si="42">+U9+Z9</f>
        <v>0</v>
      </c>
      <c r="AB9" s="937">
        <f t="shared" ref="AB9:AB72" si="43">-(0.25%*AA9)</f>
        <v>0</v>
      </c>
      <c r="AC9" s="899">
        <f t="shared" ref="AC9:AC72" si="44">SUM(AA9:AB9)</f>
        <v>0</v>
      </c>
      <c r="AD9" s="1830">
        <v>0</v>
      </c>
      <c r="AE9" s="899">
        <f t="shared" ref="AE9:AE72" si="45">SUM(AC9:AD9)</f>
        <v>0</v>
      </c>
      <c r="AF9" s="1834">
        <f>+'[4]Table 5C1J-Jefferson Chamber'!T8*8</f>
        <v>0</v>
      </c>
      <c r="AG9" s="1834">
        <f t="shared" ref="AG9:AG72" si="46">+AE9-AF9</f>
        <v>0</v>
      </c>
      <c r="AH9" s="899">
        <f t="shared" ref="AH9:AH72" si="47">ROUND(AG9/4,0)</f>
        <v>0</v>
      </c>
      <c r="AI9" s="900">
        <f t="shared" si="27"/>
        <v>0</v>
      </c>
      <c r="AJ9" s="900">
        <f t="shared" ref="AJ9:AJ72" si="48">S9+AH9</f>
        <v>0</v>
      </c>
      <c r="AL9" s="2034">
        <f>-'[4]Table 5C1J-Jefferson Chamber'!P8</f>
        <v>0</v>
      </c>
      <c r="AM9" s="2034">
        <f t="shared" ref="AM9:AM72" si="49">AB9</f>
        <v>0</v>
      </c>
      <c r="AN9" s="2034">
        <f t="shared" ref="AN9:AN72" si="50">SUM(AL9:AM9)</f>
        <v>0</v>
      </c>
    </row>
    <row r="10" spans="1:40">
      <c r="A10" s="876">
        <v>3</v>
      </c>
      <c r="B10" s="877" t="s">
        <v>94</v>
      </c>
      <c r="C10" s="969">
        <v>0</v>
      </c>
      <c r="D10" s="878">
        <f>'Table 3 Levels 1&amp;2'!AL10</f>
        <v>4206.710737685361</v>
      </c>
      <c r="E10" s="919">
        <f t="shared" si="28"/>
        <v>0</v>
      </c>
      <c r="F10" s="919">
        <f>'Table 4 Level 3'!P8</f>
        <v>596.84</v>
      </c>
      <c r="G10" s="919">
        <f t="shared" si="29"/>
        <v>0</v>
      </c>
      <c r="H10" s="898">
        <f t="shared" si="30"/>
        <v>0</v>
      </c>
      <c r="I10" s="1732">
        <f>+'[3]Oct midyear Jefferson Chamber'!K9</f>
        <v>0</v>
      </c>
      <c r="J10" s="1732">
        <f>'[3]Feb midyear Jefferson Chamber'!K9</f>
        <v>0</v>
      </c>
      <c r="K10" s="1543">
        <f t="shared" si="31"/>
        <v>0</v>
      </c>
      <c r="L10" s="1485">
        <f t="shared" si="32"/>
        <v>0</v>
      </c>
      <c r="M10" s="929">
        <f t="shared" si="33"/>
        <v>0</v>
      </c>
      <c r="N10" s="898">
        <f t="shared" si="34"/>
        <v>0</v>
      </c>
      <c r="O10" s="878">
        <v>0</v>
      </c>
      <c r="P10" s="1550">
        <f t="shared" si="35"/>
        <v>0</v>
      </c>
      <c r="Q10" s="1732">
        <f>+'[4]Table 5C1J-Jefferson Chamber'!M9*8</f>
        <v>0</v>
      </c>
      <c r="R10" s="1732">
        <f t="shared" si="36"/>
        <v>0</v>
      </c>
      <c r="S10" s="1550">
        <f t="shared" si="37"/>
        <v>0</v>
      </c>
      <c r="T10" s="1802">
        <f>'Table 5C1A-Madison Prep'!T10</f>
        <v>5538</v>
      </c>
      <c r="U10" s="1555">
        <f t="shared" si="38"/>
        <v>0</v>
      </c>
      <c r="V10" s="1758">
        <f>+'[3]Oct midyear Jefferson Chamber'!E9</f>
        <v>0</v>
      </c>
      <c r="W10" s="1759">
        <f t="shared" si="39"/>
        <v>0</v>
      </c>
      <c r="X10" s="1758">
        <f>'[3]Feb midyear Jefferson Chamber'!E9</f>
        <v>0</v>
      </c>
      <c r="Y10" s="1759">
        <f t="shared" si="40"/>
        <v>0</v>
      </c>
      <c r="Z10" s="1653">
        <f t="shared" si="41"/>
        <v>0</v>
      </c>
      <c r="AA10" s="1486">
        <f t="shared" si="42"/>
        <v>0</v>
      </c>
      <c r="AB10" s="937">
        <f t="shared" si="43"/>
        <v>0</v>
      </c>
      <c r="AC10" s="899">
        <f t="shared" si="44"/>
        <v>0</v>
      </c>
      <c r="AD10" s="1830">
        <v>0</v>
      </c>
      <c r="AE10" s="899">
        <f t="shared" si="45"/>
        <v>0</v>
      </c>
      <c r="AF10" s="1834">
        <f>+'[4]Table 5C1J-Jefferson Chamber'!T9*8</f>
        <v>0</v>
      </c>
      <c r="AG10" s="1834">
        <f t="shared" si="46"/>
        <v>0</v>
      </c>
      <c r="AH10" s="899">
        <f t="shared" si="47"/>
        <v>0</v>
      </c>
      <c r="AI10" s="900">
        <f t="shared" si="27"/>
        <v>0</v>
      </c>
      <c r="AJ10" s="900">
        <f t="shared" si="48"/>
        <v>0</v>
      </c>
      <c r="AL10" s="2034">
        <f>-'[4]Table 5C1J-Jefferson Chamber'!P9</f>
        <v>0</v>
      </c>
      <c r="AM10" s="2034">
        <f t="shared" si="49"/>
        <v>0</v>
      </c>
      <c r="AN10" s="2034">
        <f t="shared" si="50"/>
        <v>0</v>
      </c>
    </row>
    <row r="11" spans="1:40">
      <c r="A11" s="876">
        <v>4</v>
      </c>
      <c r="B11" s="877" t="s">
        <v>95</v>
      </c>
      <c r="C11" s="969">
        <v>0</v>
      </c>
      <c r="D11" s="878">
        <f>'Table 3 Levels 1&amp;2'!AL11</f>
        <v>5987.4993535453223</v>
      </c>
      <c r="E11" s="919">
        <f t="shared" si="28"/>
        <v>0</v>
      </c>
      <c r="F11" s="919">
        <f>'Table 4 Level 3'!P9</f>
        <v>585.76</v>
      </c>
      <c r="G11" s="919">
        <f t="shared" si="29"/>
        <v>0</v>
      </c>
      <c r="H11" s="898">
        <f t="shared" si="30"/>
        <v>0</v>
      </c>
      <c r="I11" s="1732">
        <f>+'[3]Oct midyear Jefferson Chamber'!K10</f>
        <v>0</v>
      </c>
      <c r="J11" s="1732">
        <f>'[3]Feb midyear Jefferson Chamber'!K10</f>
        <v>0</v>
      </c>
      <c r="K11" s="1543">
        <f t="shared" si="31"/>
        <v>0</v>
      </c>
      <c r="L11" s="1485">
        <f t="shared" si="32"/>
        <v>0</v>
      </c>
      <c r="M11" s="929">
        <f t="shared" si="33"/>
        <v>0</v>
      </c>
      <c r="N11" s="898">
        <f t="shared" si="34"/>
        <v>0</v>
      </c>
      <c r="O11" s="878">
        <v>0</v>
      </c>
      <c r="P11" s="1550">
        <f t="shared" si="35"/>
        <v>0</v>
      </c>
      <c r="Q11" s="1732">
        <f>+'[4]Table 5C1J-Jefferson Chamber'!M10*8</f>
        <v>0</v>
      </c>
      <c r="R11" s="1732">
        <f t="shared" si="36"/>
        <v>0</v>
      </c>
      <c r="S11" s="1550">
        <f t="shared" si="37"/>
        <v>0</v>
      </c>
      <c r="T11" s="1802">
        <f>'Table 5C1A-Madison Prep'!T11</f>
        <v>3507</v>
      </c>
      <c r="U11" s="1555">
        <f t="shared" si="38"/>
        <v>0</v>
      </c>
      <c r="V11" s="1758">
        <f>+'[3]Oct midyear Jefferson Chamber'!E10</f>
        <v>0</v>
      </c>
      <c r="W11" s="1759">
        <f t="shared" si="39"/>
        <v>0</v>
      </c>
      <c r="X11" s="1758">
        <f>'[3]Feb midyear Jefferson Chamber'!E10</f>
        <v>0</v>
      </c>
      <c r="Y11" s="1759">
        <f t="shared" si="40"/>
        <v>0</v>
      </c>
      <c r="Z11" s="1653">
        <f t="shared" si="41"/>
        <v>0</v>
      </c>
      <c r="AA11" s="1486">
        <f t="shared" si="42"/>
        <v>0</v>
      </c>
      <c r="AB11" s="937">
        <f t="shared" si="43"/>
        <v>0</v>
      </c>
      <c r="AC11" s="899">
        <f t="shared" si="44"/>
        <v>0</v>
      </c>
      <c r="AD11" s="1830">
        <v>0</v>
      </c>
      <c r="AE11" s="899">
        <f t="shared" si="45"/>
        <v>0</v>
      </c>
      <c r="AF11" s="1834">
        <f>+'[4]Table 5C1J-Jefferson Chamber'!T10*8</f>
        <v>0</v>
      </c>
      <c r="AG11" s="1834">
        <f t="shared" si="46"/>
        <v>0</v>
      </c>
      <c r="AH11" s="899">
        <f t="shared" si="47"/>
        <v>0</v>
      </c>
      <c r="AI11" s="900">
        <f t="shared" si="27"/>
        <v>0</v>
      </c>
      <c r="AJ11" s="900">
        <f t="shared" si="48"/>
        <v>0</v>
      </c>
      <c r="AL11" s="2034">
        <f>-'[4]Table 5C1J-Jefferson Chamber'!P10</f>
        <v>0</v>
      </c>
      <c r="AM11" s="2034">
        <f t="shared" si="49"/>
        <v>0</v>
      </c>
      <c r="AN11" s="2034">
        <f t="shared" si="50"/>
        <v>0</v>
      </c>
    </row>
    <row r="12" spans="1:40">
      <c r="A12" s="879">
        <v>5</v>
      </c>
      <c r="B12" s="880" t="s">
        <v>96</v>
      </c>
      <c r="C12" s="970">
        <v>0</v>
      </c>
      <c r="D12" s="881">
        <f>'Table 3 Levels 1&amp;2'!AL12</f>
        <v>4986.8166927080074</v>
      </c>
      <c r="E12" s="920">
        <f t="shared" si="28"/>
        <v>0</v>
      </c>
      <c r="F12" s="920">
        <f>'Table 4 Level 3'!P10</f>
        <v>555.91</v>
      </c>
      <c r="G12" s="920">
        <f t="shared" si="29"/>
        <v>0</v>
      </c>
      <c r="H12" s="901">
        <f t="shared" si="30"/>
        <v>0</v>
      </c>
      <c r="I12" s="1733">
        <f>+'[3]Oct midyear Jefferson Chamber'!K11</f>
        <v>0</v>
      </c>
      <c r="J12" s="1733">
        <f>'[3]Feb midyear Jefferson Chamber'!K11</f>
        <v>0</v>
      </c>
      <c r="K12" s="1544">
        <f t="shared" si="31"/>
        <v>0</v>
      </c>
      <c r="L12" s="1487">
        <f t="shared" si="32"/>
        <v>0</v>
      </c>
      <c r="M12" s="930">
        <f t="shared" si="33"/>
        <v>0</v>
      </c>
      <c r="N12" s="901">
        <f t="shared" si="34"/>
        <v>0</v>
      </c>
      <c r="O12" s="881">
        <v>0</v>
      </c>
      <c r="P12" s="1551">
        <f t="shared" si="35"/>
        <v>0</v>
      </c>
      <c r="Q12" s="1733">
        <f>+'[4]Table 5C1J-Jefferson Chamber'!M11*8</f>
        <v>0</v>
      </c>
      <c r="R12" s="1733">
        <f t="shared" si="36"/>
        <v>0</v>
      </c>
      <c r="S12" s="1551">
        <f t="shared" si="37"/>
        <v>0</v>
      </c>
      <c r="T12" s="1807">
        <f>'Table 5C1A-Madison Prep'!T12</f>
        <v>2086</v>
      </c>
      <c r="U12" s="1556">
        <f t="shared" si="38"/>
        <v>0</v>
      </c>
      <c r="V12" s="1762">
        <f>+'[3]Oct midyear Jefferson Chamber'!E11</f>
        <v>0</v>
      </c>
      <c r="W12" s="1763">
        <f t="shared" si="39"/>
        <v>0</v>
      </c>
      <c r="X12" s="1762">
        <f>'[3]Feb midyear Jefferson Chamber'!E11</f>
        <v>0</v>
      </c>
      <c r="Y12" s="1763">
        <f t="shared" si="40"/>
        <v>0</v>
      </c>
      <c r="Z12" s="1654">
        <f t="shared" si="41"/>
        <v>0</v>
      </c>
      <c r="AA12" s="1488">
        <f t="shared" si="42"/>
        <v>0</v>
      </c>
      <c r="AB12" s="938">
        <f t="shared" si="43"/>
        <v>0</v>
      </c>
      <c r="AC12" s="903">
        <f t="shared" si="44"/>
        <v>0</v>
      </c>
      <c r="AD12" s="1831">
        <v>0</v>
      </c>
      <c r="AE12" s="903">
        <f t="shared" si="45"/>
        <v>0</v>
      </c>
      <c r="AF12" s="1835">
        <f>+'[4]Table 5C1J-Jefferson Chamber'!T11*8</f>
        <v>0</v>
      </c>
      <c r="AG12" s="1835">
        <f t="shared" si="46"/>
        <v>0</v>
      </c>
      <c r="AH12" s="903">
        <f t="shared" si="47"/>
        <v>0</v>
      </c>
      <c r="AI12" s="904">
        <f t="shared" si="27"/>
        <v>0</v>
      </c>
      <c r="AJ12" s="904">
        <f t="shared" si="48"/>
        <v>0</v>
      </c>
      <c r="AL12" s="2034">
        <f>-'[4]Table 5C1J-Jefferson Chamber'!P11</f>
        <v>0</v>
      </c>
      <c r="AM12" s="2034">
        <f t="shared" si="49"/>
        <v>0</v>
      </c>
      <c r="AN12" s="2034">
        <f t="shared" si="50"/>
        <v>0</v>
      </c>
    </row>
    <row r="13" spans="1:40">
      <c r="A13" s="870">
        <v>6</v>
      </c>
      <c r="B13" s="871" t="s">
        <v>97</v>
      </c>
      <c r="C13" s="971">
        <v>0</v>
      </c>
      <c r="D13" s="872">
        <f>'Table 3 Levels 1&amp;2'!AL13</f>
        <v>5412.7883404260592</v>
      </c>
      <c r="E13" s="918">
        <f t="shared" si="28"/>
        <v>0</v>
      </c>
      <c r="F13" s="918">
        <f>'Table 4 Level 3'!P11</f>
        <v>545.4799999999999</v>
      </c>
      <c r="G13" s="918">
        <f t="shared" si="29"/>
        <v>0</v>
      </c>
      <c r="H13" s="873">
        <f t="shared" si="30"/>
        <v>0</v>
      </c>
      <c r="I13" s="1718">
        <f>+'[3]Oct midyear Jefferson Chamber'!K12</f>
        <v>0</v>
      </c>
      <c r="J13" s="1718">
        <f>'[3]Feb midyear Jefferson Chamber'!K12</f>
        <v>0</v>
      </c>
      <c r="K13" s="1542">
        <f t="shared" si="31"/>
        <v>0</v>
      </c>
      <c r="L13" s="1520">
        <f t="shared" si="32"/>
        <v>0</v>
      </c>
      <c r="M13" s="928">
        <f t="shared" si="33"/>
        <v>0</v>
      </c>
      <c r="N13" s="873">
        <f t="shared" si="34"/>
        <v>0</v>
      </c>
      <c r="O13" s="872">
        <v>0</v>
      </c>
      <c r="P13" s="998">
        <f t="shared" si="35"/>
        <v>0</v>
      </c>
      <c r="Q13" s="1718">
        <f>+'[4]Table 5C1J-Jefferson Chamber'!M12*8</f>
        <v>0</v>
      </c>
      <c r="R13" s="1718">
        <f t="shared" si="36"/>
        <v>0</v>
      </c>
      <c r="S13" s="998">
        <f t="shared" si="37"/>
        <v>0</v>
      </c>
      <c r="T13" s="1802">
        <f>'Table 5C1A-Madison Prep'!T13</f>
        <v>3683</v>
      </c>
      <c r="U13" s="999">
        <f t="shared" si="38"/>
        <v>0</v>
      </c>
      <c r="V13" s="1754">
        <f>+'[3]Oct midyear Jefferson Chamber'!E12</f>
        <v>0</v>
      </c>
      <c r="W13" s="1755">
        <f t="shared" si="39"/>
        <v>0</v>
      </c>
      <c r="X13" s="1754">
        <f>'[3]Feb midyear Jefferson Chamber'!E12</f>
        <v>0</v>
      </c>
      <c r="Y13" s="1755">
        <f t="shared" si="40"/>
        <v>0</v>
      </c>
      <c r="Z13" s="1652">
        <f t="shared" si="41"/>
        <v>0</v>
      </c>
      <c r="AA13" s="1521">
        <f t="shared" si="42"/>
        <v>0</v>
      </c>
      <c r="AB13" s="936">
        <f t="shared" si="43"/>
        <v>0</v>
      </c>
      <c r="AC13" s="874">
        <f t="shared" si="44"/>
        <v>0</v>
      </c>
      <c r="AD13" s="1829">
        <v>0</v>
      </c>
      <c r="AE13" s="874">
        <f t="shared" si="45"/>
        <v>0</v>
      </c>
      <c r="AF13" s="1829">
        <f>+'[4]Table 5C1J-Jefferson Chamber'!T12*8</f>
        <v>0</v>
      </c>
      <c r="AG13" s="1829">
        <f t="shared" si="46"/>
        <v>0</v>
      </c>
      <c r="AH13" s="874">
        <f t="shared" si="47"/>
        <v>0</v>
      </c>
      <c r="AI13" s="875">
        <f t="shared" si="27"/>
        <v>0</v>
      </c>
      <c r="AJ13" s="875">
        <f t="shared" si="48"/>
        <v>0</v>
      </c>
      <c r="AL13" s="2034">
        <f>-'[4]Table 5C1J-Jefferson Chamber'!P12</f>
        <v>0</v>
      </c>
      <c r="AM13" s="2034">
        <f t="shared" si="49"/>
        <v>0</v>
      </c>
      <c r="AN13" s="2034">
        <f t="shared" si="50"/>
        <v>0</v>
      </c>
    </row>
    <row r="14" spans="1:40">
      <c r="A14" s="876">
        <v>7</v>
      </c>
      <c r="B14" s="877" t="s">
        <v>98</v>
      </c>
      <c r="C14" s="969">
        <v>0</v>
      </c>
      <c r="D14" s="878">
        <f>'Table 3 Levels 1&amp;2'!AL14</f>
        <v>1766.1023604176123</v>
      </c>
      <c r="E14" s="919">
        <f t="shared" si="28"/>
        <v>0</v>
      </c>
      <c r="F14" s="919">
        <f>'Table 4 Level 3'!P12</f>
        <v>756.91999999999985</v>
      </c>
      <c r="G14" s="919">
        <f t="shared" si="29"/>
        <v>0</v>
      </c>
      <c r="H14" s="898">
        <f t="shared" si="30"/>
        <v>0</v>
      </c>
      <c r="I14" s="1732">
        <f>+'[3]Oct midyear Jefferson Chamber'!K13</f>
        <v>0</v>
      </c>
      <c r="J14" s="1732">
        <f>'[3]Feb midyear Jefferson Chamber'!K13</f>
        <v>0</v>
      </c>
      <c r="K14" s="1543">
        <f t="shared" si="31"/>
        <v>0</v>
      </c>
      <c r="L14" s="1485">
        <f t="shared" si="32"/>
        <v>0</v>
      </c>
      <c r="M14" s="929">
        <f t="shared" si="33"/>
        <v>0</v>
      </c>
      <c r="N14" s="898">
        <f t="shared" si="34"/>
        <v>0</v>
      </c>
      <c r="O14" s="878">
        <v>0</v>
      </c>
      <c r="P14" s="1550">
        <f t="shared" si="35"/>
        <v>0</v>
      </c>
      <c r="Q14" s="1732">
        <f>+'[4]Table 5C1J-Jefferson Chamber'!M13*8</f>
        <v>0</v>
      </c>
      <c r="R14" s="1732">
        <f t="shared" si="36"/>
        <v>0</v>
      </c>
      <c r="S14" s="1550">
        <f t="shared" si="37"/>
        <v>0</v>
      </c>
      <c r="T14" s="1802">
        <f>'Table 5C1A-Madison Prep'!T14</f>
        <v>11801</v>
      </c>
      <c r="U14" s="1555">
        <f t="shared" si="38"/>
        <v>0</v>
      </c>
      <c r="V14" s="1758">
        <f>+'[3]Oct midyear Jefferson Chamber'!E13</f>
        <v>0</v>
      </c>
      <c r="W14" s="1759">
        <f t="shared" si="39"/>
        <v>0</v>
      </c>
      <c r="X14" s="1758">
        <f>'[3]Feb midyear Jefferson Chamber'!E13</f>
        <v>0</v>
      </c>
      <c r="Y14" s="1759">
        <f t="shared" si="40"/>
        <v>0</v>
      </c>
      <c r="Z14" s="1653">
        <f t="shared" si="41"/>
        <v>0</v>
      </c>
      <c r="AA14" s="1486">
        <f t="shared" si="42"/>
        <v>0</v>
      </c>
      <c r="AB14" s="937">
        <f t="shared" si="43"/>
        <v>0</v>
      </c>
      <c r="AC14" s="899">
        <f t="shared" si="44"/>
        <v>0</v>
      </c>
      <c r="AD14" s="1830">
        <v>0</v>
      </c>
      <c r="AE14" s="899">
        <f t="shared" si="45"/>
        <v>0</v>
      </c>
      <c r="AF14" s="1834">
        <f>+'[4]Table 5C1J-Jefferson Chamber'!T13*8</f>
        <v>0</v>
      </c>
      <c r="AG14" s="1834">
        <f t="shared" si="46"/>
        <v>0</v>
      </c>
      <c r="AH14" s="899">
        <f t="shared" si="47"/>
        <v>0</v>
      </c>
      <c r="AI14" s="900">
        <f t="shared" si="27"/>
        <v>0</v>
      </c>
      <c r="AJ14" s="900">
        <f t="shared" si="48"/>
        <v>0</v>
      </c>
      <c r="AL14" s="2034">
        <f>-'[4]Table 5C1J-Jefferson Chamber'!P13</f>
        <v>0</v>
      </c>
      <c r="AM14" s="2034">
        <f t="shared" si="49"/>
        <v>0</v>
      </c>
      <c r="AN14" s="2034">
        <f t="shared" si="50"/>
        <v>0</v>
      </c>
    </row>
    <row r="15" spans="1:40">
      <c r="A15" s="876">
        <v>8</v>
      </c>
      <c r="B15" s="877" t="s">
        <v>99</v>
      </c>
      <c r="C15" s="969">
        <v>0</v>
      </c>
      <c r="D15" s="878">
        <f>'Table 3 Levels 1&amp;2'!AL15</f>
        <v>4289.5073606712331</v>
      </c>
      <c r="E15" s="919">
        <f t="shared" si="28"/>
        <v>0</v>
      </c>
      <c r="F15" s="919">
        <f>'Table 4 Level 3'!P13</f>
        <v>725.76</v>
      </c>
      <c r="G15" s="919">
        <f t="shared" si="29"/>
        <v>0</v>
      </c>
      <c r="H15" s="898">
        <f t="shared" si="30"/>
        <v>0</v>
      </c>
      <c r="I15" s="1732">
        <f>+'[3]Oct midyear Jefferson Chamber'!K14</f>
        <v>0</v>
      </c>
      <c r="J15" s="1732">
        <f>'[3]Feb midyear Jefferson Chamber'!K14</f>
        <v>0</v>
      </c>
      <c r="K15" s="1543">
        <f t="shared" si="31"/>
        <v>0</v>
      </c>
      <c r="L15" s="1485">
        <f t="shared" si="32"/>
        <v>0</v>
      </c>
      <c r="M15" s="929">
        <f t="shared" si="33"/>
        <v>0</v>
      </c>
      <c r="N15" s="898">
        <f t="shared" si="34"/>
        <v>0</v>
      </c>
      <c r="O15" s="878">
        <v>0</v>
      </c>
      <c r="P15" s="1550">
        <f t="shared" si="35"/>
        <v>0</v>
      </c>
      <c r="Q15" s="1732">
        <f>+'[4]Table 5C1J-Jefferson Chamber'!M14*8</f>
        <v>0</v>
      </c>
      <c r="R15" s="1732">
        <f t="shared" si="36"/>
        <v>0</v>
      </c>
      <c r="S15" s="1550">
        <f t="shared" si="37"/>
        <v>0</v>
      </c>
      <c r="T15" s="1802">
        <f>'Table 5C1A-Madison Prep'!T15</f>
        <v>3988</v>
      </c>
      <c r="U15" s="1555">
        <f t="shared" si="38"/>
        <v>0</v>
      </c>
      <c r="V15" s="1758">
        <f>+'[3]Oct midyear Jefferson Chamber'!E14</f>
        <v>0</v>
      </c>
      <c r="W15" s="1759">
        <f t="shared" si="39"/>
        <v>0</v>
      </c>
      <c r="X15" s="1758">
        <f>'[3]Feb midyear Jefferson Chamber'!E14</f>
        <v>0</v>
      </c>
      <c r="Y15" s="1759">
        <f t="shared" si="40"/>
        <v>0</v>
      </c>
      <c r="Z15" s="1653">
        <f t="shared" si="41"/>
        <v>0</v>
      </c>
      <c r="AA15" s="1486">
        <f t="shared" si="42"/>
        <v>0</v>
      </c>
      <c r="AB15" s="937">
        <f t="shared" si="43"/>
        <v>0</v>
      </c>
      <c r="AC15" s="899">
        <f t="shared" si="44"/>
        <v>0</v>
      </c>
      <c r="AD15" s="1830">
        <v>0</v>
      </c>
      <c r="AE15" s="899">
        <f t="shared" si="45"/>
        <v>0</v>
      </c>
      <c r="AF15" s="1834">
        <f>+'[4]Table 5C1J-Jefferson Chamber'!T14*8</f>
        <v>0</v>
      </c>
      <c r="AG15" s="1834">
        <f t="shared" si="46"/>
        <v>0</v>
      </c>
      <c r="AH15" s="899">
        <f t="shared" si="47"/>
        <v>0</v>
      </c>
      <c r="AI15" s="900">
        <f t="shared" si="27"/>
        <v>0</v>
      </c>
      <c r="AJ15" s="900">
        <f t="shared" si="48"/>
        <v>0</v>
      </c>
      <c r="AL15" s="2034">
        <f>-'[4]Table 5C1J-Jefferson Chamber'!P14</f>
        <v>0</v>
      </c>
      <c r="AM15" s="2034">
        <f t="shared" si="49"/>
        <v>0</v>
      </c>
      <c r="AN15" s="2034">
        <f t="shared" si="50"/>
        <v>0</v>
      </c>
    </row>
    <row r="16" spans="1:40">
      <c r="A16" s="876">
        <v>9</v>
      </c>
      <c r="B16" s="877" t="s">
        <v>100</v>
      </c>
      <c r="C16" s="969">
        <v>0</v>
      </c>
      <c r="D16" s="878">
        <f>'Table 3 Levels 1&amp;2'!AL16</f>
        <v>4395.6154516889328</v>
      </c>
      <c r="E16" s="919">
        <f t="shared" si="28"/>
        <v>0</v>
      </c>
      <c r="F16" s="919">
        <f>'Table 4 Level 3'!P14</f>
        <v>744.76</v>
      </c>
      <c r="G16" s="919">
        <f t="shared" si="29"/>
        <v>0</v>
      </c>
      <c r="H16" s="898">
        <f t="shared" si="30"/>
        <v>0</v>
      </c>
      <c r="I16" s="1732">
        <f>+'[3]Oct midyear Jefferson Chamber'!K15</f>
        <v>0</v>
      </c>
      <c r="J16" s="1732">
        <f>'[3]Feb midyear Jefferson Chamber'!K15</f>
        <v>0</v>
      </c>
      <c r="K16" s="1543">
        <f t="shared" si="31"/>
        <v>0</v>
      </c>
      <c r="L16" s="1485">
        <f t="shared" si="32"/>
        <v>0</v>
      </c>
      <c r="M16" s="929">
        <f t="shared" si="33"/>
        <v>0</v>
      </c>
      <c r="N16" s="898">
        <f t="shared" si="34"/>
        <v>0</v>
      </c>
      <c r="O16" s="878">
        <v>0</v>
      </c>
      <c r="P16" s="1550">
        <f t="shared" si="35"/>
        <v>0</v>
      </c>
      <c r="Q16" s="1732">
        <f>+'[4]Table 5C1J-Jefferson Chamber'!M15*8</f>
        <v>0</v>
      </c>
      <c r="R16" s="1732">
        <f t="shared" si="36"/>
        <v>0</v>
      </c>
      <c r="S16" s="1550">
        <f t="shared" si="37"/>
        <v>0</v>
      </c>
      <c r="T16" s="1802">
        <f>'Table 5C1A-Madison Prep'!T16</f>
        <v>4677</v>
      </c>
      <c r="U16" s="1555">
        <f t="shared" si="38"/>
        <v>0</v>
      </c>
      <c r="V16" s="1758">
        <f>+'[3]Oct midyear Jefferson Chamber'!E15</f>
        <v>0</v>
      </c>
      <c r="W16" s="1759">
        <f t="shared" si="39"/>
        <v>0</v>
      </c>
      <c r="X16" s="1758">
        <f>'[3]Feb midyear Jefferson Chamber'!E15</f>
        <v>0</v>
      </c>
      <c r="Y16" s="1759">
        <f t="shared" si="40"/>
        <v>0</v>
      </c>
      <c r="Z16" s="1653">
        <f t="shared" si="41"/>
        <v>0</v>
      </c>
      <c r="AA16" s="1486">
        <f t="shared" si="42"/>
        <v>0</v>
      </c>
      <c r="AB16" s="937">
        <f t="shared" si="43"/>
        <v>0</v>
      </c>
      <c r="AC16" s="899">
        <f t="shared" si="44"/>
        <v>0</v>
      </c>
      <c r="AD16" s="1830">
        <v>0</v>
      </c>
      <c r="AE16" s="899">
        <f t="shared" si="45"/>
        <v>0</v>
      </c>
      <c r="AF16" s="1834">
        <f>+'[4]Table 5C1J-Jefferson Chamber'!T15*8</f>
        <v>0</v>
      </c>
      <c r="AG16" s="1834">
        <f t="shared" si="46"/>
        <v>0</v>
      </c>
      <c r="AH16" s="899">
        <f t="shared" si="47"/>
        <v>0</v>
      </c>
      <c r="AI16" s="900">
        <f t="shared" si="27"/>
        <v>0</v>
      </c>
      <c r="AJ16" s="900">
        <f t="shared" si="48"/>
        <v>0</v>
      </c>
      <c r="AL16" s="2034">
        <f>-'[4]Table 5C1J-Jefferson Chamber'!P15</f>
        <v>0</v>
      </c>
      <c r="AM16" s="2034">
        <f t="shared" si="49"/>
        <v>0</v>
      </c>
      <c r="AN16" s="2034">
        <f t="shared" si="50"/>
        <v>0</v>
      </c>
    </row>
    <row r="17" spans="1:40">
      <c r="A17" s="879">
        <v>10</v>
      </c>
      <c r="B17" s="880" t="s">
        <v>101</v>
      </c>
      <c r="C17" s="970">
        <v>0</v>
      </c>
      <c r="D17" s="881">
        <f>'Table 3 Levels 1&amp;2'!AL17</f>
        <v>4253.5980618992444</v>
      </c>
      <c r="E17" s="920">
        <f t="shared" si="28"/>
        <v>0</v>
      </c>
      <c r="F17" s="920">
        <f>'Table 4 Level 3'!P15</f>
        <v>608.04000000000008</v>
      </c>
      <c r="G17" s="920">
        <f t="shared" si="29"/>
        <v>0</v>
      </c>
      <c r="H17" s="901">
        <f t="shared" si="30"/>
        <v>0</v>
      </c>
      <c r="I17" s="1733">
        <f>+'[3]Oct midyear Jefferson Chamber'!K16</f>
        <v>0</v>
      </c>
      <c r="J17" s="1733">
        <f>'[3]Feb midyear Jefferson Chamber'!K16</f>
        <v>0</v>
      </c>
      <c r="K17" s="1544">
        <f t="shared" si="31"/>
        <v>0</v>
      </c>
      <c r="L17" s="1487">
        <f t="shared" si="32"/>
        <v>0</v>
      </c>
      <c r="M17" s="930">
        <f t="shared" si="33"/>
        <v>0</v>
      </c>
      <c r="N17" s="901">
        <f t="shared" si="34"/>
        <v>0</v>
      </c>
      <c r="O17" s="881">
        <v>0</v>
      </c>
      <c r="P17" s="1551">
        <f t="shared" si="35"/>
        <v>0</v>
      </c>
      <c r="Q17" s="1733">
        <f>+'[4]Table 5C1J-Jefferson Chamber'!M16*8</f>
        <v>0</v>
      </c>
      <c r="R17" s="1733">
        <f t="shared" si="36"/>
        <v>0</v>
      </c>
      <c r="S17" s="1551">
        <f t="shared" si="37"/>
        <v>0</v>
      </c>
      <c r="T17" s="1807">
        <f>'Table 5C1A-Madison Prep'!T17</f>
        <v>4502</v>
      </c>
      <c r="U17" s="1556">
        <f t="shared" si="38"/>
        <v>0</v>
      </c>
      <c r="V17" s="1762">
        <f>+'[3]Oct midyear Jefferson Chamber'!E16</f>
        <v>0</v>
      </c>
      <c r="W17" s="1763">
        <f t="shared" si="39"/>
        <v>0</v>
      </c>
      <c r="X17" s="1762">
        <f>'[3]Feb midyear Jefferson Chamber'!E16</f>
        <v>0</v>
      </c>
      <c r="Y17" s="1763">
        <f t="shared" si="40"/>
        <v>0</v>
      </c>
      <c r="Z17" s="1654">
        <f t="shared" si="41"/>
        <v>0</v>
      </c>
      <c r="AA17" s="1488">
        <f t="shared" si="42"/>
        <v>0</v>
      </c>
      <c r="AB17" s="938">
        <f t="shared" si="43"/>
        <v>0</v>
      </c>
      <c r="AC17" s="903">
        <f t="shared" si="44"/>
        <v>0</v>
      </c>
      <c r="AD17" s="1831">
        <v>0</v>
      </c>
      <c r="AE17" s="903">
        <f t="shared" si="45"/>
        <v>0</v>
      </c>
      <c r="AF17" s="1835">
        <f>+'[4]Table 5C1J-Jefferson Chamber'!T16*8</f>
        <v>0</v>
      </c>
      <c r="AG17" s="1835">
        <f t="shared" si="46"/>
        <v>0</v>
      </c>
      <c r="AH17" s="903">
        <f t="shared" si="47"/>
        <v>0</v>
      </c>
      <c r="AI17" s="904">
        <f t="shared" si="27"/>
        <v>0</v>
      </c>
      <c r="AJ17" s="904">
        <f t="shared" si="48"/>
        <v>0</v>
      </c>
      <c r="AL17" s="2034">
        <f>-'[4]Table 5C1J-Jefferson Chamber'!P16</f>
        <v>0</v>
      </c>
      <c r="AM17" s="2034">
        <f t="shared" si="49"/>
        <v>0</v>
      </c>
      <c r="AN17" s="2034">
        <f t="shared" si="50"/>
        <v>0</v>
      </c>
    </row>
    <row r="18" spans="1:40">
      <c r="A18" s="870">
        <v>11</v>
      </c>
      <c r="B18" s="871" t="s">
        <v>102</v>
      </c>
      <c r="C18" s="971">
        <v>0</v>
      </c>
      <c r="D18" s="872">
        <f>'Table 3 Levels 1&amp;2'!AL18</f>
        <v>6852.9138435383502</v>
      </c>
      <c r="E18" s="918">
        <f t="shared" si="28"/>
        <v>0</v>
      </c>
      <c r="F18" s="918">
        <f>'Table 4 Level 3'!P16</f>
        <v>706.55</v>
      </c>
      <c r="G18" s="918">
        <f t="shared" si="29"/>
        <v>0</v>
      </c>
      <c r="H18" s="873">
        <f t="shared" si="30"/>
        <v>0</v>
      </c>
      <c r="I18" s="1718">
        <f>+'[3]Oct midyear Jefferson Chamber'!K17</f>
        <v>0</v>
      </c>
      <c r="J18" s="1718">
        <f>'[3]Feb midyear Jefferson Chamber'!K17</f>
        <v>0</v>
      </c>
      <c r="K18" s="1542">
        <f t="shared" si="31"/>
        <v>0</v>
      </c>
      <c r="L18" s="1520">
        <f t="shared" si="32"/>
        <v>0</v>
      </c>
      <c r="M18" s="928">
        <f t="shared" si="33"/>
        <v>0</v>
      </c>
      <c r="N18" s="873">
        <f t="shared" si="34"/>
        <v>0</v>
      </c>
      <c r="O18" s="872">
        <v>0</v>
      </c>
      <c r="P18" s="998">
        <f t="shared" si="35"/>
        <v>0</v>
      </c>
      <c r="Q18" s="1718">
        <f>+'[4]Table 5C1J-Jefferson Chamber'!M17*8</f>
        <v>0</v>
      </c>
      <c r="R18" s="1718">
        <f t="shared" si="36"/>
        <v>0</v>
      </c>
      <c r="S18" s="998">
        <f t="shared" si="37"/>
        <v>0</v>
      </c>
      <c r="T18" s="1802">
        <f>'Table 5C1A-Madison Prep'!T18</f>
        <v>3776</v>
      </c>
      <c r="U18" s="999">
        <f t="shared" si="38"/>
        <v>0</v>
      </c>
      <c r="V18" s="1754">
        <f>+'[3]Oct midyear Jefferson Chamber'!E17</f>
        <v>0</v>
      </c>
      <c r="W18" s="1755">
        <f t="shared" si="39"/>
        <v>0</v>
      </c>
      <c r="X18" s="1754">
        <f>'[3]Feb midyear Jefferson Chamber'!E17</f>
        <v>0</v>
      </c>
      <c r="Y18" s="1755">
        <f t="shared" si="40"/>
        <v>0</v>
      </c>
      <c r="Z18" s="1652">
        <f t="shared" si="41"/>
        <v>0</v>
      </c>
      <c r="AA18" s="1521">
        <f t="shared" si="42"/>
        <v>0</v>
      </c>
      <c r="AB18" s="936">
        <f t="shared" si="43"/>
        <v>0</v>
      </c>
      <c r="AC18" s="874">
        <f t="shared" si="44"/>
        <v>0</v>
      </c>
      <c r="AD18" s="1829">
        <v>0</v>
      </c>
      <c r="AE18" s="874">
        <f t="shared" si="45"/>
        <v>0</v>
      </c>
      <c r="AF18" s="1829">
        <f>+'[4]Table 5C1J-Jefferson Chamber'!T17*8</f>
        <v>0</v>
      </c>
      <c r="AG18" s="1829">
        <f t="shared" si="46"/>
        <v>0</v>
      </c>
      <c r="AH18" s="874">
        <f t="shared" si="47"/>
        <v>0</v>
      </c>
      <c r="AI18" s="875">
        <f t="shared" si="27"/>
        <v>0</v>
      </c>
      <c r="AJ18" s="875">
        <f t="shared" si="48"/>
        <v>0</v>
      </c>
      <c r="AL18" s="2034">
        <f>-'[4]Table 5C1J-Jefferson Chamber'!P17</f>
        <v>0</v>
      </c>
      <c r="AM18" s="2034">
        <f t="shared" si="49"/>
        <v>0</v>
      </c>
      <c r="AN18" s="2034">
        <f t="shared" si="50"/>
        <v>0</v>
      </c>
    </row>
    <row r="19" spans="1:40">
      <c r="A19" s="876">
        <v>12</v>
      </c>
      <c r="B19" s="877" t="s">
        <v>103</v>
      </c>
      <c r="C19" s="969">
        <v>0</v>
      </c>
      <c r="D19" s="878">
        <f>'Table 3 Levels 1&amp;2'!AL19</f>
        <v>1733.9056059356967</v>
      </c>
      <c r="E19" s="919">
        <f t="shared" si="28"/>
        <v>0</v>
      </c>
      <c r="F19" s="919">
        <f>'Table 4 Level 3'!P17</f>
        <v>1063.31</v>
      </c>
      <c r="G19" s="919">
        <f t="shared" si="29"/>
        <v>0</v>
      </c>
      <c r="H19" s="898">
        <f t="shared" si="30"/>
        <v>0</v>
      </c>
      <c r="I19" s="1732">
        <f>+'[3]Oct midyear Jefferson Chamber'!K18</f>
        <v>0</v>
      </c>
      <c r="J19" s="1732">
        <f>'[3]Feb midyear Jefferson Chamber'!K18</f>
        <v>0</v>
      </c>
      <c r="K19" s="1543">
        <f t="shared" si="31"/>
        <v>0</v>
      </c>
      <c r="L19" s="1485">
        <f t="shared" si="32"/>
        <v>0</v>
      </c>
      <c r="M19" s="929">
        <f t="shared" si="33"/>
        <v>0</v>
      </c>
      <c r="N19" s="898">
        <f t="shared" si="34"/>
        <v>0</v>
      </c>
      <c r="O19" s="878">
        <v>0</v>
      </c>
      <c r="P19" s="1550">
        <f t="shared" si="35"/>
        <v>0</v>
      </c>
      <c r="Q19" s="1732">
        <f>+'[4]Table 5C1J-Jefferson Chamber'!M18*8</f>
        <v>0</v>
      </c>
      <c r="R19" s="1732">
        <f t="shared" si="36"/>
        <v>0</v>
      </c>
      <c r="S19" s="1550">
        <f t="shared" si="37"/>
        <v>0</v>
      </c>
      <c r="T19" s="1802">
        <f>'Table 5C1A-Madison Prep'!T19</f>
        <v>13312</v>
      </c>
      <c r="U19" s="1555">
        <f t="shared" si="38"/>
        <v>0</v>
      </c>
      <c r="V19" s="1758">
        <f>+'[3]Oct midyear Jefferson Chamber'!E18</f>
        <v>0</v>
      </c>
      <c r="W19" s="1759">
        <f t="shared" si="39"/>
        <v>0</v>
      </c>
      <c r="X19" s="1758">
        <f>'[3]Feb midyear Jefferson Chamber'!E18</f>
        <v>0</v>
      </c>
      <c r="Y19" s="1759">
        <f t="shared" si="40"/>
        <v>0</v>
      </c>
      <c r="Z19" s="1653">
        <f t="shared" si="41"/>
        <v>0</v>
      </c>
      <c r="AA19" s="1486">
        <f t="shared" si="42"/>
        <v>0</v>
      </c>
      <c r="AB19" s="937">
        <f t="shared" si="43"/>
        <v>0</v>
      </c>
      <c r="AC19" s="899">
        <f t="shared" si="44"/>
        <v>0</v>
      </c>
      <c r="AD19" s="1830">
        <v>0</v>
      </c>
      <c r="AE19" s="899">
        <f t="shared" si="45"/>
        <v>0</v>
      </c>
      <c r="AF19" s="1834">
        <f>+'[4]Table 5C1J-Jefferson Chamber'!T18*8</f>
        <v>0</v>
      </c>
      <c r="AG19" s="1834">
        <f t="shared" si="46"/>
        <v>0</v>
      </c>
      <c r="AH19" s="899">
        <f t="shared" si="47"/>
        <v>0</v>
      </c>
      <c r="AI19" s="900">
        <f t="shared" si="27"/>
        <v>0</v>
      </c>
      <c r="AJ19" s="900">
        <f t="shared" si="48"/>
        <v>0</v>
      </c>
      <c r="AL19" s="2034">
        <f>-'[4]Table 5C1J-Jefferson Chamber'!P18</f>
        <v>0</v>
      </c>
      <c r="AM19" s="2034">
        <f t="shared" si="49"/>
        <v>0</v>
      </c>
      <c r="AN19" s="2034">
        <f t="shared" si="50"/>
        <v>0</v>
      </c>
    </row>
    <row r="20" spans="1:40">
      <c r="A20" s="876">
        <v>13</v>
      </c>
      <c r="B20" s="877" t="s">
        <v>104</v>
      </c>
      <c r="C20" s="969">
        <v>0</v>
      </c>
      <c r="D20" s="878">
        <f>'Table 3 Levels 1&amp;2'!AL20</f>
        <v>6254.1238637730876</v>
      </c>
      <c r="E20" s="919">
        <f t="shared" si="28"/>
        <v>0</v>
      </c>
      <c r="F20" s="919">
        <f>'Table 4 Level 3'!P18</f>
        <v>749.43000000000006</v>
      </c>
      <c r="G20" s="919">
        <f t="shared" si="29"/>
        <v>0</v>
      </c>
      <c r="H20" s="898">
        <f t="shared" si="30"/>
        <v>0</v>
      </c>
      <c r="I20" s="1732">
        <f>+'[3]Oct midyear Jefferson Chamber'!K19</f>
        <v>0</v>
      </c>
      <c r="J20" s="1732">
        <f>'[3]Feb midyear Jefferson Chamber'!K19</f>
        <v>0</v>
      </c>
      <c r="K20" s="1543">
        <f t="shared" si="31"/>
        <v>0</v>
      </c>
      <c r="L20" s="1485">
        <f t="shared" si="32"/>
        <v>0</v>
      </c>
      <c r="M20" s="929">
        <f t="shared" si="33"/>
        <v>0</v>
      </c>
      <c r="N20" s="898">
        <f t="shared" si="34"/>
        <v>0</v>
      </c>
      <c r="O20" s="878">
        <v>0</v>
      </c>
      <c r="P20" s="1550">
        <f t="shared" si="35"/>
        <v>0</v>
      </c>
      <c r="Q20" s="1732">
        <f>+'[4]Table 5C1J-Jefferson Chamber'!M19*8</f>
        <v>0</v>
      </c>
      <c r="R20" s="1732">
        <f t="shared" si="36"/>
        <v>0</v>
      </c>
      <c r="S20" s="1550">
        <f t="shared" si="37"/>
        <v>0</v>
      </c>
      <c r="T20" s="1802">
        <f>'Table 5C1A-Madison Prep'!T20</f>
        <v>2671</v>
      </c>
      <c r="U20" s="1555">
        <f t="shared" si="38"/>
        <v>0</v>
      </c>
      <c r="V20" s="1758">
        <f>+'[3]Oct midyear Jefferson Chamber'!E19</f>
        <v>0</v>
      </c>
      <c r="W20" s="1759">
        <f t="shared" si="39"/>
        <v>0</v>
      </c>
      <c r="X20" s="1758">
        <f>'[3]Feb midyear Jefferson Chamber'!E19</f>
        <v>0</v>
      </c>
      <c r="Y20" s="1759">
        <f t="shared" si="40"/>
        <v>0</v>
      </c>
      <c r="Z20" s="1653">
        <f t="shared" si="41"/>
        <v>0</v>
      </c>
      <c r="AA20" s="1486">
        <f t="shared" si="42"/>
        <v>0</v>
      </c>
      <c r="AB20" s="937">
        <f t="shared" si="43"/>
        <v>0</v>
      </c>
      <c r="AC20" s="899">
        <f t="shared" si="44"/>
        <v>0</v>
      </c>
      <c r="AD20" s="1830">
        <v>0</v>
      </c>
      <c r="AE20" s="899">
        <f t="shared" si="45"/>
        <v>0</v>
      </c>
      <c r="AF20" s="1834">
        <f>+'[4]Table 5C1J-Jefferson Chamber'!T19*8</f>
        <v>0</v>
      </c>
      <c r="AG20" s="1834">
        <f t="shared" si="46"/>
        <v>0</v>
      </c>
      <c r="AH20" s="899">
        <f t="shared" si="47"/>
        <v>0</v>
      </c>
      <c r="AI20" s="900">
        <f t="shared" si="27"/>
        <v>0</v>
      </c>
      <c r="AJ20" s="900">
        <f t="shared" si="48"/>
        <v>0</v>
      </c>
      <c r="AL20" s="2034">
        <f>-'[4]Table 5C1J-Jefferson Chamber'!P19</f>
        <v>0</v>
      </c>
      <c r="AM20" s="2034">
        <f t="shared" si="49"/>
        <v>0</v>
      </c>
      <c r="AN20" s="2034">
        <f t="shared" si="50"/>
        <v>0</v>
      </c>
    </row>
    <row r="21" spans="1:40">
      <c r="A21" s="876">
        <v>14</v>
      </c>
      <c r="B21" s="877" t="s">
        <v>105</v>
      </c>
      <c r="C21" s="969">
        <v>0</v>
      </c>
      <c r="D21" s="878">
        <f>'Table 3 Levels 1&amp;2'!AL21</f>
        <v>5377.9187438545459</v>
      </c>
      <c r="E21" s="919">
        <f t="shared" si="28"/>
        <v>0</v>
      </c>
      <c r="F21" s="919">
        <f>'Table 4 Level 3'!P19</f>
        <v>809.9799999999999</v>
      </c>
      <c r="G21" s="919">
        <f t="shared" si="29"/>
        <v>0</v>
      </c>
      <c r="H21" s="898">
        <f t="shared" si="30"/>
        <v>0</v>
      </c>
      <c r="I21" s="1732">
        <f>+'[3]Oct midyear Jefferson Chamber'!K20</f>
        <v>0</v>
      </c>
      <c r="J21" s="1732">
        <f>'[3]Feb midyear Jefferson Chamber'!K20</f>
        <v>0</v>
      </c>
      <c r="K21" s="1543">
        <f t="shared" si="31"/>
        <v>0</v>
      </c>
      <c r="L21" s="1485">
        <f t="shared" si="32"/>
        <v>0</v>
      </c>
      <c r="M21" s="929">
        <f t="shared" si="33"/>
        <v>0</v>
      </c>
      <c r="N21" s="898">
        <f t="shared" si="34"/>
        <v>0</v>
      </c>
      <c r="O21" s="878">
        <v>0</v>
      </c>
      <c r="P21" s="1550">
        <f t="shared" si="35"/>
        <v>0</v>
      </c>
      <c r="Q21" s="1732">
        <f>+'[4]Table 5C1J-Jefferson Chamber'!M20*8</f>
        <v>0</v>
      </c>
      <c r="R21" s="1732">
        <f t="shared" si="36"/>
        <v>0</v>
      </c>
      <c r="S21" s="1550">
        <f t="shared" si="37"/>
        <v>0</v>
      </c>
      <c r="T21" s="1802">
        <f>'Table 5C1A-Madison Prep'!T21</f>
        <v>4439</v>
      </c>
      <c r="U21" s="1555">
        <f t="shared" si="38"/>
        <v>0</v>
      </c>
      <c r="V21" s="1758">
        <f>+'[3]Oct midyear Jefferson Chamber'!E20</f>
        <v>0</v>
      </c>
      <c r="W21" s="1759">
        <f t="shared" si="39"/>
        <v>0</v>
      </c>
      <c r="X21" s="1758">
        <f>'[3]Feb midyear Jefferson Chamber'!E20</f>
        <v>0</v>
      </c>
      <c r="Y21" s="1759">
        <f t="shared" si="40"/>
        <v>0</v>
      </c>
      <c r="Z21" s="1653">
        <f t="shared" si="41"/>
        <v>0</v>
      </c>
      <c r="AA21" s="1486">
        <f t="shared" si="42"/>
        <v>0</v>
      </c>
      <c r="AB21" s="937">
        <f t="shared" si="43"/>
        <v>0</v>
      </c>
      <c r="AC21" s="899">
        <f t="shared" si="44"/>
        <v>0</v>
      </c>
      <c r="AD21" s="1830">
        <v>0</v>
      </c>
      <c r="AE21" s="899">
        <f t="shared" si="45"/>
        <v>0</v>
      </c>
      <c r="AF21" s="1834">
        <f>+'[4]Table 5C1J-Jefferson Chamber'!T20*8</f>
        <v>0</v>
      </c>
      <c r="AG21" s="1834">
        <f t="shared" si="46"/>
        <v>0</v>
      </c>
      <c r="AH21" s="899">
        <f t="shared" si="47"/>
        <v>0</v>
      </c>
      <c r="AI21" s="900">
        <f t="shared" si="27"/>
        <v>0</v>
      </c>
      <c r="AJ21" s="900">
        <f t="shared" si="48"/>
        <v>0</v>
      </c>
      <c r="AL21" s="2034">
        <f>-'[4]Table 5C1J-Jefferson Chamber'!P20</f>
        <v>0</v>
      </c>
      <c r="AM21" s="2034">
        <f t="shared" si="49"/>
        <v>0</v>
      </c>
      <c r="AN21" s="2034">
        <f t="shared" si="50"/>
        <v>0</v>
      </c>
    </row>
    <row r="22" spans="1:40">
      <c r="A22" s="879">
        <v>15</v>
      </c>
      <c r="B22" s="880" t="s">
        <v>106</v>
      </c>
      <c r="C22" s="970">
        <v>0</v>
      </c>
      <c r="D22" s="881">
        <f>'Table 3 Levels 1&amp;2'!AL22</f>
        <v>5527.7651197617861</v>
      </c>
      <c r="E22" s="920">
        <f t="shared" si="28"/>
        <v>0</v>
      </c>
      <c r="F22" s="920">
        <f>'Table 4 Level 3'!P20</f>
        <v>553.79999999999995</v>
      </c>
      <c r="G22" s="920">
        <f t="shared" si="29"/>
        <v>0</v>
      </c>
      <c r="H22" s="901">
        <f t="shared" si="30"/>
        <v>0</v>
      </c>
      <c r="I22" s="1733">
        <f>+'[3]Oct midyear Jefferson Chamber'!K21</f>
        <v>0</v>
      </c>
      <c r="J22" s="1733">
        <f>'[3]Feb midyear Jefferson Chamber'!K21</f>
        <v>0</v>
      </c>
      <c r="K22" s="1544">
        <f t="shared" si="31"/>
        <v>0</v>
      </c>
      <c r="L22" s="1487">
        <f t="shared" si="32"/>
        <v>0</v>
      </c>
      <c r="M22" s="930">
        <f t="shared" si="33"/>
        <v>0</v>
      </c>
      <c r="N22" s="901">
        <f t="shared" si="34"/>
        <v>0</v>
      </c>
      <c r="O22" s="881">
        <v>0</v>
      </c>
      <c r="P22" s="1551">
        <f t="shared" si="35"/>
        <v>0</v>
      </c>
      <c r="Q22" s="1733">
        <f>+'[4]Table 5C1J-Jefferson Chamber'!M21*8</f>
        <v>0</v>
      </c>
      <c r="R22" s="1733">
        <f t="shared" si="36"/>
        <v>0</v>
      </c>
      <c r="S22" s="1551">
        <f t="shared" si="37"/>
        <v>0</v>
      </c>
      <c r="T22" s="1807">
        <f>'Table 5C1A-Madison Prep'!T22</f>
        <v>2800</v>
      </c>
      <c r="U22" s="1556">
        <f t="shared" si="38"/>
        <v>0</v>
      </c>
      <c r="V22" s="1762">
        <f>+'[3]Oct midyear Jefferson Chamber'!E21</f>
        <v>0</v>
      </c>
      <c r="W22" s="1763">
        <f t="shared" si="39"/>
        <v>0</v>
      </c>
      <c r="X22" s="1762">
        <f>'[3]Feb midyear Jefferson Chamber'!E21</f>
        <v>0</v>
      </c>
      <c r="Y22" s="1763">
        <f t="shared" si="40"/>
        <v>0</v>
      </c>
      <c r="Z22" s="1654">
        <f t="shared" si="41"/>
        <v>0</v>
      </c>
      <c r="AA22" s="1488">
        <f t="shared" si="42"/>
        <v>0</v>
      </c>
      <c r="AB22" s="938">
        <f t="shared" si="43"/>
        <v>0</v>
      </c>
      <c r="AC22" s="903">
        <f t="shared" si="44"/>
        <v>0</v>
      </c>
      <c r="AD22" s="1831">
        <v>0</v>
      </c>
      <c r="AE22" s="903">
        <f t="shared" si="45"/>
        <v>0</v>
      </c>
      <c r="AF22" s="1835">
        <f>+'[4]Table 5C1J-Jefferson Chamber'!T21*8</f>
        <v>0</v>
      </c>
      <c r="AG22" s="1835">
        <f t="shared" si="46"/>
        <v>0</v>
      </c>
      <c r="AH22" s="903">
        <f t="shared" si="47"/>
        <v>0</v>
      </c>
      <c r="AI22" s="904">
        <f t="shared" si="27"/>
        <v>0</v>
      </c>
      <c r="AJ22" s="904">
        <f t="shared" si="48"/>
        <v>0</v>
      </c>
      <c r="AL22" s="2034">
        <f>-'[4]Table 5C1J-Jefferson Chamber'!P21</f>
        <v>0</v>
      </c>
      <c r="AM22" s="2034">
        <f t="shared" si="49"/>
        <v>0</v>
      </c>
      <c r="AN22" s="2034">
        <f t="shared" si="50"/>
        <v>0</v>
      </c>
    </row>
    <row r="23" spans="1:40">
      <c r="A23" s="870">
        <v>16</v>
      </c>
      <c r="B23" s="871" t="s">
        <v>107</v>
      </c>
      <c r="C23" s="971">
        <v>0</v>
      </c>
      <c r="D23" s="872">
        <f>'Table 3 Levels 1&amp;2'!AL23</f>
        <v>1530.3678845377474</v>
      </c>
      <c r="E23" s="918">
        <f t="shared" si="28"/>
        <v>0</v>
      </c>
      <c r="F23" s="918">
        <f>'Table 4 Level 3'!P21</f>
        <v>686.73</v>
      </c>
      <c r="G23" s="918">
        <f t="shared" si="29"/>
        <v>0</v>
      </c>
      <c r="H23" s="873">
        <f t="shared" si="30"/>
        <v>0</v>
      </c>
      <c r="I23" s="1718">
        <f>+'[3]Oct midyear Jefferson Chamber'!K22</f>
        <v>0</v>
      </c>
      <c r="J23" s="1718">
        <f>'[3]Feb midyear Jefferson Chamber'!K22</f>
        <v>0</v>
      </c>
      <c r="K23" s="1542">
        <f t="shared" si="31"/>
        <v>0</v>
      </c>
      <c r="L23" s="1520">
        <f t="shared" si="32"/>
        <v>0</v>
      </c>
      <c r="M23" s="928">
        <f t="shared" si="33"/>
        <v>0</v>
      </c>
      <c r="N23" s="873">
        <f t="shared" si="34"/>
        <v>0</v>
      </c>
      <c r="O23" s="872">
        <v>0</v>
      </c>
      <c r="P23" s="998">
        <f t="shared" si="35"/>
        <v>0</v>
      </c>
      <c r="Q23" s="1718">
        <f>+'[4]Table 5C1J-Jefferson Chamber'!M22*8</f>
        <v>0</v>
      </c>
      <c r="R23" s="1718">
        <f t="shared" si="36"/>
        <v>0</v>
      </c>
      <c r="S23" s="998">
        <f t="shared" si="37"/>
        <v>0</v>
      </c>
      <c r="T23" s="1802">
        <f>'Table 5C1A-Madison Prep'!T23</f>
        <v>12312</v>
      </c>
      <c r="U23" s="999">
        <f t="shared" si="38"/>
        <v>0</v>
      </c>
      <c r="V23" s="1754">
        <f>+'[3]Oct midyear Jefferson Chamber'!E22</f>
        <v>0</v>
      </c>
      <c r="W23" s="1755">
        <f t="shared" si="39"/>
        <v>0</v>
      </c>
      <c r="X23" s="1754">
        <f>'[3]Feb midyear Jefferson Chamber'!E22</f>
        <v>0</v>
      </c>
      <c r="Y23" s="1755">
        <f t="shared" si="40"/>
        <v>0</v>
      </c>
      <c r="Z23" s="1652">
        <f t="shared" si="41"/>
        <v>0</v>
      </c>
      <c r="AA23" s="1521">
        <f t="shared" si="42"/>
        <v>0</v>
      </c>
      <c r="AB23" s="936">
        <f t="shared" si="43"/>
        <v>0</v>
      </c>
      <c r="AC23" s="874">
        <f t="shared" si="44"/>
        <v>0</v>
      </c>
      <c r="AD23" s="1829">
        <v>0</v>
      </c>
      <c r="AE23" s="874">
        <f t="shared" si="45"/>
        <v>0</v>
      </c>
      <c r="AF23" s="1829">
        <f>+'[4]Table 5C1J-Jefferson Chamber'!T22*8</f>
        <v>0</v>
      </c>
      <c r="AG23" s="1829">
        <f t="shared" si="46"/>
        <v>0</v>
      </c>
      <c r="AH23" s="874">
        <f t="shared" si="47"/>
        <v>0</v>
      </c>
      <c r="AI23" s="875">
        <f t="shared" si="27"/>
        <v>0</v>
      </c>
      <c r="AJ23" s="875">
        <f t="shared" si="48"/>
        <v>0</v>
      </c>
      <c r="AL23" s="2034">
        <f>-'[4]Table 5C1J-Jefferson Chamber'!P22</f>
        <v>0</v>
      </c>
      <c r="AM23" s="2034">
        <f t="shared" si="49"/>
        <v>0</v>
      </c>
      <c r="AN23" s="2034">
        <f t="shared" si="50"/>
        <v>0</v>
      </c>
    </row>
    <row r="24" spans="1:40">
      <c r="A24" s="876">
        <v>17</v>
      </c>
      <c r="B24" s="877" t="s">
        <v>108</v>
      </c>
      <c r="C24" s="969">
        <v>0</v>
      </c>
      <c r="D24" s="878">
        <f>'Table 3 Levels 1&amp;2'!AL24</f>
        <v>3313.0666313017805</v>
      </c>
      <c r="E24" s="919">
        <f t="shared" si="28"/>
        <v>0</v>
      </c>
      <c r="F24" s="919">
        <f>'Table 4 Level 3'!P22</f>
        <v>801.47762416806802</v>
      </c>
      <c r="G24" s="919">
        <f t="shared" si="29"/>
        <v>0</v>
      </c>
      <c r="H24" s="898">
        <f t="shared" si="30"/>
        <v>0</v>
      </c>
      <c r="I24" s="1732">
        <f>+'[3]Oct midyear Jefferson Chamber'!K23</f>
        <v>0</v>
      </c>
      <c r="J24" s="1732">
        <f>'[3]Feb midyear Jefferson Chamber'!K23</f>
        <v>0</v>
      </c>
      <c r="K24" s="1543">
        <f t="shared" si="31"/>
        <v>0</v>
      </c>
      <c r="L24" s="1485">
        <f t="shared" si="32"/>
        <v>0</v>
      </c>
      <c r="M24" s="929">
        <f t="shared" si="33"/>
        <v>0</v>
      </c>
      <c r="N24" s="898">
        <f t="shared" si="34"/>
        <v>0</v>
      </c>
      <c r="O24" s="878">
        <v>0</v>
      </c>
      <c r="P24" s="1550">
        <f t="shared" si="35"/>
        <v>0</v>
      </c>
      <c r="Q24" s="1732">
        <f>+'[4]Table 5C1J-Jefferson Chamber'!M23*8</f>
        <v>0</v>
      </c>
      <c r="R24" s="1732">
        <f t="shared" si="36"/>
        <v>0</v>
      </c>
      <c r="S24" s="1550">
        <f t="shared" si="37"/>
        <v>0</v>
      </c>
      <c r="T24" s="1802">
        <f>'Table 5C1A-Madison Prep'!T24</f>
        <v>6866</v>
      </c>
      <c r="U24" s="1555">
        <f t="shared" si="38"/>
        <v>0</v>
      </c>
      <c r="V24" s="1758">
        <f>+'[3]Oct midyear Jefferson Chamber'!E23</f>
        <v>0</v>
      </c>
      <c r="W24" s="1759">
        <f t="shared" si="39"/>
        <v>0</v>
      </c>
      <c r="X24" s="1758">
        <f>'[3]Feb midyear Jefferson Chamber'!E23</f>
        <v>0</v>
      </c>
      <c r="Y24" s="1759">
        <f t="shared" si="40"/>
        <v>0</v>
      </c>
      <c r="Z24" s="1653">
        <f t="shared" si="41"/>
        <v>0</v>
      </c>
      <c r="AA24" s="1486">
        <f t="shared" si="42"/>
        <v>0</v>
      </c>
      <c r="AB24" s="937">
        <f t="shared" si="43"/>
        <v>0</v>
      </c>
      <c r="AC24" s="899">
        <f t="shared" si="44"/>
        <v>0</v>
      </c>
      <c r="AD24" s="1830">
        <v>0</v>
      </c>
      <c r="AE24" s="899">
        <f t="shared" si="45"/>
        <v>0</v>
      </c>
      <c r="AF24" s="1834">
        <f>+'[4]Table 5C1J-Jefferson Chamber'!T23*8</f>
        <v>0</v>
      </c>
      <c r="AG24" s="1834">
        <f t="shared" si="46"/>
        <v>0</v>
      </c>
      <c r="AH24" s="899">
        <f t="shared" si="47"/>
        <v>0</v>
      </c>
      <c r="AI24" s="900">
        <f t="shared" si="27"/>
        <v>0</v>
      </c>
      <c r="AJ24" s="900">
        <f t="shared" si="48"/>
        <v>0</v>
      </c>
      <c r="AL24" s="2034">
        <f>-'[4]Table 5C1J-Jefferson Chamber'!P23</f>
        <v>0</v>
      </c>
      <c r="AM24" s="2034">
        <f t="shared" si="49"/>
        <v>0</v>
      </c>
      <c r="AN24" s="2034">
        <f t="shared" si="50"/>
        <v>0</v>
      </c>
    </row>
    <row r="25" spans="1:40">
      <c r="A25" s="876">
        <v>18</v>
      </c>
      <c r="B25" s="877" t="s">
        <v>109</v>
      </c>
      <c r="C25" s="969">
        <v>0</v>
      </c>
      <c r="D25" s="878">
        <f>'Table 3 Levels 1&amp;2'!AL25</f>
        <v>5989.1351892854573</v>
      </c>
      <c r="E25" s="919">
        <f t="shared" si="28"/>
        <v>0</v>
      </c>
      <c r="F25" s="919">
        <f>'Table 4 Level 3'!P23</f>
        <v>845.94999999999993</v>
      </c>
      <c r="G25" s="919">
        <f t="shared" si="29"/>
        <v>0</v>
      </c>
      <c r="H25" s="898">
        <f t="shared" si="30"/>
        <v>0</v>
      </c>
      <c r="I25" s="1732">
        <f>+'[3]Oct midyear Jefferson Chamber'!K24</f>
        <v>0</v>
      </c>
      <c r="J25" s="1732">
        <f>'[3]Feb midyear Jefferson Chamber'!K24</f>
        <v>0</v>
      </c>
      <c r="K25" s="1543">
        <f t="shared" si="31"/>
        <v>0</v>
      </c>
      <c r="L25" s="1485">
        <f t="shared" si="32"/>
        <v>0</v>
      </c>
      <c r="M25" s="929">
        <f t="shared" si="33"/>
        <v>0</v>
      </c>
      <c r="N25" s="898">
        <f t="shared" si="34"/>
        <v>0</v>
      </c>
      <c r="O25" s="878">
        <v>0</v>
      </c>
      <c r="P25" s="1550">
        <f t="shared" si="35"/>
        <v>0</v>
      </c>
      <c r="Q25" s="1732">
        <f>+'[4]Table 5C1J-Jefferson Chamber'!M24*8</f>
        <v>0</v>
      </c>
      <c r="R25" s="1732">
        <f t="shared" si="36"/>
        <v>0</v>
      </c>
      <c r="S25" s="1550">
        <f t="shared" si="37"/>
        <v>0</v>
      </c>
      <c r="T25" s="1802">
        <f>'Table 5C1A-Madison Prep'!T25</f>
        <v>3071</v>
      </c>
      <c r="U25" s="1555">
        <f t="shared" si="38"/>
        <v>0</v>
      </c>
      <c r="V25" s="1758">
        <f>+'[3]Oct midyear Jefferson Chamber'!E24</f>
        <v>0</v>
      </c>
      <c r="W25" s="1759">
        <f t="shared" si="39"/>
        <v>0</v>
      </c>
      <c r="X25" s="1758">
        <f>'[3]Feb midyear Jefferson Chamber'!E24</f>
        <v>0</v>
      </c>
      <c r="Y25" s="1759">
        <f t="shared" si="40"/>
        <v>0</v>
      </c>
      <c r="Z25" s="1653">
        <f t="shared" si="41"/>
        <v>0</v>
      </c>
      <c r="AA25" s="1486">
        <f t="shared" si="42"/>
        <v>0</v>
      </c>
      <c r="AB25" s="937">
        <f t="shared" si="43"/>
        <v>0</v>
      </c>
      <c r="AC25" s="899">
        <f t="shared" si="44"/>
        <v>0</v>
      </c>
      <c r="AD25" s="1830">
        <v>0</v>
      </c>
      <c r="AE25" s="899">
        <f t="shared" si="45"/>
        <v>0</v>
      </c>
      <c r="AF25" s="1834">
        <f>+'[4]Table 5C1J-Jefferson Chamber'!T24*8</f>
        <v>0</v>
      </c>
      <c r="AG25" s="1834">
        <f t="shared" si="46"/>
        <v>0</v>
      </c>
      <c r="AH25" s="899">
        <f t="shared" si="47"/>
        <v>0</v>
      </c>
      <c r="AI25" s="900">
        <f t="shared" si="27"/>
        <v>0</v>
      </c>
      <c r="AJ25" s="900">
        <f t="shared" si="48"/>
        <v>0</v>
      </c>
      <c r="AL25" s="2034">
        <f>-'[4]Table 5C1J-Jefferson Chamber'!P24</f>
        <v>0</v>
      </c>
      <c r="AM25" s="2034">
        <f t="shared" si="49"/>
        <v>0</v>
      </c>
      <c r="AN25" s="2034">
        <f t="shared" si="50"/>
        <v>0</v>
      </c>
    </row>
    <row r="26" spans="1:40">
      <c r="A26" s="876">
        <v>19</v>
      </c>
      <c r="B26" s="877" t="s">
        <v>110</v>
      </c>
      <c r="C26" s="969">
        <v>0</v>
      </c>
      <c r="D26" s="878">
        <f>'Table 3 Levels 1&amp;2'!AL26</f>
        <v>5315.8913399708035</v>
      </c>
      <c r="E26" s="919">
        <f t="shared" si="28"/>
        <v>0</v>
      </c>
      <c r="F26" s="919">
        <f>'Table 4 Level 3'!P24</f>
        <v>905.43</v>
      </c>
      <c r="G26" s="919">
        <f t="shared" si="29"/>
        <v>0</v>
      </c>
      <c r="H26" s="898">
        <f t="shared" si="30"/>
        <v>0</v>
      </c>
      <c r="I26" s="1732">
        <f>+'[3]Oct midyear Jefferson Chamber'!K25</f>
        <v>0</v>
      </c>
      <c r="J26" s="1732">
        <f>'[3]Feb midyear Jefferson Chamber'!K25</f>
        <v>0</v>
      </c>
      <c r="K26" s="1543">
        <f t="shared" si="31"/>
        <v>0</v>
      </c>
      <c r="L26" s="1485">
        <f t="shared" si="32"/>
        <v>0</v>
      </c>
      <c r="M26" s="929">
        <f t="shared" si="33"/>
        <v>0</v>
      </c>
      <c r="N26" s="898">
        <f t="shared" si="34"/>
        <v>0</v>
      </c>
      <c r="O26" s="878">
        <v>0</v>
      </c>
      <c r="P26" s="1550">
        <f t="shared" si="35"/>
        <v>0</v>
      </c>
      <c r="Q26" s="1732">
        <f>+'[4]Table 5C1J-Jefferson Chamber'!M25*8</f>
        <v>0</v>
      </c>
      <c r="R26" s="1732">
        <f t="shared" si="36"/>
        <v>0</v>
      </c>
      <c r="S26" s="1550">
        <f t="shared" si="37"/>
        <v>0</v>
      </c>
      <c r="T26" s="1802">
        <f>'Table 5C1A-Madison Prep'!T26</f>
        <v>2566</v>
      </c>
      <c r="U26" s="1555">
        <f t="shared" si="38"/>
        <v>0</v>
      </c>
      <c r="V26" s="1758">
        <f>+'[3]Oct midyear Jefferson Chamber'!E25</f>
        <v>0</v>
      </c>
      <c r="W26" s="1759">
        <f t="shared" si="39"/>
        <v>0</v>
      </c>
      <c r="X26" s="1758">
        <f>'[3]Feb midyear Jefferson Chamber'!E25</f>
        <v>0</v>
      </c>
      <c r="Y26" s="1759">
        <f t="shared" si="40"/>
        <v>0</v>
      </c>
      <c r="Z26" s="1653">
        <f t="shared" si="41"/>
        <v>0</v>
      </c>
      <c r="AA26" s="1486">
        <f t="shared" si="42"/>
        <v>0</v>
      </c>
      <c r="AB26" s="937">
        <f t="shared" si="43"/>
        <v>0</v>
      </c>
      <c r="AC26" s="899">
        <f t="shared" si="44"/>
        <v>0</v>
      </c>
      <c r="AD26" s="1830">
        <v>0</v>
      </c>
      <c r="AE26" s="899">
        <f t="shared" si="45"/>
        <v>0</v>
      </c>
      <c r="AF26" s="1834">
        <f>+'[4]Table 5C1J-Jefferson Chamber'!T25*8</f>
        <v>0</v>
      </c>
      <c r="AG26" s="1834">
        <f t="shared" si="46"/>
        <v>0</v>
      </c>
      <c r="AH26" s="899">
        <f t="shared" si="47"/>
        <v>0</v>
      </c>
      <c r="AI26" s="900">
        <f t="shared" si="27"/>
        <v>0</v>
      </c>
      <c r="AJ26" s="900">
        <f t="shared" si="48"/>
        <v>0</v>
      </c>
      <c r="AL26" s="2034">
        <f>-'[4]Table 5C1J-Jefferson Chamber'!P25</f>
        <v>0</v>
      </c>
      <c r="AM26" s="2034">
        <f t="shared" si="49"/>
        <v>0</v>
      </c>
      <c r="AN26" s="2034">
        <f t="shared" si="50"/>
        <v>0</v>
      </c>
    </row>
    <row r="27" spans="1:40">
      <c r="A27" s="879">
        <v>20</v>
      </c>
      <c r="B27" s="880" t="s">
        <v>111</v>
      </c>
      <c r="C27" s="970">
        <v>0</v>
      </c>
      <c r="D27" s="881">
        <f>'Table 3 Levels 1&amp;2'!AL27</f>
        <v>5420.2042919205833</v>
      </c>
      <c r="E27" s="920">
        <f t="shared" si="28"/>
        <v>0</v>
      </c>
      <c r="F27" s="920">
        <f>'Table 4 Level 3'!P25</f>
        <v>586.16999999999996</v>
      </c>
      <c r="G27" s="920">
        <f t="shared" si="29"/>
        <v>0</v>
      </c>
      <c r="H27" s="901">
        <f t="shared" si="30"/>
        <v>0</v>
      </c>
      <c r="I27" s="1733">
        <f>+'[3]Oct midyear Jefferson Chamber'!K26</f>
        <v>0</v>
      </c>
      <c r="J27" s="1733">
        <f>'[3]Feb midyear Jefferson Chamber'!K26</f>
        <v>0</v>
      </c>
      <c r="K27" s="1544">
        <f t="shared" si="31"/>
        <v>0</v>
      </c>
      <c r="L27" s="1487">
        <f t="shared" si="32"/>
        <v>0</v>
      </c>
      <c r="M27" s="930">
        <f t="shared" si="33"/>
        <v>0</v>
      </c>
      <c r="N27" s="901">
        <f t="shared" si="34"/>
        <v>0</v>
      </c>
      <c r="O27" s="881">
        <v>0</v>
      </c>
      <c r="P27" s="1551">
        <f t="shared" si="35"/>
        <v>0</v>
      </c>
      <c r="Q27" s="1733">
        <f>+'[4]Table 5C1J-Jefferson Chamber'!M26*8</f>
        <v>0</v>
      </c>
      <c r="R27" s="1733">
        <f t="shared" si="36"/>
        <v>0</v>
      </c>
      <c r="S27" s="1551">
        <f t="shared" si="37"/>
        <v>0</v>
      </c>
      <c r="T27" s="1807">
        <f>'Table 5C1A-Madison Prep'!T27</f>
        <v>2621</v>
      </c>
      <c r="U27" s="1556">
        <f t="shared" si="38"/>
        <v>0</v>
      </c>
      <c r="V27" s="1762">
        <f>+'[3]Oct midyear Jefferson Chamber'!E26</f>
        <v>0</v>
      </c>
      <c r="W27" s="1763">
        <f t="shared" si="39"/>
        <v>0</v>
      </c>
      <c r="X27" s="1762">
        <f>'[3]Feb midyear Jefferson Chamber'!E26</f>
        <v>0</v>
      </c>
      <c r="Y27" s="1763">
        <f t="shared" si="40"/>
        <v>0</v>
      </c>
      <c r="Z27" s="1654">
        <f t="shared" si="41"/>
        <v>0</v>
      </c>
      <c r="AA27" s="1488">
        <f t="shared" si="42"/>
        <v>0</v>
      </c>
      <c r="AB27" s="938">
        <f t="shared" si="43"/>
        <v>0</v>
      </c>
      <c r="AC27" s="903">
        <f t="shared" si="44"/>
        <v>0</v>
      </c>
      <c r="AD27" s="1831">
        <v>0</v>
      </c>
      <c r="AE27" s="903">
        <f t="shared" si="45"/>
        <v>0</v>
      </c>
      <c r="AF27" s="1835">
        <f>+'[4]Table 5C1J-Jefferson Chamber'!T26*8</f>
        <v>0</v>
      </c>
      <c r="AG27" s="1835">
        <f t="shared" si="46"/>
        <v>0</v>
      </c>
      <c r="AH27" s="903">
        <f t="shared" si="47"/>
        <v>0</v>
      </c>
      <c r="AI27" s="904">
        <f t="shared" si="27"/>
        <v>0</v>
      </c>
      <c r="AJ27" s="904">
        <f t="shared" si="48"/>
        <v>0</v>
      </c>
      <c r="AL27" s="2034">
        <f>-'[4]Table 5C1J-Jefferson Chamber'!P26</f>
        <v>0</v>
      </c>
      <c r="AM27" s="2034">
        <f t="shared" si="49"/>
        <v>0</v>
      </c>
      <c r="AN27" s="2034">
        <f t="shared" si="50"/>
        <v>0</v>
      </c>
    </row>
    <row r="28" spans="1:40">
      <c r="A28" s="870">
        <v>21</v>
      </c>
      <c r="B28" s="871" t="s">
        <v>112</v>
      </c>
      <c r="C28" s="971">
        <v>0</v>
      </c>
      <c r="D28" s="872">
        <f>'Table 3 Levels 1&amp;2'!AL28</f>
        <v>5724.5404916279067</v>
      </c>
      <c r="E28" s="918">
        <f t="shared" si="28"/>
        <v>0</v>
      </c>
      <c r="F28" s="918">
        <f>'Table 4 Level 3'!P26</f>
        <v>610.35</v>
      </c>
      <c r="G28" s="918">
        <f t="shared" si="29"/>
        <v>0</v>
      </c>
      <c r="H28" s="873">
        <f t="shared" si="30"/>
        <v>0</v>
      </c>
      <c r="I28" s="1718">
        <f>+'[3]Oct midyear Jefferson Chamber'!K27</f>
        <v>0</v>
      </c>
      <c r="J28" s="1718">
        <f>'[3]Feb midyear Jefferson Chamber'!K27</f>
        <v>0</v>
      </c>
      <c r="K28" s="1542">
        <f t="shared" si="31"/>
        <v>0</v>
      </c>
      <c r="L28" s="1520">
        <f t="shared" si="32"/>
        <v>0</v>
      </c>
      <c r="M28" s="928">
        <f t="shared" si="33"/>
        <v>0</v>
      </c>
      <c r="N28" s="873">
        <f t="shared" si="34"/>
        <v>0</v>
      </c>
      <c r="O28" s="872">
        <v>0</v>
      </c>
      <c r="P28" s="998">
        <f t="shared" si="35"/>
        <v>0</v>
      </c>
      <c r="Q28" s="1718">
        <f>+'[4]Table 5C1J-Jefferson Chamber'!M27*8</f>
        <v>0</v>
      </c>
      <c r="R28" s="1718">
        <f t="shared" si="36"/>
        <v>0</v>
      </c>
      <c r="S28" s="998">
        <f t="shared" si="37"/>
        <v>0</v>
      </c>
      <c r="T28" s="1802">
        <f>'Table 5C1A-Madison Prep'!T28</f>
        <v>2445</v>
      </c>
      <c r="U28" s="999">
        <f t="shared" si="38"/>
        <v>0</v>
      </c>
      <c r="V28" s="1754">
        <f>+'[3]Oct midyear Jefferson Chamber'!E27</f>
        <v>0</v>
      </c>
      <c r="W28" s="1755">
        <f t="shared" si="39"/>
        <v>0</v>
      </c>
      <c r="X28" s="1754">
        <f>'[3]Feb midyear Jefferson Chamber'!E27</f>
        <v>0</v>
      </c>
      <c r="Y28" s="1755">
        <f t="shared" si="40"/>
        <v>0</v>
      </c>
      <c r="Z28" s="1652">
        <f t="shared" si="41"/>
        <v>0</v>
      </c>
      <c r="AA28" s="1521">
        <f t="shared" si="42"/>
        <v>0</v>
      </c>
      <c r="AB28" s="936">
        <f t="shared" si="43"/>
        <v>0</v>
      </c>
      <c r="AC28" s="874">
        <f t="shared" si="44"/>
        <v>0</v>
      </c>
      <c r="AD28" s="1829">
        <v>0</v>
      </c>
      <c r="AE28" s="874">
        <f t="shared" si="45"/>
        <v>0</v>
      </c>
      <c r="AF28" s="1829">
        <f>+'[4]Table 5C1J-Jefferson Chamber'!T27*8</f>
        <v>0</v>
      </c>
      <c r="AG28" s="1829">
        <f t="shared" si="46"/>
        <v>0</v>
      </c>
      <c r="AH28" s="874">
        <f t="shared" si="47"/>
        <v>0</v>
      </c>
      <c r="AI28" s="875">
        <f t="shared" si="27"/>
        <v>0</v>
      </c>
      <c r="AJ28" s="875">
        <f t="shared" si="48"/>
        <v>0</v>
      </c>
      <c r="AL28" s="2034">
        <f>-'[4]Table 5C1J-Jefferson Chamber'!P27</f>
        <v>0</v>
      </c>
      <c r="AM28" s="2034">
        <f t="shared" si="49"/>
        <v>0</v>
      </c>
      <c r="AN28" s="2034">
        <f t="shared" si="50"/>
        <v>0</v>
      </c>
    </row>
    <row r="29" spans="1:40">
      <c r="A29" s="876">
        <v>22</v>
      </c>
      <c r="B29" s="877" t="s">
        <v>113</v>
      </c>
      <c r="C29" s="969">
        <v>0</v>
      </c>
      <c r="D29" s="878">
        <f>'Table 3 Levels 1&amp;2'!AL29</f>
        <v>6203.2933768722742</v>
      </c>
      <c r="E29" s="919">
        <f t="shared" si="28"/>
        <v>0</v>
      </c>
      <c r="F29" s="919">
        <f>'Table 4 Level 3'!P27</f>
        <v>496.36</v>
      </c>
      <c r="G29" s="919">
        <f t="shared" si="29"/>
        <v>0</v>
      </c>
      <c r="H29" s="898">
        <f t="shared" si="30"/>
        <v>0</v>
      </c>
      <c r="I29" s="1732">
        <f>+'[3]Oct midyear Jefferson Chamber'!K28</f>
        <v>0</v>
      </c>
      <c r="J29" s="1732">
        <f>'[3]Feb midyear Jefferson Chamber'!K28</f>
        <v>0</v>
      </c>
      <c r="K29" s="1543">
        <f t="shared" si="31"/>
        <v>0</v>
      </c>
      <c r="L29" s="1485">
        <f t="shared" si="32"/>
        <v>0</v>
      </c>
      <c r="M29" s="929">
        <f t="shared" si="33"/>
        <v>0</v>
      </c>
      <c r="N29" s="898">
        <f t="shared" si="34"/>
        <v>0</v>
      </c>
      <c r="O29" s="878">
        <v>0</v>
      </c>
      <c r="P29" s="1550">
        <f t="shared" si="35"/>
        <v>0</v>
      </c>
      <c r="Q29" s="1732">
        <f>+'[4]Table 5C1J-Jefferson Chamber'!M28*8</f>
        <v>0</v>
      </c>
      <c r="R29" s="1732">
        <f t="shared" si="36"/>
        <v>0</v>
      </c>
      <c r="S29" s="1550">
        <f t="shared" si="37"/>
        <v>0</v>
      </c>
      <c r="T29" s="1802">
        <f>'Table 5C1A-Madison Prep'!T29</f>
        <v>1519</v>
      </c>
      <c r="U29" s="1555">
        <f t="shared" si="38"/>
        <v>0</v>
      </c>
      <c r="V29" s="1758">
        <f>+'[3]Oct midyear Jefferson Chamber'!E28</f>
        <v>0</v>
      </c>
      <c r="W29" s="1759">
        <f t="shared" si="39"/>
        <v>0</v>
      </c>
      <c r="X29" s="1758">
        <f>'[3]Feb midyear Jefferson Chamber'!E28</f>
        <v>0</v>
      </c>
      <c r="Y29" s="1759">
        <f t="shared" si="40"/>
        <v>0</v>
      </c>
      <c r="Z29" s="1653">
        <f t="shared" si="41"/>
        <v>0</v>
      </c>
      <c r="AA29" s="1486">
        <f t="shared" si="42"/>
        <v>0</v>
      </c>
      <c r="AB29" s="937">
        <f t="shared" si="43"/>
        <v>0</v>
      </c>
      <c r="AC29" s="899">
        <f t="shared" si="44"/>
        <v>0</v>
      </c>
      <c r="AD29" s="1830">
        <v>0</v>
      </c>
      <c r="AE29" s="899">
        <f t="shared" si="45"/>
        <v>0</v>
      </c>
      <c r="AF29" s="1834">
        <f>+'[4]Table 5C1J-Jefferson Chamber'!T28*8</f>
        <v>0</v>
      </c>
      <c r="AG29" s="1834">
        <f t="shared" si="46"/>
        <v>0</v>
      </c>
      <c r="AH29" s="899">
        <f t="shared" si="47"/>
        <v>0</v>
      </c>
      <c r="AI29" s="900">
        <f t="shared" si="27"/>
        <v>0</v>
      </c>
      <c r="AJ29" s="900">
        <f t="shared" si="48"/>
        <v>0</v>
      </c>
      <c r="AL29" s="2034">
        <f>-'[4]Table 5C1J-Jefferson Chamber'!P28</f>
        <v>0</v>
      </c>
      <c r="AM29" s="2034">
        <f t="shared" si="49"/>
        <v>0</v>
      </c>
      <c r="AN29" s="2034">
        <f t="shared" si="50"/>
        <v>0</v>
      </c>
    </row>
    <row r="30" spans="1:40">
      <c r="A30" s="876">
        <v>23</v>
      </c>
      <c r="B30" s="877" t="s">
        <v>114</v>
      </c>
      <c r="C30" s="969">
        <v>0</v>
      </c>
      <c r="D30" s="878">
        <f>'Table 3 Levels 1&amp;2'!AL30</f>
        <v>4846.0802490067681</v>
      </c>
      <c r="E30" s="919">
        <f t="shared" si="28"/>
        <v>0</v>
      </c>
      <c r="F30" s="919">
        <f>'Table 4 Level 3'!P28</f>
        <v>688.58</v>
      </c>
      <c r="G30" s="919">
        <f t="shared" si="29"/>
        <v>0</v>
      </c>
      <c r="H30" s="898">
        <f t="shared" si="30"/>
        <v>0</v>
      </c>
      <c r="I30" s="1732">
        <f>+'[3]Oct midyear Jefferson Chamber'!K29</f>
        <v>0</v>
      </c>
      <c r="J30" s="1732">
        <f>'[3]Feb midyear Jefferson Chamber'!K29</f>
        <v>0</v>
      </c>
      <c r="K30" s="1543">
        <f t="shared" si="31"/>
        <v>0</v>
      </c>
      <c r="L30" s="1485">
        <f t="shared" si="32"/>
        <v>0</v>
      </c>
      <c r="M30" s="929">
        <f t="shared" si="33"/>
        <v>0</v>
      </c>
      <c r="N30" s="898">
        <f t="shared" si="34"/>
        <v>0</v>
      </c>
      <c r="O30" s="878">
        <v>0</v>
      </c>
      <c r="P30" s="1550">
        <f t="shared" si="35"/>
        <v>0</v>
      </c>
      <c r="Q30" s="1732">
        <f>+'[4]Table 5C1J-Jefferson Chamber'!M29*8</f>
        <v>0</v>
      </c>
      <c r="R30" s="1732">
        <f t="shared" si="36"/>
        <v>0</v>
      </c>
      <c r="S30" s="1550">
        <f t="shared" si="37"/>
        <v>0</v>
      </c>
      <c r="T30" s="1802">
        <f>'Table 5C1A-Madison Prep'!T30</f>
        <v>3365</v>
      </c>
      <c r="U30" s="1555">
        <f t="shared" si="38"/>
        <v>0</v>
      </c>
      <c r="V30" s="1758">
        <f>+'[3]Oct midyear Jefferson Chamber'!E29</f>
        <v>0</v>
      </c>
      <c r="W30" s="1759">
        <f t="shared" si="39"/>
        <v>0</v>
      </c>
      <c r="X30" s="1758">
        <f>'[3]Feb midyear Jefferson Chamber'!E29</f>
        <v>0</v>
      </c>
      <c r="Y30" s="1759">
        <f t="shared" si="40"/>
        <v>0</v>
      </c>
      <c r="Z30" s="1653">
        <f t="shared" si="41"/>
        <v>0</v>
      </c>
      <c r="AA30" s="1486">
        <f t="shared" si="42"/>
        <v>0</v>
      </c>
      <c r="AB30" s="937">
        <f t="shared" si="43"/>
        <v>0</v>
      </c>
      <c r="AC30" s="899">
        <f t="shared" si="44"/>
        <v>0</v>
      </c>
      <c r="AD30" s="1830">
        <v>0</v>
      </c>
      <c r="AE30" s="899">
        <f t="shared" si="45"/>
        <v>0</v>
      </c>
      <c r="AF30" s="1834">
        <f>+'[4]Table 5C1J-Jefferson Chamber'!T29*8</f>
        <v>0</v>
      </c>
      <c r="AG30" s="1834">
        <f t="shared" si="46"/>
        <v>0</v>
      </c>
      <c r="AH30" s="899">
        <f t="shared" si="47"/>
        <v>0</v>
      </c>
      <c r="AI30" s="900">
        <f t="shared" si="27"/>
        <v>0</v>
      </c>
      <c r="AJ30" s="900">
        <f t="shared" si="48"/>
        <v>0</v>
      </c>
      <c r="AL30" s="2034">
        <f>-'[4]Table 5C1J-Jefferson Chamber'!P29</f>
        <v>0</v>
      </c>
      <c r="AM30" s="2034">
        <f t="shared" si="49"/>
        <v>0</v>
      </c>
      <c r="AN30" s="2034">
        <f t="shared" si="50"/>
        <v>0</v>
      </c>
    </row>
    <row r="31" spans="1:40">
      <c r="A31" s="876">
        <v>24</v>
      </c>
      <c r="B31" s="877" t="s">
        <v>115</v>
      </c>
      <c r="C31" s="969">
        <v>0</v>
      </c>
      <c r="D31" s="878">
        <f>'Table 3 Levels 1&amp;2'!AL31</f>
        <v>2764.1216755319151</v>
      </c>
      <c r="E31" s="919">
        <f t="shared" si="28"/>
        <v>0</v>
      </c>
      <c r="F31" s="919">
        <f>'Table 4 Level 3'!P29</f>
        <v>854.24999999999989</v>
      </c>
      <c r="G31" s="919">
        <f t="shared" si="29"/>
        <v>0</v>
      </c>
      <c r="H31" s="898">
        <f t="shared" si="30"/>
        <v>0</v>
      </c>
      <c r="I31" s="1732">
        <f>+'[3]Oct midyear Jefferson Chamber'!K30</f>
        <v>0</v>
      </c>
      <c r="J31" s="1732">
        <f>'[3]Feb midyear Jefferson Chamber'!K30</f>
        <v>0</v>
      </c>
      <c r="K31" s="1543">
        <f t="shared" si="31"/>
        <v>0</v>
      </c>
      <c r="L31" s="1485">
        <f t="shared" si="32"/>
        <v>0</v>
      </c>
      <c r="M31" s="929">
        <f t="shared" si="33"/>
        <v>0</v>
      </c>
      <c r="N31" s="898">
        <f t="shared" si="34"/>
        <v>0</v>
      </c>
      <c r="O31" s="878">
        <v>0</v>
      </c>
      <c r="P31" s="1550">
        <f t="shared" si="35"/>
        <v>0</v>
      </c>
      <c r="Q31" s="1732">
        <f>+'[4]Table 5C1J-Jefferson Chamber'!M30*8</f>
        <v>0</v>
      </c>
      <c r="R31" s="1732">
        <f t="shared" si="36"/>
        <v>0</v>
      </c>
      <c r="S31" s="1550">
        <f t="shared" si="37"/>
        <v>0</v>
      </c>
      <c r="T31" s="1802">
        <f>'Table 5C1A-Madison Prep'!T31</f>
        <v>10907</v>
      </c>
      <c r="U31" s="1555">
        <f t="shared" si="38"/>
        <v>0</v>
      </c>
      <c r="V31" s="1758">
        <f>+'[3]Oct midyear Jefferson Chamber'!E30</f>
        <v>0</v>
      </c>
      <c r="W31" s="1759">
        <f t="shared" si="39"/>
        <v>0</v>
      </c>
      <c r="X31" s="1758">
        <f>'[3]Feb midyear Jefferson Chamber'!E30</f>
        <v>0</v>
      </c>
      <c r="Y31" s="1759">
        <f t="shared" si="40"/>
        <v>0</v>
      </c>
      <c r="Z31" s="1653">
        <f t="shared" si="41"/>
        <v>0</v>
      </c>
      <c r="AA31" s="1486">
        <f t="shared" si="42"/>
        <v>0</v>
      </c>
      <c r="AB31" s="937">
        <f t="shared" si="43"/>
        <v>0</v>
      </c>
      <c r="AC31" s="899">
        <f t="shared" si="44"/>
        <v>0</v>
      </c>
      <c r="AD31" s="1830">
        <v>0</v>
      </c>
      <c r="AE31" s="899">
        <f t="shared" si="45"/>
        <v>0</v>
      </c>
      <c r="AF31" s="1834">
        <f>+'[4]Table 5C1J-Jefferson Chamber'!T30*8</f>
        <v>0</v>
      </c>
      <c r="AG31" s="1834">
        <f t="shared" si="46"/>
        <v>0</v>
      </c>
      <c r="AH31" s="899">
        <f t="shared" si="47"/>
        <v>0</v>
      </c>
      <c r="AI31" s="900">
        <f t="shared" si="27"/>
        <v>0</v>
      </c>
      <c r="AJ31" s="900">
        <f t="shared" si="48"/>
        <v>0</v>
      </c>
      <c r="AL31" s="2034">
        <f>-'[4]Table 5C1J-Jefferson Chamber'!P30</f>
        <v>0</v>
      </c>
      <c r="AM31" s="2034">
        <f t="shared" si="49"/>
        <v>0</v>
      </c>
      <c r="AN31" s="2034">
        <f t="shared" si="50"/>
        <v>0</v>
      </c>
    </row>
    <row r="32" spans="1:40">
      <c r="A32" s="879">
        <v>25</v>
      </c>
      <c r="B32" s="880" t="s">
        <v>116</v>
      </c>
      <c r="C32" s="970">
        <v>0</v>
      </c>
      <c r="D32" s="881">
        <f>'Table 3 Levels 1&amp;2'!AL32</f>
        <v>3867.4480692053257</v>
      </c>
      <c r="E32" s="920">
        <f t="shared" si="28"/>
        <v>0</v>
      </c>
      <c r="F32" s="920">
        <f>'Table 4 Level 3'!P30</f>
        <v>653.73</v>
      </c>
      <c r="G32" s="920">
        <f t="shared" si="29"/>
        <v>0</v>
      </c>
      <c r="H32" s="901">
        <f t="shared" si="30"/>
        <v>0</v>
      </c>
      <c r="I32" s="1733">
        <f>+'[3]Oct midyear Jefferson Chamber'!K31</f>
        <v>0</v>
      </c>
      <c r="J32" s="1733">
        <f>'[3]Feb midyear Jefferson Chamber'!K31</f>
        <v>0</v>
      </c>
      <c r="K32" s="1544">
        <f t="shared" si="31"/>
        <v>0</v>
      </c>
      <c r="L32" s="1487">
        <f t="shared" si="32"/>
        <v>0</v>
      </c>
      <c r="M32" s="930">
        <f t="shared" si="33"/>
        <v>0</v>
      </c>
      <c r="N32" s="901">
        <f t="shared" si="34"/>
        <v>0</v>
      </c>
      <c r="O32" s="881">
        <v>0</v>
      </c>
      <c r="P32" s="1551">
        <f t="shared" si="35"/>
        <v>0</v>
      </c>
      <c r="Q32" s="1733">
        <f>+'[4]Table 5C1J-Jefferson Chamber'!M31*8</f>
        <v>0</v>
      </c>
      <c r="R32" s="1733">
        <f t="shared" si="36"/>
        <v>0</v>
      </c>
      <c r="S32" s="1551">
        <f t="shared" si="37"/>
        <v>0</v>
      </c>
      <c r="T32" s="1807">
        <f>'Table 5C1A-Madison Prep'!T32</f>
        <v>5156</v>
      </c>
      <c r="U32" s="1556">
        <f t="shared" si="38"/>
        <v>0</v>
      </c>
      <c r="V32" s="1762">
        <f>+'[3]Oct midyear Jefferson Chamber'!E31</f>
        <v>0</v>
      </c>
      <c r="W32" s="1763">
        <f t="shared" si="39"/>
        <v>0</v>
      </c>
      <c r="X32" s="1762">
        <f>'[3]Feb midyear Jefferson Chamber'!E31</f>
        <v>0</v>
      </c>
      <c r="Y32" s="1763">
        <f t="shared" si="40"/>
        <v>0</v>
      </c>
      <c r="Z32" s="1654">
        <f t="shared" si="41"/>
        <v>0</v>
      </c>
      <c r="AA32" s="1488">
        <f t="shared" si="42"/>
        <v>0</v>
      </c>
      <c r="AB32" s="938">
        <f t="shared" si="43"/>
        <v>0</v>
      </c>
      <c r="AC32" s="903">
        <f t="shared" si="44"/>
        <v>0</v>
      </c>
      <c r="AD32" s="1831">
        <v>0</v>
      </c>
      <c r="AE32" s="903">
        <f t="shared" si="45"/>
        <v>0</v>
      </c>
      <c r="AF32" s="1835">
        <f>+'[4]Table 5C1J-Jefferson Chamber'!T31*8</f>
        <v>0</v>
      </c>
      <c r="AG32" s="1835">
        <f t="shared" si="46"/>
        <v>0</v>
      </c>
      <c r="AH32" s="903">
        <f t="shared" si="47"/>
        <v>0</v>
      </c>
      <c r="AI32" s="904">
        <f t="shared" si="27"/>
        <v>0</v>
      </c>
      <c r="AJ32" s="904">
        <f t="shared" si="48"/>
        <v>0</v>
      </c>
      <c r="AL32" s="2034">
        <f>-'[4]Table 5C1J-Jefferson Chamber'!P31</f>
        <v>0</v>
      </c>
      <c r="AM32" s="2034">
        <f t="shared" si="49"/>
        <v>0</v>
      </c>
      <c r="AN32" s="2034">
        <f t="shared" si="50"/>
        <v>0</v>
      </c>
    </row>
    <row r="33" spans="1:40">
      <c r="A33" s="870">
        <v>26</v>
      </c>
      <c r="B33" s="871" t="s">
        <v>117</v>
      </c>
      <c r="C33" s="971">
        <v>90</v>
      </c>
      <c r="D33" s="872">
        <f>'Table 3 Levels 1&amp;2'!AL33</f>
        <v>3293.481526790355</v>
      </c>
      <c r="E33" s="918">
        <f t="shared" si="28"/>
        <v>296413.33741113194</v>
      </c>
      <c r="F33" s="918">
        <f>'Table 4 Level 3'!P31</f>
        <v>836.83</v>
      </c>
      <c r="G33" s="918">
        <f t="shared" si="29"/>
        <v>75314.7</v>
      </c>
      <c r="H33" s="873">
        <f t="shared" si="30"/>
        <v>371728.03741113195</v>
      </c>
      <c r="I33" s="1718">
        <f>+'[3]Oct midyear Jefferson Chamber'!K32</f>
        <v>-20651.557633951776</v>
      </c>
      <c r="J33" s="1718">
        <f>'[3]Feb midyear Jefferson Chamber'!K32</f>
        <v>12390.934580371064</v>
      </c>
      <c r="K33" s="1542">
        <f t="shared" si="31"/>
        <v>-8260.6230535807117</v>
      </c>
      <c r="L33" s="1520">
        <f t="shared" si="32"/>
        <v>363467.41435755126</v>
      </c>
      <c r="M33" s="928">
        <f t="shared" si="33"/>
        <v>-908.66853589387813</v>
      </c>
      <c r="N33" s="873">
        <f t="shared" si="34"/>
        <v>362558.74582165736</v>
      </c>
      <c r="O33" s="872">
        <v>0</v>
      </c>
      <c r="P33" s="998">
        <f t="shared" si="35"/>
        <v>362558.74582165736</v>
      </c>
      <c r="Q33" s="1718">
        <f>+'[4]Table 5C1J-Jefferson Chamber'!M32*8</f>
        <v>247199.14487840273</v>
      </c>
      <c r="R33" s="1718">
        <f t="shared" si="36"/>
        <v>115359.60094325463</v>
      </c>
      <c r="S33" s="998">
        <f t="shared" si="37"/>
        <v>28840</v>
      </c>
      <c r="T33" s="1802">
        <f>'Table 5C1A-Madison Prep'!T33</f>
        <v>5344</v>
      </c>
      <c r="U33" s="999">
        <f t="shared" si="38"/>
        <v>480960</v>
      </c>
      <c r="V33" s="1754">
        <f>+'[3]Oct midyear Jefferson Chamber'!E32</f>
        <v>-5</v>
      </c>
      <c r="W33" s="1755">
        <f t="shared" si="39"/>
        <v>-26720</v>
      </c>
      <c r="X33" s="1754">
        <f>'[3]Feb midyear Jefferson Chamber'!E32</f>
        <v>6</v>
      </c>
      <c r="Y33" s="1755">
        <f t="shared" si="40"/>
        <v>16032</v>
      </c>
      <c r="Z33" s="1652">
        <f t="shared" si="41"/>
        <v>-10688</v>
      </c>
      <c r="AA33" s="1521">
        <f t="shared" si="42"/>
        <v>470272</v>
      </c>
      <c r="AB33" s="936">
        <f t="shared" si="43"/>
        <v>-1175.68</v>
      </c>
      <c r="AC33" s="874">
        <f t="shared" si="44"/>
        <v>469096.32</v>
      </c>
      <c r="AD33" s="1829">
        <v>0</v>
      </c>
      <c r="AE33" s="874">
        <f t="shared" si="45"/>
        <v>469096.32</v>
      </c>
      <c r="AF33" s="1829">
        <f>+'[4]Table 5C1J-Jefferson Chamber'!T32*8</f>
        <v>317205</v>
      </c>
      <c r="AG33" s="1829">
        <f t="shared" si="46"/>
        <v>151891.32</v>
      </c>
      <c r="AH33" s="874">
        <f t="shared" si="47"/>
        <v>37973</v>
      </c>
      <c r="AI33" s="875">
        <f t="shared" si="27"/>
        <v>831655.06582165742</v>
      </c>
      <c r="AJ33" s="875">
        <f t="shared" si="48"/>
        <v>66813</v>
      </c>
      <c r="AL33" s="2034">
        <f>-'[4]Table 5C1J-Jefferson Chamber'!P32</f>
        <v>1192.5</v>
      </c>
      <c r="AM33" s="2034">
        <f t="shared" si="49"/>
        <v>-1175.68</v>
      </c>
      <c r="AN33" s="2034">
        <f t="shared" si="50"/>
        <v>16.819999999999936</v>
      </c>
    </row>
    <row r="34" spans="1:40">
      <c r="A34" s="876">
        <v>27</v>
      </c>
      <c r="B34" s="877" t="s">
        <v>118</v>
      </c>
      <c r="C34" s="972">
        <v>0</v>
      </c>
      <c r="D34" s="882">
        <f>'Table 3 Levels 1&amp;2'!AL34</f>
        <v>5680.7727517381973</v>
      </c>
      <c r="E34" s="921">
        <f t="shared" si="28"/>
        <v>0</v>
      </c>
      <c r="F34" s="921">
        <f>'Table 4 Level 3'!P32</f>
        <v>693.06</v>
      </c>
      <c r="G34" s="921">
        <f t="shared" si="29"/>
        <v>0</v>
      </c>
      <c r="H34" s="905">
        <f t="shared" si="30"/>
        <v>0</v>
      </c>
      <c r="I34" s="1734">
        <f>+'[3]Oct midyear Jefferson Chamber'!K33</f>
        <v>0</v>
      </c>
      <c r="J34" s="1734">
        <f>'[3]Feb midyear Jefferson Chamber'!K33</f>
        <v>0</v>
      </c>
      <c r="K34" s="1545">
        <f t="shared" si="31"/>
        <v>0</v>
      </c>
      <c r="L34" s="1489">
        <f t="shared" si="32"/>
        <v>0</v>
      </c>
      <c r="M34" s="931">
        <f t="shared" si="33"/>
        <v>0</v>
      </c>
      <c r="N34" s="905">
        <f t="shared" si="34"/>
        <v>0</v>
      </c>
      <c r="O34" s="882">
        <v>0</v>
      </c>
      <c r="P34" s="1552">
        <f t="shared" si="35"/>
        <v>0</v>
      </c>
      <c r="Q34" s="1734">
        <f>+'[4]Table 5C1J-Jefferson Chamber'!M33*8</f>
        <v>0</v>
      </c>
      <c r="R34" s="1734">
        <f t="shared" si="36"/>
        <v>0</v>
      </c>
      <c r="S34" s="1552">
        <f t="shared" si="37"/>
        <v>0</v>
      </c>
      <c r="T34" s="1802">
        <f>'Table 5C1A-Madison Prep'!T34</f>
        <v>3271</v>
      </c>
      <c r="U34" s="1555">
        <f t="shared" si="38"/>
        <v>0</v>
      </c>
      <c r="V34" s="1758">
        <f>+'[3]Oct midyear Jefferson Chamber'!E33</f>
        <v>0</v>
      </c>
      <c r="W34" s="1759">
        <f t="shared" si="39"/>
        <v>0</v>
      </c>
      <c r="X34" s="1758">
        <f>'[3]Feb midyear Jefferson Chamber'!E33</f>
        <v>0</v>
      </c>
      <c r="Y34" s="1759">
        <f t="shared" si="40"/>
        <v>0</v>
      </c>
      <c r="Z34" s="1653">
        <f t="shared" si="41"/>
        <v>0</v>
      </c>
      <c r="AA34" s="1486">
        <f t="shared" si="42"/>
        <v>0</v>
      </c>
      <c r="AB34" s="937">
        <f t="shared" si="43"/>
        <v>0</v>
      </c>
      <c r="AC34" s="899">
        <f t="shared" si="44"/>
        <v>0</v>
      </c>
      <c r="AD34" s="1830">
        <v>0</v>
      </c>
      <c r="AE34" s="899">
        <f t="shared" si="45"/>
        <v>0</v>
      </c>
      <c r="AF34" s="1834">
        <f>+'[4]Table 5C1J-Jefferson Chamber'!T33*8</f>
        <v>0</v>
      </c>
      <c r="AG34" s="1834">
        <f t="shared" si="46"/>
        <v>0</v>
      </c>
      <c r="AH34" s="899">
        <f t="shared" si="47"/>
        <v>0</v>
      </c>
      <c r="AI34" s="900">
        <f t="shared" si="27"/>
        <v>0</v>
      </c>
      <c r="AJ34" s="900">
        <f t="shared" si="48"/>
        <v>0</v>
      </c>
      <c r="AL34" s="2034">
        <f>-'[4]Table 5C1J-Jefferson Chamber'!P33</f>
        <v>0</v>
      </c>
      <c r="AM34" s="2034">
        <f t="shared" si="49"/>
        <v>0</v>
      </c>
      <c r="AN34" s="2034">
        <f t="shared" si="50"/>
        <v>0</v>
      </c>
    </row>
    <row r="35" spans="1:40">
      <c r="A35" s="876">
        <v>28</v>
      </c>
      <c r="B35" s="877" t="s">
        <v>119</v>
      </c>
      <c r="C35" s="972">
        <v>0</v>
      </c>
      <c r="D35" s="882">
        <f>'Table 3 Levels 1&amp;2'!AL35</f>
        <v>3163.1694438483169</v>
      </c>
      <c r="E35" s="921">
        <f t="shared" si="28"/>
        <v>0</v>
      </c>
      <c r="F35" s="921">
        <f>'Table 4 Level 3'!P33</f>
        <v>694.4</v>
      </c>
      <c r="G35" s="921">
        <f t="shared" si="29"/>
        <v>0</v>
      </c>
      <c r="H35" s="905">
        <f t="shared" si="30"/>
        <v>0</v>
      </c>
      <c r="I35" s="1734">
        <f>+'[3]Oct midyear Jefferson Chamber'!K34</f>
        <v>0</v>
      </c>
      <c r="J35" s="1734">
        <f>'[3]Feb midyear Jefferson Chamber'!K34</f>
        <v>0</v>
      </c>
      <c r="K35" s="1545">
        <f t="shared" si="31"/>
        <v>0</v>
      </c>
      <c r="L35" s="1489">
        <f t="shared" si="32"/>
        <v>0</v>
      </c>
      <c r="M35" s="931">
        <f t="shared" si="33"/>
        <v>0</v>
      </c>
      <c r="N35" s="905">
        <f t="shared" si="34"/>
        <v>0</v>
      </c>
      <c r="O35" s="882">
        <v>0</v>
      </c>
      <c r="P35" s="1552">
        <f t="shared" si="35"/>
        <v>0</v>
      </c>
      <c r="Q35" s="1734">
        <f>+'[4]Table 5C1J-Jefferson Chamber'!M34*8</f>
        <v>0</v>
      </c>
      <c r="R35" s="1734">
        <f t="shared" si="36"/>
        <v>0</v>
      </c>
      <c r="S35" s="1552">
        <f t="shared" si="37"/>
        <v>0</v>
      </c>
      <c r="T35" s="1802">
        <f>'Table 5C1A-Madison Prep'!T35</f>
        <v>5647</v>
      </c>
      <c r="U35" s="1555">
        <f t="shared" si="38"/>
        <v>0</v>
      </c>
      <c r="V35" s="1758">
        <f>+'[3]Oct midyear Jefferson Chamber'!E34</f>
        <v>0</v>
      </c>
      <c r="W35" s="1759">
        <f t="shared" si="39"/>
        <v>0</v>
      </c>
      <c r="X35" s="1758">
        <f>'[3]Feb midyear Jefferson Chamber'!E34</f>
        <v>0</v>
      </c>
      <c r="Y35" s="1759">
        <f t="shared" si="40"/>
        <v>0</v>
      </c>
      <c r="Z35" s="1653">
        <f t="shared" si="41"/>
        <v>0</v>
      </c>
      <c r="AA35" s="1486">
        <f t="shared" si="42"/>
        <v>0</v>
      </c>
      <c r="AB35" s="937">
        <f t="shared" si="43"/>
        <v>0</v>
      </c>
      <c r="AC35" s="899">
        <f t="shared" si="44"/>
        <v>0</v>
      </c>
      <c r="AD35" s="1830">
        <v>0</v>
      </c>
      <c r="AE35" s="899">
        <f t="shared" si="45"/>
        <v>0</v>
      </c>
      <c r="AF35" s="1834">
        <f>+'[4]Table 5C1J-Jefferson Chamber'!T34*8</f>
        <v>0</v>
      </c>
      <c r="AG35" s="1834">
        <f t="shared" si="46"/>
        <v>0</v>
      </c>
      <c r="AH35" s="899">
        <f t="shared" si="47"/>
        <v>0</v>
      </c>
      <c r="AI35" s="900">
        <f t="shared" si="27"/>
        <v>0</v>
      </c>
      <c r="AJ35" s="900">
        <f t="shared" si="48"/>
        <v>0</v>
      </c>
      <c r="AL35" s="2034">
        <f>-'[4]Table 5C1J-Jefferson Chamber'!P34</f>
        <v>0</v>
      </c>
      <c r="AM35" s="2034">
        <f t="shared" si="49"/>
        <v>0</v>
      </c>
      <c r="AN35" s="2034">
        <f t="shared" si="50"/>
        <v>0</v>
      </c>
    </row>
    <row r="36" spans="1:40">
      <c r="A36" s="876">
        <v>29</v>
      </c>
      <c r="B36" s="877" t="s">
        <v>120</v>
      </c>
      <c r="C36" s="972">
        <v>0</v>
      </c>
      <c r="D36" s="882">
        <f>'Table 3 Levels 1&amp;2'!AL36</f>
        <v>3952.5586133052648</v>
      </c>
      <c r="E36" s="921">
        <f t="shared" si="28"/>
        <v>0</v>
      </c>
      <c r="F36" s="921">
        <f>'Table 4 Level 3'!P34</f>
        <v>754.94999999999993</v>
      </c>
      <c r="G36" s="921">
        <f t="shared" si="29"/>
        <v>0</v>
      </c>
      <c r="H36" s="905">
        <f t="shared" si="30"/>
        <v>0</v>
      </c>
      <c r="I36" s="1734">
        <f>+'[3]Oct midyear Jefferson Chamber'!K35</f>
        <v>0</v>
      </c>
      <c r="J36" s="1734">
        <f>'[3]Feb midyear Jefferson Chamber'!K35</f>
        <v>0</v>
      </c>
      <c r="K36" s="1545">
        <f t="shared" si="31"/>
        <v>0</v>
      </c>
      <c r="L36" s="1489">
        <f t="shared" si="32"/>
        <v>0</v>
      </c>
      <c r="M36" s="931">
        <f t="shared" si="33"/>
        <v>0</v>
      </c>
      <c r="N36" s="905">
        <f t="shared" si="34"/>
        <v>0</v>
      </c>
      <c r="O36" s="882">
        <v>0</v>
      </c>
      <c r="P36" s="1552">
        <f t="shared" si="35"/>
        <v>0</v>
      </c>
      <c r="Q36" s="1734">
        <f>+'[4]Table 5C1J-Jefferson Chamber'!M35*8</f>
        <v>0</v>
      </c>
      <c r="R36" s="1734">
        <f t="shared" si="36"/>
        <v>0</v>
      </c>
      <c r="S36" s="1552">
        <f t="shared" si="37"/>
        <v>0</v>
      </c>
      <c r="T36" s="1802">
        <f>'Table 5C1A-Madison Prep'!T36</f>
        <v>4826</v>
      </c>
      <c r="U36" s="1555">
        <f t="shared" si="38"/>
        <v>0</v>
      </c>
      <c r="V36" s="1758">
        <f>+'[3]Oct midyear Jefferson Chamber'!E35</f>
        <v>0</v>
      </c>
      <c r="W36" s="1759">
        <f t="shared" si="39"/>
        <v>0</v>
      </c>
      <c r="X36" s="1758">
        <f>'[3]Feb midyear Jefferson Chamber'!E35</f>
        <v>0</v>
      </c>
      <c r="Y36" s="1759">
        <f t="shared" si="40"/>
        <v>0</v>
      </c>
      <c r="Z36" s="1653">
        <f t="shared" si="41"/>
        <v>0</v>
      </c>
      <c r="AA36" s="1486">
        <f t="shared" si="42"/>
        <v>0</v>
      </c>
      <c r="AB36" s="937">
        <f t="shared" si="43"/>
        <v>0</v>
      </c>
      <c r="AC36" s="899">
        <f t="shared" si="44"/>
        <v>0</v>
      </c>
      <c r="AD36" s="1830">
        <v>0</v>
      </c>
      <c r="AE36" s="899">
        <f t="shared" si="45"/>
        <v>0</v>
      </c>
      <c r="AF36" s="1834">
        <f>+'[4]Table 5C1J-Jefferson Chamber'!T35*8</f>
        <v>0</v>
      </c>
      <c r="AG36" s="1834">
        <f t="shared" si="46"/>
        <v>0</v>
      </c>
      <c r="AH36" s="899">
        <f t="shared" si="47"/>
        <v>0</v>
      </c>
      <c r="AI36" s="900">
        <f t="shared" si="27"/>
        <v>0</v>
      </c>
      <c r="AJ36" s="900">
        <f t="shared" si="48"/>
        <v>0</v>
      </c>
      <c r="AL36" s="2034">
        <f>-'[4]Table 5C1J-Jefferson Chamber'!P35</f>
        <v>0</v>
      </c>
      <c r="AM36" s="2034">
        <f t="shared" si="49"/>
        <v>0</v>
      </c>
      <c r="AN36" s="2034">
        <f t="shared" si="50"/>
        <v>0</v>
      </c>
    </row>
    <row r="37" spans="1:40">
      <c r="A37" s="879">
        <v>30</v>
      </c>
      <c r="B37" s="880" t="s">
        <v>121</v>
      </c>
      <c r="C37" s="973">
        <v>0</v>
      </c>
      <c r="D37" s="883">
        <f>'Table 3 Levels 1&amp;2'!AL37</f>
        <v>5648.6510465852989</v>
      </c>
      <c r="E37" s="922">
        <f t="shared" si="28"/>
        <v>0</v>
      </c>
      <c r="F37" s="922">
        <f>'Table 4 Level 3'!P35</f>
        <v>727.17</v>
      </c>
      <c r="G37" s="922">
        <f t="shared" si="29"/>
        <v>0</v>
      </c>
      <c r="H37" s="906">
        <f t="shared" si="30"/>
        <v>0</v>
      </c>
      <c r="I37" s="1735">
        <f>+'[3]Oct midyear Jefferson Chamber'!K36</f>
        <v>0</v>
      </c>
      <c r="J37" s="1735">
        <f>'[3]Feb midyear Jefferson Chamber'!K36</f>
        <v>0</v>
      </c>
      <c r="K37" s="1546">
        <f t="shared" si="31"/>
        <v>0</v>
      </c>
      <c r="L37" s="1490">
        <f t="shared" si="32"/>
        <v>0</v>
      </c>
      <c r="M37" s="932">
        <f t="shared" si="33"/>
        <v>0</v>
      </c>
      <c r="N37" s="906">
        <f t="shared" si="34"/>
        <v>0</v>
      </c>
      <c r="O37" s="883">
        <v>0</v>
      </c>
      <c r="P37" s="1553">
        <f t="shared" si="35"/>
        <v>0</v>
      </c>
      <c r="Q37" s="1735">
        <f>+'[4]Table 5C1J-Jefferson Chamber'!M36*8</f>
        <v>0</v>
      </c>
      <c r="R37" s="1735">
        <f t="shared" si="36"/>
        <v>0</v>
      </c>
      <c r="S37" s="1553">
        <f t="shared" si="37"/>
        <v>0</v>
      </c>
      <c r="T37" s="1807">
        <f>'Table 5C1A-Madison Prep'!T37</f>
        <v>4193</v>
      </c>
      <c r="U37" s="1556">
        <f t="shared" si="38"/>
        <v>0</v>
      </c>
      <c r="V37" s="1762">
        <f>+'[3]Oct midyear Jefferson Chamber'!E36</f>
        <v>0</v>
      </c>
      <c r="W37" s="1763">
        <f t="shared" si="39"/>
        <v>0</v>
      </c>
      <c r="X37" s="1762">
        <f>'[3]Feb midyear Jefferson Chamber'!E36</f>
        <v>0</v>
      </c>
      <c r="Y37" s="1763">
        <f t="shared" si="40"/>
        <v>0</v>
      </c>
      <c r="Z37" s="1654">
        <f t="shared" si="41"/>
        <v>0</v>
      </c>
      <c r="AA37" s="1488">
        <f t="shared" si="42"/>
        <v>0</v>
      </c>
      <c r="AB37" s="938">
        <f t="shared" si="43"/>
        <v>0</v>
      </c>
      <c r="AC37" s="903">
        <f t="shared" si="44"/>
        <v>0</v>
      </c>
      <c r="AD37" s="1831">
        <v>0</v>
      </c>
      <c r="AE37" s="903">
        <f t="shared" si="45"/>
        <v>0</v>
      </c>
      <c r="AF37" s="1835">
        <f>+'[4]Table 5C1J-Jefferson Chamber'!T36*8</f>
        <v>0</v>
      </c>
      <c r="AG37" s="1835">
        <f t="shared" si="46"/>
        <v>0</v>
      </c>
      <c r="AH37" s="903">
        <f t="shared" si="47"/>
        <v>0</v>
      </c>
      <c r="AI37" s="904">
        <f t="shared" si="27"/>
        <v>0</v>
      </c>
      <c r="AJ37" s="904">
        <f t="shared" si="48"/>
        <v>0</v>
      </c>
      <c r="AL37" s="2034">
        <f>-'[4]Table 5C1J-Jefferson Chamber'!P36</f>
        <v>0</v>
      </c>
      <c r="AM37" s="2034">
        <f t="shared" si="49"/>
        <v>0</v>
      </c>
      <c r="AN37" s="2034">
        <f t="shared" si="50"/>
        <v>0</v>
      </c>
    </row>
    <row r="38" spans="1:40">
      <c r="A38" s="870">
        <v>31</v>
      </c>
      <c r="B38" s="871" t="s">
        <v>122</v>
      </c>
      <c r="C38" s="974">
        <v>0</v>
      </c>
      <c r="D38" s="884">
        <f>'Table 3 Levels 1&amp;2'!AL38</f>
        <v>4348.9307899232972</v>
      </c>
      <c r="E38" s="923">
        <f t="shared" si="28"/>
        <v>0</v>
      </c>
      <c r="F38" s="923">
        <f>'Table 4 Level 3'!P36</f>
        <v>620.83000000000004</v>
      </c>
      <c r="G38" s="923">
        <f t="shared" si="29"/>
        <v>0</v>
      </c>
      <c r="H38" s="907">
        <f t="shared" si="30"/>
        <v>0</v>
      </c>
      <c r="I38" s="1723">
        <f>+'[3]Oct midyear Jefferson Chamber'!K37</f>
        <v>0</v>
      </c>
      <c r="J38" s="1723">
        <f>'[3]Feb midyear Jefferson Chamber'!K37</f>
        <v>0</v>
      </c>
      <c r="K38" s="1547">
        <f t="shared" si="31"/>
        <v>0</v>
      </c>
      <c r="L38" s="1491">
        <f t="shared" si="32"/>
        <v>0</v>
      </c>
      <c r="M38" s="933">
        <f t="shared" si="33"/>
        <v>0</v>
      </c>
      <c r="N38" s="907">
        <f t="shared" si="34"/>
        <v>0</v>
      </c>
      <c r="O38" s="884">
        <v>0</v>
      </c>
      <c r="P38" s="996">
        <f t="shared" si="35"/>
        <v>0</v>
      </c>
      <c r="Q38" s="1723">
        <f>+'[4]Table 5C1J-Jefferson Chamber'!M37*8</f>
        <v>0</v>
      </c>
      <c r="R38" s="1723">
        <f t="shared" si="36"/>
        <v>0</v>
      </c>
      <c r="S38" s="996">
        <f t="shared" si="37"/>
        <v>0</v>
      </c>
      <c r="T38" s="1802">
        <f>'Table 5C1A-Madison Prep'!T38</f>
        <v>4901</v>
      </c>
      <c r="U38" s="999">
        <f t="shared" si="38"/>
        <v>0</v>
      </c>
      <c r="V38" s="1754">
        <f>+'[3]Oct midyear Jefferson Chamber'!E37</f>
        <v>0</v>
      </c>
      <c r="W38" s="1755">
        <f t="shared" si="39"/>
        <v>0</v>
      </c>
      <c r="X38" s="1754">
        <f>'[3]Feb midyear Jefferson Chamber'!E37</f>
        <v>0</v>
      </c>
      <c r="Y38" s="1755">
        <f t="shared" si="40"/>
        <v>0</v>
      </c>
      <c r="Z38" s="1652">
        <f t="shared" si="41"/>
        <v>0</v>
      </c>
      <c r="AA38" s="1521">
        <f t="shared" si="42"/>
        <v>0</v>
      </c>
      <c r="AB38" s="936">
        <f t="shared" si="43"/>
        <v>0</v>
      </c>
      <c r="AC38" s="874">
        <f t="shared" si="44"/>
        <v>0</v>
      </c>
      <c r="AD38" s="1829">
        <v>0</v>
      </c>
      <c r="AE38" s="874">
        <f t="shared" si="45"/>
        <v>0</v>
      </c>
      <c r="AF38" s="1829">
        <f>+'[4]Table 5C1J-Jefferson Chamber'!T37*8</f>
        <v>0</v>
      </c>
      <c r="AG38" s="1829">
        <f t="shared" si="46"/>
        <v>0</v>
      </c>
      <c r="AH38" s="874">
        <f t="shared" si="47"/>
        <v>0</v>
      </c>
      <c r="AI38" s="875">
        <f t="shared" si="27"/>
        <v>0</v>
      </c>
      <c r="AJ38" s="875">
        <f t="shared" si="48"/>
        <v>0</v>
      </c>
      <c r="AL38" s="2034">
        <f>-'[4]Table 5C1J-Jefferson Chamber'!P37</f>
        <v>0</v>
      </c>
      <c r="AM38" s="2034">
        <f t="shared" si="49"/>
        <v>0</v>
      </c>
      <c r="AN38" s="2034">
        <f t="shared" si="50"/>
        <v>0</v>
      </c>
    </row>
    <row r="39" spans="1:40">
      <c r="A39" s="876">
        <v>32</v>
      </c>
      <c r="B39" s="877" t="s">
        <v>123</v>
      </c>
      <c r="C39" s="972">
        <v>0</v>
      </c>
      <c r="D39" s="882">
        <f>'Table 3 Levels 1&amp;2'!AL39</f>
        <v>5531.5157655456787</v>
      </c>
      <c r="E39" s="921">
        <f t="shared" si="28"/>
        <v>0</v>
      </c>
      <c r="F39" s="921">
        <f>'Table 4 Level 3'!P37</f>
        <v>559.77</v>
      </c>
      <c r="G39" s="921">
        <f t="shared" si="29"/>
        <v>0</v>
      </c>
      <c r="H39" s="905">
        <f t="shared" si="30"/>
        <v>0</v>
      </c>
      <c r="I39" s="1734">
        <f>+'[3]Oct midyear Jefferson Chamber'!K38</f>
        <v>0</v>
      </c>
      <c r="J39" s="1734">
        <f>'[3]Feb midyear Jefferson Chamber'!K38</f>
        <v>0</v>
      </c>
      <c r="K39" s="1545">
        <f t="shared" si="31"/>
        <v>0</v>
      </c>
      <c r="L39" s="1489">
        <f t="shared" si="32"/>
        <v>0</v>
      </c>
      <c r="M39" s="931">
        <f t="shared" si="33"/>
        <v>0</v>
      </c>
      <c r="N39" s="905">
        <f t="shared" si="34"/>
        <v>0</v>
      </c>
      <c r="O39" s="882">
        <v>0</v>
      </c>
      <c r="P39" s="1552">
        <f t="shared" si="35"/>
        <v>0</v>
      </c>
      <c r="Q39" s="1734">
        <f>+'[4]Table 5C1J-Jefferson Chamber'!M38*8</f>
        <v>0</v>
      </c>
      <c r="R39" s="1734">
        <f t="shared" si="36"/>
        <v>0</v>
      </c>
      <c r="S39" s="1552">
        <f t="shared" si="37"/>
        <v>0</v>
      </c>
      <c r="T39" s="1802">
        <f>'Table 5C1A-Madison Prep'!T39</f>
        <v>2074</v>
      </c>
      <c r="U39" s="1555">
        <f t="shared" si="38"/>
        <v>0</v>
      </c>
      <c r="V39" s="1758">
        <f>+'[3]Oct midyear Jefferson Chamber'!E38</f>
        <v>0</v>
      </c>
      <c r="W39" s="1759">
        <f t="shared" si="39"/>
        <v>0</v>
      </c>
      <c r="X39" s="1758">
        <f>'[3]Feb midyear Jefferson Chamber'!E38</f>
        <v>0</v>
      </c>
      <c r="Y39" s="1759">
        <f t="shared" si="40"/>
        <v>0</v>
      </c>
      <c r="Z39" s="1653">
        <f t="shared" si="41"/>
        <v>0</v>
      </c>
      <c r="AA39" s="1486">
        <f t="shared" si="42"/>
        <v>0</v>
      </c>
      <c r="AB39" s="937">
        <f t="shared" si="43"/>
        <v>0</v>
      </c>
      <c r="AC39" s="899">
        <f t="shared" si="44"/>
        <v>0</v>
      </c>
      <c r="AD39" s="1830">
        <v>0</v>
      </c>
      <c r="AE39" s="899">
        <f t="shared" si="45"/>
        <v>0</v>
      </c>
      <c r="AF39" s="1834">
        <f>+'[4]Table 5C1J-Jefferson Chamber'!T38*8</f>
        <v>0</v>
      </c>
      <c r="AG39" s="1834">
        <f t="shared" si="46"/>
        <v>0</v>
      </c>
      <c r="AH39" s="899">
        <f t="shared" si="47"/>
        <v>0</v>
      </c>
      <c r="AI39" s="900">
        <f t="shared" si="27"/>
        <v>0</v>
      </c>
      <c r="AJ39" s="900">
        <f t="shared" si="48"/>
        <v>0</v>
      </c>
      <c r="AL39" s="2034">
        <f>-'[4]Table 5C1J-Jefferson Chamber'!P38</f>
        <v>0</v>
      </c>
      <c r="AM39" s="2034">
        <f t="shared" si="49"/>
        <v>0</v>
      </c>
      <c r="AN39" s="2034">
        <f t="shared" si="50"/>
        <v>0</v>
      </c>
    </row>
    <row r="40" spans="1:40">
      <c r="A40" s="876">
        <v>33</v>
      </c>
      <c r="B40" s="877" t="s">
        <v>124</v>
      </c>
      <c r="C40" s="972">
        <v>0</v>
      </c>
      <c r="D40" s="882">
        <f>'Table 3 Levels 1&amp;2'!AL40</f>
        <v>5329.5444226517857</v>
      </c>
      <c r="E40" s="921">
        <f t="shared" si="28"/>
        <v>0</v>
      </c>
      <c r="F40" s="921">
        <f>'Table 4 Level 3'!P38</f>
        <v>655.31000000000006</v>
      </c>
      <c r="G40" s="921">
        <f t="shared" si="29"/>
        <v>0</v>
      </c>
      <c r="H40" s="905">
        <f t="shared" si="30"/>
        <v>0</v>
      </c>
      <c r="I40" s="1734">
        <f>+'[3]Oct midyear Jefferson Chamber'!K39</f>
        <v>0</v>
      </c>
      <c r="J40" s="1734">
        <f>'[3]Feb midyear Jefferson Chamber'!K39</f>
        <v>0</v>
      </c>
      <c r="K40" s="1545">
        <f t="shared" si="31"/>
        <v>0</v>
      </c>
      <c r="L40" s="1489">
        <f t="shared" si="32"/>
        <v>0</v>
      </c>
      <c r="M40" s="931">
        <f t="shared" si="33"/>
        <v>0</v>
      </c>
      <c r="N40" s="905">
        <f t="shared" si="34"/>
        <v>0</v>
      </c>
      <c r="O40" s="882">
        <v>0</v>
      </c>
      <c r="P40" s="1552">
        <f t="shared" si="35"/>
        <v>0</v>
      </c>
      <c r="Q40" s="1734">
        <f>+'[4]Table 5C1J-Jefferson Chamber'!M39*8</f>
        <v>0</v>
      </c>
      <c r="R40" s="1734">
        <f t="shared" si="36"/>
        <v>0</v>
      </c>
      <c r="S40" s="1552">
        <f t="shared" si="37"/>
        <v>0</v>
      </c>
      <c r="T40" s="1802">
        <f>'Table 5C1A-Madison Prep'!T40</f>
        <v>3501</v>
      </c>
      <c r="U40" s="1555">
        <f t="shared" si="38"/>
        <v>0</v>
      </c>
      <c r="V40" s="1758">
        <f>+'[3]Oct midyear Jefferson Chamber'!E39</f>
        <v>0</v>
      </c>
      <c r="W40" s="1759">
        <f t="shared" si="39"/>
        <v>0</v>
      </c>
      <c r="X40" s="1758">
        <f>'[3]Feb midyear Jefferson Chamber'!E39</f>
        <v>0</v>
      </c>
      <c r="Y40" s="1759">
        <f t="shared" si="40"/>
        <v>0</v>
      </c>
      <c r="Z40" s="1653">
        <f t="shared" si="41"/>
        <v>0</v>
      </c>
      <c r="AA40" s="1486">
        <f t="shared" si="42"/>
        <v>0</v>
      </c>
      <c r="AB40" s="937">
        <f t="shared" si="43"/>
        <v>0</v>
      </c>
      <c r="AC40" s="899">
        <f t="shared" si="44"/>
        <v>0</v>
      </c>
      <c r="AD40" s="1830">
        <v>0</v>
      </c>
      <c r="AE40" s="899">
        <f t="shared" si="45"/>
        <v>0</v>
      </c>
      <c r="AF40" s="1834">
        <f>+'[4]Table 5C1J-Jefferson Chamber'!T39*8</f>
        <v>0</v>
      </c>
      <c r="AG40" s="1834">
        <f t="shared" si="46"/>
        <v>0</v>
      </c>
      <c r="AH40" s="899">
        <f t="shared" si="47"/>
        <v>0</v>
      </c>
      <c r="AI40" s="900">
        <f t="shared" ref="AI40:AI76" si="51">P40+AE40</f>
        <v>0</v>
      </c>
      <c r="AJ40" s="900">
        <f t="shared" si="48"/>
        <v>0</v>
      </c>
      <c r="AL40" s="2034">
        <f>-'[4]Table 5C1J-Jefferson Chamber'!P39</f>
        <v>0</v>
      </c>
      <c r="AM40" s="2034">
        <f t="shared" si="49"/>
        <v>0</v>
      </c>
      <c r="AN40" s="2034">
        <f t="shared" si="50"/>
        <v>0</v>
      </c>
    </row>
    <row r="41" spans="1:40">
      <c r="A41" s="876">
        <v>34</v>
      </c>
      <c r="B41" s="877" t="s">
        <v>125</v>
      </c>
      <c r="C41" s="972">
        <v>0</v>
      </c>
      <c r="D41" s="882">
        <f>'Table 3 Levels 1&amp;2'!AL41</f>
        <v>6003.632932007491</v>
      </c>
      <c r="E41" s="921">
        <f t="shared" si="28"/>
        <v>0</v>
      </c>
      <c r="F41" s="921">
        <f>'Table 4 Level 3'!P39</f>
        <v>644.11000000000013</v>
      </c>
      <c r="G41" s="921">
        <f t="shared" si="29"/>
        <v>0</v>
      </c>
      <c r="H41" s="905">
        <f t="shared" si="30"/>
        <v>0</v>
      </c>
      <c r="I41" s="1734">
        <f>+'[3]Oct midyear Jefferson Chamber'!K40</f>
        <v>0</v>
      </c>
      <c r="J41" s="1734">
        <f>'[3]Feb midyear Jefferson Chamber'!K40</f>
        <v>0</v>
      </c>
      <c r="K41" s="1545">
        <f t="shared" si="31"/>
        <v>0</v>
      </c>
      <c r="L41" s="1489">
        <f t="shared" si="32"/>
        <v>0</v>
      </c>
      <c r="M41" s="931">
        <f t="shared" si="33"/>
        <v>0</v>
      </c>
      <c r="N41" s="905">
        <f t="shared" si="34"/>
        <v>0</v>
      </c>
      <c r="O41" s="882">
        <v>0</v>
      </c>
      <c r="P41" s="1552">
        <f t="shared" si="35"/>
        <v>0</v>
      </c>
      <c r="Q41" s="1734">
        <f>+'[4]Table 5C1J-Jefferson Chamber'!M40*8</f>
        <v>0</v>
      </c>
      <c r="R41" s="1734">
        <f t="shared" si="36"/>
        <v>0</v>
      </c>
      <c r="S41" s="1552">
        <f t="shared" si="37"/>
        <v>0</v>
      </c>
      <c r="T41" s="1802">
        <f>'Table 5C1A-Madison Prep'!T41</f>
        <v>2772</v>
      </c>
      <c r="U41" s="1555">
        <f t="shared" si="38"/>
        <v>0</v>
      </c>
      <c r="V41" s="1758">
        <f>+'[3]Oct midyear Jefferson Chamber'!E40</f>
        <v>0</v>
      </c>
      <c r="W41" s="1759">
        <f t="shared" si="39"/>
        <v>0</v>
      </c>
      <c r="X41" s="1758">
        <f>'[3]Feb midyear Jefferson Chamber'!E40</f>
        <v>0</v>
      </c>
      <c r="Y41" s="1759">
        <f t="shared" si="40"/>
        <v>0</v>
      </c>
      <c r="Z41" s="1653">
        <f t="shared" si="41"/>
        <v>0</v>
      </c>
      <c r="AA41" s="1486">
        <f t="shared" si="42"/>
        <v>0</v>
      </c>
      <c r="AB41" s="937">
        <f t="shared" si="43"/>
        <v>0</v>
      </c>
      <c r="AC41" s="899">
        <f t="shared" si="44"/>
        <v>0</v>
      </c>
      <c r="AD41" s="1830">
        <v>0</v>
      </c>
      <c r="AE41" s="899">
        <f t="shared" si="45"/>
        <v>0</v>
      </c>
      <c r="AF41" s="1834">
        <f>+'[4]Table 5C1J-Jefferson Chamber'!T40*8</f>
        <v>0</v>
      </c>
      <c r="AG41" s="1834">
        <f t="shared" si="46"/>
        <v>0</v>
      </c>
      <c r="AH41" s="899">
        <f t="shared" si="47"/>
        <v>0</v>
      </c>
      <c r="AI41" s="900">
        <f t="shared" si="51"/>
        <v>0</v>
      </c>
      <c r="AJ41" s="900">
        <f t="shared" si="48"/>
        <v>0</v>
      </c>
      <c r="AL41" s="2034">
        <f>-'[4]Table 5C1J-Jefferson Chamber'!P40</f>
        <v>0</v>
      </c>
      <c r="AM41" s="2034">
        <f t="shared" si="49"/>
        <v>0</v>
      </c>
      <c r="AN41" s="2034">
        <f t="shared" si="50"/>
        <v>0</v>
      </c>
    </row>
    <row r="42" spans="1:40">
      <c r="A42" s="879">
        <v>35</v>
      </c>
      <c r="B42" s="880" t="s">
        <v>126</v>
      </c>
      <c r="C42" s="973">
        <v>0</v>
      </c>
      <c r="D42" s="883">
        <f>'Table 3 Levels 1&amp;2'!AL42</f>
        <v>4607.1606416222867</v>
      </c>
      <c r="E42" s="922">
        <f t="shared" si="28"/>
        <v>0</v>
      </c>
      <c r="F42" s="922">
        <f>'Table 4 Level 3'!P40</f>
        <v>537.96</v>
      </c>
      <c r="G42" s="922">
        <f t="shared" si="29"/>
        <v>0</v>
      </c>
      <c r="H42" s="906">
        <f t="shared" si="30"/>
        <v>0</v>
      </c>
      <c r="I42" s="1735">
        <f>+'[3]Oct midyear Jefferson Chamber'!K41</f>
        <v>0</v>
      </c>
      <c r="J42" s="1735">
        <f>'[3]Feb midyear Jefferson Chamber'!K41</f>
        <v>0</v>
      </c>
      <c r="K42" s="1546">
        <f t="shared" si="31"/>
        <v>0</v>
      </c>
      <c r="L42" s="1490">
        <f t="shared" si="32"/>
        <v>0</v>
      </c>
      <c r="M42" s="932">
        <f t="shared" si="33"/>
        <v>0</v>
      </c>
      <c r="N42" s="906">
        <f t="shared" si="34"/>
        <v>0</v>
      </c>
      <c r="O42" s="883">
        <v>0</v>
      </c>
      <c r="P42" s="1553">
        <f t="shared" si="35"/>
        <v>0</v>
      </c>
      <c r="Q42" s="1735">
        <f>+'[4]Table 5C1J-Jefferson Chamber'!M41*8</f>
        <v>0</v>
      </c>
      <c r="R42" s="1735">
        <f t="shared" si="36"/>
        <v>0</v>
      </c>
      <c r="S42" s="1553">
        <f t="shared" si="37"/>
        <v>0</v>
      </c>
      <c r="T42" s="1807">
        <f>'Table 5C1A-Madison Prep'!T42</f>
        <v>3140</v>
      </c>
      <c r="U42" s="1556">
        <f t="shared" si="38"/>
        <v>0</v>
      </c>
      <c r="V42" s="1762">
        <f>+'[3]Oct midyear Jefferson Chamber'!E41</f>
        <v>0</v>
      </c>
      <c r="W42" s="1763">
        <f t="shared" si="39"/>
        <v>0</v>
      </c>
      <c r="X42" s="1762">
        <f>'[3]Feb midyear Jefferson Chamber'!E41</f>
        <v>0</v>
      </c>
      <c r="Y42" s="1763">
        <f t="shared" si="40"/>
        <v>0</v>
      </c>
      <c r="Z42" s="1654">
        <f t="shared" si="41"/>
        <v>0</v>
      </c>
      <c r="AA42" s="1488">
        <f t="shared" si="42"/>
        <v>0</v>
      </c>
      <c r="AB42" s="938">
        <f t="shared" si="43"/>
        <v>0</v>
      </c>
      <c r="AC42" s="903">
        <f t="shared" si="44"/>
        <v>0</v>
      </c>
      <c r="AD42" s="1831">
        <v>0</v>
      </c>
      <c r="AE42" s="903">
        <f t="shared" si="45"/>
        <v>0</v>
      </c>
      <c r="AF42" s="1835">
        <f>+'[4]Table 5C1J-Jefferson Chamber'!T41*8</f>
        <v>0</v>
      </c>
      <c r="AG42" s="1835">
        <f t="shared" si="46"/>
        <v>0</v>
      </c>
      <c r="AH42" s="903">
        <f t="shared" si="47"/>
        <v>0</v>
      </c>
      <c r="AI42" s="904">
        <f t="shared" si="51"/>
        <v>0</v>
      </c>
      <c r="AJ42" s="904">
        <f t="shared" si="48"/>
        <v>0</v>
      </c>
      <c r="AL42" s="2034">
        <f>-'[4]Table 5C1J-Jefferson Chamber'!P41</f>
        <v>0</v>
      </c>
      <c r="AM42" s="2034">
        <f t="shared" si="49"/>
        <v>0</v>
      </c>
      <c r="AN42" s="2034">
        <f t="shared" si="50"/>
        <v>0</v>
      </c>
    </row>
    <row r="43" spans="1:40">
      <c r="A43" s="870">
        <v>36</v>
      </c>
      <c r="B43" s="871" t="s">
        <v>127</v>
      </c>
      <c r="C43" s="974">
        <v>5</v>
      </c>
      <c r="D43" s="884">
        <f>'Table 3 Levels 1&amp;2'!AL43</f>
        <v>3520.4894337711748</v>
      </c>
      <c r="E43" s="923">
        <f t="shared" si="28"/>
        <v>17602.447168855873</v>
      </c>
      <c r="F43" s="923">
        <v>746.0335616438357</v>
      </c>
      <c r="G43" s="923">
        <f t="shared" si="29"/>
        <v>3730.1678082191784</v>
      </c>
      <c r="H43" s="907">
        <f t="shared" si="30"/>
        <v>21332.614977075053</v>
      </c>
      <c r="I43" s="1723">
        <f>+'[3]Oct midyear Jefferson Chamber'!K42</f>
        <v>-8533.0459908300218</v>
      </c>
      <c r="J43" s="1723">
        <f>'[3]Feb midyear Jefferson Chamber'!K42</f>
        <v>-2133.2614977075054</v>
      </c>
      <c r="K43" s="1547">
        <f t="shared" si="31"/>
        <v>-10666.307488537528</v>
      </c>
      <c r="L43" s="1491">
        <f t="shared" si="32"/>
        <v>10666.307488537524</v>
      </c>
      <c r="M43" s="933">
        <f t="shared" si="33"/>
        <v>-26.665768721343813</v>
      </c>
      <c r="N43" s="907">
        <f t="shared" si="34"/>
        <v>10639.64171981618</v>
      </c>
      <c r="O43" s="884">
        <v>0</v>
      </c>
      <c r="P43" s="996">
        <f t="shared" si="35"/>
        <v>10639.64171981618</v>
      </c>
      <c r="Q43" s="1723">
        <f>+'[4]Table 5C1J-Jefferson Chamber'!M42*8</f>
        <v>14186.188959754909</v>
      </c>
      <c r="R43" s="1723">
        <f t="shared" si="36"/>
        <v>-3546.547239938729</v>
      </c>
      <c r="S43" s="996">
        <f t="shared" si="37"/>
        <v>-887</v>
      </c>
      <c r="T43" s="1802">
        <f>'Table 5C1A-Madison Prep'!T43</f>
        <v>5433</v>
      </c>
      <c r="U43" s="999">
        <f t="shared" si="38"/>
        <v>27165</v>
      </c>
      <c r="V43" s="1754">
        <f>+'[3]Oct midyear Jefferson Chamber'!E42</f>
        <v>-2</v>
      </c>
      <c r="W43" s="1755">
        <f t="shared" si="39"/>
        <v>-10866</v>
      </c>
      <c r="X43" s="1754">
        <f>'[3]Feb midyear Jefferson Chamber'!E42</f>
        <v>-1</v>
      </c>
      <c r="Y43" s="1755">
        <f t="shared" si="40"/>
        <v>-2716.5</v>
      </c>
      <c r="Z43" s="1652">
        <f t="shared" si="41"/>
        <v>-13582.5</v>
      </c>
      <c r="AA43" s="1521">
        <f t="shared" si="42"/>
        <v>13582.5</v>
      </c>
      <c r="AB43" s="936">
        <f t="shared" si="43"/>
        <v>-33.956249999999997</v>
      </c>
      <c r="AC43" s="874">
        <f t="shared" si="44"/>
        <v>13548.543750000001</v>
      </c>
      <c r="AD43" s="1829">
        <v>0</v>
      </c>
      <c r="AE43" s="874">
        <f t="shared" si="45"/>
        <v>13548.543750000001</v>
      </c>
      <c r="AF43" s="1829">
        <f>+'[4]Table 5C1J-Jefferson Chamber'!T42*8</f>
        <v>18091.325000000001</v>
      </c>
      <c r="AG43" s="1829">
        <f t="shared" si="46"/>
        <v>-4542.78125</v>
      </c>
      <c r="AH43" s="874">
        <f t="shared" si="47"/>
        <v>-1136</v>
      </c>
      <c r="AI43" s="875">
        <f t="shared" si="51"/>
        <v>24188.185469816181</v>
      </c>
      <c r="AJ43" s="875">
        <f t="shared" si="48"/>
        <v>-2023</v>
      </c>
      <c r="AL43" s="2034">
        <f>-'[4]Table 5C1J-Jefferson Chamber'!P42</f>
        <v>68.012500000000003</v>
      </c>
      <c r="AM43" s="2034">
        <f t="shared" si="49"/>
        <v>-33.956249999999997</v>
      </c>
      <c r="AN43" s="2034">
        <f t="shared" si="50"/>
        <v>34.056250000000006</v>
      </c>
    </row>
    <row r="44" spans="1:40">
      <c r="A44" s="876">
        <v>37</v>
      </c>
      <c r="B44" s="877" t="s">
        <v>128</v>
      </c>
      <c r="C44" s="972">
        <v>0</v>
      </c>
      <c r="D44" s="882">
        <f>'Table 3 Levels 1&amp;2'!AL44</f>
        <v>5503.7595641818853</v>
      </c>
      <c r="E44" s="921">
        <f t="shared" si="28"/>
        <v>0</v>
      </c>
      <c r="F44" s="921">
        <f>'Table 4 Level 3'!P42</f>
        <v>653.61</v>
      </c>
      <c r="G44" s="921">
        <f t="shared" si="29"/>
        <v>0</v>
      </c>
      <c r="H44" s="905">
        <f t="shared" si="30"/>
        <v>0</v>
      </c>
      <c r="I44" s="1734">
        <f>+'[3]Oct midyear Jefferson Chamber'!K43</f>
        <v>0</v>
      </c>
      <c r="J44" s="1734">
        <f>'[3]Feb midyear Jefferson Chamber'!K43</f>
        <v>0</v>
      </c>
      <c r="K44" s="1545">
        <f t="shared" si="31"/>
        <v>0</v>
      </c>
      <c r="L44" s="1489">
        <f t="shared" si="32"/>
        <v>0</v>
      </c>
      <c r="M44" s="931">
        <f t="shared" si="33"/>
        <v>0</v>
      </c>
      <c r="N44" s="905">
        <f t="shared" si="34"/>
        <v>0</v>
      </c>
      <c r="O44" s="882">
        <v>0</v>
      </c>
      <c r="P44" s="1552">
        <f t="shared" si="35"/>
        <v>0</v>
      </c>
      <c r="Q44" s="1734">
        <f>+'[4]Table 5C1J-Jefferson Chamber'!M43*8</f>
        <v>0</v>
      </c>
      <c r="R44" s="1734">
        <f t="shared" si="36"/>
        <v>0</v>
      </c>
      <c r="S44" s="1552">
        <f t="shared" si="37"/>
        <v>0</v>
      </c>
      <c r="T44" s="1802">
        <f>'Table 5C1A-Madison Prep'!T44</f>
        <v>3310</v>
      </c>
      <c r="U44" s="1555">
        <f t="shared" si="38"/>
        <v>0</v>
      </c>
      <c r="V44" s="1758">
        <f>+'[3]Oct midyear Jefferson Chamber'!E43</f>
        <v>0</v>
      </c>
      <c r="W44" s="1759">
        <f t="shared" si="39"/>
        <v>0</v>
      </c>
      <c r="X44" s="1758">
        <f>'[3]Feb midyear Jefferson Chamber'!E43</f>
        <v>0</v>
      </c>
      <c r="Y44" s="1759">
        <f t="shared" si="40"/>
        <v>0</v>
      </c>
      <c r="Z44" s="1653">
        <f t="shared" si="41"/>
        <v>0</v>
      </c>
      <c r="AA44" s="1486">
        <f t="shared" si="42"/>
        <v>0</v>
      </c>
      <c r="AB44" s="937">
        <f t="shared" si="43"/>
        <v>0</v>
      </c>
      <c r="AC44" s="899">
        <f t="shared" si="44"/>
        <v>0</v>
      </c>
      <c r="AD44" s="1830">
        <v>0</v>
      </c>
      <c r="AE44" s="899">
        <f t="shared" si="45"/>
        <v>0</v>
      </c>
      <c r="AF44" s="1834">
        <f>+'[4]Table 5C1J-Jefferson Chamber'!T43*8</f>
        <v>0</v>
      </c>
      <c r="AG44" s="1834">
        <f t="shared" si="46"/>
        <v>0</v>
      </c>
      <c r="AH44" s="899">
        <f t="shared" si="47"/>
        <v>0</v>
      </c>
      <c r="AI44" s="900">
        <f t="shared" si="51"/>
        <v>0</v>
      </c>
      <c r="AJ44" s="900">
        <f t="shared" si="48"/>
        <v>0</v>
      </c>
      <c r="AL44" s="2034">
        <f>-'[4]Table 5C1J-Jefferson Chamber'!P43</f>
        <v>0</v>
      </c>
      <c r="AM44" s="2034">
        <f t="shared" si="49"/>
        <v>0</v>
      </c>
      <c r="AN44" s="2034">
        <f t="shared" si="50"/>
        <v>0</v>
      </c>
    </row>
    <row r="45" spans="1:40">
      <c r="A45" s="876">
        <v>38</v>
      </c>
      <c r="B45" s="877" t="s">
        <v>129</v>
      </c>
      <c r="C45" s="972">
        <v>0</v>
      </c>
      <c r="D45" s="882">
        <f>'Table 3 Levels 1&amp;2'!AL45</f>
        <v>2192.7545275590551</v>
      </c>
      <c r="E45" s="921">
        <f t="shared" si="28"/>
        <v>0</v>
      </c>
      <c r="F45" s="921">
        <f>'Table 4 Level 3'!P43</f>
        <v>829.92000000000007</v>
      </c>
      <c r="G45" s="921">
        <f t="shared" si="29"/>
        <v>0</v>
      </c>
      <c r="H45" s="905">
        <f t="shared" si="30"/>
        <v>0</v>
      </c>
      <c r="I45" s="1734">
        <f>+'[3]Oct midyear Jefferson Chamber'!K44</f>
        <v>0</v>
      </c>
      <c r="J45" s="1734">
        <f>'[3]Feb midyear Jefferson Chamber'!K44</f>
        <v>0</v>
      </c>
      <c r="K45" s="1545">
        <f t="shared" si="31"/>
        <v>0</v>
      </c>
      <c r="L45" s="1489">
        <f t="shared" si="32"/>
        <v>0</v>
      </c>
      <c r="M45" s="931">
        <f t="shared" si="33"/>
        <v>0</v>
      </c>
      <c r="N45" s="905">
        <f t="shared" si="34"/>
        <v>0</v>
      </c>
      <c r="O45" s="882">
        <v>0</v>
      </c>
      <c r="P45" s="1552">
        <f t="shared" si="35"/>
        <v>0</v>
      </c>
      <c r="Q45" s="1734">
        <f>+'[4]Table 5C1J-Jefferson Chamber'!M44*8</f>
        <v>0</v>
      </c>
      <c r="R45" s="1734">
        <f t="shared" si="36"/>
        <v>0</v>
      </c>
      <c r="S45" s="1552">
        <f t="shared" si="37"/>
        <v>0</v>
      </c>
      <c r="T45" s="1802">
        <f>'Table 5C1A-Madison Prep'!T45</f>
        <v>12521</v>
      </c>
      <c r="U45" s="1555">
        <f t="shared" si="38"/>
        <v>0</v>
      </c>
      <c r="V45" s="1758">
        <f>+'[3]Oct midyear Jefferson Chamber'!E44</f>
        <v>0</v>
      </c>
      <c r="W45" s="1759">
        <f t="shared" si="39"/>
        <v>0</v>
      </c>
      <c r="X45" s="1758">
        <f>'[3]Feb midyear Jefferson Chamber'!E44</f>
        <v>0</v>
      </c>
      <c r="Y45" s="1759">
        <f t="shared" si="40"/>
        <v>0</v>
      </c>
      <c r="Z45" s="1653">
        <f t="shared" si="41"/>
        <v>0</v>
      </c>
      <c r="AA45" s="1486">
        <f t="shared" si="42"/>
        <v>0</v>
      </c>
      <c r="AB45" s="937">
        <f t="shared" si="43"/>
        <v>0</v>
      </c>
      <c r="AC45" s="899">
        <f t="shared" si="44"/>
        <v>0</v>
      </c>
      <c r="AD45" s="1830">
        <v>0</v>
      </c>
      <c r="AE45" s="899">
        <f t="shared" si="45"/>
        <v>0</v>
      </c>
      <c r="AF45" s="1834">
        <f>+'[4]Table 5C1J-Jefferson Chamber'!T44*8</f>
        <v>0</v>
      </c>
      <c r="AG45" s="1834">
        <f t="shared" si="46"/>
        <v>0</v>
      </c>
      <c r="AH45" s="899">
        <f t="shared" si="47"/>
        <v>0</v>
      </c>
      <c r="AI45" s="900">
        <f t="shared" si="51"/>
        <v>0</v>
      </c>
      <c r="AJ45" s="900">
        <f t="shared" si="48"/>
        <v>0</v>
      </c>
      <c r="AL45" s="2034">
        <f>-'[4]Table 5C1J-Jefferson Chamber'!P44</f>
        <v>0</v>
      </c>
      <c r="AM45" s="2034">
        <f t="shared" si="49"/>
        <v>0</v>
      </c>
      <c r="AN45" s="2034">
        <f t="shared" si="50"/>
        <v>0</v>
      </c>
    </row>
    <row r="46" spans="1:40">
      <c r="A46" s="876">
        <v>39</v>
      </c>
      <c r="B46" s="877" t="s">
        <v>130</v>
      </c>
      <c r="C46" s="972">
        <v>0</v>
      </c>
      <c r="D46" s="882">
        <f>'Table 3 Levels 1&amp;2'!AL46</f>
        <v>3639.9942778062696</v>
      </c>
      <c r="E46" s="921">
        <f t="shared" si="28"/>
        <v>0</v>
      </c>
      <c r="F46" s="921">
        <f>'Table 4 Level 3'!P44</f>
        <v>779.65573042776441</v>
      </c>
      <c r="G46" s="921">
        <f t="shared" si="29"/>
        <v>0</v>
      </c>
      <c r="H46" s="905">
        <f t="shared" si="30"/>
        <v>0</v>
      </c>
      <c r="I46" s="1734">
        <f>+'[3]Oct midyear Jefferson Chamber'!K45</f>
        <v>0</v>
      </c>
      <c r="J46" s="1734">
        <f>'[3]Feb midyear Jefferson Chamber'!K45</f>
        <v>0</v>
      </c>
      <c r="K46" s="1545">
        <f t="shared" si="31"/>
        <v>0</v>
      </c>
      <c r="L46" s="1489">
        <f t="shared" si="32"/>
        <v>0</v>
      </c>
      <c r="M46" s="931">
        <f t="shared" si="33"/>
        <v>0</v>
      </c>
      <c r="N46" s="905">
        <f t="shared" si="34"/>
        <v>0</v>
      </c>
      <c r="O46" s="882">
        <v>0</v>
      </c>
      <c r="P46" s="1552">
        <f t="shared" si="35"/>
        <v>0</v>
      </c>
      <c r="Q46" s="1734">
        <f>+'[4]Table 5C1J-Jefferson Chamber'!M45*8</f>
        <v>0</v>
      </c>
      <c r="R46" s="1734">
        <f t="shared" si="36"/>
        <v>0</v>
      </c>
      <c r="S46" s="1552">
        <f t="shared" si="37"/>
        <v>0</v>
      </c>
      <c r="T46" s="1802">
        <f>'Table 5C1A-Madison Prep'!T46</f>
        <v>4436</v>
      </c>
      <c r="U46" s="1555">
        <f t="shared" si="38"/>
        <v>0</v>
      </c>
      <c r="V46" s="1758">
        <f>+'[3]Oct midyear Jefferson Chamber'!E45</f>
        <v>0</v>
      </c>
      <c r="W46" s="1759">
        <f t="shared" si="39"/>
        <v>0</v>
      </c>
      <c r="X46" s="1758">
        <f>'[3]Feb midyear Jefferson Chamber'!E45</f>
        <v>0</v>
      </c>
      <c r="Y46" s="1759">
        <f t="shared" si="40"/>
        <v>0</v>
      </c>
      <c r="Z46" s="1653">
        <f t="shared" si="41"/>
        <v>0</v>
      </c>
      <c r="AA46" s="1486">
        <f t="shared" si="42"/>
        <v>0</v>
      </c>
      <c r="AB46" s="937">
        <f t="shared" si="43"/>
        <v>0</v>
      </c>
      <c r="AC46" s="899">
        <f t="shared" si="44"/>
        <v>0</v>
      </c>
      <c r="AD46" s="1830">
        <v>0</v>
      </c>
      <c r="AE46" s="899">
        <f t="shared" si="45"/>
        <v>0</v>
      </c>
      <c r="AF46" s="1834">
        <f>+'[4]Table 5C1J-Jefferson Chamber'!T45*8</f>
        <v>0</v>
      </c>
      <c r="AG46" s="1834">
        <f t="shared" si="46"/>
        <v>0</v>
      </c>
      <c r="AH46" s="899">
        <f t="shared" si="47"/>
        <v>0</v>
      </c>
      <c r="AI46" s="900">
        <f t="shared" si="51"/>
        <v>0</v>
      </c>
      <c r="AJ46" s="900">
        <f t="shared" si="48"/>
        <v>0</v>
      </c>
      <c r="AL46" s="2034">
        <f>-'[4]Table 5C1J-Jefferson Chamber'!P45</f>
        <v>0</v>
      </c>
      <c r="AM46" s="2034">
        <f t="shared" si="49"/>
        <v>0</v>
      </c>
      <c r="AN46" s="2034">
        <f t="shared" si="50"/>
        <v>0</v>
      </c>
    </row>
    <row r="47" spans="1:40">
      <c r="A47" s="879">
        <v>40</v>
      </c>
      <c r="B47" s="880" t="s">
        <v>131</v>
      </c>
      <c r="C47" s="973">
        <v>0</v>
      </c>
      <c r="D47" s="883">
        <f>'Table 3 Levels 1&amp;2'!AL47</f>
        <v>4928.4974462701202</v>
      </c>
      <c r="E47" s="922">
        <f t="shared" si="28"/>
        <v>0</v>
      </c>
      <c r="F47" s="922">
        <f>'Table 4 Level 3'!P45</f>
        <v>700.2700000000001</v>
      </c>
      <c r="G47" s="922">
        <f t="shared" si="29"/>
        <v>0</v>
      </c>
      <c r="H47" s="906">
        <f t="shared" si="30"/>
        <v>0</v>
      </c>
      <c r="I47" s="1735">
        <f>+'[3]Oct midyear Jefferson Chamber'!K46</f>
        <v>0</v>
      </c>
      <c r="J47" s="1735">
        <f>'[3]Feb midyear Jefferson Chamber'!K46</f>
        <v>0</v>
      </c>
      <c r="K47" s="1546">
        <f t="shared" si="31"/>
        <v>0</v>
      </c>
      <c r="L47" s="1490">
        <f t="shared" si="32"/>
        <v>0</v>
      </c>
      <c r="M47" s="932">
        <f t="shared" si="33"/>
        <v>0</v>
      </c>
      <c r="N47" s="906">
        <f t="shared" si="34"/>
        <v>0</v>
      </c>
      <c r="O47" s="883">
        <v>0</v>
      </c>
      <c r="P47" s="1553">
        <f t="shared" si="35"/>
        <v>0</v>
      </c>
      <c r="Q47" s="1735">
        <f>+'[4]Table 5C1J-Jefferson Chamber'!M46*8</f>
        <v>0</v>
      </c>
      <c r="R47" s="1735">
        <f t="shared" si="36"/>
        <v>0</v>
      </c>
      <c r="S47" s="1553">
        <f t="shared" si="37"/>
        <v>0</v>
      </c>
      <c r="T47" s="1807">
        <f>'Table 5C1A-Madison Prep'!T47</f>
        <v>3019</v>
      </c>
      <c r="U47" s="1556">
        <f t="shared" si="38"/>
        <v>0</v>
      </c>
      <c r="V47" s="1762">
        <f>+'[3]Oct midyear Jefferson Chamber'!E46</f>
        <v>0</v>
      </c>
      <c r="W47" s="1763">
        <f t="shared" si="39"/>
        <v>0</v>
      </c>
      <c r="X47" s="1762">
        <f>'[3]Feb midyear Jefferson Chamber'!E46</f>
        <v>0</v>
      </c>
      <c r="Y47" s="1763">
        <f t="shared" si="40"/>
        <v>0</v>
      </c>
      <c r="Z47" s="1654">
        <f t="shared" si="41"/>
        <v>0</v>
      </c>
      <c r="AA47" s="1488">
        <f t="shared" si="42"/>
        <v>0</v>
      </c>
      <c r="AB47" s="938">
        <f t="shared" si="43"/>
        <v>0</v>
      </c>
      <c r="AC47" s="903">
        <f t="shared" si="44"/>
        <v>0</v>
      </c>
      <c r="AD47" s="1831">
        <v>0</v>
      </c>
      <c r="AE47" s="903">
        <f t="shared" si="45"/>
        <v>0</v>
      </c>
      <c r="AF47" s="1835">
        <f>+'[4]Table 5C1J-Jefferson Chamber'!T46*8</f>
        <v>0</v>
      </c>
      <c r="AG47" s="1835">
        <f t="shared" si="46"/>
        <v>0</v>
      </c>
      <c r="AH47" s="903">
        <f t="shared" si="47"/>
        <v>0</v>
      </c>
      <c r="AI47" s="904">
        <f t="shared" si="51"/>
        <v>0</v>
      </c>
      <c r="AJ47" s="904">
        <f t="shared" si="48"/>
        <v>0</v>
      </c>
      <c r="AL47" s="2034">
        <f>-'[4]Table 5C1J-Jefferson Chamber'!P46</f>
        <v>0</v>
      </c>
      <c r="AM47" s="2034">
        <f t="shared" si="49"/>
        <v>0</v>
      </c>
      <c r="AN47" s="2034">
        <f t="shared" si="50"/>
        <v>0</v>
      </c>
    </row>
    <row r="48" spans="1:40">
      <c r="A48" s="870">
        <v>41</v>
      </c>
      <c r="B48" s="871" t="s">
        <v>132</v>
      </c>
      <c r="C48" s="974">
        <v>0</v>
      </c>
      <c r="D48" s="884">
        <f>'Table 3 Levels 1&amp;2'!AL48</f>
        <v>1615.6013465627216</v>
      </c>
      <c r="E48" s="923">
        <f t="shared" si="28"/>
        <v>0</v>
      </c>
      <c r="F48" s="923">
        <f>'Table 4 Level 3'!P46</f>
        <v>886.22</v>
      </c>
      <c r="G48" s="923">
        <f t="shared" si="29"/>
        <v>0</v>
      </c>
      <c r="H48" s="907">
        <f t="shared" si="30"/>
        <v>0</v>
      </c>
      <c r="I48" s="1723">
        <f>+'[3]Oct midyear Jefferson Chamber'!K47</f>
        <v>0</v>
      </c>
      <c r="J48" s="1723">
        <f>'[3]Feb midyear Jefferson Chamber'!K47</f>
        <v>0</v>
      </c>
      <c r="K48" s="1547">
        <f t="shared" si="31"/>
        <v>0</v>
      </c>
      <c r="L48" s="1491">
        <f t="shared" si="32"/>
        <v>0</v>
      </c>
      <c r="M48" s="933">
        <f t="shared" si="33"/>
        <v>0</v>
      </c>
      <c r="N48" s="907">
        <f t="shared" si="34"/>
        <v>0</v>
      </c>
      <c r="O48" s="884">
        <v>0</v>
      </c>
      <c r="P48" s="996">
        <f t="shared" si="35"/>
        <v>0</v>
      </c>
      <c r="Q48" s="1723">
        <f>+'[4]Table 5C1J-Jefferson Chamber'!M47*8</f>
        <v>0</v>
      </c>
      <c r="R48" s="1723">
        <f t="shared" si="36"/>
        <v>0</v>
      </c>
      <c r="S48" s="996">
        <f t="shared" si="37"/>
        <v>0</v>
      </c>
      <c r="T48" s="1802">
        <f>'Table 5C1A-Madison Prep'!T48</f>
        <v>8964</v>
      </c>
      <c r="U48" s="999">
        <f t="shared" si="38"/>
        <v>0</v>
      </c>
      <c r="V48" s="1754">
        <f>+'[3]Oct midyear Jefferson Chamber'!E47</f>
        <v>0</v>
      </c>
      <c r="W48" s="1755">
        <f t="shared" si="39"/>
        <v>0</v>
      </c>
      <c r="X48" s="1754">
        <f>'[3]Feb midyear Jefferson Chamber'!E47</f>
        <v>0</v>
      </c>
      <c r="Y48" s="1755">
        <f t="shared" si="40"/>
        <v>0</v>
      </c>
      <c r="Z48" s="1652">
        <f t="shared" si="41"/>
        <v>0</v>
      </c>
      <c r="AA48" s="1521">
        <f t="shared" si="42"/>
        <v>0</v>
      </c>
      <c r="AB48" s="936">
        <f t="shared" si="43"/>
        <v>0</v>
      </c>
      <c r="AC48" s="874">
        <f t="shared" si="44"/>
        <v>0</v>
      </c>
      <c r="AD48" s="1829">
        <v>0</v>
      </c>
      <c r="AE48" s="874">
        <f t="shared" si="45"/>
        <v>0</v>
      </c>
      <c r="AF48" s="1829">
        <f>+'[4]Table 5C1J-Jefferson Chamber'!T47*8</f>
        <v>0</v>
      </c>
      <c r="AG48" s="1829">
        <f t="shared" si="46"/>
        <v>0</v>
      </c>
      <c r="AH48" s="874">
        <f t="shared" si="47"/>
        <v>0</v>
      </c>
      <c r="AI48" s="875">
        <f t="shared" si="51"/>
        <v>0</v>
      </c>
      <c r="AJ48" s="875">
        <f t="shared" si="48"/>
        <v>0</v>
      </c>
      <c r="AL48" s="2034">
        <f>-'[4]Table 5C1J-Jefferson Chamber'!P47</f>
        <v>0</v>
      </c>
      <c r="AM48" s="2034">
        <f t="shared" si="49"/>
        <v>0</v>
      </c>
      <c r="AN48" s="2034">
        <f t="shared" si="50"/>
        <v>0</v>
      </c>
    </row>
    <row r="49" spans="1:40">
      <c r="A49" s="876">
        <v>42</v>
      </c>
      <c r="B49" s="877" t="s">
        <v>133</v>
      </c>
      <c r="C49" s="972">
        <v>0</v>
      </c>
      <c r="D49" s="882">
        <f>'Table 3 Levels 1&amp;2'!AL49</f>
        <v>5087.4730460987803</v>
      </c>
      <c r="E49" s="921">
        <f t="shared" si="28"/>
        <v>0</v>
      </c>
      <c r="F49" s="921">
        <f>'Table 4 Level 3'!P47</f>
        <v>534.28</v>
      </c>
      <c r="G49" s="921">
        <f t="shared" si="29"/>
        <v>0</v>
      </c>
      <c r="H49" s="905">
        <f t="shared" si="30"/>
        <v>0</v>
      </c>
      <c r="I49" s="1734">
        <f>+'[3]Oct midyear Jefferson Chamber'!K48</f>
        <v>0</v>
      </c>
      <c r="J49" s="1734">
        <f>'[3]Feb midyear Jefferson Chamber'!K48</f>
        <v>0</v>
      </c>
      <c r="K49" s="1545">
        <f t="shared" si="31"/>
        <v>0</v>
      </c>
      <c r="L49" s="1489">
        <f t="shared" si="32"/>
        <v>0</v>
      </c>
      <c r="M49" s="931">
        <f t="shared" si="33"/>
        <v>0</v>
      </c>
      <c r="N49" s="905">
        <f t="shared" si="34"/>
        <v>0</v>
      </c>
      <c r="O49" s="882">
        <v>0</v>
      </c>
      <c r="P49" s="1552">
        <f t="shared" si="35"/>
        <v>0</v>
      </c>
      <c r="Q49" s="1734">
        <f>+'[4]Table 5C1J-Jefferson Chamber'!M48*8</f>
        <v>0</v>
      </c>
      <c r="R49" s="1734">
        <f t="shared" si="36"/>
        <v>0</v>
      </c>
      <c r="S49" s="1552">
        <f t="shared" si="37"/>
        <v>0</v>
      </c>
      <c r="T49" s="1802">
        <f>'Table 5C1A-Madison Prep'!T49</f>
        <v>3535</v>
      </c>
      <c r="U49" s="1555">
        <f t="shared" si="38"/>
        <v>0</v>
      </c>
      <c r="V49" s="1758">
        <f>+'[3]Oct midyear Jefferson Chamber'!E48</f>
        <v>0</v>
      </c>
      <c r="W49" s="1759">
        <f t="shared" si="39"/>
        <v>0</v>
      </c>
      <c r="X49" s="1758">
        <f>'[3]Feb midyear Jefferson Chamber'!E48</f>
        <v>0</v>
      </c>
      <c r="Y49" s="1759">
        <f t="shared" si="40"/>
        <v>0</v>
      </c>
      <c r="Z49" s="1653">
        <f t="shared" si="41"/>
        <v>0</v>
      </c>
      <c r="AA49" s="1486">
        <f t="shared" si="42"/>
        <v>0</v>
      </c>
      <c r="AB49" s="937">
        <f t="shared" si="43"/>
        <v>0</v>
      </c>
      <c r="AC49" s="899">
        <f t="shared" si="44"/>
        <v>0</v>
      </c>
      <c r="AD49" s="1830">
        <v>0</v>
      </c>
      <c r="AE49" s="899">
        <f t="shared" si="45"/>
        <v>0</v>
      </c>
      <c r="AF49" s="1834">
        <f>+'[4]Table 5C1J-Jefferson Chamber'!T48*8</f>
        <v>0</v>
      </c>
      <c r="AG49" s="1834">
        <f t="shared" si="46"/>
        <v>0</v>
      </c>
      <c r="AH49" s="899">
        <f t="shared" si="47"/>
        <v>0</v>
      </c>
      <c r="AI49" s="900">
        <f t="shared" si="51"/>
        <v>0</v>
      </c>
      <c r="AJ49" s="900">
        <f t="shared" si="48"/>
        <v>0</v>
      </c>
      <c r="AL49" s="2034">
        <f>-'[4]Table 5C1J-Jefferson Chamber'!P48</f>
        <v>0</v>
      </c>
      <c r="AM49" s="2034">
        <f t="shared" si="49"/>
        <v>0</v>
      </c>
      <c r="AN49" s="2034">
        <f t="shared" si="50"/>
        <v>0</v>
      </c>
    </row>
    <row r="50" spans="1:40">
      <c r="A50" s="876">
        <v>43</v>
      </c>
      <c r="B50" s="877" t="s">
        <v>134</v>
      </c>
      <c r="C50" s="972">
        <v>0</v>
      </c>
      <c r="D50" s="882">
        <f>'Table 3 Levels 1&amp;2'!AL50</f>
        <v>4717.8414352725031</v>
      </c>
      <c r="E50" s="921">
        <f t="shared" si="28"/>
        <v>0</v>
      </c>
      <c r="F50" s="921">
        <f>'Table 4 Level 3'!P48</f>
        <v>574.6099999999999</v>
      </c>
      <c r="G50" s="921">
        <f t="shared" si="29"/>
        <v>0</v>
      </c>
      <c r="H50" s="905">
        <f t="shared" si="30"/>
        <v>0</v>
      </c>
      <c r="I50" s="1734">
        <f>+'[3]Oct midyear Jefferson Chamber'!K49</f>
        <v>0</v>
      </c>
      <c r="J50" s="1734">
        <f>'[3]Feb midyear Jefferson Chamber'!K49</f>
        <v>0</v>
      </c>
      <c r="K50" s="1545">
        <f t="shared" si="31"/>
        <v>0</v>
      </c>
      <c r="L50" s="1489">
        <f t="shared" si="32"/>
        <v>0</v>
      </c>
      <c r="M50" s="931">
        <f t="shared" si="33"/>
        <v>0</v>
      </c>
      <c r="N50" s="905">
        <f t="shared" si="34"/>
        <v>0</v>
      </c>
      <c r="O50" s="882">
        <v>0</v>
      </c>
      <c r="P50" s="1552">
        <f t="shared" si="35"/>
        <v>0</v>
      </c>
      <c r="Q50" s="1734">
        <f>+'[4]Table 5C1J-Jefferson Chamber'!M49*8</f>
        <v>0</v>
      </c>
      <c r="R50" s="1734">
        <f t="shared" si="36"/>
        <v>0</v>
      </c>
      <c r="S50" s="1552">
        <f t="shared" si="37"/>
        <v>0</v>
      </c>
      <c r="T50" s="1802">
        <f>'Table 5C1A-Madison Prep'!T50</f>
        <v>3593</v>
      </c>
      <c r="U50" s="1555">
        <f t="shared" si="38"/>
        <v>0</v>
      </c>
      <c r="V50" s="1758">
        <f>+'[3]Oct midyear Jefferson Chamber'!E49</f>
        <v>0</v>
      </c>
      <c r="W50" s="1759">
        <f t="shared" si="39"/>
        <v>0</v>
      </c>
      <c r="X50" s="1758">
        <f>'[3]Feb midyear Jefferson Chamber'!E49</f>
        <v>0</v>
      </c>
      <c r="Y50" s="1759">
        <f t="shared" si="40"/>
        <v>0</v>
      </c>
      <c r="Z50" s="1653">
        <f t="shared" si="41"/>
        <v>0</v>
      </c>
      <c r="AA50" s="1486">
        <f t="shared" si="42"/>
        <v>0</v>
      </c>
      <c r="AB50" s="937">
        <f t="shared" si="43"/>
        <v>0</v>
      </c>
      <c r="AC50" s="899">
        <f t="shared" si="44"/>
        <v>0</v>
      </c>
      <c r="AD50" s="1830">
        <v>0</v>
      </c>
      <c r="AE50" s="899">
        <f t="shared" si="45"/>
        <v>0</v>
      </c>
      <c r="AF50" s="1834">
        <f>+'[4]Table 5C1J-Jefferson Chamber'!T49*8</f>
        <v>0</v>
      </c>
      <c r="AG50" s="1834">
        <f t="shared" si="46"/>
        <v>0</v>
      </c>
      <c r="AH50" s="899">
        <f t="shared" si="47"/>
        <v>0</v>
      </c>
      <c r="AI50" s="900">
        <f t="shared" si="51"/>
        <v>0</v>
      </c>
      <c r="AJ50" s="900">
        <f t="shared" si="48"/>
        <v>0</v>
      </c>
      <c r="AL50" s="2034">
        <f>-'[4]Table 5C1J-Jefferson Chamber'!P49</f>
        <v>0</v>
      </c>
      <c r="AM50" s="2034">
        <f t="shared" si="49"/>
        <v>0</v>
      </c>
      <c r="AN50" s="2034">
        <f t="shared" si="50"/>
        <v>0</v>
      </c>
    </row>
    <row r="51" spans="1:40">
      <c r="A51" s="876">
        <v>44</v>
      </c>
      <c r="B51" s="877" t="s">
        <v>135</v>
      </c>
      <c r="C51" s="972">
        <v>3</v>
      </c>
      <c r="D51" s="882">
        <f>'Table 3 Levels 1&amp;2'!AL51</f>
        <v>4696.6221228259064</v>
      </c>
      <c r="E51" s="921">
        <f t="shared" si="28"/>
        <v>14089.86636847772</v>
      </c>
      <c r="F51" s="921">
        <f>'Table 4 Level 3'!P49</f>
        <v>663.16000000000008</v>
      </c>
      <c r="G51" s="921">
        <f t="shared" si="29"/>
        <v>1989.4800000000002</v>
      </c>
      <c r="H51" s="905">
        <f t="shared" si="30"/>
        <v>16079.34636847772</v>
      </c>
      <c r="I51" s="1734">
        <f>+'[3]Oct midyear Jefferson Chamber'!K50</f>
        <v>-16079.34636847772</v>
      </c>
      <c r="J51" s="1734">
        <f>'[3]Feb midyear Jefferson Chamber'!K50</f>
        <v>0</v>
      </c>
      <c r="K51" s="1545">
        <f t="shared" si="31"/>
        <v>-16079.34636847772</v>
      </c>
      <c r="L51" s="1489">
        <f t="shared" si="32"/>
        <v>0</v>
      </c>
      <c r="M51" s="931">
        <f t="shared" si="33"/>
        <v>0</v>
      </c>
      <c r="N51" s="905">
        <f t="shared" si="34"/>
        <v>0</v>
      </c>
      <c r="O51" s="882">
        <v>0</v>
      </c>
      <c r="P51" s="1552">
        <f t="shared" si="35"/>
        <v>0</v>
      </c>
      <c r="Q51" s="1734">
        <f>+'[4]Table 5C1J-Jefferson Chamber'!M50*8</f>
        <v>10692.765335037684</v>
      </c>
      <c r="R51" s="1734">
        <f t="shared" si="36"/>
        <v>-10692.765335037684</v>
      </c>
      <c r="S51" s="1552">
        <f t="shared" si="37"/>
        <v>-2673</v>
      </c>
      <c r="T51" s="1802">
        <f>'Table 5C1A-Madison Prep'!T51</f>
        <v>4323</v>
      </c>
      <c r="U51" s="1555">
        <f t="shared" si="38"/>
        <v>12969</v>
      </c>
      <c r="V51" s="1758">
        <f>+'[3]Oct midyear Jefferson Chamber'!E50</f>
        <v>-3</v>
      </c>
      <c r="W51" s="1759">
        <f t="shared" si="39"/>
        <v>-12969</v>
      </c>
      <c r="X51" s="1758">
        <f>'[3]Feb midyear Jefferson Chamber'!E50</f>
        <v>0</v>
      </c>
      <c r="Y51" s="1759">
        <f t="shared" si="40"/>
        <v>0</v>
      </c>
      <c r="Z51" s="1653">
        <f t="shared" si="41"/>
        <v>-12969</v>
      </c>
      <c r="AA51" s="1486">
        <f t="shared" si="42"/>
        <v>0</v>
      </c>
      <c r="AB51" s="937">
        <f t="shared" si="43"/>
        <v>0</v>
      </c>
      <c r="AC51" s="899">
        <f t="shared" si="44"/>
        <v>0</v>
      </c>
      <c r="AD51" s="1830">
        <v>0</v>
      </c>
      <c r="AE51" s="899">
        <f t="shared" si="45"/>
        <v>0</v>
      </c>
      <c r="AF51" s="1834">
        <f>+'[4]Table 5C1J-Jefferson Chamber'!T50*8</f>
        <v>9097.1999999999989</v>
      </c>
      <c r="AG51" s="1834">
        <f t="shared" si="46"/>
        <v>-9097.1999999999989</v>
      </c>
      <c r="AH51" s="899">
        <f t="shared" si="47"/>
        <v>-2274</v>
      </c>
      <c r="AI51" s="900">
        <f t="shared" si="51"/>
        <v>0</v>
      </c>
      <c r="AJ51" s="900">
        <f t="shared" si="48"/>
        <v>-4947</v>
      </c>
      <c r="AL51" s="2034">
        <f>-'[4]Table 5C1J-Jefferson Chamber'!P50</f>
        <v>34.200000000000003</v>
      </c>
      <c r="AM51" s="2034">
        <f t="shared" si="49"/>
        <v>0</v>
      </c>
      <c r="AN51" s="2034">
        <f t="shared" si="50"/>
        <v>34.200000000000003</v>
      </c>
    </row>
    <row r="52" spans="1:40">
      <c r="A52" s="879">
        <v>45</v>
      </c>
      <c r="B52" s="880" t="s">
        <v>136</v>
      </c>
      <c r="C52" s="973">
        <v>2</v>
      </c>
      <c r="D52" s="883">
        <f>'Table 3 Levels 1&amp;2'!AL52</f>
        <v>2192.4914538932262</v>
      </c>
      <c r="E52" s="922">
        <f t="shared" si="28"/>
        <v>4384.9829077864524</v>
      </c>
      <c r="F52" s="922">
        <f>'Table 4 Level 3'!P50</f>
        <v>753.96000000000015</v>
      </c>
      <c r="G52" s="922">
        <f t="shared" si="29"/>
        <v>1507.9200000000003</v>
      </c>
      <c r="H52" s="906">
        <f t="shared" si="30"/>
        <v>5892.9029077864525</v>
      </c>
      <c r="I52" s="1735">
        <f>+'[3]Oct midyear Jefferson Chamber'!K51</f>
        <v>-5892.9029077864525</v>
      </c>
      <c r="J52" s="1735">
        <f>'[3]Feb midyear Jefferson Chamber'!K51</f>
        <v>1473.2257269466131</v>
      </c>
      <c r="K52" s="1546">
        <f t="shared" si="31"/>
        <v>-4419.6771808398389</v>
      </c>
      <c r="L52" s="1490">
        <f t="shared" si="32"/>
        <v>1473.2257269466136</v>
      </c>
      <c r="M52" s="932">
        <f t="shared" si="33"/>
        <v>-3.6830643173665338</v>
      </c>
      <c r="N52" s="906">
        <f t="shared" si="34"/>
        <v>1469.5426626292469</v>
      </c>
      <c r="O52" s="883">
        <v>0</v>
      </c>
      <c r="P52" s="1553">
        <f t="shared" si="35"/>
        <v>1469.5426626292469</v>
      </c>
      <c r="Q52" s="1735">
        <f>+'[4]Table 5C1J-Jefferson Chamber'!M51*8</f>
        <v>3918.7804336779905</v>
      </c>
      <c r="R52" s="1735">
        <f t="shared" si="36"/>
        <v>-2449.2377710487435</v>
      </c>
      <c r="S52" s="1553">
        <f t="shared" si="37"/>
        <v>-612</v>
      </c>
      <c r="T52" s="1807">
        <f>'Table 5C1A-Madison Prep'!T52</f>
        <v>12792</v>
      </c>
      <c r="U52" s="1556">
        <f t="shared" si="38"/>
        <v>25584</v>
      </c>
      <c r="V52" s="1762">
        <f>+'[3]Oct midyear Jefferson Chamber'!E51</f>
        <v>-2</v>
      </c>
      <c r="W52" s="1763">
        <f t="shared" si="39"/>
        <v>-25584</v>
      </c>
      <c r="X52" s="1762">
        <f>'[3]Feb midyear Jefferson Chamber'!E51</f>
        <v>1</v>
      </c>
      <c r="Y52" s="1763">
        <f t="shared" si="40"/>
        <v>6396</v>
      </c>
      <c r="Z52" s="1654">
        <f t="shared" si="41"/>
        <v>-19188</v>
      </c>
      <c r="AA52" s="1488">
        <f t="shared" si="42"/>
        <v>6396</v>
      </c>
      <c r="AB52" s="938">
        <f t="shared" si="43"/>
        <v>-15.99</v>
      </c>
      <c r="AC52" s="903">
        <f t="shared" si="44"/>
        <v>6380.01</v>
      </c>
      <c r="AD52" s="1831">
        <v>0</v>
      </c>
      <c r="AE52" s="903">
        <f t="shared" si="45"/>
        <v>6380.01</v>
      </c>
      <c r="AF52" s="1835">
        <f>+'[4]Table 5C1J-Jefferson Chamber'!T51*8</f>
        <v>15010.38</v>
      </c>
      <c r="AG52" s="1835">
        <f t="shared" si="46"/>
        <v>-8630.369999999999</v>
      </c>
      <c r="AH52" s="903">
        <f t="shared" si="47"/>
        <v>-2158</v>
      </c>
      <c r="AI52" s="904">
        <f t="shared" si="51"/>
        <v>7849.5526626292467</v>
      </c>
      <c r="AJ52" s="904">
        <f t="shared" si="48"/>
        <v>-2770</v>
      </c>
      <c r="AL52" s="2034">
        <f>-'[4]Table 5C1J-Jefferson Chamber'!P51</f>
        <v>56.43</v>
      </c>
      <c r="AM52" s="2034">
        <f t="shared" si="49"/>
        <v>-15.99</v>
      </c>
      <c r="AN52" s="2034">
        <f t="shared" si="50"/>
        <v>40.44</v>
      </c>
    </row>
    <row r="53" spans="1:40">
      <c r="A53" s="870">
        <v>46</v>
      </c>
      <c r="B53" s="871" t="s">
        <v>137</v>
      </c>
      <c r="C53" s="974">
        <v>0</v>
      </c>
      <c r="D53" s="884">
        <f>'Table 3 Levels 1&amp;2'!AL53</f>
        <v>5644.6599115241634</v>
      </c>
      <c r="E53" s="923">
        <f t="shared" si="28"/>
        <v>0</v>
      </c>
      <c r="F53" s="923">
        <f>'Table 4 Level 3'!P51</f>
        <v>728.06</v>
      </c>
      <c r="G53" s="923">
        <f t="shared" si="29"/>
        <v>0</v>
      </c>
      <c r="H53" s="907">
        <f t="shared" si="30"/>
        <v>0</v>
      </c>
      <c r="I53" s="1723">
        <f>+'[3]Oct midyear Jefferson Chamber'!K52</f>
        <v>0</v>
      </c>
      <c r="J53" s="1723">
        <f>'[3]Feb midyear Jefferson Chamber'!K52</f>
        <v>0</v>
      </c>
      <c r="K53" s="1547">
        <f t="shared" si="31"/>
        <v>0</v>
      </c>
      <c r="L53" s="1491">
        <f t="shared" si="32"/>
        <v>0</v>
      </c>
      <c r="M53" s="933">
        <f t="shared" si="33"/>
        <v>0</v>
      </c>
      <c r="N53" s="907">
        <f t="shared" si="34"/>
        <v>0</v>
      </c>
      <c r="O53" s="884">
        <v>0</v>
      </c>
      <c r="P53" s="996">
        <f t="shared" si="35"/>
        <v>0</v>
      </c>
      <c r="Q53" s="1723">
        <f>+'[4]Table 5C1J-Jefferson Chamber'!M52*8</f>
        <v>0</v>
      </c>
      <c r="R53" s="1723">
        <f t="shared" si="36"/>
        <v>0</v>
      </c>
      <c r="S53" s="996">
        <f t="shared" si="37"/>
        <v>0</v>
      </c>
      <c r="T53" s="1802">
        <f>'Table 5C1A-Madison Prep'!T53</f>
        <v>2423</v>
      </c>
      <c r="U53" s="999">
        <f t="shared" si="38"/>
        <v>0</v>
      </c>
      <c r="V53" s="1754">
        <f>+'[3]Oct midyear Jefferson Chamber'!E52</f>
        <v>0</v>
      </c>
      <c r="W53" s="1755">
        <f t="shared" si="39"/>
        <v>0</v>
      </c>
      <c r="X53" s="1754">
        <f>'[3]Feb midyear Jefferson Chamber'!E52</f>
        <v>0</v>
      </c>
      <c r="Y53" s="1755">
        <f t="shared" si="40"/>
        <v>0</v>
      </c>
      <c r="Z53" s="1652">
        <f t="shared" si="41"/>
        <v>0</v>
      </c>
      <c r="AA53" s="1521">
        <f t="shared" si="42"/>
        <v>0</v>
      </c>
      <c r="AB53" s="936">
        <f t="shared" si="43"/>
        <v>0</v>
      </c>
      <c r="AC53" s="874">
        <f t="shared" si="44"/>
        <v>0</v>
      </c>
      <c r="AD53" s="1829">
        <v>0</v>
      </c>
      <c r="AE53" s="874">
        <f t="shared" si="45"/>
        <v>0</v>
      </c>
      <c r="AF53" s="1829">
        <f>+'[4]Table 5C1J-Jefferson Chamber'!T52*8</f>
        <v>0</v>
      </c>
      <c r="AG53" s="1829">
        <f t="shared" si="46"/>
        <v>0</v>
      </c>
      <c r="AH53" s="874">
        <f t="shared" si="47"/>
        <v>0</v>
      </c>
      <c r="AI53" s="875">
        <f t="shared" si="51"/>
        <v>0</v>
      </c>
      <c r="AJ53" s="875">
        <f t="shared" si="48"/>
        <v>0</v>
      </c>
      <c r="AL53" s="2034">
        <f>-'[4]Table 5C1J-Jefferson Chamber'!P52</f>
        <v>0</v>
      </c>
      <c r="AM53" s="2034">
        <f t="shared" si="49"/>
        <v>0</v>
      </c>
      <c r="AN53" s="2034">
        <f t="shared" si="50"/>
        <v>0</v>
      </c>
    </row>
    <row r="54" spans="1:40">
      <c r="A54" s="876">
        <v>47</v>
      </c>
      <c r="B54" s="877" t="s">
        <v>138</v>
      </c>
      <c r="C54" s="972">
        <v>0</v>
      </c>
      <c r="D54" s="882">
        <f>'Table 3 Levels 1&amp;2'!AL54</f>
        <v>2731.2444076222037</v>
      </c>
      <c r="E54" s="921">
        <f t="shared" si="28"/>
        <v>0</v>
      </c>
      <c r="F54" s="921">
        <f>'Table 4 Level 3'!P52</f>
        <v>910.76</v>
      </c>
      <c r="G54" s="921">
        <f t="shared" si="29"/>
        <v>0</v>
      </c>
      <c r="H54" s="905">
        <f t="shared" si="30"/>
        <v>0</v>
      </c>
      <c r="I54" s="1734">
        <f>+'[3]Oct midyear Jefferson Chamber'!K53</f>
        <v>0</v>
      </c>
      <c r="J54" s="1734">
        <f>'[3]Feb midyear Jefferson Chamber'!K53</f>
        <v>0</v>
      </c>
      <c r="K54" s="1545">
        <f t="shared" si="31"/>
        <v>0</v>
      </c>
      <c r="L54" s="1489">
        <f t="shared" si="32"/>
        <v>0</v>
      </c>
      <c r="M54" s="931">
        <f t="shared" si="33"/>
        <v>0</v>
      </c>
      <c r="N54" s="905">
        <f t="shared" si="34"/>
        <v>0</v>
      </c>
      <c r="O54" s="882">
        <v>0</v>
      </c>
      <c r="P54" s="1552">
        <f t="shared" si="35"/>
        <v>0</v>
      </c>
      <c r="Q54" s="1734">
        <f>+'[4]Table 5C1J-Jefferson Chamber'!M53*8</f>
        <v>0</v>
      </c>
      <c r="R54" s="1734">
        <f t="shared" si="36"/>
        <v>0</v>
      </c>
      <c r="S54" s="1552">
        <f t="shared" si="37"/>
        <v>0</v>
      </c>
      <c r="T54" s="1802">
        <f>'Table 5C1A-Madison Prep'!T54</f>
        <v>12963</v>
      </c>
      <c r="U54" s="1555">
        <f t="shared" si="38"/>
        <v>0</v>
      </c>
      <c r="V54" s="1758">
        <f>+'[3]Oct midyear Jefferson Chamber'!E53</f>
        <v>0</v>
      </c>
      <c r="W54" s="1759">
        <f t="shared" si="39"/>
        <v>0</v>
      </c>
      <c r="X54" s="1758">
        <f>'[3]Feb midyear Jefferson Chamber'!E53</f>
        <v>0</v>
      </c>
      <c r="Y54" s="1759">
        <f t="shared" si="40"/>
        <v>0</v>
      </c>
      <c r="Z54" s="1653">
        <f t="shared" si="41"/>
        <v>0</v>
      </c>
      <c r="AA54" s="1486">
        <f t="shared" si="42"/>
        <v>0</v>
      </c>
      <c r="AB54" s="937">
        <f t="shared" si="43"/>
        <v>0</v>
      </c>
      <c r="AC54" s="899">
        <f t="shared" si="44"/>
        <v>0</v>
      </c>
      <c r="AD54" s="1830">
        <v>0</v>
      </c>
      <c r="AE54" s="899">
        <f t="shared" si="45"/>
        <v>0</v>
      </c>
      <c r="AF54" s="1834">
        <f>+'[4]Table 5C1J-Jefferson Chamber'!T53*8</f>
        <v>0</v>
      </c>
      <c r="AG54" s="1834">
        <f t="shared" si="46"/>
        <v>0</v>
      </c>
      <c r="AH54" s="899">
        <f t="shared" si="47"/>
        <v>0</v>
      </c>
      <c r="AI54" s="900">
        <f t="shared" si="51"/>
        <v>0</v>
      </c>
      <c r="AJ54" s="900">
        <f t="shared" si="48"/>
        <v>0</v>
      </c>
      <c r="AL54" s="2034">
        <f>-'[4]Table 5C1J-Jefferson Chamber'!P53</f>
        <v>0</v>
      </c>
      <c r="AM54" s="2034">
        <f t="shared" si="49"/>
        <v>0</v>
      </c>
      <c r="AN54" s="2034">
        <f t="shared" si="50"/>
        <v>0</v>
      </c>
    </row>
    <row r="55" spans="1:40">
      <c r="A55" s="876">
        <v>48</v>
      </c>
      <c r="B55" s="877" t="s">
        <v>195</v>
      </c>
      <c r="C55" s="972">
        <v>0</v>
      </c>
      <c r="D55" s="882">
        <f>'Table 3 Levels 1&amp;2'!AL55</f>
        <v>4272.723323083942</v>
      </c>
      <c r="E55" s="921">
        <f t="shared" si="28"/>
        <v>0</v>
      </c>
      <c r="F55" s="921">
        <f>'Table 4 Level 3'!P53</f>
        <v>871.07</v>
      </c>
      <c r="G55" s="921">
        <f t="shared" si="29"/>
        <v>0</v>
      </c>
      <c r="H55" s="905">
        <f t="shared" si="30"/>
        <v>0</v>
      </c>
      <c r="I55" s="1734">
        <f>+'[3]Oct midyear Jefferson Chamber'!K54</f>
        <v>10287.586646167883</v>
      </c>
      <c r="J55" s="1734">
        <f>'[3]Feb midyear Jefferson Chamber'!K54</f>
        <v>-2571.8966615419708</v>
      </c>
      <c r="K55" s="1545">
        <f t="shared" si="31"/>
        <v>7715.689984625913</v>
      </c>
      <c r="L55" s="1489">
        <f t="shared" si="32"/>
        <v>7715.689984625913</v>
      </c>
      <c r="M55" s="931">
        <f t="shared" si="33"/>
        <v>-19.289224961564784</v>
      </c>
      <c r="N55" s="905">
        <f t="shared" si="34"/>
        <v>7696.4007596643478</v>
      </c>
      <c r="O55" s="882">
        <v>0</v>
      </c>
      <c r="P55" s="1552">
        <f t="shared" si="35"/>
        <v>7696.4007596643478</v>
      </c>
      <c r="Q55" s="1734">
        <f>+'[4]Table 5C1J-Jefferson Chamber'!M54*8</f>
        <v>0</v>
      </c>
      <c r="R55" s="1734">
        <f t="shared" si="36"/>
        <v>7696.4007596643478</v>
      </c>
      <c r="S55" s="1552">
        <f t="shared" si="37"/>
        <v>1924</v>
      </c>
      <c r="T55" s="1802">
        <f>'Table 5C1A-Madison Prep'!T55</f>
        <v>6585</v>
      </c>
      <c r="U55" s="1555">
        <f t="shared" si="38"/>
        <v>0</v>
      </c>
      <c r="V55" s="1758">
        <f>+'[3]Oct midyear Jefferson Chamber'!E54</f>
        <v>2</v>
      </c>
      <c r="W55" s="1759">
        <f t="shared" si="39"/>
        <v>13170</v>
      </c>
      <c r="X55" s="1758">
        <f>'[3]Feb midyear Jefferson Chamber'!E54</f>
        <v>-1</v>
      </c>
      <c r="Y55" s="1759">
        <f t="shared" si="40"/>
        <v>-3292.5</v>
      </c>
      <c r="Z55" s="1653">
        <f t="shared" si="41"/>
        <v>9877.5</v>
      </c>
      <c r="AA55" s="1486">
        <f t="shared" si="42"/>
        <v>9877.5</v>
      </c>
      <c r="AB55" s="937">
        <f t="shared" si="43"/>
        <v>-24.693750000000001</v>
      </c>
      <c r="AC55" s="899">
        <f t="shared" si="44"/>
        <v>9852.8062499999996</v>
      </c>
      <c r="AD55" s="1830">
        <v>0</v>
      </c>
      <c r="AE55" s="899">
        <f t="shared" si="45"/>
        <v>9852.8062499999996</v>
      </c>
      <c r="AF55" s="1834">
        <f>+'[4]Table 5C1J-Jefferson Chamber'!T54*8</f>
        <v>0</v>
      </c>
      <c r="AG55" s="1834">
        <f t="shared" si="46"/>
        <v>9852.8062499999996</v>
      </c>
      <c r="AH55" s="899">
        <f t="shared" si="47"/>
        <v>2463</v>
      </c>
      <c r="AI55" s="900">
        <f t="shared" si="51"/>
        <v>17549.207009664347</v>
      </c>
      <c r="AJ55" s="900">
        <f t="shared" si="48"/>
        <v>4387</v>
      </c>
      <c r="AL55" s="2034">
        <f>-'[4]Table 5C1J-Jefferson Chamber'!P54</f>
        <v>0</v>
      </c>
      <c r="AM55" s="2034">
        <f t="shared" si="49"/>
        <v>-24.693750000000001</v>
      </c>
      <c r="AN55" s="2034">
        <f t="shared" si="50"/>
        <v>-24.693750000000001</v>
      </c>
    </row>
    <row r="56" spans="1:40">
      <c r="A56" s="876">
        <v>49</v>
      </c>
      <c r="B56" s="877" t="s">
        <v>139</v>
      </c>
      <c r="C56" s="972">
        <v>0</v>
      </c>
      <c r="D56" s="882">
        <f>'Table 3 Levels 1&amp;2'!AL56</f>
        <v>4836.7092570332552</v>
      </c>
      <c r="E56" s="921">
        <f t="shared" si="28"/>
        <v>0</v>
      </c>
      <c r="F56" s="921">
        <f>'Table 4 Level 3'!P54</f>
        <v>574.43999999999994</v>
      </c>
      <c r="G56" s="921">
        <f t="shared" si="29"/>
        <v>0</v>
      </c>
      <c r="H56" s="905">
        <f t="shared" si="30"/>
        <v>0</v>
      </c>
      <c r="I56" s="1734">
        <f>+'[3]Oct midyear Jefferson Chamber'!K55</f>
        <v>0</v>
      </c>
      <c r="J56" s="1734">
        <f>'[3]Feb midyear Jefferson Chamber'!K55</f>
        <v>0</v>
      </c>
      <c r="K56" s="1545">
        <f t="shared" si="31"/>
        <v>0</v>
      </c>
      <c r="L56" s="1489">
        <f t="shared" si="32"/>
        <v>0</v>
      </c>
      <c r="M56" s="931">
        <f t="shared" si="33"/>
        <v>0</v>
      </c>
      <c r="N56" s="905">
        <f t="shared" si="34"/>
        <v>0</v>
      </c>
      <c r="O56" s="882">
        <v>0</v>
      </c>
      <c r="P56" s="1552">
        <f t="shared" si="35"/>
        <v>0</v>
      </c>
      <c r="Q56" s="1734">
        <f>+'[4]Table 5C1J-Jefferson Chamber'!M55*8</f>
        <v>0</v>
      </c>
      <c r="R56" s="1734">
        <f t="shared" si="36"/>
        <v>0</v>
      </c>
      <c r="S56" s="1552">
        <f t="shared" si="37"/>
        <v>0</v>
      </c>
      <c r="T56" s="1802">
        <f>'Table 5C1A-Madison Prep'!T56</f>
        <v>2402</v>
      </c>
      <c r="U56" s="1555">
        <f t="shared" si="38"/>
        <v>0</v>
      </c>
      <c r="V56" s="1758">
        <f>+'[3]Oct midyear Jefferson Chamber'!E55</f>
        <v>0</v>
      </c>
      <c r="W56" s="1759">
        <f t="shared" si="39"/>
        <v>0</v>
      </c>
      <c r="X56" s="1758">
        <f>'[3]Feb midyear Jefferson Chamber'!E55</f>
        <v>0</v>
      </c>
      <c r="Y56" s="1759">
        <f t="shared" si="40"/>
        <v>0</v>
      </c>
      <c r="Z56" s="1653">
        <f t="shared" si="41"/>
        <v>0</v>
      </c>
      <c r="AA56" s="1486">
        <f t="shared" si="42"/>
        <v>0</v>
      </c>
      <c r="AB56" s="937">
        <f t="shared" si="43"/>
        <v>0</v>
      </c>
      <c r="AC56" s="899">
        <f t="shared" si="44"/>
        <v>0</v>
      </c>
      <c r="AD56" s="1830">
        <v>0</v>
      </c>
      <c r="AE56" s="899">
        <f t="shared" si="45"/>
        <v>0</v>
      </c>
      <c r="AF56" s="1834">
        <f>+'[4]Table 5C1J-Jefferson Chamber'!T55*8</f>
        <v>0</v>
      </c>
      <c r="AG56" s="1834">
        <f t="shared" si="46"/>
        <v>0</v>
      </c>
      <c r="AH56" s="899">
        <f t="shared" si="47"/>
        <v>0</v>
      </c>
      <c r="AI56" s="900">
        <f t="shared" si="51"/>
        <v>0</v>
      </c>
      <c r="AJ56" s="900">
        <f t="shared" si="48"/>
        <v>0</v>
      </c>
      <c r="AL56" s="2034">
        <f>-'[4]Table 5C1J-Jefferson Chamber'!P55</f>
        <v>0</v>
      </c>
      <c r="AM56" s="2034">
        <f t="shared" si="49"/>
        <v>0</v>
      </c>
      <c r="AN56" s="2034">
        <f t="shared" si="50"/>
        <v>0</v>
      </c>
    </row>
    <row r="57" spans="1:40">
      <c r="A57" s="879">
        <v>50</v>
      </c>
      <c r="B57" s="880" t="s">
        <v>140</v>
      </c>
      <c r="C57" s="973">
        <v>0</v>
      </c>
      <c r="D57" s="883">
        <f>'Table 3 Levels 1&amp;2'!AL57</f>
        <v>5032.6862895017111</v>
      </c>
      <c r="E57" s="922">
        <f t="shared" si="28"/>
        <v>0</v>
      </c>
      <c r="F57" s="922">
        <f>'Table 4 Level 3'!P55</f>
        <v>634.46</v>
      </c>
      <c r="G57" s="922">
        <f t="shared" si="29"/>
        <v>0</v>
      </c>
      <c r="H57" s="906">
        <f t="shared" si="30"/>
        <v>0</v>
      </c>
      <c r="I57" s="1735">
        <f>+'[3]Oct midyear Jefferson Chamber'!K56</f>
        <v>0</v>
      </c>
      <c r="J57" s="1735">
        <f>'[3]Feb midyear Jefferson Chamber'!K56</f>
        <v>0</v>
      </c>
      <c r="K57" s="1546">
        <f t="shared" si="31"/>
        <v>0</v>
      </c>
      <c r="L57" s="1490">
        <f t="shared" si="32"/>
        <v>0</v>
      </c>
      <c r="M57" s="932">
        <f t="shared" si="33"/>
        <v>0</v>
      </c>
      <c r="N57" s="906">
        <f t="shared" si="34"/>
        <v>0</v>
      </c>
      <c r="O57" s="883">
        <v>0</v>
      </c>
      <c r="P57" s="1553">
        <f t="shared" si="35"/>
        <v>0</v>
      </c>
      <c r="Q57" s="1735">
        <f>+'[4]Table 5C1J-Jefferson Chamber'!M56*8</f>
        <v>0</v>
      </c>
      <c r="R57" s="1735">
        <f t="shared" si="36"/>
        <v>0</v>
      </c>
      <c r="S57" s="1553">
        <f t="shared" si="37"/>
        <v>0</v>
      </c>
      <c r="T57" s="1807">
        <f>'Table 5C1A-Madison Prep'!T57</f>
        <v>3143</v>
      </c>
      <c r="U57" s="1556">
        <f t="shared" si="38"/>
        <v>0</v>
      </c>
      <c r="V57" s="1762">
        <f>+'[3]Oct midyear Jefferson Chamber'!E56</f>
        <v>0</v>
      </c>
      <c r="W57" s="1763">
        <f t="shared" si="39"/>
        <v>0</v>
      </c>
      <c r="X57" s="1762">
        <f>'[3]Feb midyear Jefferson Chamber'!E56</f>
        <v>0</v>
      </c>
      <c r="Y57" s="1763">
        <f t="shared" si="40"/>
        <v>0</v>
      </c>
      <c r="Z57" s="1654">
        <f t="shared" si="41"/>
        <v>0</v>
      </c>
      <c r="AA57" s="1488">
        <f t="shared" si="42"/>
        <v>0</v>
      </c>
      <c r="AB57" s="938">
        <f t="shared" si="43"/>
        <v>0</v>
      </c>
      <c r="AC57" s="903">
        <f t="shared" si="44"/>
        <v>0</v>
      </c>
      <c r="AD57" s="1831">
        <v>0</v>
      </c>
      <c r="AE57" s="903">
        <f t="shared" si="45"/>
        <v>0</v>
      </c>
      <c r="AF57" s="1835">
        <f>+'[4]Table 5C1J-Jefferson Chamber'!T56*8</f>
        <v>0</v>
      </c>
      <c r="AG57" s="1835">
        <f t="shared" si="46"/>
        <v>0</v>
      </c>
      <c r="AH57" s="903">
        <f t="shared" si="47"/>
        <v>0</v>
      </c>
      <c r="AI57" s="904">
        <f t="shared" si="51"/>
        <v>0</v>
      </c>
      <c r="AJ57" s="904">
        <f t="shared" si="48"/>
        <v>0</v>
      </c>
      <c r="AL57" s="2034">
        <f>-'[4]Table 5C1J-Jefferson Chamber'!P56</f>
        <v>0</v>
      </c>
      <c r="AM57" s="2034">
        <f t="shared" si="49"/>
        <v>0</v>
      </c>
      <c r="AN57" s="2034">
        <f t="shared" si="50"/>
        <v>0</v>
      </c>
    </row>
    <row r="58" spans="1:40">
      <c r="A58" s="870">
        <v>51</v>
      </c>
      <c r="B58" s="871" t="s">
        <v>141</v>
      </c>
      <c r="C58" s="974">
        <v>0</v>
      </c>
      <c r="D58" s="884">
        <f>'Table 3 Levels 1&amp;2'!AL58</f>
        <v>4246.0339872793602</v>
      </c>
      <c r="E58" s="923">
        <f t="shared" si="28"/>
        <v>0</v>
      </c>
      <c r="F58" s="923">
        <f>'Table 4 Level 3'!P56</f>
        <v>706.66</v>
      </c>
      <c r="G58" s="923">
        <f t="shared" si="29"/>
        <v>0</v>
      </c>
      <c r="H58" s="907">
        <f t="shared" si="30"/>
        <v>0</v>
      </c>
      <c r="I58" s="1723">
        <f>+'[3]Oct midyear Jefferson Chamber'!K57</f>
        <v>0</v>
      </c>
      <c r="J58" s="1723">
        <f>'[3]Feb midyear Jefferson Chamber'!K57</f>
        <v>0</v>
      </c>
      <c r="K58" s="1547">
        <f t="shared" si="31"/>
        <v>0</v>
      </c>
      <c r="L58" s="1491">
        <f t="shared" si="32"/>
        <v>0</v>
      </c>
      <c r="M58" s="933">
        <f t="shared" si="33"/>
        <v>0</v>
      </c>
      <c r="N58" s="907">
        <f t="shared" si="34"/>
        <v>0</v>
      </c>
      <c r="O58" s="884">
        <v>0</v>
      </c>
      <c r="P58" s="996">
        <f t="shared" si="35"/>
        <v>0</v>
      </c>
      <c r="Q58" s="1723">
        <f>+'[4]Table 5C1J-Jefferson Chamber'!M57*8</f>
        <v>0</v>
      </c>
      <c r="R58" s="1723">
        <f t="shared" si="36"/>
        <v>0</v>
      </c>
      <c r="S58" s="996">
        <f t="shared" si="37"/>
        <v>0</v>
      </c>
      <c r="T58" s="1802">
        <f>'Table 5C1A-Madison Prep'!T58</f>
        <v>4370</v>
      </c>
      <c r="U58" s="999">
        <f t="shared" si="38"/>
        <v>0</v>
      </c>
      <c r="V58" s="1754">
        <f>+'[3]Oct midyear Jefferson Chamber'!E57</f>
        <v>0</v>
      </c>
      <c r="W58" s="1755">
        <f t="shared" si="39"/>
        <v>0</v>
      </c>
      <c r="X58" s="1754">
        <f>'[3]Feb midyear Jefferson Chamber'!E57</f>
        <v>0</v>
      </c>
      <c r="Y58" s="1755">
        <f t="shared" si="40"/>
        <v>0</v>
      </c>
      <c r="Z58" s="1652">
        <f t="shared" si="41"/>
        <v>0</v>
      </c>
      <c r="AA58" s="1521">
        <f t="shared" si="42"/>
        <v>0</v>
      </c>
      <c r="AB58" s="936">
        <f t="shared" si="43"/>
        <v>0</v>
      </c>
      <c r="AC58" s="874">
        <f t="shared" si="44"/>
        <v>0</v>
      </c>
      <c r="AD58" s="1829">
        <v>0</v>
      </c>
      <c r="AE58" s="874">
        <f t="shared" si="45"/>
        <v>0</v>
      </c>
      <c r="AF58" s="1829">
        <f>+'[4]Table 5C1J-Jefferson Chamber'!T57*8</f>
        <v>0</v>
      </c>
      <c r="AG58" s="1829">
        <f t="shared" si="46"/>
        <v>0</v>
      </c>
      <c r="AH58" s="874">
        <f t="shared" si="47"/>
        <v>0</v>
      </c>
      <c r="AI58" s="875">
        <f t="shared" si="51"/>
        <v>0</v>
      </c>
      <c r="AJ58" s="875">
        <f t="shared" si="48"/>
        <v>0</v>
      </c>
      <c r="AL58" s="2034">
        <f>-'[4]Table 5C1J-Jefferson Chamber'!P57</f>
        <v>0</v>
      </c>
      <c r="AM58" s="2034">
        <f t="shared" si="49"/>
        <v>0</v>
      </c>
      <c r="AN58" s="2034">
        <f t="shared" si="50"/>
        <v>0</v>
      </c>
    </row>
    <row r="59" spans="1:40">
      <c r="A59" s="876">
        <v>52</v>
      </c>
      <c r="B59" s="877" t="s">
        <v>142</v>
      </c>
      <c r="C59" s="972">
        <v>0</v>
      </c>
      <c r="D59" s="882">
        <f>'Table 3 Levels 1&amp;2'!AL59</f>
        <v>5013.4438050113249</v>
      </c>
      <c r="E59" s="921">
        <f t="shared" si="28"/>
        <v>0</v>
      </c>
      <c r="F59" s="921">
        <f>'Table 4 Level 3'!P57</f>
        <v>658.37</v>
      </c>
      <c r="G59" s="921">
        <f t="shared" si="29"/>
        <v>0</v>
      </c>
      <c r="H59" s="905">
        <f t="shared" si="30"/>
        <v>0</v>
      </c>
      <c r="I59" s="1734">
        <f>+'[3]Oct midyear Jefferson Chamber'!K58</f>
        <v>0</v>
      </c>
      <c r="J59" s="1734">
        <f>'[3]Feb midyear Jefferson Chamber'!K58</f>
        <v>0</v>
      </c>
      <c r="K59" s="1545">
        <f t="shared" si="31"/>
        <v>0</v>
      </c>
      <c r="L59" s="1489">
        <f t="shared" si="32"/>
        <v>0</v>
      </c>
      <c r="M59" s="931">
        <f t="shared" si="33"/>
        <v>0</v>
      </c>
      <c r="N59" s="905">
        <f t="shared" si="34"/>
        <v>0</v>
      </c>
      <c r="O59" s="882">
        <v>0</v>
      </c>
      <c r="P59" s="1552">
        <f t="shared" si="35"/>
        <v>0</v>
      </c>
      <c r="Q59" s="1734">
        <f>+'[4]Table 5C1J-Jefferson Chamber'!M58*8</f>
        <v>0</v>
      </c>
      <c r="R59" s="1734">
        <f t="shared" si="36"/>
        <v>0</v>
      </c>
      <c r="S59" s="1552">
        <f t="shared" si="37"/>
        <v>0</v>
      </c>
      <c r="T59" s="1802">
        <f>'Table 5C1A-Madison Prep'!T59</f>
        <v>5143</v>
      </c>
      <c r="U59" s="1555">
        <f t="shared" si="38"/>
        <v>0</v>
      </c>
      <c r="V59" s="1758">
        <f>+'[3]Oct midyear Jefferson Chamber'!E58</f>
        <v>0</v>
      </c>
      <c r="W59" s="1759">
        <f t="shared" si="39"/>
        <v>0</v>
      </c>
      <c r="X59" s="1758">
        <f>'[3]Feb midyear Jefferson Chamber'!E58</f>
        <v>0</v>
      </c>
      <c r="Y59" s="1759">
        <f t="shared" si="40"/>
        <v>0</v>
      </c>
      <c r="Z59" s="1653">
        <f t="shared" si="41"/>
        <v>0</v>
      </c>
      <c r="AA59" s="1486">
        <f t="shared" si="42"/>
        <v>0</v>
      </c>
      <c r="AB59" s="937">
        <f t="shared" si="43"/>
        <v>0</v>
      </c>
      <c r="AC59" s="899">
        <f t="shared" si="44"/>
        <v>0</v>
      </c>
      <c r="AD59" s="1830">
        <v>0</v>
      </c>
      <c r="AE59" s="899">
        <f t="shared" si="45"/>
        <v>0</v>
      </c>
      <c r="AF59" s="1834">
        <f>+'[4]Table 5C1J-Jefferson Chamber'!T58*8</f>
        <v>0</v>
      </c>
      <c r="AG59" s="1834">
        <f t="shared" si="46"/>
        <v>0</v>
      </c>
      <c r="AH59" s="899">
        <f t="shared" si="47"/>
        <v>0</v>
      </c>
      <c r="AI59" s="900">
        <f t="shared" si="51"/>
        <v>0</v>
      </c>
      <c r="AJ59" s="900">
        <f t="shared" si="48"/>
        <v>0</v>
      </c>
      <c r="AL59" s="2034">
        <f>-'[4]Table 5C1J-Jefferson Chamber'!P58</f>
        <v>0</v>
      </c>
      <c r="AM59" s="2034">
        <f t="shared" si="49"/>
        <v>0</v>
      </c>
      <c r="AN59" s="2034">
        <f t="shared" si="50"/>
        <v>0</v>
      </c>
    </row>
    <row r="60" spans="1:40">
      <c r="A60" s="876">
        <v>53</v>
      </c>
      <c r="B60" s="877" t="s">
        <v>143</v>
      </c>
      <c r="C60" s="972">
        <v>0</v>
      </c>
      <c r="D60" s="882">
        <f>'Table 3 Levels 1&amp;2'!AL60</f>
        <v>4775.5877635581091</v>
      </c>
      <c r="E60" s="921">
        <f t="shared" si="28"/>
        <v>0</v>
      </c>
      <c r="F60" s="921">
        <f>'Table 4 Level 3'!P58</f>
        <v>689.74</v>
      </c>
      <c r="G60" s="921">
        <f t="shared" si="29"/>
        <v>0</v>
      </c>
      <c r="H60" s="905">
        <f t="shared" si="30"/>
        <v>0</v>
      </c>
      <c r="I60" s="1734">
        <f>+'[3]Oct midyear Jefferson Chamber'!K59</f>
        <v>0</v>
      </c>
      <c r="J60" s="1734">
        <f>'[3]Feb midyear Jefferson Chamber'!K59</f>
        <v>0</v>
      </c>
      <c r="K60" s="1545">
        <f t="shared" si="31"/>
        <v>0</v>
      </c>
      <c r="L60" s="1489">
        <f t="shared" si="32"/>
        <v>0</v>
      </c>
      <c r="M60" s="931">
        <f t="shared" si="33"/>
        <v>0</v>
      </c>
      <c r="N60" s="905">
        <f t="shared" si="34"/>
        <v>0</v>
      </c>
      <c r="O60" s="882">
        <v>0</v>
      </c>
      <c r="P60" s="1552">
        <f t="shared" si="35"/>
        <v>0</v>
      </c>
      <c r="Q60" s="1734">
        <f>+'[4]Table 5C1J-Jefferson Chamber'!M59*8</f>
        <v>0</v>
      </c>
      <c r="R60" s="1734">
        <f t="shared" si="36"/>
        <v>0</v>
      </c>
      <c r="S60" s="1552">
        <f t="shared" si="37"/>
        <v>0</v>
      </c>
      <c r="T60" s="1802">
        <f>'Table 5C1A-Madison Prep'!T60</f>
        <v>2109</v>
      </c>
      <c r="U60" s="1555">
        <f t="shared" si="38"/>
        <v>0</v>
      </c>
      <c r="V60" s="1758">
        <f>+'[3]Oct midyear Jefferson Chamber'!E59</f>
        <v>0</v>
      </c>
      <c r="W60" s="1759">
        <f t="shared" si="39"/>
        <v>0</v>
      </c>
      <c r="X60" s="1758">
        <f>'[3]Feb midyear Jefferson Chamber'!E59</f>
        <v>0</v>
      </c>
      <c r="Y60" s="1759">
        <f t="shared" si="40"/>
        <v>0</v>
      </c>
      <c r="Z60" s="1653">
        <f t="shared" si="41"/>
        <v>0</v>
      </c>
      <c r="AA60" s="1486">
        <f t="shared" si="42"/>
        <v>0</v>
      </c>
      <c r="AB60" s="937">
        <f t="shared" si="43"/>
        <v>0</v>
      </c>
      <c r="AC60" s="899">
        <f t="shared" si="44"/>
        <v>0</v>
      </c>
      <c r="AD60" s="1830">
        <v>0</v>
      </c>
      <c r="AE60" s="899">
        <f t="shared" si="45"/>
        <v>0</v>
      </c>
      <c r="AF60" s="1834">
        <f>+'[4]Table 5C1J-Jefferson Chamber'!T59*8</f>
        <v>0</v>
      </c>
      <c r="AG60" s="1834">
        <f t="shared" si="46"/>
        <v>0</v>
      </c>
      <c r="AH60" s="899">
        <f t="shared" si="47"/>
        <v>0</v>
      </c>
      <c r="AI60" s="900">
        <f t="shared" si="51"/>
        <v>0</v>
      </c>
      <c r="AJ60" s="900">
        <f t="shared" si="48"/>
        <v>0</v>
      </c>
      <c r="AL60" s="2034">
        <f>-'[4]Table 5C1J-Jefferson Chamber'!P59</f>
        <v>0</v>
      </c>
      <c r="AM60" s="2034">
        <f t="shared" si="49"/>
        <v>0</v>
      </c>
      <c r="AN60" s="2034">
        <f t="shared" si="50"/>
        <v>0</v>
      </c>
    </row>
    <row r="61" spans="1:40">
      <c r="A61" s="876">
        <v>54</v>
      </c>
      <c r="B61" s="877" t="s">
        <v>144</v>
      </c>
      <c r="C61" s="972">
        <v>0</v>
      </c>
      <c r="D61" s="882">
        <f>'Table 3 Levels 1&amp;2'!AL61</f>
        <v>5951.8009386275662</v>
      </c>
      <c r="E61" s="921">
        <f t="shared" si="28"/>
        <v>0</v>
      </c>
      <c r="F61" s="921">
        <f>'Table 4 Level 3'!P59</f>
        <v>951.45</v>
      </c>
      <c r="G61" s="921">
        <f t="shared" si="29"/>
        <v>0</v>
      </c>
      <c r="H61" s="905">
        <f t="shared" si="30"/>
        <v>0</v>
      </c>
      <c r="I61" s="1734">
        <f>+'[3]Oct midyear Jefferson Chamber'!K60</f>
        <v>0</v>
      </c>
      <c r="J61" s="1734">
        <f>'[3]Feb midyear Jefferson Chamber'!K60</f>
        <v>0</v>
      </c>
      <c r="K61" s="1545">
        <f t="shared" si="31"/>
        <v>0</v>
      </c>
      <c r="L61" s="1489">
        <f t="shared" si="32"/>
        <v>0</v>
      </c>
      <c r="M61" s="931">
        <f t="shared" si="33"/>
        <v>0</v>
      </c>
      <c r="N61" s="905">
        <f t="shared" si="34"/>
        <v>0</v>
      </c>
      <c r="O61" s="882">
        <v>0</v>
      </c>
      <c r="P61" s="1552">
        <f t="shared" si="35"/>
        <v>0</v>
      </c>
      <c r="Q61" s="1734">
        <f>+'[4]Table 5C1J-Jefferson Chamber'!M60*8</f>
        <v>0</v>
      </c>
      <c r="R61" s="1734">
        <f t="shared" si="36"/>
        <v>0</v>
      </c>
      <c r="S61" s="1552">
        <f t="shared" si="37"/>
        <v>0</v>
      </c>
      <c r="T61" s="1802">
        <f>'Table 5C1A-Madison Prep'!T61</f>
        <v>3760</v>
      </c>
      <c r="U61" s="1555">
        <f t="shared" si="38"/>
        <v>0</v>
      </c>
      <c r="V61" s="1758">
        <f>+'[3]Oct midyear Jefferson Chamber'!E60</f>
        <v>0</v>
      </c>
      <c r="W61" s="1759">
        <f t="shared" si="39"/>
        <v>0</v>
      </c>
      <c r="X61" s="1758">
        <f>'[3]Feb midyear Jefferson Chamber'!E60</f>
        <v>0</v>
      </c>
      <c r="Y61" s="1759">
        <f t="shared" si="40"/>
        <v>0</v>
      </c>
      <c r="Z61" s="1653">
        <f t="shared" si="41"/>
        <v>0</v>
      </c>
      <c r="AA61" s="1486">
        <f t="shared" si="42"/>
        <v>0</v>
      </c>
      <c r="AB61" s="937">
        <f t="shared" si="43"/>
        <v>0</v>
      </c>
      <c r="AC61" s="899">
        <f t="shared" si="44"/>
        <v>0</v>
      </c>
      <c r="AD61" s="1830">
        <v>0</v>
      </c>
      <c r="AE61" s="899">
        <f t="shared" si="45"/>
        <v>0</v>
      </c>
      <c r="AF61" s="1834">
        <f>+'[4]Table 5C1J-Jefferson Chamber'!T60*8</f>
        <v>0</v>
      </c>
      <c r="AG61" s="1834">
        <f t="shared" si="46"/>
        <v>0</v>
      </c>
      <c r="AH61" s="899">
        <f t="shared" si="47"/>
        <v>0</v>
      </c>
      <c r="AI61" s="900">
        <f t="shared" si="51"/>
        <v>0</v>
      </c>
      <c r="AJ61" s="900">
        <f t="shared" si="48"/>
        <v>0</v>
      </c>
      <c r="AL61" s="2034">
        <f>-'[4]Table 5C1J-Jefferson Chamber'!P60</f>
        <v>0</v>
      </c>
      <c r="AM61" s="2034">
        <f t="shared" si="49"/>
        <v>0</v>
      </c>
      <c r="AN61" s="2034">
        <f t="shared" si="50"/>
        <v>0</v>
      </c>
    </row>
    <row r="62" spans="1:40">
      <c r="A62" s="879">
        <v>55</v>
      </c>
      <c r="B62" s="880" t="s">
        <v>145</v>
      </c>
      <c r="C62" s="973">
        <v>0</v>
      </c>
      <c r="D62" s="883">
        <f>'Table 3 Levels 1&amp;2'!AL62</f>
        <v>4171.0434735233157</v>
      </c>
      <c r="E62" s="922">
        <f t="shared" si="28"/>
        <v>0</v>
      </c>
      <c r="F62" s="922">
        <f>'Table 4 Level 3'!P60</f>
        <v>795.14</v>
      </c>
      <c r="G62" s="922">
        <f t="shared" si="29"/>
        <v>0</v>
      </c>
      <c r="H62" s="906">
        <f t="shared" si="30"/>
        <v>0</v>
      </c>
      <c r="I62" s="1735">
        <f>+'[3]Oct midyear Jefferson Chamber'!K61</f>
        <v>0</v>
      </c>
      <c r="J62" s="1735">
        <f>'[3]Feb midyear Jefferson Chamber'!K61</f>
        <v>0</v>
      </c>
      <c r="K62" s="1546">
        <f t="shared" si="31"/>
        <v>0</v>
      </c>
      <c r="L62" s="1490">
        <f t="shared" si="32"/>
        <v>0</v>
      </c>
      <c r="M62" s="932">
        <f t="shared" si="33"/>
        <v>0</v>
      </c>
      <c r="N62" s="906">
        <f t="shared" si="34"/>
        <v>0</v>
      </c>
      <c r="O62" s="883">
        <v>0</v>
      </c>
      <c r="P62" s="1553">
        <f t="shared" si="35"/>
        <v>0</v>
      </c>
      <c r="Q62" s="1735">
        <f>+'[4]Table 5C1J-Jefferson Chamber'!M61*8</f>
        <v>0</v>
      </c>
      <c r="R62" s="1735">
        <f t="shared" si="36"/>
        <v>0</v>
      </c>
      <c r="S62" s="1553">
        <f t="shared" si="37"/>
        <v>0</v>
      </c>
      <c r="T62" s="1807">
        <f>'Table 5C1A-Madison Prep'!T62</f>
        <v>3359</v>
      </c>
      <c r="U62" s="1556">
        <f t="shared" si="38"/>
        <v>0</v>
      </c>
      <c r="V62" s="1762">
        <f>+'[3]Oct midyear Jefferson Chamber'!E61</f>
        <v>0</v>
      </c>
      <c r="W62" s="1763">
        <f t="shared" si="39"/>
        <v>0</v>
      </c>
      <c r="X62" s="1762">
        <f>'[3]Feb midyear Jefferson Chamber'!E61</f>
        <v>0</v>
      </c>
      <c r="Y62" s="1763">
        <f t="shared" si="40"/>
        <v>0</v>
      </c>
      <c r="Z62" s="1654">
        <f t="shared" si="41"/>
        <v>0</v>
      </c>
      <c r="AA62" s="1488">
        <f t="shared" si="42"/>
        <v>0</v>
      </c>
      <c r="AB62" s="938">
        <f t="shared" si="43"/>
        <v>0</v>
      </c>
      <c r="AC62" s="903">
        <f t="shared" si="44"/>
        <v>0</v>
      </c>
      <c r="AD62" s="1831">
        <v>0</v>
      </c>
      <c r="AE62" s="903">
        <f t="shared" si="45"/>
        <v>0</v>
      </c>
      <c r="AF62" s="1835">
        <f>+'[4]Table 5C1J-Jefferson Chamber'!T61*8</f>
        <v>0</v>
      </c>
      <c r="AG62" s="1835">
        <f t="shared" si="46"/>
        <v>0</v>
      </c>
      <c r="AH62" s="903">
        <f t="shared" si="47"/>
        <v>0</v>
      </c>
      <c r="AI62" s="904">
        <f t="shared" si="51"/>
        <v>0</v>
      </c>
      <c r="AJ62" s="904">
        <f t="shared" si="48"/>
        <v>0</v>
      </c>
      <c r="AL62" s="2034">
        <f>-'[4]Table 5C1J-Jefferson Chamber'!P61</f>
        <v>0</v>
      </c>
      <c r="AM62" s="2034">
        <f t="shared" si="49"/>
        <v>0</v>
      </c>
      <c r="AN62" s="2034">
        <f t="shared" si="50"/>
        <v>0</v>
      </c>
    </row>
    <row r="63" spans="1:40">
      <c r="A63" s="870">
        <v>56</v>
      </c>
      <c r="B63" s="871" t="s">
        <v>146</v>
      </c>
      <c r="C63" s="974">
        <v>0</v>
      </c>
      <c r="D63" s="884">
        <f>'Table 3 Levels 1&amp;2'!AL63</f>
        <v>4968.593189672727</v>
      </c>
      <c r="E63" s="923">
        <f t="shared" si="28"/>
        <v>0</v>
      </c>
      <c r="F63" s="923">
        <f>'Table 4 Level 3'!P61</f>
        <v>614.66000000000008</v>
      </c>
      <c r="G63" s="923">
        <f t="shared" si="29"/>
        <v>0</v>
      </c>
      <c r="H63" s="907">
        <f t="shared" si="30"/>
        <v>0</v>
      </c>
      <c r="I63" s="1723">
        <f>+'[3]Oct midyear Jefferson Chamber'!K62</f>
        <v>0</v>
      </c>
      <c r="J63" s="1723">
        <f>'[3]Feb midyear Jefferson Chamber'!K62</f>
        <v>0</v>
      </c>
      <c r="K63" s="1547">
        <f t="shared" si="31"/>
        <v>0</v>
      </c>
      <c r="L63" s="1491">
        <f t="shared" si="32"/>
        <v>0</v>
      </c>
      <c r="M63" s="933">
        <f t="shared" si="33"/>
        <v>0</v>
      </c>
      <c r="N63" s="907">
        <f t="shared" si="34"/>
        <v>0</v>
      </c>
      <c r="O63" s="884">
        <v>0</v>
      </c>
      <c r="P63" s="996">
        <f t="shared" si="35"/>
        <v>0</v>
      </c>
      <c r="Q63" s="1723">
        <f>+'[4]Table 5C1J-Jefferson Chamber'!M62*8</f>
        <v>0</v>
      </c>
      <c r="R63" s="1723">
        <f t="shared" si="36"/>
        <v>0</v>
      </c>
      <c r="S63" s="996">
        <f t="shared" si="37"/>
        <v>0</v>
      </c>
      <c r="T63" s="1802">
        <f>'Table 5C1A-Madison Prep'!T63</f>
        <v>2853</v>
      </c>
      <c r="U63" s="999">
        <f t="shared" si="38"/>
        <v>0</v>
      </c>
      <c r="V63" s="1754">
        <f>+'[3]Oct midyear Jefferson Chamber'!E62</f>
        <v>0</v>
      </c>
      <c r="W63" s="1755">
        <f t="shared" si="39"/>
        <v>0</v>
      </c>
      <c r="X63" s="1754">
        <f>'[3]Feb midyear Jefferson Chamber'!E62</f>
        <v>0</v>
      </c>
      <c r="Y63" s="1755">
        <f t="shared" si="40"/>
        <v>0</v>
      </c>
      <c r="Z63" s="1652">
        <f t="shared" si="41"/>
        <v>0</v>
      </c>
      <c r="AA63" s="1521">
        <f t="shared" si="42"/>
        <v>0</v>
      </c>
      <c r="AB63" s="936">
        <f t="shared" si="43"/>
        <v>0</v>
      </c>
      <c r="AC63" s="874">
        <f t="shared" si="44"/>
        <v>0</v>
      </c>
      <c r="AD63" s="1829">
        <v>0</v>
      </c>
      <c r="AE63" s="874">
        <f t="shared" si="45"/>
        <v>0</v>
      </c>
      <c r="AF63" s="1829">
        <f>+'[4]Table 5C1J-Jefferson Chamber'!T62*8</f>
        <v>0</v>
      </c>
      <c r="AG63" s="1829">
        <f t="shared" si="46"/>
        <v>0</v>
      </c>
      <c r="AH63" s="874">
        <f t="shared" si="47"/>
        <v>0</v>
      </c>
      <c r="AI63" s="875">
        <f t="shared" si="51"/>
        <v>0</v>
      </c>
      <c r="AJ63" s="875">
        <f t="shared" si="48"/>
        <v>0</v>
      </c>
      <c r="AL63" s="2034">
        <f>-'[4]Table 5C1J-Jefferson Chamber'!P62</f>
        <v>0</v>
      </c>
      <c r="AM63" s="2034">
        <f t="shared" si="49"/>
        <v>0</v>
      </c>
      <c r="AN63" s="2034">
        <f t="shared" si="50"/>
        <v>0</v>
      </c>
    </row>
    <row r="64" spans="1:40">
      <c r="A64" s="876">
        <v>57</v>
      </c>
      <c r="B64" s="877" t="s">
        <v>147</v>
      </c>
      <c r="C64" s="972">
        <v>0</v>
      </c>
      <c r="D64" s="882">
        <f>'Table 3 Levels 1&amp;2'!AL64</f>
        <v>4485.7073020218859</v>
      </c>
      <c r="E64" s="921">
        <f t="shared" si="28"/>
        <v>0</v>
      </c>
      <c r="F64" s="921">
        <f>'Table 4 Level 3'!P62</f>
        <v>764.51</v>
      </c>
      <c r="G64" s="921">
        <f t="shared" si="29"/>
        <v>0</v>
      </c>
      <c r="H64" s="905">
        <f t="shared" si="30"/>
        <v>0</v>
      </c>
      <c r="I64" s="1734">
        <f>+'[3]Oct midyear Jefferson Chamber'!K63</f>
        <v>0</v>
      </c>
      <c r="J64" s="1734">
        <f>'[3]Feb midyear Jefferson Chamber'!K63</f>
        <v>0</v>
      </c>
      <c r="K64" s="1545">
        <f t="shared" si="31"/>
        <v>0</v>
      </c>
      <c r="L64" s="1489">
        <f t="shared" si="32"/>
        <v>0</v>
      </c>
      <c r="M64" s="931">
        <f t="shared" si="33"/>
        <v>0</v>
      </c>
      <c r="N64" s="905">
        <f t="shared" si="34"/>
        <v>0</v>
      </c>
      <c r="O64" s="882">
        <v>0</v>
      </c>
      <c r="P64" s="1552">
        <f t="shared" si="35"/>
        <v>0</v>
      </c>
      <c r="Q64" s="1734">
        <f>+'[4]Table 5C1J-Jefferson Chamber'!M63*8</f>
        <v>0</v>
      </c>
      <c r="R64" s="1734">
        <f t="shared" si="36"/>
        <v>0</v>
      </c>
      <c r="S64" s="1552">
        <f t="shared" si="37"/>
        <v>0</v>
      </c>
      <c r="T64" s="1802">
        <f>'Table 5C1A-Madison Prep'!T64</f>
        <v>3178</v>
      </c>
      <c r="U64" s="1555">
        <f t="shared" si="38"/>
        <v>0</v>
      </c>
      <c r="V64" s="1758">
        <f>+'[3]Oct midyear Jefferson Chamber'!E63</f>
        <v>0</v>
      </c>
      <c r="W64" s="1759">
        <f t="shared" si="39"/>
        <v>0</v>
      </c>
      <c r="X64" s="1758">
        <f>'[3]Feb midyear Jefferson Chamber'!E63</f>
        <v>0</v>
      </c>
      <c r="Y64" s="1759">
        <f t="shared" si="40"/>
        <v>0</v>
      </c>
      <c r="Z64" s="1653">
        <f t="shared" si="41"/>
        <v>0</v>
      </c>
      <c r="AA64" s="1486">
        <f t="shared" si="42"/>
        <v>0</v>
      </c>
      <c r="AB64" s="937">
        <f t="shared" si="43"/>
        <v>0</v>
      </c>
      <c r="AC64" s="899">
        <f t="shared" si="44"/>
        <v>0</v>
      </c>
      <c r="AD64" s="1830">
        <v>0</v>
      </c>
      <c r="AE64" s="899">
        <f t="shared" si="45"/>
        <v>0</v>
      </c>
      <c r="AF64" s="1834">
        <f>+'[4]Table 5C1J-Jefferson Chamber'!T63*8</f>
        <v>0</v>
      </c>
      <c r="AG64" s="1834">
        <f t="shared" si="46"/>
        <v>0</v>
      </c>
      <c r="AH64" s="899">
        <f t="shared" si="47"/>
        <v>0</v>
      </c>
      <c r="AI64" s="900">
        <f t="shared" si="51"/>
        <v>0</v>
      </c>
      <c r="AJ64" s="900">
        <f t="shared" si="48"/>
        <v>0</v>
      </c>
      <c r="AL64" s="2034">
        <f>-'[4]Table 5C1J-Jefferson Chamber'!P63</f>
        <v>0</v>
      </c>
      <c r="AM64" s="2034">
        <f t="shared" si="49"/>
        <v>0</v>
      </c>
      <c r="AN64" s="2034">
        <f t="shared" si="50"/>
        <v>0</v>
      </c>
    </row>
    <row r="65" spans="1:40">
      <c r="A65" s="876">
        <v>58</v>
      </c>
      <c r="B65" s="877" t="s">
        <v>148</v>
      </c>
      <c r="C65" s="972">
        <v>0</v>
      </c>
      <c r="D65" s="882">
        <f>'Table 3 Levels 1&amp;2'!AL65</f>
        <v>5457.8662803476354</v>
      </c>
      <c r="E65" s="921">
        <f t="shared" si="28"/>
        <v>0</v>
      </c>
      <c r="F65" s="921">
        <f>'Table 4 Level 3'!P63</f>
        <v>697.04</v>
      </c>
      <c r="G65" s="921">
        <f t="shared" si="29"/>
        <v>0</v>
      </c>
      <c r="H65" s="905">
        <f t="shared" si="30"/>
        <v>0</v>
      </c>
      <c r="I65" s="1734">
        <f>+'[3]Oct midyear Jefferson Chamber'!K64</f>
        <v>0</v>
      </c>
      <c r="J65" s="1734">
        <f>'[3]Feb midyear Jefferson Chamber'!K64</f>
        <v>0</v>
      </c>
      <c r="K65" s="1545">
        <f t="shared" si="31"/>
        <v>0</v>
      </c>
      <c r="L65" s="1489">
        <f t="shared" si="32"/>
        <v>0</v>
      </c>
      <c r="M65" s="931">
        <f t="shared" si="33"/>
        <v>0</v>
      </c>
      <c r="N65" s="905">
        <f t="shared" si="34"/>
        <v>0</v>
      </c>
      <c r="O65" s="882">
        <v>0</v>
      </c>
      <c r="P65" s="1552">
        <f t="shared" si="35"/>
        <v>0</v>
      </c>
      <c r="Q65" s="1734">
        <f>+'[4]Table 5C1J-Jefferson Chamber'!M64*8</f>
        <v>0</v>
      </c>
      <c r="R65" s="1734">
        <f t="shared" si="36"/>
        <v>0</v>
      </c>
      <c r="S65" s="1552">
        <f t="shared" si="37"/>
        <v>0</v>
      </c>
      <c r="T65" s="1802">
        <f>'Table 5C1A-Madison Prep'!T65</f>
        <v>2127</v>
      </c>
      <c r="U65" s="1555">
        <f t="shared" si="38"/>
        <v>0</v>
      </c>
      <c r="V65" s="1758">
        <f>+'[3]Oct midyear Jefferson Chamber'!E64</f>
        <v>0</v>
      </c>
      <c r="W65" s="1759">
        <f t="shared" si="39"/>
        <v>0</v>
      </c>
      <c r="X65" s="1758">
        <f>'[3]Feb midyear Jefferson Chamber'!E64</f>
        <v>0</v>
      </c>
      <c r="Y65" s="1759">
        <f t="shared" si="40"/>
        <v>0</v>
      </c>
      <c r="Z65" s="1653">
        <f t="shared" si="41"/>
        <v>0</v>
      </c>
      <c r="AA65" s="1486">
        <f t="shared" si="42"/>
        <v>0</v>
      </c>
      <c r="AB65" s="937">
        <f t="shared" si="43"/>
        <v>0</v>
      </c>
      <c r="AC65" s="899">
        <f t="shared" si="44"/>
        <v>0</v>
      </c>
      <c r="AD65" s="1830">
        <v>0</v>
      </c>
      <c r="AE65" s="899">
        <f t="shared" si="45"/>
        <v>0</v>
      </c>
      <c r="AF65" s="1834">
        <f>+'[4]Table 5C1J-Jefferson Chamber'!T64*8</f>
        <v>0</v>
      </c>
      <c r="AG65" s="1834">
        <f t="shared" si="46"/>
        <v>0</v>
      </c>
      <c r="AH65" s="899">
        <f t="shared" si="47"/>
        <v>0</v>
      </c>
      <c r="AI65" s="900">
        <f t="shared" si="51"/>
        <v>0</v>
      </c>
      <c r="AJ65" s="900">
        <f t="shared" si="48"/>
        <v>0</v>
      </c>
      <c r="AL65" s="2034">
        <f>-'[4]Table 5C1J-Jefferson Chamber'!P64</f>
        <v>0</v>
      </c>
      <c r="AM65" s="2034">
        <f t="shared" si="49"/>
        <v>0</v>
      </c>
      <c r="AN65" s="2034">
        <f t="shared" si="50"/>
        <v>0</v>
      </c>
    </row>
    <row r="66" spans="1:40">
      <c r="A66" s="876">
        <v>59</v>
      </c>
      <c r="B66" s="877" t="s">
        <v>149</v>
      </c>
      <c r="C66" s="972">
        <v>0</v>
      </c>
      <c r="D66" s="882">
        <f>'Table 3 Levels 1&amp;2'!AL66</f>
        <v>6274.2786338006481</v>
      </c>
      <c r="E66" s="921">
        <f t="shared" si="28"/>
        <v>0</v>
      </c>
      <c r="F66" s="921">
        <f>'Table 4 Level 3'!P64</f>
        <v>689.52</v>
      </c>
      <c r="G66" s="921">
        <f t="shared" si="29"/>
        <v>0</v>
      </c>
      <c r="H66" s="905">
        <f t="shared" si="30"/>
        <v>0</v>
      </c>
      <c r="I66" s="1734">
        <f>+'[3]Oct midyear Jefferson Chamber'!K65</f>
        <v>0</v>
      </c>
      <c r="J66" s="1734">
        <f>'[3]Feb midyear Jefferson Chamber'!K65</f>
        <v>0</v>
      </c>
      <c r="K66" s="1545">
        <f t="shared" si="31"/>
        <v>0</v>
      </c>
      <c r="L66" s="1489">
        <f t="shared" si="32"/>
        <v>0</v>
      </c>
      <c r="M66" s="931">
        <f t="shared" si="33"/>
        <v>0</v>
      </c>
      <c r="N66" s="905">
        <f t="shared" si="34"/>
        <v>0</v>
      </c>
      <c r="O66" s="882">
        <v>0</v>
      </c>
      <c r="P66" s="1552">
        <f t="shared" si="35"/>
        <v>0</v>
      </c>
      <c r="Q66" s="1734">
        <f>+'[4]Table 5C1J-Jefferson Chamber'!M65*8</f>
        <v>0</v>
      </c>
      <c r="R66" s="1734">
        <f t="shared" si="36"/>
        <v>0</v>
      </c>
      <c r="S66" s="1552">
        <f t="shared" si="37"/>
        <v>0</v>
      </c>
      <c r="T66" s="1802">
        <f>'Table 5C1A-Madison Prep'!T66</f>
        <v>1729</v>
      </c>
      <c r="U66" s="1555">
        <f t="shared" si="38"/>
        <v>0</v>
      </c>
      <c r="V66" s="1758">
        <f>+'[3]Oct midyear Jefferson Chamber'!E65</f>
        <v>0</v>
      </c>
      <c r="W66" s="1759">
        <f t="shared" si="39"/>
        <v>0</v>
      </c>
      <c r="X66" s="1758">
        <f>'[3]Feb midyear Jefferson Chamber'!E65</f>
        <v>0</v>
      </c>
      <c r="Y66" s="1759">
        <f t="shared" si="40"/>
        <v>0</v>
      </c>
      <c r="Z66" s="1653">
        <f t="shared" si="41"/>
        <v>0</v>
      </c>
      <c r="AA66" s="1486">
        <f t="shared" si="42"/>
        <v>0</v>
      </c>
      <c r="AB66" s="937">
        <f t="shared" si="43"/>
        <v>0</v>
      </c>
      <c r="AC66" s="899">
        <f t="shared" si="44"/>
        <v>0</v>
      </c>
      <c r="AD66" s="1830">
        <v>0</v>
      </c>
      <c r="AE66" s="899">
        <f t="shared" si="45"/>
        <v>0</v>
      </c>
      <c r="AF66" s="1834">
        <f>+'[4]Table 5C1J-Jefferson Chamber'!T65*8</f>
        <v>0</v>
      </c>
      <c r="AG66" s="1834">
        <f t="shared" si="46"/>
        <v>0</v>
      </c>
      <c r="AH66" s="899">
        <f t="shared" si="47"/>
        <v>0</v>
      </c>
      <c r="AI66" s="900">
        <f t="shared" si="51"/>
        <v>0</v>
      </c>
      <c r="AJ66" s="900">
        <f t="shared" si="48"/>
        <v>0</v>
      </c>
      <c r="AL66" s="2034">
        <f>-'[4]Table 5C1J-Jefferson Chamber'!P65</f>
        <v>0</v>
      </c>
      <c r="AM66" s="2034">
        <f t="shared" si="49"/>
        <v>0</v>
      </c>
      <c r="AN66" s="2034">
        <f t="shared" si="50"/>
        <v>0</v>
      </c>
    </row>
    <row r="67" spans="1:40">
      <c r="A67" s="879">
        <v>60</v>
      </c>
      <c r="B67" s="880" t="s">
        <v>150</v>
      </c>
      <c r="C67" s="973">
        <v>0</v>
      </c>
      <c r="D67" s="883">
        <f>'Table 3 Levels 1&amp;2'!AL67</f>
        <v>4940.9166775610411</v>
      </c>
      <c r="E67" s="922">
        <f t="shared" si="28"/>
        <v>0</v>
      </c>
      <c r="F67" s="922">
        <f>'Table 4 Level 3'!P65</f>
        <v>594.04</v>
      </c>
      <c r="G67" s="922">
        <f t="shared" si="29"/>
        <v>0</v>
      </c>
      <c r="H67" s="906">
        <f t="shared" si="30"/>
        <v>0</v>
      </c>
      <c r="I67" s="1735">
        <f>+'[3]Oct midyear Jefferson Chamber'!K66</f>
        <v>0</v>
      </c>
      <c r="J67" s="1735">
        <f>'[3]Feb midyear Jefferson Chamber'!K66</f>
        <v>0</v>
      </c>
      <c r="K67" s="1546">
        <f t="shared" si="31"/>
        <v>0</v>
      </c>
      <c r="L67" s="1490">
        <f t="shared" si="32"/>
        <v>0</v>
      </c>
      <c r="M67" s="932">
        <f t="shared" si="33"/>
        <v>0</v>
      </c>
      <c r="N67" s="906">
        <f t="shared" si="34"/>
        <v>0</v>
      </c>
      <c r="O67" s="883">
        <v>0</v>
      </c>
      <c r="P67" s="1553">
        <f t="shared" si="35"/>
        <v>0</v>
      </c>
      <c r="Q67" s="1735">
        <f>+'[4]Table 5C1J-Jefferson Chamber'!M66*8</f>
        <v>0</v>
      </c>
      <c r="R67" s="1735">
        <f t="shared" si="36"/>
        <v>0</v>
      </c>
      <c r="S67" s="1553">
        <f t="shared" si="37"/>
        <v>0</v>
      </c>
      <c r="T67" s="1807">
        <f>'Table 5C1A-Madison Prep'!T67</f>
        <v>3801</v>
      </c>
      <c r="U67" s="1556">
        <f t="shared" si="38"/>
        <v>0</v>
      </c>
      <c r="V67" s="1762">
        <f>+'[3]Oct midyear Jefferson Chamber'!E66</f>
        <v>0</v>
      </c>
      <c r="W67" s="1763">
        <f t="shared" si="39"/>
        <v>0</v>
      </c>
      <c r="X67" s="1762">
        <f>'[3]Feb midyear Jefferson Chamber'!E66</f>
        <v>0</v>
      </c>
      <c r="Y67" s="1763">
        <f t="shared" si="40"/>
        <v>0</v>
      </c>
      <c r="Z67" s="1654">
        <f t="shared" si="41"/>
        <v>0</v>
      </c>
      <c r="AA67" s="1488">
        <f t="shared" si="42"/>
        <v>0</v>
      </c>
      <c r="AB67" s="938">
        <f t="shared" si="43"/>
        <v>0</v>
      </c>
      <c r="AC67" s="903">
        <f t="shared" si="44"/>
        <v>0</v>
      </c>
      <c r="AD67" s="1831">
        <v>0</v>
      </c>
      <c r="AE67" s="903">
        <f t="shared" si="45"/>
        <v>0</v>
      </c>
      <c r="AF67" s="1835">
        <f>+'[4]Table 5C1J-Jefferson Chamber'!T66*8</f>
        <v>0</v>
      </c>
      <c r="AG67" s="1835">
        <f t="shared" si="46"/>
        <v>0</v>
      </c>
      <c r="AH67" s="903">
        <f t="shared" si="47"/>
        <v>0</v>
      </c>
      <c r="AI67" s="904">
        <f t="shared" si="51"/>
        <v>0</v>
      </c>
      <c r="AJ67" s="904">
        <f t="shared" si="48"/>
        <v>0</v>
      </c>
      <c r="AL67" s="2034">
        <f>-'[4]Table 5C1J-Jefferson Chamber'!P66</f>
        <v>0</v>
      </c>
      <c r="AM67" s="2034">
        <f t="shared" si="49"/>
        <v>0</v>
      </c>
      <c r="AN67" s="2034">
        <f t="shared" si="50"/>
        <v>0</v>
      </c>
    </row>
    <row r="68" spans="1:40">
      <c r="A68" s="870">
        <v>61</v>
      </c>
      <c r="B68" s="871" t="s">
        <v>151</v>
      </c>
      <c r="C68" s="974">
        <v>0</v>
      </c>
      <c r="D68" s="884">
        <f>'Table 3 Levels 1&amp;2'!AL68</f>
        <v>2908.0344869339228</v>
      </c>
      <c r="E68" s="923">
        <f t="shared" si="28"/>
        <v>0</v>
      </c>
      <c r="F68" s="923">
        <f>'Table 4 Level 3'!P66</f>
        <v>833.70999999999992</v>
      </c>
      <c r="G68" s="923">
        <f t="shared" si="29"/>
        <v>0</v>
      </c>
      <c r="H68" s="907">
        <f t="shared" si="30"/>
        <v>0</v>
      </c>
      <c r="I68" s="1723">
        <f>+'[3]Oct midyear Jefferson Chamber'!K67</f>
        <v>0</v>
      </c>
      <c r="J68" s="1723">
        <f>'[3]Feb midyear Jefferson Chamber'!K67</f>
        <v>0</v>
      </c>
      <c r="K68" s="1547">
        <f t="shared" si="31"/>
        <v>0</v>
      </c>
      <c r="L68" s="1491">
        <f t="shared" si="32"/>
        <v>0</v>
      </c>
      <c r="M68" s="933">
        <f t="shared" si="33"/>
        <v>0</v>
      </c>
      <c r="N68" s="907">
        <f t="shared" si="34"/>
        <v>0</v>
      </c>
      <c r="O68" s="884">
        <v>0</v>
      </c>
      <c r="P68" s="996">
        <f t="shared" si="35"/>
        <v>0</v>
      </c>
      <c r="Q68" s="1723">
        <f>+'[4]Table 5C1J-Jefferson Chamber'!M67*8</f>
        <v>0</v>
      </c>
      <c r="R68" s="1723">
        <f t="shared" si="36"/>
        <v>0</v>
      </c>
      <c r="S68" s="996">
        <f t="shared" si="37"/>
        <v>0</v>
      </c>
      <c r="T68" s="1802">
        <f>'Table 5C1A-Madison Prep'!T68</f>
        <v>6597</v>
      </c>
      <c r="U68" s="999">
        <f t="shared" si="38"/>
        <v>0</v>
      </c>
      <c r="V68" s="1754">
        <f>+'[3]Oct midyear Jefferson Chamber'!E67</f>
        <v>0</v>
      </c>
      <c r="W68" s="1755">
        <f t="shared" si="39"/>
        <v>0</v>
      </c>
      <c r="X68" s="1754">
        <f>'[3]Feb midyear Jefferson Chamber'!E67</f>
        <v>0</v>
      </c>
      <c r="Y68" s="1755">
        <f t="shared" si="40"/>
        <v>0</v>
      </c>
      <c r="Z68" s="1652">
        <f t="shared" si="41"/>
        <v>0</v>
      </c>
      <c r="AA68" s="1521">
        <f t="shared" si="42"/>
        <v>0</v>
      </c>
      <c r="AB68" s="936">
        <f t="shared" si="43"/>
        <v>0</v>
      </c>
      <c r="AC68" s="874">
        <f t="shared" si="44"/>
        <v>0</v>
      </c>
      <c r="AD68" s="1829">
        <v>0</v>
      </c>
      <c r="AE68" s="874">
        <f t="shared" si="45"/>
        <v>0</v>
      </c>
      <c r="AF68" s="1829">
        <f>+'[4]Table 5C1J-Jefferson Chamber'!T67*8</f>
        <v>0</v>
      </c>
      <c r="AG68" s="1829">
        <f t="shared" si="46"/>
        <v>0</v>
      </c>
      <c r="AH68" s="874">
        <f t="shared" si="47"/>
        <v>0</v>
      </c>
      <c r="AI68" s="875">
        <f t="shared" si="51"/>
        <v>0</v>
      </c>
      <c r="AJ68" s="875">
        <f t="shared" si="48"/>
        <v>0</v>
      </c>
      <c r="AL68" s="2034">
        <f>-'[4]Table 5C1J-Jefferson Chamber'!P67</f>
        <v>0</v>
      </c>
      <c r="AM68" s="2034">
        <f t="shared" si="49"/>
        <v>0</v>
      </c>
      <c r="AN68" s="2034">
        <f t="shared" si="50"/>
        <v>0</v>
      </c>
    </row>
    <row r="69" spans="1:40">
      <c r="A69" s="876">
        <v>62</v>
      </c>
      <c r="B69" s="877" t="s">
        <v>152</v>
      </c>
      <c r="C69" s="972">
        <v>0</v>
      </c>
      <c r="D69" s="882">
        <f>'Table 3 Levels 1&amp;2'!AL69</f>
        <v>5652.1730736722093</v>
      </c>
      <c r="E69" s="921">
        <f t="shared" si="28"/>
        <v>0</v>
      </c>
      <c r="F69" s="921">
        <f>'Table 4 Level 3'!P67</f>
        <v>516.08000000000004</v>
      </c>
      <c r="G69" s="921">
        <f t="shared" si="29"/>
        <v>0</v>
      </c>
      <c r="H69" s="905">
        <f t="shared" si="30"/>
        <v>0</v>
      </c>
      <c r="I69" s="1734">
        <f>+'[3]Oct midyear Jefferson Chamber'!K68</f>
        <v>0</v>
      </c>
      <c r="J69" s="1734">
        <f>'[3]Feb midyear Jefferson Chamber'!K68</f>
        <v>0</v>
      </c>
      <c r="K69" s="1545">
        <f t="shared" si="31"/>
        <v>0</v>
      </c>
      <c r="L69" s="1489">
        <f t="shared" si="32"/>
        <v>0</v>
      </c>
      <c r="M69" s="931">
        <f t="shared" si="33"/>
        <v>0</v>
      </c>
      <c r="N69" s="905">
        <f t="shared" si="34"/>
        <v>0</v>
      </c>
      <c r="O69" s="882">
        <v>0</v>
      </c>
      <c r="P69" s="1552">
        <f t="shared" si="35"/>
        <v>0</v>
      </c>
      <c r="Q69" s="1734">
        <f>+'[4]Table 5C1J-Jefferson Chamber'!M68*8</f>
        <v>0</v>
      </c>
      <c r="R69" s="1734">
        <f t="shared" si="36"/>
        <v>0</v>
      </c>
      <c r="S69" s="1552">
        <f t="shared" si="37"/>
        <v>0</v>
      </c>
      <c r="T69" s="1802">
        <f>'Table 5C1A-Madison Prep'!T69</f>
        <v>1998</v>
      </c>
      <c r="U69" s="1555">
        <f t="shared" si="38"/>
        <v>0</v>
      </c>
      <c r="V69" s="1758">
        <f>+'[3]Oct midyear Jefferson Chamber'!E68</f>
        <v>0</v>
      </c>
      <c r="W69" s="1759">
        <f t="shared" si="39"/>
        <v>0</v>
      </c>
      <c r="X69" s="1758">
        <f>'[3]Feb midyear Jefferson Chamber'!E68</f>
        <v>0</v>
      </c>
      <c r="Y69" s="1759">
        <f t="shared" si="40"/>
        <v>0</v>
      </c>
      <c r="Z69" s="1653">
        <f t="shared" si="41"/>
        <v>0</v>
      </c>
      <c r="AA69" s="1486">
        <f t="shared" si="42"/>
        <v>0</v>
      </c>
      <c r="AB69" s="937">
        <f t="shared" si="43"/>
        <v>0</v>
      </c>
      <c r="AC69" s="899">
        <f t="shared" si="44"/>
        <v>0</v>
      </c>
      <c r="AD69" s="1830">
        <v>0</v>
      </c>
      <c r="AE69" s="899">
        <f t="shared" si="45"/>
        <v>0</v>
      </c>
      <c r="AF69" s="1834">
        <f>+'[4]Table 5C1J-Jefferson Chamber'!T68*8</f>
        <v>0</v>
      </c>
      <c r="AG69" s="1834">
        <f t="shared" si="46"/>
        <v>0</v>
      </c>
      <c r="AH69" s="899">
        <f t="shared" si="47"/>
        <v>0</v>
      </c>
      <c r="AI69" s="900">
        <f t="shared" si="51"/>
        <v>0</v>
      </c>
      <c r="AJ69" s="900">
        <f t="shared" si="48"/>
        <v>0</v>
      </c>
      <c r="AL69" s="2034">
        <f>-'[4]Table 5C1J-Jefferson Chamber'!P68</f>
        <v>0</v>
      </c>
      <c r="AM69" s="2034">
        <f t="shared" si="49"/>
        <v>0</v>
      </c>
      <c r="AN69" s="2034">
        <f t="shared" si="50"/>
        <v>0</v>
      </c>
    </row>
    <row r="70" spans="1:40">
      <c r="A70" s="876">
        <v>63</v>
      </c>
      <c r="B70" s="877" t="s">
        <v>153</v>
      </c>
      <c r="C70" s="972">
        <v>0</v>
      </c>
      <c r="D70" s="882">
        <f>'Table 3 Levels 1&amp;2'!AL70</f>
        <v>4362.300753810403</v>
      </c>
      <c r="E70" s="921">
        <f t="shared" si="28"/>
        <v>0</v>
      </c>
      <c r="F70" s="921">
        <f>'Table 4 Level 3'!P68</f>
        <v>756.79</v>
      </c>
      <c r="G70" s="921">
        <f t="shared" si="29"/>
        <v>0</v>
      </c>
      <c r="H70" s="905">
        <f t="shared" si="30"/>
        <v>0</v>
      </c>
      <c r="I70" s="1734">
        <f>+'[3]Oct midyear Jefferson Chamber'!K69</f>
        <v>0</v>
      </c>
      <c r="J70" s="1734">
        <f>'[3]Feb midyear Jefferson Chamber'!K69</f>
        <v>0</v>
      </c>
      <c r="K70" s="1545">
        <f t="shared" si="31"/>
        <v>0</v>
      </c>
      <c r="L70" s="1489">
        <f t="shared" si="32"/>
        <v>0</v>
      </c>
      <c r="M70" s="931">
        <f t="shared" si="33"/>
        <v>0</v>
      </c>
      <c r="N70" s="905">
        <f t="shared" si="34"/>
        <v>0</v>
      </c>
      <c r="O70" s="882">
        <v>0</v>
      </c>
      <c r="P70" s="1552">
        <f t="shared" si="35"/>
        <v>0</v>
      </c>
      <c r="Q70" s="1734">
        <f>+'[4]Table 5C1J-Jefferson Chamber'!M69*8</f>
        <v>0</v>
      </c>
      <c r="R70" s="1734">
        <f t="shared" si="36"/>
        <v>0</v>
      </c>
      <c r="S70" s="1552">
        <f t="shared" si="37"/>
        <v>0</v>
      </c>
      <c r="T70" s="1802">
        <f>'Table 5C1A-Madison Prep'!T70</f>
        <v>7391</v>
      </c>
      <c r="U70" s="1555">
        <f t="shared" si="38"/>
        <v>0</v>
      </c>
      <c r="V70" s="1758">
        <f>+'[3]Oct midyear Jefferson Chamber'!E69</f>
        <v>0</v>
      </c>
      <c r="W70" s="1759">
        <f t="shared" si="39"/>
        <v>0</v>
      </c>
      <c r="X70" s="1758">
        <f>'[3]Feb midyear Jefferson Chamber'!E69</f>
        <v>0</v>
      </c>
      <c r="Y70" s="1759">
        <f t="shared" si="40"/>
        <v>0</v>
      </c>
      <c r="Z70" s="1653">
        <f t="shared" si="41"/>
        <v>0</v>
      </c>
      <c r="AA70" s="1486">
        <f t="shared" si="42"/>
        <v>0</v>
      </c>
      <c r="AB70" s="937">
        <f t="shared" si="43"/>
        <v>0</v>
      </c>
      <c r="AC70" s="899">
        <f t="shared" si="44"/>
        <v>0</v>
      </c>
      <c r="AD70" s="1830">
        <v>0</v>
      </c>
      <c r="AE70" s="899">
        <f t="shared" si="45"/>
        <v>0</v>
      </c>
      <c r="AF70" s="1834">
        <f>+'[4]Table 5C1J-Jefferson Chamber'!T69*8</f>
        <v>0</v>
      </c>
      <c r="AG70" s="1834">
        <f t="shared" si="46"/>
        <v>0</v>
      </c>
      <c r="AH70" s="899">
        <f t="shared" si="47"/>
        <v>0</v>
      </c>
      <c r="AI70" s="900">
        <f t="shared" si="51"/>
        <v>0</v>
      </c>
      <c r="AJ70" s="900">
        <f t="shared" si="48"/>
        <v>0</v>
      </c>
      <c r="AL70" s="2034">
        <f>-'[4]Table 5C1J-Jefferson Chamber'!P69</f>
        <v>0</v>
      </c>
      <c r="AM70" s="2034">
        <f t="shared" si="49"/>
        <v>0</v>
      </c>
      <c r="AN70" s="2034">
        <f t="shared" si="50"/>
        <v>0</v>
      </c>
    </row>
    <row r="71" spans="1:40">
      <c r="A71" s="876">
        <v>64</v>
      </c>
      <c r="B71" s="877" t="s">
        <v>154</v>
      </c>
      <c r="C71" s="972">
        <v>0</v>
      </c>
      <c r="D71" s="882">
        <f>'Table 3 Levels 1&amp;2'!AL71</f>
        <v>5960.2049072003338</v>
      </c>
      <c r="E71" s="921">
        <f t="shared" si="28"/>
        <v>0</v>
      </c>
      <c r="F71" s="921">
        <f>'Table 4 Level 3'!P69</f>
        <v>592.66</v>
      </c>
      <c r="G71" s="921">
        <f t="shared" si="29"/>
        <v>0</v>
      </c>
      <c r="H71" s="905">
        <f t="shared" si="30"/>
        <v>0</v>
      </c>
      <c r="I71" s="1734">
        <f>+'[3]Oct midyear Jefferson Chamber'!K70</f>
        <v>0</v>
      </c>
      <c r="J71" s="1734">
        <f>'[3]Feb midyear Jefferson Chamber'!K70</f>
        <v>0</v>
      </c>
      <c r="K71" s="1545">
        <f t="shared" si="31"/>
        <v>0</v>
      </c>
      <c r="L71" s="1489">
        <f t="shared" si="32"/>
        <v>0</v>
      </c>
      <c r="M71" s="931">
        <f t="shared" si="33"/>
        <v>0</v>
      </c>
      <c r="N71" s="905">
        <f t="shared" si="34"/>
        <v>0</v>
      </c>
      <c r="O71" s="882">
        <v>0</v>
      </c>
      <c r="P71" s="1552">
        <f t="shared" si="35"/>
        <v>0</v>
      </c>
      <c r="Q71" s="1734">
        <f>+'[4]Table 5C1J-Jefferson Chamber'!M70*8</f>
        <v>0</v>
      </c>
      <c r="R71" s="1734">
        <f t="shared" si="36"/>
        <v>0</v>
      </c>
      <c r="S71" s="1552">
        <f t="shared" si="37"/>
        <v>0</v>
      </c>
      <c r="T71" s="1802">
        <f>'Table 5C1A-Madison Prep'!T71</f>
        <v>2902</v>
      </c>
      <c r="U71" s="1555">
        <f t="shared" si="38"/>
        <v>0</v>
      </c>
      <c r="V71" s="1758">
        <f>+'[3]Oct midyear Jefferson Chamber'!E70</f>
        <v>0</v>
      </c>
      <c r="W71" s="1759">
        <f t="shared" si="39"/>
        <v>0</v>
      </c>
      <c r="X71" s="1758">
        <f>'[3]Feb midyear Jefferson Chamber'!E70</f>
        <v>0</v>
      </c>
      <c r="Y71" s="1759">
        <f t="shared" si="40"/>
        <v>0</v>
      </c>
      <c r="Z71" s="1653">
        <f t="shared" si="41"/>
        <v>0</v>
      </c>
      <c r="AA71" s="1486">
        <f t="shared" si="42"/>
        <v>0</v>
      </c>
      <c r="AB71" s="937">
        <f t="shared" si="43"/>
        <v>0</v>
      </c>
      <c r="AC71" s="899">
        <f t="shared" si="44"/>
        <v>0</v>
      </c>
      <c r="AD71" s="1830">
        <v>0</v>
      </c>
      <c r="AE71" s="899">
        <f t="shared" si="45"/>
        <v>0</v>
      </c>
      <c r="AF71" s="1834">
        <f>+'[4]Table 5C1J-Jefferson Chamber'!T70*8</f>
        <v>0</v>
      </c>
      <c r="AG71" s="1834">
        <f t="shared" si="46"/>
        <v>0</v>
      </c>
      <c r="AH71" s="899">
        <f t="shared" si="47"/>
        <v>0</v>
      </c>
      <c r="AI71" s="900">
        <f t="shared" si="51"/>
        <v>0</v>
      </c>
      <c r="AJ71" s="900">
        <f t="shared" si="48"/>
        <v>0</v>
      </c>
      <c r="AL71" s="2034">
        <f>-'[4]Table 5C1J-Jefferson Chamber'!P70</f>
        <v>0</v>
      </c>
      <c r="AM71" s="2034">
        <f t="shared" si="49"/>
        <v>0</v>
      </c>
      <c r="AN71" s="2034">
        <f t="shared" si="50"/>
        <v>0</v>
      </c>
    </row>
    <row r="72" spans="1:40">
      <c r="A72" s="879">
        <v>65</v>
      </c>
      <c r="B72" s="880" t="s">
        <v>155</v>
      </c>
      <c r="C72" s="973">
        <v>0</v>
      </c>
      <c r="D72" s="883">
        <f>'Table 3 Levels 1&amp;2'!AL72</f>
        <v>4579.2772303106676</v>
      </c>
      <c r="E72" s="922">
        <f t="shared" si="28"/>
        <v>0</v>
      </c>
      <c r="F72" s="922">
        <f>'Table 4 Level 3'!P70</f>
        <v>829.12</v>
      </c>
      <c r="G72" s="922">
        <f t="shared" si="29"/>
        <v>0</v>
      </c>
      <c r="H72" s="906">
        <f t="shared" si="30"/>
        <v>0</v>
      </c>
      <c r="I72" s="1735">
        <f>+'[3]Oct midyear Jefferson Chamber'!K71</f>
        <v>0</v>
      </c>
      <c r="J72" s="1735">
        <f>'[3]Feb midyear Jefferson Chamber'!K71</f>
        <v>0</v>
      </c>
      <c r="K72" s="1546">
        <f t="shared" si="31"/>
        <v>0</v>
      </c>
      <c r="L72" s="1490">
        <f t="shared" si="32"/>
        <v>0</v>
      </c>
      <c r="M72" s="932">
        <f t="shared" si="33"/>
        <v>0</v>
      </c>
      <c r="N72" s="906">
        <f t="shared" si="34"/>
        <v>0</v>
      </c>
      <c r="O72" s="883">
        <v>0</v>
      </c>
      <c r="P72" s="1553">
        <f t="shared" si="35"/>
        <v>0</v>
      </c>
      <c r="Q72" s="1735">
        <f>+'[4]Table 5C1J-Jefferson Chamber'!M71*8</f>
        <v>0</v>
      </c>
      <c r="R72" s="1735">
        <f t="shared" si="36"/>
        <v>0</v>
      </c>
      <c r="S72" s="1553">
        <f t="shared" si="37"/>
        <v>0</v>
      </c>
      <c r="T72" s="1807">
        <f>'Table 5C1A-Madison Prep'!T72</f>
        <v>4823</v>
      </c>
      <c r="U72" s="1556">
        <f t="shared" si="38"/>
        <v>0</v>
      </c>
      <c r="V72" s="1762">
        <f>+'[3]Oct midyear Jefferson Chamber'!E71</f>
        <v>0</v>
      </c>
      <c r="W72" s="1763">
        <f t="shared" si="39"/>
        <v>0</v>
      </c>
      <c r="X72" s="1762">
        <f>'[3]Feb midyear Jefferson Chamber'!E71</f>
        <v>0</v>
      </c>
      <c r="Y72" s="1763">
        <f t="shared" si="40"/>
        <v>0</v>
      </c>
      <c r="Z72" s="1654">
        <f t="shared" si="41"/>
        <v>0</v>
      </c>
      <c r="AA72" s="1488">
        <f t="shared" si="42"/>
        <v>0</v>
      </c>
      <c r="AB72" s="938">
        <f t="shared" si="43"/>
        <v>0</v>
      </c>
      <c r="AC72" s="903">
        <f t="shared" si="44"/>
        <v>0</v>
      </c>
      <c r="AD72" s="1831">
        <v>0</v>
      </c>
      <c r="AE72" s="903">
        <f t="shared" si="45"/>
        <v>0</v>
      </c>
      <c r="AF72" s="1835">
        <f>+'[4]Table 5C1J-Jefferson Chamber'!T71*8</f>
        <v>0</v>
      </c>
      <c r="AG72" s="1835">
        <f t="shared" si="46"/>
        <v>0</v>
      </c>
      <c r="AH72" s="903">
        <f t="shared" si="47"/>
        <v>0</v>
      </c>
      <c r="AI72" s="904">
        <f t="shared" si="51"/>
        <v>0</v>
      </c>
      <c r="AJ72" s="904">
        <f t="shared" si="48"/>
        <v>0</v>
      </c>
      <c r="AL72" s="2034">
        <f>-'[4]Table 5C1J-Jefferson Chamber'!P71</f>
        <v>0</v>
      </c>
      <c r="AM72" s="2034">
        <f t="shared" si="49"/>
        <v>0</v>
      </c>
      <c r="AN72" s="2034">
        <f t="shared" si="50"/>
        <v>0</v>
      </c>
    </row>
    <row r="73" spans="1:40">
      <c r="A73" s="870">
        <v>66</v>
      </c>
      <c r="B73" s="871" t="s">
        <v>156</v>
      </c>
      <c r="C73" s="974">
        <v>0</v>
      </c>
      <c r="D73" s="884">
        <f>'Table 3 Levels 1&amp;2'!AL73</f>
        <v>6370.8108195713585</v>
      </c>
      <c r="E73" s="923">
        <f t="shared" ref="E73:E76" si="52">C73*D73</f>
        <v>0</v>
      </c>
      <c r="F73" s="923">
        <f>'Table 4 Level 3'!P71</f>
        <v>730.06</v>
      </c>
      <c r="G73" s="923">
        <f t="shared" ref="G73:G76" si="53">C73*F73</f>
        <v>0</v>
      </c>
      <c r="H73" s="907">
        <f t="shared" ref="H73:H76" si="54">E73+G73</f>
        <v>0</v>
      </c>
      <c r="I73" s="1723">
        <f>+'[3]Oct midyear Jefferson Chamber'!K72</f>
        <v>0</v>
      </c>
      <c r="J73" s="1723">
        <f>'[3]Feb midyear Jefferson Chamber'!K72</f>
        <v>0</v>
      </c>
      <c r="K73" s="1547">
        <f t="shared" ref="K73:K76" si="55">+I73+J73</f>
        <v>0</v>
      </c>
      <c r="L73" s="1491">
        <f t="shared" ref="L73:L76" si="56">+H73+K73</f>
        <v>0</v>
      </c>
      <c r="M73" s="933">
        <f t="shared" ref="M73:M76" si="57">-(0.25%*L73)</f>
        <v>0</v>
      </c>
      <c r="N73" s="907">
        <f t="shared" ref="N73:N76" si="58">SUM(L73:M73)</f>
        <v>0</v>
      </c>
      <c r="O73" s="884">
        <v>0</v>
      </c>
      <c r="P73" s="996">
        <f t="shared" ref="P73:P76" si="59">SUM(N73:O73)</f>
        <v>0</v>
      </c>
      <c r="Q73" s="1723">
        <f>+'[4]Table 5C1J-Jefferson Chamber'!M72*8</f>
        <v>0</v>
      </c>
      <c r="R73" s="1723">
        <f t="shared" ref="R73:R76" si="60">+P73-Q73</f>
        <v>0</v>
      </c>
      <c r="S73" s="996">
        <f t="shared" ref="S73:S76" si="61">ROUND(R73/4,0)</f>
        <v>0</v>
      </c>
      <c r="T73" s="1802">
        <f>'Table 5C1A-Madison Prep'!T73</f>
        <v>3524</v>
      </c>
      <c r="U73" s="999">
        <f t="shared" ref="U73:U76" si="62">C73*T73</f>
        <v>0</v>
      </c>
      <c r="V73" s="1754">
        <f>+'[3]Oct midyear Jefferson Chamber'!E72</f>
        <v>0</v>
      </c>
      <c r="W73" s="1755">
        <f t="shared" ref="W73:W76" si="63">+T73*V73</f>
        <v>0</v>
      </c>
      <c r="X73" s="1754">
        <f>'[3]Feb midyear Jefferson Chamber'!E72</f>
        <v>0</v>
      </c>
      <c r="Y73" s="1755">
        <f t="shared" ref="Y73:Y76" si="64">(T73*X73)*0.5</f>
        <v>0</v>
      </c>
      <c r="Z73" s="1652">
        <f t="shared" ref="Z73:Z76" si="65">+W73+Y73</f>
        <v>0</v>
      </c>
      <c r="AA73" s="1521">
        <f t="shared" ref="AA73:AA76" si="66">+U73+Z73</f>
        <v>0</v>
      </c>
      <c r="AB73" s="936">
        <f t="shared" ref="AB73:AB76" si="67">-(0.25%*AA73)</f>
        <v>0</v>
      </c>
      <c r="AC73" s="874">
        <f t="shared" ref="AC73:AC76" si="68">SUM(AA73:AB73)</f>
        <v>0</v>
      </c>
      <c r="AD73" s="1829">
        <v>0</v>
      </c>
      <c r="AE73" s="874">
        <f t="shared" ref="AE73:AE76" si="69">SUM(AC73:AD73)</f>
        <v>0</v>
      </c>
      <c r="AF73" s="1829">
        <f>+'[4]Table 5C1J-Jefferson Chamber'!T72*8</f>
        <v>0</v>
      </c>
      <c r="AG73" s="1829">
        <f t="shared" ref="AG73:AG76" si="70">+AE73-AF73</f>
        <v>0</v>
      </c>
      <c r="AH73" s="874">
        <f t="shared" ref="AH73:AH76" si="71">ROUND(AG73/4,0)</f>
        <v>0</v>
      </c>
      <c r="AI73" s="875">
        <f t="shared" si="51"/>
        <v>0</v>
      </c>
      <c r="AJ73" s="875">
        <f t="shared" ref="AJ73:AJ76" si="72">S73+AH73</f>
        <v>0</v>
      </c>
      <c r="AL73" s="2034">
        <f>-'[4]Table 5C1J-Jefferson Chamber'!P72</f>
        <v>0</v>
      </c>
      <c r="AM73" s="2034">
        <f t="shared" ref="AM73:AM76" si="73">AB73</f>
        <v>0</v>
      </c>
      <c r="AN73" s="2034">
        <f t="shared" ref="AN73:AN75" si="74">SUM(AL73:AM73)</f>
        <v>0</v>
      </c>
    </row>
    <row r="74" spans="1:40">
      <c r="A74" s="876">
        <v>67</v>
      </c>
      <c r="B74" s="877" t="s">
        <v>32</v>
      </c>
      <c r="C74" s="972">
        <v>0</v>
      </c>
      <c r="D74" s="882">
        <f>'Table 3 Levels 1&amp;2'!AL74</f>
        <v>4951.6009932106244</v>
      </c>
      <c r="E74" s="921">
        <f t="shared" si="52"/>
        <v>0</v>
      </c>
      <c r="F74" s="921">
        <f>'Table 4 Level 3'!P72</f>
        <v>715.61</v>
      </c>
      <c r="G74" s="921">
        <f t="shared" si="53"/>
        <v>0</v>
      </c>
      <c r="H74" s="905">
        <f t="shared" si="54"/>
        <v>0</v>
      </c>
      <c r="I74" s="1734">
        <f>+'[3]Oct midyear Jefferson Chamber'!K73</f>
        <v>0</v>
      </c>
      <c r="J74" s="1734">
        <f>'[3]Feb midyear Jefferson Chamber'!K73</f>
        <v>0</v>
      </c>
      <c r="K74" s="1545">
        <f t="shared" si="55"/>
        <v>0</v>
      </c>
      <c r="L74" s="1489">
        <f t="shared" si="56"/>
        <v>0</v>
      </c>
      <c r="M74" s="931">
        <f t="shared" si="57"/>
        <v>0</v>
      </c>
      <c r="N74" s="905">
        <f t="shared" si="58"/>
        <v>0</v>
      </c>
      <c r="O74" s="882">
        <v>0</v>
      </c>
      <c r="P74" s="1552">
        <f t="shared" si="59"/>
        <v>0</v>
      </c>
      <c r="Q74" s="1734">
        <f>+'[4]Table 5C1J-Jefferson Chamber'!M73*8</f>
        <v>0</v>
      </c>
      <c r="R74" s="1734">
        <f t="shared" si="60"/>
        <v>0</v>
      </c>
      <c r="S74" s="1552">
        <f t="shared" si="61"/>
        <v>0</v>
      </c>
      <c r="T74" s="1802">
        <f>'Table 5C1A-Madison Prep'!T74</f>
        <v>5007</v>
      </c>
      <c r="U74" s="1555">
        <f t="shared" si="62"/>
        <v>0</v>
      </c>
      <c r="V74" s="1758">
        <f>+'[3]Oct midyear Jefferson Chamber'!E73</f>
        <v>0</v>
      </c>
      <c r="W74" s="1759">
        <f t="shared" si="63"/>
        <v>0</v>
      </c>
      <c r="X74" s="1758">
        <f>'[3]Feb midyear Jefferson Chamber'!E73</f>
        <v>0</v>
      </c>
      <c r="Y74" s="1759">
        <f t="shared" si="64"/>
        <v>0</v>
      </c>
      <c r="Z74" s="1653">
        <f t="shared" si="65"/>
        <v>0</v>
      </c>
      <c r="AA74" s="1486">
        <f t="shared" si="66"/>
        <v>0</v>
      </c>
      <c r="AB74" s="937">
        <f t="shared" si="67"/>
        <v>0</v>
      </c>
      <c r="AC74" s="899">
        <f t="shared" si="68"/>
        <v>0</v>
      </c>
      <c r="AD74" s="1830">
        <v>0</v>
      </c>
      <c r="AE74" s="899">
        <f t="shared" si="69"/>
        <v>0</v>
      </c>
      <c r="AF74" s="1834">
        <f>+'[4]Table 5C1J-Jefferson Chamber'!T73*8</f>
        <v>0</v>
      </c>
      <c r="AG74" s="1834">
        <f t="shared" si="70"/>
        <v>0</v>
      </c>
      <c r="AH74" s="899">
        <f t="shared" si="71"/>
        <v>0</v>
      </c>
      <c r="AI74" s="900">
        <f t="shared" si="51"/>
        <v>0</v>
      </c>
      <c r="AJ74" s="900">
        <f t="shared" si="72"/>
        <v>0</v>
      </c>
      <c r="AL74" s="2034">
        <f>-'[4]Table 5C1J-Jefferson Chamber'!P73</f>
        <v>0</v>
      </c>
      <c r="AM74" s="2034">
        <f t="shared" si="73"/>
        <v>0</v>
      </c>
      <c r="AN74" s="2034">
        <f t="shared" si="74"/>
        <v>0</v>
      </c>
    </row>
    <row r="75" spans="1:40">
      <c r="A75" s="876">
        <v>68</v>
      </c>
      <c r="B75" s="877" t="s">
        <v>30</v>
      </c>
      <c r="C75" s="972">
        <v>0</v>
      </c>
      <c r="D75" s="882">
        <f>'Table 3 Levels 1&amp;2'!AL75</f>
        <v>6077.2398733698947</v>
      </c>
      <c r="E75" s="921">
        <f t="shared" si="52"/>
        <v>0</v>
      </c>
      <c r="F75" s="921">
        <f>'Table 4 Level 3'!P73</f>
        <v>798.7</v>
      </c>
      <c r="G75" s="921">
        <f t="shared" si="53"/>
        <v>0</v>
      </c>
      <c r="H75" s="905">
        <f t="shared" si="54"/>
        <v>0</v>
      </c>
      <c r="I75" s="1734">
        <f>+'[3]Oct midyear Jefferson Chamber'!K74</f>
        <v>0</v>
      </c>
      <c r="J75" s="1734">
        <f>'[3]Feb midyear Jefferson Chamber'!K74</f>
        <v>0</v>
      </c>
      <c r="K75" s="1545">
        <f t="shared" si="55"/>
        <v>0</v>
      </c>
      <c r="L75" s="1489">
        <f t="shared" si="56"/>
        <v>0</v>
      </c>
      <c r="M75" s="931">
        <f t="shared" si="57"/>
        <v>0</v>
      </c>
      <c r="N75" s="905">
        <f t="shared" si="58"/>
        <v>0</v>
      </c>
      <c r="O75" s="882">
        <v>0</v>
      </c>
      <c r="P75" s="1552">
        <f t="shared" si="59"/>
        <v>0</v>
      </c>
      <c r="Q75" s="1734">
        <f>+'[4]Table 5C1J-Jefferson Chamber'!M74*8</f>
        <v>0</v>
      </c>
      <c r="R75" s="1734">
        <f t="shared" si="60"/>
        <v>0</v>
      </c>
      <c r="S75" s="1552">
        <f t="shared" si="61"/>
        <v>0</v>
      </c>
      <c r="T75" s="1802">
        <f>'Table 5C1A-Madison Prep'!T75</f>
        <v>2927</v>
      </c>
      <c r="U75" s="1555">
        <f t="shared" si="62"/>
        <v>0</v>
      </c>
      <c r="V75" s="1758">
        <f>+'[3]Oct midyear Jefferson Chamber'!E74</f>
        <v>0</v>
      </c>
      <c r="W75" s="1759">
        <f t="shared" si="63"/>
        <v>0</v>
      </c>
      <c r="X75" s="1758">
        <f>'[3]Feb midyear Jefferson Chamber'!E74</f>
        <v>0</v>
      </c>
      <c r="Y75" s="1759">
        <f t="shared" si="64"/>
        <v>0</v>
      </c>
      <c r="Z75" s="1653">
        <f t="shared" si="65"/>
        <v>0</v>
      </c>
      <c r="AA75" s="1486">
        <f t="shared" si="66"/>
        <v>0</v>
      </c>
      <c r="AB75" s="937">
        <f t="shared" si="67"/>
        <v>0</v>
      </c>
      <c r="AC75" s="899">
        <f t="shared" si="68"/>
        <v>0</v>
      </c>
      <c r="AD75" s="1830">
        <v>0</v>
      </c>
      <c r="AE75" s="899">
        <f t="shared" si="69"/>
        <v>0</v>
      </c>
      <c r="AF75" s="1834">
        <f>+'[4]Table 5C1J-Jefferson Chamber'!T74*8</f>
        <v>0</v>
      </c>
      <c r="AG75" s="1834">
        <f t="shared" si="70"/>
        <v>0</v>
      </c>
      <c r="AH75" s="899">
        <f t="shared" si="71"/>
        <v>0</v>
      </c>
      <c r="AI75" s="900">
        <f t="shared" si="51"/>
        <v>0</v>
      </c>
      <c r="AJ75" s="900">
        <f t="shared" si="72"/>
        <v>0</v>
      </c>
      <c r="AL75" s="2034">
        <f>-'[4]Table 5C1J-Jefferson Chamber'!P74</f>
        <v>0</v>
      </c>
      <c r="AM75" s="2034">
        <f t="shared" si="73"/>
        <v>0</v>
      </c>
      <c r="AN75" s="2034">
        <f t="shared" si="74"/>
        <v>0</v>
      </c>
    </row>
    <row r="76" spans="1:40">
      <c r="A76" s="885">
        <v>69</v>
      </c>
      <c r="B76" s="886" t="s">
        <v>205</v>
      </c>
      <c r="C76" s="975">
        <v>0</v>
      </c>
      <c r="D76" s="887">
        <f>'Table 3 Levels 1&amp;2'!AL76</f>
        <v>5585.8253106686579</v>
      </c>
      <c r="E76" s="924">
        <f t="shared" si="52"/>
        <v>0</v>
      </c>
      <c r="F76" s="924">
        <f>'Table 4 Level 3'!P74</f>
        <v>705.67</v>
      </c>
      <c r="G76" s="924">
        <f t="shared" si="53"/>
        <v>0</v>
      </c>
      <c r="H76" s="908">
        <f t="shared" si="54"/>
        <v>0</v>
      </c>
      <c r="I76" s="1736">
        <f>+'[3]Oct midyear Jefferson Chamber'!K75</f>
        <v>0</v>
      </c>
      <c r="J76" s="1736">
        <f>'[3]Feb midyear Jefferson Chamber'!K75</f>
        <v>0</v>
      </c>
      <c r="K76" s="1548">
        <f t="shared" si="55"/>
        <v>0</v>
      </c>
      <c r="L76" s="1492">
        <f t="shared" si="56"/>
        <v>0</v>
      </c>
      <c r="M76" s="934">
        <f t="shared" si="57"/>
        <v>0</v>
      </c>
      <c r="N76" s="908">
        <f t="shared" si="58"/>
        <v>0</v>
      </c>
      <c r="O76" s="887">
        <v>0</v>
      </c>
      <c r="P76" s="1554">
        <f t="shared" si="59"/>
        <v>0</v>
      </c>
      <c r="Q76" s="1736">
        <f>+'[4]Table 5C1J-Jefferson Chamber'!M75*8</f>
        <v>0</v>
      </c>
      <c r="R76" s="1736">
        <f t="shared" si="60"/>
        <v>0</v>
      </c>
      <c r="S76" s="1554">
        <f t="shared" si="61"/>
        <v>0</v>
      </c>
      <c r="T76" s="1802">
        <f>'Table 5C1A-Madison Prep'!T76</f>
        <v>3404</v>
      </c>
      <c r="U76" s="1557">
        <f t="shared" si="62"/>
        <v>0</v>
      </c>
      <c r="V76" s="1766">
        <f>+'[3]Oct midyear Jefferson Chamber'!E75</f>
        <v>0</v>
      </c>
      <c r="W76" s="1767">
        <f t="shared" si="63"/>
        <v>0</v>
      </c>
      <c r="X76" s="1766">
        <f>'[3]Feb midyear Jefferson Chamber'!E75</f>
        <v>0</v>
      </c>
      <c r="Y76" s="1767">
        <f t="shared" si="64"/>
        <v>0</v>
      </c>
      <c r="Z76" s="1655">
        <f t="shared" si="65"/>
        <v>0</v>
      </c>
      <c r="AA76" s="1493">
        <f t="shared" si="66"/>
        <v>0</v>
      </c>
      <c r="AB76" s="939">
        <f t="shared" si="67"/>
        <v>0</v>
      </c>
      <c r="AC76" s="909">
        <f t="shared" si="68"/>
        <v>0</v>
      </c>
      <c r="AD76" s="1832">
        <v>0</v>
      </c>
      <c r="AE76" s="909">
        <f t="shared" si="69"/>
        <v>0</v>
      </c>
      <c r="AF76" s="1836">
        <f>+'[4]Table 5C1J-Jefferson Chamber'!T75*8</f>
        <v>0</v>
      </c>
      <c r="AG76" s="1836">
        <f t="shared" si="70"/>
        <v>0</v>
      </c>
      <c r="AH76" s="909">
        <f t="shared" si="71"/>
        <v>0</v>
      </c>
      <c r="AI76" s="910">
        <f t="shared" si="51"/>
        <v>0</v>
      </c>
      <c r="AJ76" s="910">
        <f t="shared" si="72"/>
        <v>0</v>
      </c>
      <c r="AL76" s="2034">
        <f>-'[4]Table 5C1J-Jefferson Chamber'!P75</f>
        <v>0</v>
      </c>
      <c r="AM76" s="2034">
        <f t="shared" si="73"/>
        <v>0</v>
      </c>
      <c r="AN76" s="2034">
        <f>SUM(AL76:AM76)</f>
        <v>0</v>
      </c>
    </row>
    <row r="77" spans="1:40" ht="13.5" thickBot="1">
      <c r="A77" s="888"/>
      <c r="B77" s="889" t="s">
        <v>157</v>
      </c>
      <c r="C77" s="890">
        <f>SUM(C8:C76)</f>
        <v>100</v>
      </c>
      <c r="D77" s="891"/>
      <c r="E77" s="925">
        <f>SUM(E8:E76)</f>
        <v>332490.63385625195</v>
      </c>
      <c r="F77" s="925">
        <f>'[33]Table 4 Level 3'!P75</f>
        <v>703.90028204588873</v>
      </c>
      <c r="G77" s="925">
        <f t="shared" ref="G77:R77" si="75">SUM(G8:G76)</f>
        <v>82542.267808219171</v>
      </c>
      <c r="H77" s="892">
        <f t="shared" si="75"/>
        <v>415032.9016644712</v>
      </c>
      <c r="I77" s="1737">
        <f t="shared" si="75"/>
        <v>-40869.266254878094</v>
      </c>
      <c r="J77" s="1737">
        <f t="shared" si="75"/>
        <v>9159.0021480682008</v>
      </c>
      <c r="K77" s="1549">
        <f t="shared" si="75"/>
        <v>-31710.264106809889</v>
      </c>
      <c r="L77" s="1482">
        <f t="shared" si="75"/>
        <v>383322.63755766128</v>
      </c>
      <c r="M77" s="935">
        <f t="shared" si="75"/>
        <v>-958.30659389415325</v>
      </c>
      <c r="N77" s="892">
        <f t="shared" si="75"/>
        <v>382364.33096376719</v>
      </c>
      <c r="O77" s="891">
        <f t="shared" si="75"/>
        <v>0</v>
      </c>
      <c r="P77" s="997">
        <f t="shared" si="75"/>
        <v>382364.33096376719</v>
      </c>
      <c r="Q77" s="1737">
        <f t="shared" si="75"/>
        <v>275996.87960687332</v>
      </c>
      <c r="R77" s="1737">
        <f t="shared" si="75"/>
        <v>106367.45135689383</v>
      </c>
      <c r="S77" s="997">
        <f>SUM(S8:S76)</f>
        <v>26592</v>
      </c>
      <c r="T77" s="1812">
        <f>'Table 5C1A-Madison Prep'!T77</f>
        <v>4626</v>
      </c>
      <c r="U77" s="1000">
        <f t="shared" ref="U77:AJ77" si="76">SUM(U8:U76)</f>
        <v>546678</v>
      </c>
      <c r="V77" s="1770">
        <f t="shared" si="76"/>
        <v>-10</v>
      </c>
      <c r="W77" s="1771">
        <f t="shared" si="76"/>
        <v>-62969</v>
      </c>
      <c r="X77" s="1770">
        <f t="shared" si="76"/>
        <v>5</v>
      </c>
      <c r="Y77" s="1771">
        <f t="shared" si="76"/>
        <v>16419</v>
      </c>
      <c r="Z77" s="1665">
        <f t="shared" si="76"/>
        <v>-46550</v>
      </c>
      <c r="AA77" s="1717">
        <f t="shared" si="76"/>
        <v>500128</v>
      </c>
      <c r="AB77" s="940">
        <f t="shared" si="76"/>
        <v>-1250.32</v>
      </c>
      <c r="AC77" s="1000">
        <f t="shared" si="76"/>
        <v>498877.68000000005</v>
      </c>
      <c r="AD77" s="1828">
        <f t="shared" si="76"/>
        <v>0</v>
      </c>
      <c r="AE77" s="1000">
        <f t="shared" si="76"/>
        <v>498877.68000000005</v>
      </c>
      <c r="AF77" s="1771">
        <f t="shared" si="76"/>
        <v>359403.90500000003</v>
      </c>
      <c r="AG77" s="1771">
        <f t="shared" si="76"/>
        <v>139473.77499999999</v>
      </c>
      <c r="AH77" s="1000">
        <f t="shared" si="76"/>
        <v>34868</v>
      </c>
      <c r="AI77" s="894">
        <f t="shared" si="76"/>
        <v>881242.0109637673</v>
      </c>
      <c r="AJ77" s="894">
        <f t="shared" si="76"/>
        <v>61460</v>
      </c>
      <c r="AL77" s="2034">
        <f>SUM(AL8:AL76)</f>
        <v>1351.1425000000002</v>
      </c>
      <c r="AM77" s="2034">
        <f>SUM(AM8:AM76)</f>
        <v>-1250.32</v>
      </c>
      <c r="AN77" s="2034">
        <f>SUM(AN8:AN76)</f>
        <v>100.82249999999993</v>
      </c>
    </row>
    <row r="78" spans="1:40" ht="12" customHeight="1" thickTop="1"/>
    <row r="79" spans="1:40" hidden="1"/>
    <row r="80" spans="1:40" hidden="1">
      <c r="M80" s="1464" t="s">
        <v>951</v>
      </c>
      <c r="N80" s="2034">
        <f>-'[4]Table 5C1J-Jefferson Chamber'!$I$76</f>
        <v>1037.5822541611781</v>
      </c>
    </row>
    <row r="81" spans="13:14" hidden="1">
      <c r="M81" s="1464" t="s">
        <v>952</v>
      </c>
      <c r="N81" s="2034">
        <f>M77</f>
        <v>-958.30659389415325</v>
      </c>
    </row>
    <row r="82" spans="13:14" hidden="1">
      <c r="M82" s="1464" t="s">
        <v>953</v>
      </c>
      <c r="N82" s="2034">
        <f>SUM(N80:N81)</f>
        <v>79.275660267024818</v>
      </c>
    </row>
  </sheetData>
  <mergeCells count="30">
    <mergeCell ref="P4:P5"/>
    <mergeCell ref="S4:S5"/>
    <mergeCell ref="T4:T5"/>
    <mergeCell ref="A2:B5"/>
    <mergeCell ref="C2:S2"/>
    <mergeCell ref="T2:AH2"/>
    <mergeCell ref="K4:K5"/>
    <mergeCell ref="L4:L5"/>
    <mergeCell ref="V4:V5"/>
    <mergeCell ref="W4:W5"/>
    <mergeCell ref="X4:X5"/>
    <mergeCell ref="Y4:Y5"/>
    <mergeCell ref="AA4:AA5"/>
    <mergeCell ref="V3:Z3"/>
    <mergeCell ref="AI2:AI5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I3:K3"/>
    <mergeCell ref="I4:I5"/>
    <mergeCell ref="J4:J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5C1-J: FY2013-14 MFP Budget Letter (March 2014) 
Jefferson Chamber Foundation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view="pageBreakPreview" zoomScale="90" zoomScaleNormal="100" zoomScaleSheetLayoutView="90" workbookViewId="0">
      <pane xSplit="2" ySplit="7" topLeftCell="C8" activePane="bottomRight" state="frozen"/>
      <selection activeCell="AN13" sqref="AN8:AN77"/>
      <selection pane="topRight" activeCell="AN13" sqref="AN8:AN77"/>
      <selection pane="bottomLeft" activeCell="AN13" sqref="AN8:AN77"/>
      <selection pane="bottomRight"/>
    </sheetView>
  </sheetViews>
  <sheetFormatPr defaultColWidth="8.85546875" defaultRowHeight="12.75"/>
  <cols>
    <col min="1" max="1" width="4.28515625" style="968" customWidth="1"/>
    <col min="2" max="2" width="17.85546875" style="968" customWidth="1"/>
    <col min="3" max="3" width="13.7109375" style="968" customWidth="1"/>
    <col min="4" max="4" width="14" style="968" customWidth="1"/>
    <col min="5" max="5" width="10.7109375" style="968" customWidth="1"/>
    <col min="6" max="6" width="13" style="968" customWidth="1"/>
    <col min="7" max="7" width="13.42578125" style="968" customWidth="1"/>
    <col min="8" max="8" width="12.85546875" style="968" customWidth="1"/>
    <col min="9" max="9" width="12.5703125" style="1494" customWidth="1"/>
    <col min="10" max="10" width="13.28515625" style="1494" bestFit="1" customWidth="1"/>
    <col min="11" max="11" width="12.5703125" style="1494" customWidth="1"/>
    <col min="12" max="12" width="15.140625" style="1494" customWidth="1"/>
    <col min="13" max="13" width="12.140625" style="968" customWidth="1"/>
    <col min="14" max="14" width="13.140625" style="968" customWidth="1"/>
    <col min="15" max="15" width="13.42578125" style="968" bestFit="1" customWidth="1"/>
    <col min="16" max="16" width="14.7109375" style="968" customWidth="1"/>
    <col min="17" max="18" width="14" style="1494" customWidth="1"/>
    <col min="19" max="19" width="10.7109375" style="968" customWidth="1"/>
    <col min="20" max="20" width="11.5703125" style="968" customWidth="1"/>
    <col min="21" max="21" width="10.7109375" style="968" customWidth="1"/>
    <col min="22" max="23" width="12" style="1494" customWidth="1"/>
    <col min="24" max="26" width="12" style="1509" customWidth="1"/>
    <col min="27" max="27" width="13" style="1494" customWidth="1"/>
    <col min="28" max="28" width="12.5703125" style="968" customWidth="1"/>
    <col min="29" max="29" width="13" style="968" customWidth="1"/>
    <col min="30" max="30" width="13.28515625" style="968" customWidth="1"/>
    <col min="31" max="31" width="13" style="968" customWidth="1"/>
    <col min="32" max="33" width="13.140625" style="1494" customWidth="1"/>
    <col min="34" max="34" width="12" style="968" customWidth="1"/>
    <col min="35" max="35" width="11" style="968" customWidth="1"/>
    <col min="36" max="36" width="12.140625" style="968" customWidth="1"/>
    <col min="37" max="37" width="1.85546875" style="968" customWidth="1"/>
    <col min="38" max="38" width="8.85546875" style="2034" hidden="1" customWidth="1"/>
    <col min="39" max="39" width="10.140625" style="968" hidden="1" customWidth="1"/>
    <col min="40" max="40" width="8.85546875" style="968" hidden="1" customWidth="1"/>
    <col min="41" max="16384" width="8.85546875" style="968"/>
  </cols>
  <sheetData>
    <row r="1" spans="1:40"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05"/>
      <c r="O1" s="1105"/>
      <c r="P1" s="1105"/>
      <c r="Q1" s="1105"/>
      <c r="R1" s="1105"/>
      <c r="S1" s="1105"/>
    </row>
    <row r="2" spans="1:40" ht="45" customHeight="1">
      <c r="A2" s="2384" t="s">
        <v>750</v>
      </c>
      <c r="B2" s="2385"/>
      <c r="C2" s="2343" t="s">
        <v>543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20"/>
      <c r="W2" s="2320"/>
      <c r="X2" s="2320"/>
      <c r="Y2" s="2320"/>
      <c r="Z2" s="2320"/>
      <c r="AA2" s="2320"/>
      <c r="AB2" s="2318"/>
      <c r="AC2" s="2318"/>
      <c r="AD2" s="2318"/>
      <c r="AE2" s="2318"/>
      <c r="AF2" s="2320"/>
      <c r="AG2" s="2320"/>
      <c r="AH2" s="2321"/>
      <c r="AI2" s="2307" t="s">
        <v>545</v>
      </c>
      <c r="AJ2" s="2307" t="s">
        <v>527</v>
      </c>
    </row>
    <row r="3" spans="1:40" s="1509" customFormat="1" ht="22.15" customHeight="1">
      <c r="A3" s="2386"/>
      <c r="B3" s="2387"/>
      <c r="C3" s="1585"/>
      <c r="D3" s="1593"/>
      <c r="E3" s="1593"/>
      <c r="F3" s="1593"/>
      <c r="G3" s="1593"/>
      <c r="H3" s="1593"/>
      <c r="I3" s="2373" t="s">
        <v>772</v>
      </c>
      <c r="J3" s="2374"/>
      <c r="K3" s="2375"/>
      <c r="L3" s="1593"/>
      <c r="M3" s="1593"/>
      <c r="N3" s="1593"/>
      <c r="O3" s="1593"/>
      <c r="P3" s="1593"/>
      <c r="Q3" s="1593"/>
      <c r="R3" s="1593"/>
      <c r="S3" s="1594"/>
      <c r="T3" s="1584"/>
      <c r="U3" s="1582"/>
      <c r="V3" s="2376" t="s">
        <v>772</v>
      </c>
      <c r="W3" s="2377"/>
      <c r="X3" s="2377"/>
      <c r="Y3" s="2377"/>
      <c r="Z3" s="2378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  <c r="AL3" s="2034"/>
    </row>
    <row r="4" spans="1:40" ht="135.6" customHeight="1">
      <c r="A4" s="2388"/>
      <c r="B4" s="2387"/>
      <c r="C4" s="2391" t="s">
        <v>834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35" t="s">
        <v>784</v>
      </c>
      <c r="J4" s="2335" t="s">
        <v>785</v>
      </c>
      <c r="K4" s="2335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89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89" t="s">
        <v>808</v>
      </c>
      <c r="AC4" s="2314" t="s">
        <v>805</v>
      </c>
      <c r="AD4" s="2314" t="s">
        <v>794</v>
      </c>
      <c r="AE4" s="2314" t="s">
        <v>806</v>
      </c>
      <c r="AF4" s="1592" t="s">
        <v>807</v>
      </c>
      <c r="AG4" s="1592" t="s">
        <v>795</v>
      </c>
      <c r="AH4" s="1589" t="s">
        <v>540</v>
      </c>
      <c r="AI4" s="2309"/>
      <c r="AJ4" s="2309"/>
    </row>
    <row r="5" spans="1:40" ht="22.15" customHeight="1">
      <c r="A5" s="2389"/>
      <c r="B5" s="2390"/>
      <c r="C5" s="239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90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590"/>
      <c r="AG5" s="1590"/>
      <c r="AH5" s="1590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I6" si="1">E6+1</f>
        <v>4</v>
      </c>
      <c r="G6" s="869">
        <f t="shared" si="1"/>
        <v>5</v>
      </c>
      <c r="H6" s="869">
        <f t="shared" si="1"/>
        <v>6</v>
      </c>
      <c r="I6" s="869">
        <f t="shared" si="1"/>
        <v>7</v>
      </c>
      <c r="J6" s="869">
        <f t="shared" ref="J6" si="2">I6+1</f>
        <v>8</v>
      </c>
      <c r="K6" s="869">
        <f t="shared" ref="K6" si="3">J6+1</f>
        <v>9</v>
      </c>
      <c r="L6" s="869">
        <f t="shared" ref="L6" si="4">K6+1</f>
        <v>10</v>
      </c>
      <c r="M6" s="869">
        <f t="shared" ref="M6" si="5">L6+1</f>
        <v>11</v>
      </c>
      <c r="N6" s="869">
        <f t="shared" ref="N6" si="6">M6+1</f>
        <v>12</v>
      </c>
      <c r="O6" s="869">
        <f t="shared" ref="O6" si="7">N6+1</f>
        <v>13</v>
      </c>
      <c r="P6" s="869">
        <f t="shared" ref="P6" si="8">O6+1</f>
        <v>14</v>
      </c>
      <c r="Q6" s="869">
        <f t="shared" ref="Q6" si="9">P6+1</f>
        <v>15</v>
      </c>
      <c r="R6" s="869">
        <f t="shared" ref="R6" si="10">Q6+1</f>
        <v>16</v>
      </c>
      <c r="S6" s="869">
        <f t="shared" ref="S6" si="11">R6+1</f>
        <v>17</v>
      </c>
      <c r="T6" s="869">
        <f t="shared" ref="T6" si="12">S6+1</f>
        <v>18</v>
      </c>
      <c r="U6" s="869">
        <f t="shared" ref="U6" si="13">T6+1</f>
        <v>19</v>
      </c>
      <c r="V6" s="869">
        <f t="shared" ref="V6" si="14">U6+1</f>
        <v>20</v>
      </c>
      <c r="W6" s="869">
        <f t="shared" ref="W6" si="15">V6+1</f>
        <v>21</v>
      </c>
      <c r="X6" s="869">
        <f t="shared" ref="X6" si="16">W6+1</f>
        <v>22</v>
      </c>
      <c r="Y6" s="869">
        <f t="shared" ref="Y6" si="17">X6+1</f>
        <v>23</v>
      </c>
      <c r="Z6" s="869">
        <f t="shared" ref="Z6:AA6" si="18">Y6+1</f>
        <v>24</v>
      </c>
      <c r="AA6" s="869">
        <f t="shared" si="18"/>
        <v>25</v>
      </c>
      <c r="AB6" s="869">
        <f t="shared" ref="AB6" si="19">AA6+1</f>
        <v>26</v>
      </c>
      <c r="AC6" s="869">
        <f t="shared" ref="AC6" si="20">AB6+1</f>
        <v>27</v>
      </c>
      <c r="AD6" s="869">
        <f t="shared" ref="AD6" si="21">AC6+1</f>
        <v>28</v>
      </c>
      <c r="AE6" s="869">
        <f t="shared" ref="AE6" si="22">AD6+1</f>
        <v>29</v>
      </c>
      <c r="AF6" s="869">
        <f t="shared" ref="AF6" si="23">AE6+1</f>
        <v>30</v>
      </c>
      <c r="AG6" s="869">
        <f t="shared" ref="AG6" si="24">AF6+1</f>
        <v>31</v>
      </c>
      <c r="AH6" s="869">
        <f t="shared" ref="AH6" si="25">AG6+1</f>
        <v>32</v>
      </c>
      <c r="AI6" s="869">
        <f t="shared" ref="AI6" si="26">AH6+1</f>
        <v>33</v>
      </c>
      <c r="AJ6" s="869">
        <f t="shared" ref="AJ6" si="27">AI6+1</f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484"/>
      <c r="J7" s="1484"/>
      <c r="K7" s="1484"/>
      <c r="L7" s="1484"/>
      <c r="M7" s="896"/>
      <c r="N7" s="896"/>
      <c r="O7" s="896"/>
      <c r="P7" s="896"/>
      <c r="Q7" s="1484"/>
      <c r="R7" s="1484"/>
      <c r="S7" s="896"/>
      <c r="T7" s="896"/>
      <c r="U7" s="896"/>
      <c r="V7" s="1484"/>
      <c r="W7" s="1484"/>
      <c r="X7" s="1535"/>
      <c r="Y7" s="1535"/>
      <c r="Z7" s="1535"/>
      <c r="AA7" s="1484"/>
      <c r="AB7" s="896"/>
      <c r="AC7" s="896"/>
      <c r="AD7" s="896"/>
      <c r="AE7" s="896"/>
      <c r="AF7" s="1484"/>
      <c r="AG7" s="1484"/>
      <c r="AH7" s="896"/>
      <c r="AI7" s="896"/>
      <c r="AJ7" s="896"/>
      <c r="AL7" s="2041" t="s">
        <v>945</v>
      </c>
      <c r="AM7" s="2035" t="s">
        <v>946</v>
      </c>
      <c r="AN7" s="2035" t="s">
        <v>947</v>
      </c>
    </row>
    <row r="8" spans="1:40">
      <c r="A8" s="870">
        <v>1</v>
      </c>
      <c r="B8" s="871" t="s">
        <v>92</v>
      </c>
      <c r="C8" s="971"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Tallulah Charter'!K7</f>
        <v>0</v>
      </c>
      <c r="J8" s="1718">
        <f>'[3]Feb midyear Tallulah Charter'!K7</f>
        <v>0</v>
      </c>
      <c r="K8" s="1542">
        <f>+I8+J8</f>
        <v>0</v>
      </c>
      <c r="L8" s="1480">
        <f t="shared" ref="L8:L39" si="28">H8+K8</f>
        <v>0</v>
      </c>
      <c r="M8" s="928">
        <f>-(0.25%*L8)</f>
        <v>0</v>
      </c>
      <c r="N8" s="873">
        <f>SUM(L8:M8)</f>
        <v>0</v>
      </c>
      <c r="O8" s="872">
        <v>0</v>
      </c>
      <c r="P8" s="998">
        <f>SUM(N8:O8)</f>
        <v>0</v>
      </c>
      <c r="Q8" s="1718">
        <f>'[4]Table 5C1K-Tallulah Charter'!M7+'[27]Table 5C1K-Tallulah Charter'!T7+('[26]Table 5C1K-Tallulah Charter'!T7*6)</f>
        <v>0</v>
      </c>
      <c r="R8" s="1718">
        <f>P8-Q8</f>
        <v>0</v>
      </c>
      <c r="S8" s="998">
        <f>ROUND(R8/4,0)</f>
        <v>0</v>
      </c>
      <c r="T8" s="1802">
        <f>'Table 5C1A-Madison Prep'!T8</f>
        <v>2180</v>
      </c>
      <c r="U8" s="999">
        <f t="shared" ref="U8:U39" si="29">C8*T8</f>
        <v>0</v>
      </c>
      <c r="V8" s="1754">
        <f>+'[3]Oct midyear Tallulah Charter'!E7</f>
        <v>0</v>
      </c>
      <c r="W8" s="1755">
        <f>V8*T8</f>
        <v>0</v>
      </c>
      <c r="X8" s="1754">
        <f>'[3]Feb midyear Tallulah Charter'!E7</f>
        <v>0</v>
      </c>
      <c r="Y8" s="1755">
        <f>(T8*X8)*0.5</f>
        <v>0</v>
      </c>
      <c r="Z8" s="1652">
        <f>+W8+Y8</f>
        <v>0</v>
      </c>
      <c r="AA8" s="1481">
        <f>U8+Z8</f>
        <v>0</v>
      </c>
      <c r="AB8" s="936">
        <f>-(0.25%*AA8)</f>
        <v>0</v>
      </c>
      <c r="AC8" s="874">
        <f>SUM(AA8:AB8)</f>
        <v>0</v>
      </c>
      <c r="AD8" s="1829">
        <v>0</v>
      </c>
      <c r="AE8" s="874">
        <f>SUM(AC8:AD8)</f>
        <v>0</v>
      </c>
      <c r="AF8" s="1829">
        <f>'[4]Table 5C1K-Tallulah Charter'!T7+'[27]Table 5C1K-Tallulah Charter'!AF7+('[26]Table 5C1K-Tallulah Charter'!AF7*6)</f>
        <v>0</v>
      </c>
      <c r="AG8" s="1829">
        <f>AE8-AF8</f>
        <v>0</v>
      </c>
      <c r="AH8" s="874">
        <f>ROUND(AG8/4,0)</f>
        <v>0</v>
      </c>
      <c r="AI8" s="875">
        <f t="shared" ref="AI8:AI39" si="30">P8+AE8</f>
        <v>0</v>
      </c>
      <c r="AJ8" s="875">
        <f>S8+AH8</f>
        <v>0</v>
      </c>
      <c r="AL8" s="2034">
        <f>-'[4]Table 5C1K-Tallulah Charter'!P7</f>
        <v>0</v>
      </c>
      <c r="AM8" s="2034">
        <f>AB8</f>
        <v>0</v>
      </c>
      <c r="AN8" s="2034">
        <f>SUM(AL8:AM8)</f>
        <v>0</v>
      </c>
    </row>
    <row r="9" spans="1:40">
      <c r="A9" s="876">
        <v>2</v>
      </c>
      <c r="B9" s="877" t="s">
        <v>93</v>
      </c>
      <c r="C9" s="969">
        <v>0</v>
      </c>
      <c r="D9" s="878">
        <f>'Table 3 Levels 1&amp;2'!AL9</f>
        <v>6182.4313545138375</v>
      </c>
      <c r="E9" s="919">
        <f t="shared" ref="E9:E72" si="31">C9*D9</f>
        <v>0</v>
      </c>
      <c r="F9" s="919">
        <f>'Table 4 Level 3'!P7</f>
        <v>842.32</v>
      </c>
      <c r="G9" s="919">
        <f t="shared" ref="G9:G72" si="32">C9*F9</f>
        <v>0</v>
      </c>
      <c r="H9" s="898">
        <f t="shared" ref="H9:H72" si="33">E9+G9</f>
        <v>0</v>
      </c>
      <c r="I9" s="1732">
        <f>+'[3]Oct midyear Tallulah Charter'!K8</f>
        <v>0</v>
      </c>
      <c r="J9" s="1732">
        <f>'[3]Feb midyear Tallulah Charter'!K8</f>
        <v>0</v>
      </c>
      <c r="K9" s="1543">
        <f t="shared" ref="K9:K72" si="34">+I9+J9</f>
        <v>0</v>
      </c>
      <c r="L9" s="1485">
        <f t="shared" si="28"/>
        <v>0</v>
      </c>
      <c r="M9" s="929">
        <f t="shared" ref="M9:M72" si="35">-(0.25%*L9)</f>
        <v>0</v>
      </c>
      <c r="N9" s="898">
        <f t="shared" ref="N9:N72" si="36">SUM(L9:M9)</f>
        <v>0</v>
      </c>
      <c r="O9" s="878">
        <v>0</v>
      </c>
      <c r="P9" s="1550">
        <f t="shared" ref="P9:P72" si="37">SUM(N9:O9)</f>
        <v>0</v>
      </c>
      <c r="Q9" s="1719">
        <f>'[4]Table 5C1K-Tallulah Charter'!M8+'[27]Table 5C1K-Tallulah Charter'!T8+('[26]Table 5C1K-Tallulah Charter'!T8*6)</f>
        <v>0</v>
      </c>
      <c r="R9" s="1732">
        <f t="shared" ref="R9:R72" si="38">P9-Q9</f>
        <v>0</v>
      </c>
      <c r="S9" s="998">
        <f t="shared" ref="S9:S72" si="39">ROUND(R9/4,0)</f>
        <v>0</v>
      </c>
      <c r="T9" s="1802">
        <f>'Table 5C1A-Madison Prep'!T9</f>
        <v>2759</v>
      </c>
      <c r="U9" s="1555">
        <f t="shared" si="29"/>
        <v>0</v>
      </c>
      <c r="V9" s="1758">
        <f>+'[3]Oct midyear Tallulah Charter'!E8</f>
        <v>0</v>
      </c>
      <c r="W9" s="1759">
        <f t="shared" ref="W9:W72" si="40">V9*T9</f>
        <v>0</v>
      </c>
      <c r="X9" s="1758">
        <f>'[3]Feb midyear Tallulah Charter'!E8</f>
        <v>0</v>
      </c>
      <c r="Y9" s="1759">
        <f t="shared" ref="Y9:Y72" si="41">(T9*X9)*0.5</f>
        <v>0</v>
      </c>
      <c r="Z9" s="1653">
        <f t="shared" ref="Z9:Z72" si="42">+W9+Y9</f>
        <v>0</v>
      </c>
      <c r="AA9" s="1486">
        <f t="shared" ref="AA9:AA72" si="43">U9+Z9</f>
        <v>0</v>
      </c>
      <c r="AB9" s="937">
        <f t="shared" ref="AB9:AB72" si="44">-(0.25%*AA9)</f>
        <v>0</v>
      </c>
      <c r="AC9" s="899">
        <f t="shared" ref="AC9:AC72" si="45">SUM(AA9:AB9)</f>
        <v>0</v>
      </c>
      <c r="AD9" s="1830">
        <v>0</v>
      </c>
      <c r="AE9" s="899">
        <f t="shared" ref="AE9:AE72" si="46">SUM(AC9:AD9)</f>
        <v>0</v>
      </c>
      <c r="AF9" s="1829">
        <f>'[4]Table 5C1K-Tallulah Charter'!T8+'[27]Table 5C1K-Tallulah Charter'!AF8+('[26]Table 5C1K-Tallulah Charter'!AF8*6)</f>
        <v>0</v>
      </c>
      <c r="AG9" s="1834">
        <f t="shared" ref="AG9:AG72" si="47">AE9-AF9</f>
        <v>0</v>
      </c>
      <c r="AH9" s="1521">
        <f t="shared" ref="AH9:AH72" si="48">ROUND(AG9/4,0)</f>
        <v>0</v>
      </c>
      <c r="AI9" s="900">
        <f t="shared" si="30"/>
        <v>0</v>
      </c>
      <c r="AJ9" s="900">
        <f t="shared" ref="AJ9:AJ72" si="49">S9+AH9</f>
        <v>0</v>
      </c>
      <c r="AL9" s="2034">
        <f>-'[4]Table 5C1K-Tallulah Charter'!P8</f>
        <v>0</v>
      </c>
      <c r="AM9" s="2034">
        <f t="shared" ref="AM9:AM72" si="50">AB9</f>
        <v>0</v>
      </c>
      <c r="AN9" s="2034">
        <f t="shared" ref="AN9:AN72" si="51">SUM(AL9:AM9)</f>
        <v>0</v>
      </c>
    </row>
    <row r="10" spans="1:40">
      <c r="A10" s="876">
        <v>3</v>
      </c>
      <c r="B10" s="877" t="s">
        <v>94</v>
      </c>
      <c r="C10" s="969">
        <v>0</v>
      </c>
      <c r="D10" s="878">
        <f>'Table 3 Levels 1&amp;2'!AL10</f>
        <v>4206.710737685361</v>
      </c>
      <c r="E10" s="919">
        <f t="shared" si="31"/>
        <v>0</v>
      </c>
      <c r="F10" s="919">
        <f>'Table 4 Level 3'!P8</f>
        <v>596.84</v>
      </c>
      <c r="G10" s="919">
        <f t="shared" si="32"/>
        <v>0</v>
      </c>
      <c r="H10" s="898">
        <f t="shared" si="33"/>
        <v>0</v>
      </c>
      <c r="I10" s="1732">
        <f>+'[3]Oct midyear Tallulah Charter'!K9</f>
        <v>0</v>
      </c>
      <c r="J10" s="1732">
        <f>'[3]Feb midyear Tallulah Charter'!K9</f>
        <v>0</v>
      </c>
      <c r="K10" s="1543">
        <f t="shared" si="34"/>
        <v>0</v>
      </c>
      <c r="L10" s="1485">
        <f t="shared" si="28"/>
        <v>0</v>
      </c>
      <c r="M10" s="929">
        <f t="shared" si="35"/>
        <v>0</v>
      </c>
      <c r="N10" s="898">
        <f t="shared" si="36"/>
        <v>0</v>
      </c>
      <c r="O10" s="878">
        <v>0</v>
      </c>
      <c r="P10" s="1550">
        <f t="shared" si="37"/>
        <v>0</v>
      </c>
      <c r="Q10" s="1719">
        <f>'[4]Table 5C1K-Tallulah Charter'!M9+'[27]Table 5C1K-Tallulah Charter'!T9+('[26]Table 5C1K-Tallulah Charter'!T9*6)</f>
        <v>0</v>
      </c>
      <c r="R10" s="1732">
        <f t="shared" si="38"/>
        <v>0</v>
      </c>
      <c r="S10" s="998">
        <f t="shared" si="39"/>
        <v>0</v>
      </c>
      <c r="T10" s="1802">
        <f>'Table 5C1A-Madison Prep'!T10</f>
        <v>5538</v>
      </c>
      <c r="U10" s="1555">
        <f t="shared" si="29"/>
        <v>0</v>
      </c>
      <c r="V10" s="1758">
        <f>+'[3]Oct midyear Tallulah Charter'!E9</f>
        <v>0</v>
      </c>
      <c r="W10" s="1759">
        <f t="shared" si="40"/>
        <v>0</v>
      </c>
      <c r="X10" s="1758">
        <f>'[3]Feb midyear Tallulah Charter'!E9</f>
        <v>0</v>
      </c>
      <c r="Y10" s="1759">
        <f t="shared" si="41"/>
        <v>0</v>
      </c>
      <c r="Z10" s="1653">
        <f t="shared" si="42"/>
        <v>0</v>
      </c>
      <c r="AA10" s="1486">
        <f t="shared" si="43"/>
        <v>0</v>
      </c>
      <c r="AB10" s="937">
        <f t="shared" si="44"/>
        <v>0</v>
      </c>
      <c r="AC10" s="899">
        <f t="shared" si="45"/>
        <v>0</v>
      </c>
      <c r="AD10" s="1830">
        <v>0</v>
      </c>
      <c r="AE10" s="899">
        <f t="shared" si="46"/>
        <v>0</v>
      </c>
      <c r="AF10" s="1829">
        <f>'[4]Table 5C1K-Tallulah Charter'!T9+'[27]Table 5C1K-Tallulah Charter'!AF9+('[26]Table 5C1K-Tallulah Charter'!AF9*6)</f>
        <v>0</v>
      </c>
      <c r="AG10" s="1834">
        <f t="shared" si="47"/>
        <v>0</v>
      </c>
      <c r="AH10" s="1521">
        <f t="shared" si="48"/>
        <v>0</v>
      </c>
      <c r="AI10" s="900">
        <f t="shared" si="30"/>
        <v>0</v>
      </c>
      <c r="AJ10" s="900">
        <f t="shared" si="49"/>
        <v>0</v>
      </c>
      <c r="AL10" s="2034">
        <f>-'[4]Table 5C1K-Tallulah Charter'!P9</f>
        <v>0</v>
      </c>
      <c r="AM10" s="2034">
        <f t="shared" si="50"/>
        <v>0</v>
      </c>
      <c r="AN10" s="2034">
        <f t="shared" si="51"/>
        <v>0</v>
      </c>
    </row>
    <row r="11" spans="1:40">
      <c r="A11" s="876">
        <v>4</v>
      </c>
      <c r="B11" s="877" t="s">
        <v>95</v>
      </c>
      <c r="C11" s="969">
        <v>0</v>
      </c>
      <c r="D11" s="878">
        <f>'Table 3 Levels 1&amp;2'!AL11</f>
        <v>5987.4993535453223</v>
      </c>
      <c r="E11" s="919">
        <f t="shared" si="31"/>
        <v>0</v>
      </c>
      <c r="F11" s="919">
        <f>'Table 4 Level 3'!P9</f>
        <v>585.76</v>
      </c>
      <c r="G11" s="919">
        <f t="shared" si="32"/>
        <v>0</v>
      </c>
      <c r="H11" s="898">
        <f t="shared" si="33"/>
        <v>0</v>
      </c>
      <c r="I11" s="1732">
        <f>+'[3]Oct midyear Tallulah Charter'!K10</f>
        <v>0</v>
      </c>
      <c r="J11" s="1732">
        <f>'[3]Feb midyear Tallulah Charter'!K10</f>
        <v>0</v>
      </c>
      <c r="K11" s="1543">
        <f t="shared" si="34"/>
        <v>0</v>
      </c>
      <c r="L11" s="1485">
        <f t="shared" si="28"/>
        <v>0</v>
      </c>
      <c r="M11" s="929">
        <f t="shared" si="35"/>
        <v>0</v>
      </c>
      <c r="N11" s="898">
        <f t="shared" si="36"/>
        <v>0</v>
      </c>
      <c r="O11" s="878">
        <v>0</v>
      </c>
      <c r="P11" s="1550">
        <f t="shared" si="37"/>
        <v>0</v>
      </c>
      <c r="Q11" s="1719">
        <f>'[4]Table 5C1K-Tallulah Charter'!M10+'[27]Table 5C1K-Tallulah Charter'!T10+('[26]Table 5C1K-Tallulah Charter'!T10*6)</f>
        <v>0</v>
      </c>
      <c r="R11" s="1732">
        <f t="shared" si="38"/>
        <v>0</v>
      </c>
      <c r="S11" s="998">
        <f t="shared" si="39"/>
        <v>0</v>
      </c>
      <c r="T11" s="1802">
        <f>'Table 5C1A-Madison Prep'!T11</f>
        <v>3507</v>
      </c>
      <c r="U11" s="1555">
        <f t="shared" si="29"/>
        <v>0</v>
      </c>
      <c r="V11" s="1758">
        <f>+'[3]Oct midyear Tallulah Charter'!E10</f>
        <v>0</v>
      </c>
      <c r="W11" s="1759">
        <f t="shared" si="40"/>
        <v>0</v>
      </c>
      <c r="X11" s="1758">
        <f>'[3]Feb midyear Tallulah Charter'!E10</f>
        <v>0</v>
      </c>
      <c r="Y11" s="1759">
        <f t="shared" si="41"/>
        <v>0</v>
      </c>
      <c r="Z11" s="1653">
        <f t="shared" si="42"/>
        <v>0</v>
      </c>
      <c r="AA11" s="1486">
        <f t="shared" si="43"/>
        <v>0</v>
      </c>
      <c r="AB11" s="937">
        <f t="shared" si="44"/>
        <v>0</v>
      </c>
      <c r="AC11" s="899">
        <f t="shared" si="45"/>
        <v>0</v>
      </c>
      <c r="AD11" s="1830">
        <v>0</v>
      </c>
      <c r="AE11" s="899">
        <f t="shared" si="46"/>
        <v>0</v>
      </c>
      <c r="AF11" s="1829">
        <f>'[4]Table 5C1K-Tallulah Charter'!T10+'[27]Table 5C1K-Tallulah Charter'!AF10+('[26]Table 5C1K-Tallulah Charter'!AF10*6)</f>
        <v>0</v>
      </c>
      <c r="AG11" s="1834">
        <f t="shared" si="47"/>
        <v>0</v>
      </c>
      <c r="AH11" s="1521">
        <f t="shared" si="48"/>
        <v>0</v>
      </c>
      <c r="AI11" s="900">
        <f t="shared" si="30"/>
        <v>0</v>
      </c>
      <c r="AJ11" s="900">
        <f t="shared" si="49"/>
        <v>0</v>
      </c>
      <c r="AL11" s="2034">
        <f>-'[4]Table 5C1K-Tallulah Charter'!P10</f>
        <v>0</v>
      </c>
      <c r="AM11" s="2034">
        <f t="shared" si="50"/>
        <v>0</v>
      </c>
      <c r="AN11" s="2034">
        <f t="shared" si="51"/>
        <v>0</v>
      </c>
    </row>
    <row r="12" spans="1:40">
      <c r="A12" s="879">
        <v>5</v>
      </c>
      <c r="B12" s="880" t="s">
        <v>96</v>
      </c>
      <c r="C12" s="970">
        <v>0</v>
      </c>
      <c r="D12" s="881">
        <f>'Table 3 Levels 1&amp;2'!AL12</f>
        <v>4986.8166927080074</v>
      </c>
      <c r="E12" s="920">
        <f t="shared" si="31"/>
        <v>0</v>
      </c>
      <c r="F12" s="920">
        <f>'Table 4 Level 3'!P10</f>
        <v>555.91</v>
      </c>
      <c r="G12" s="920">
        <f t="shared" si="32"/>
        <v>0</v>
      </c>
      <c r="H12" s="901">
        <f t="shared" si="33"/>
        <v>0</v>
      </c>
      <c r="I12" s="1733">
        <f>+'[3]Oct midyear Tallulah Charter'!K11</f>
        <v>0</v>
      </c>
      <c r="J12" s="1733">
        <f>'[3]Feb midyear Tallulah Charter'!K11</f>
        <v>0</v>
      </c>
      <c r="K12" s="1544">
        <f t="shared" si="34"/>
        <v>0</v>
      </c>
      <c r="L12" s="1487">
        <f t="shared" si="28"/>
        <v>0</v>
      </c>
      <c r="M12" s="930">
        <f t="shared" si="35"/>
        <v>0</v>
      </c>
      <c r="N12" s="901">
        <f t="shared" si="36"/>
        <v>0</v>
      </c>
      <c r="O12" s="881">
        <v>0</v>
      </c>
      <c r="P12" s="1551">
        <f t="shared" si="37"/>
        <v>0</v>
      </c>
      <c r="Q12" s="1720">
        <f>'[4]Table 5C1K-Tallulah Charter'!M11+'[27]Table 5C1K-Tallulah Charter'!T11+('[26]Table 5C1K-Tallulah Charter'!T11*6)</f>
        <v>0</v>
      </c>
      <c r="R12" s="1733">
        <f t="shared" si="38"/>
        <v>0</v>
      </c>
      <c r="S12" s="1806">
        <f t="shared" si="39"/>
        <v>0</v>
      </c>
      <c r="T12" s="1807">
        <f>'Table 5C1A-Madison Prep'!T12</f>
        <v>2086</v>
      </c>
      <c r="U12" s="1556">
        <f t="shared" si="29"/>
        <v>0</v>
      </c>
      <c r="V12" s="1762">
        <f>+'[3]Oct midyear Tallulah Charter'!E11</f>
        <v>0</v>
      </c>
      <c r="W12" s="1763">
        <f t="shared" si="40"/>
        <v>0</v>
      </c>
      <c r="X12" s="1762">
        <f>'[3]Feb midyear Tallulah Charter'!E11</f>
        <v>0</v>
      </c>
      <c r="Y12" s="1763">
        <f t="shared" si="41"/>
        <v>0</v>
      </c>
      <c r="Z12" s="1654">
        <f t="shared" si="42"/>
        <v>0</v>
      </c>
      <c r="AA12" s="1488">
        <f t="shared" si="43"/>
        <v>0</v>
      </c>
      <c r="AB12" s="938">
        <f t="shared" si="44"/>
        <v>0</v>
      </c>
      <c r="AC12" s="903">
        <f t="shared" si="45"/>
        <v>0</v>
      </c>
      <c r="AD12" s="1831">
        <v>0</v>
      </c>
      <c r="AE12" s="903">
        <f t="shared" si="46"/>
        <v>0</v>
      </c>
      <c r="AF12" s="1837">
        <f>'[4]Table 5C1K-Tallulah Charter'!T11+'[27]Table 5C1K-Tallulah Charter'!AF11+('[26]Table 5C1K-Tallulah Charter'!AF11*6)</f>
        <v>0</v>
      </c>
      <c r="AG12" s="1835">
        <f t="shared" si="47"/>
        <v>0</v>
      </c>
      <c r="AH12" s="1530">
        <f t="shared" si="48"/>
        <v>0</v>
      </c>
      <c r="AI12" s="904">
        <f t="shared" si="30"/>
        <v>0</v>
      </c>
      <c r="AJ12" s="904">
        <f t="shared" si="49"/>
        <v>0</v>
      </c>
      <c r="AL12" s="2034">
        <f>-'[4]Table 5C1K-Tallulah Charter'!P11</f>
        <v>0</v>
      </c>
      <c r="AM12" s="2034">
        <f t="shared" si="50"/>
        <v>0</v>
      </c>
      <c r="AN12" s="2034">
        <f t="shared" si="51"/>
        <v>0</v>
      </c>
    </row>
    <row r="13" spans="1:40">
      <c r="A13" s="870">
        <v>6</v>
      </c>
      <c r="B13" s="871" t="s">
        <v>97</v>
      </c>
      <c r="C13" s="971">
        <v>0</v>
      </c>
      <c r="D13" s="872">
        <f>'Table 3 Levels 1&amp;2'!AL13</f>
        <v>5412.7883404260592</v>
      </c>
      <c r="E13" s="918">
        <f t="shared" si="31"/>
        <v>0</v>
      </c>
      <c r="F13" s="918">
        <f>'Table 4 Level 3'!P11</f>
        <v>545.4799999999999</v>
      </c>
      <c r="G13" s="918">
        <f t="shared" si="32"/>
        <v>0</v>
      </c>
      <c r="H13" s="873">
        <f t="shared" si="33"/>
        <v>0</v>
      </c>
      <c r="I13" s="1718">
        <f>+'[3]Oct midyear Tallulah Charter'!K12</f>
        <v>0</v>
      </c>
      <c r="J13" s="1718">
        <f>'[3]Feb midyear Tallulah Charter'!K12</f>
        <v>0</v>
      </c>
      <c r="K13" s="1542">
        <f t="shared" si="34"/>
        <v>0</v>
      </c>
      <c r="L13" s="1480">
        <f t="shared" si="28"/>
        <v>0</v>
      </c>
      <c r="M13" s="928">
        <f t="shared" si="35"/>
        <v>0</v>
      </c>
      <c r="N13" s="873">
        <f t="shared" si="36"/>
        <v>0</v>
      </c>
      <c r="O13" s="872">
        <v>0</v>
      </c>
      <c r="P13" s="998">
        <f t="shared" si="37"/>
        <v>0</v>
      </c>
      <c r="Q13" s="1718">
        <f>'[4]Table 5C1K-Tallulah Charter'!M12+'[27]Table 5C1K-Tallulah Charter'!T12+('[26]Table 5C1K-Tallulah Charter'!T12*6)</f>
        <v>0</v>
      </c>
      <c r="R13" s="1718">
        <f t="shared" si="38"/>
        <v>0</v>
      </c>
      <c r="S13" s="998">
        <f t="shared" si="39"/>
        <v>0</v>
      </c>
      <c r="T13" s="1802">
        <f>'Table 5C1A-Madison Prep'!T13</f>
        <v>3683</v>
      </c>
      <c r="U13" s="999">
        <f t="shared" si="29"/>
        <v>0</v>
      </c>
      <c r="V13" s="1754">
        <f>+'[3]Oct midyear Tallulah Charter'!E12</f>
        <v>0</v>
      </c>
      <c r="W13" s="1755">
        <f t="shared" si="40"/>
        <v>0</v>
      </c>
      <c r="X13" s="1754">
        <f>'[3]Feb midyear Tallulah Charter'!E12</f>
        <v>0</v>
      </c>
      <c r="Y13" s="1755">
        <f t="shared" si="41"/>
        <v>0</v>
      </c>
      <c r="Z13" s="1652">
        <f t="shared" si="42"/>
        <v>0</v>
      </c>
      <c r="AA13" s="1481">
        <f t="shared" si="43"/>
        <v>0</v>
      </c>
      <c r="AB13" s="936">
        <f t="shared" si="44"/>
        <v>0</v>
      </c>
      <c r="AC13" s="874">
        <f t="shared" si="45"/>
        <v>0</v>
      </c>
      <c r="AD13" s="1829">
        <v>0</v>
      </c>
      <c r="AE13" s="874">
        <f t="shared" si="46"/>
        <v>0</v>
      </c>
      <c r="AF13" s="1829">
        <f>'[4]Table 5C1K-Tallulah Charter'!T12+'[27]Table 5C1K-Tallulah Charter'!AF12+('[26]Table 5C1K-Tallulah Charter'!AF12*6)</f>
        <v>0</v>
      </c>
      <c r="AG13" s="1829">
        <f t="shared" si="47"/>
        <v>0</v>
      </c>
      <c r="AH13" s="1521">
        <f t="shared" si="48"/>
        <v>0</v>
      </c>
      <c r="AI13" s="875">
        <f t="shared" si="30"/>
        <v>0</v>
      </c>
      <c r="AJ13" s="875">
        <f t="shared" si="49"/>
        <v>0</v>
      </c>
      <c r="AL13" s="2034">
        <f>-'[4]Table 5C1K-Tallulah Charter'!P12</f>
        <v>0</v>
      </c>
      <c r="AM13" s="2034">
        <f t="shared" si="50"/>
        <v>0</v>
      </c>
      <c r="AN13" s="2034">
        <f t="shared" si="51"/>
        <v>0</v>
      </c>
    </row>
    <row r="14" spans="1:40">
      <c r="A14" s="876">
        <v>7</v>
      </c>
      <c r="B14" s="877" t="s">
        <v>98</v>
      </c>
      <c r="C14" s="969">
        <v>0</v>
      </c>
      <c r="D14" s="878">
        <f>'Table 3 Levels 1&amp;2'!AL14</f>
        <v>1766.1023604176123</v>
      </c>
      <c r="E14" s="919">
        <f t="shared" si="31"/>
        <v>0</v>
      </c>
      <c r="F14" s="919">
        <f>'Table 4 Level 3'!P12</f>
        <v>756.91999999999985</v>
      </c>
      <c r="G14" s="919">
        <f t="shared" si="32"/>
        <v>0</v>
      </c>
      <c r="H14" s="898">
        <f t="shared" si="33"/>
        <v>0</v>
      </c>
      <c r="I14" s="1732">
        <f>+'[3]Oct midyear Tallulah Charter'!K13</f>
        <v>0</v>
      </c>
      <c r="J14" s="1732">
        <f>'[3]Feb midyear Tallulah Charter'!K13</f>
        <v>0</v>
      </c>
      <c r="K14" s="1543">
        <f t="shared" si="34"/>
        <v>0</v>
      </c>
      <c r="L14" s="1485">
        <f t="shared" si="28"/>
        <v>0</v>
      </c>
      <c r="M14" s="929">
        <f t="shared" si="35"/>
        <v>0</v>
      </c>
      <c r="N14" s="898">
        <f t="shared" si="36"/>
        <v>0</v>
      </c>
      <c r="O14" s="878">
        <v>0</v>
      </c>
      <c r="P14" s="1550">
        <f t="shared" si="37"/>
        <v>0</v>
      </c>
      <c r="Q14" s="1719">
        <f>'[4]Table 5C1K-Tallulah Charter'!M13+'[27]Table 5C1K-Tallulah Charter'!T13+('[26]Table 5C1K-Tallulah Charter'!T13*6)</f>
        <v>0</v>
      </c>
      <c r="R14" s="1732">
        <f t="shared" si="38"/>
        <v>0</v>
      </c>
      <c r="S14" s="998">
        <f t="shared" si="39"/>
        <v>0</v>
      </c>
      <c r="T14" s="1802">
        <f>'Table 5C1A-Madison Prep'!T14</f>
        <v>11801</v>
      </c>
      <c r="U14" s="1555">
        <f t="shared" si="29"/>
        <v>0</v>
      </c>
      <c r="V14" s="1758">
        <f>+'[3]Oct midyear Tallulah Charter'!E13</f>
        <v>0</v>
      </c>
      <c r="W14" s="1759">
        <f t="shared" si="40"/>
        <v>0</v>
      </c>
      <c r="X14" s="1758">
        <f>'[3]Feb midyear Tallulah Charter'!E13</f>
        <v>0</v>
      </c>
      <c r="Y14" s="1759">
        <f t="shared" si="41"/>
        <v>0</v>
      </c>
      <c r="Z14" s="1653">
        <f t="shared" si="42"/>
        <v>0</v>
      </c>
      <c r="AA14" s="1486">
        <f t="shared" si="43"/>
        <v>0</v>
      </c>
      <c r="AB14" s="937">
        <f t="shared" si="44"/>
        <v>0</v>
      </c>
      <c r="AC14" s="899">
        <f t="shared" si="45"/>
        <v>0</v>
      </c>
      <c r="AD14" s="1830">
        <v>0</v>
      </c>
      <c r="AE14" s="899">
        <f t="shared" si="46"/>
        <v>0</v>
      </c>
      <c r="AF14" s="1829">
        <f>'[4]Table 5C1K-Tallulah Charter'!T13+'[27]Table 5C1K-Tallulah Charter'!AF13+('[26]Table 5C1K-Tallulah Charter'!AF13*6)</f>
        <v>0</v>
      </c>
      <c r="AG14" s="1834">
        <f t="shared" si="47"/>
        <v>0</v>
      </c>
      <c r="AH14" s="1521">
        <f t="shared" si="48"/>
        <v>0</v>
      </c>
      <c r="AI14" s="900">
        <f t="shared" si="30"/>
        <v>0</v>
      </c>
      <c r="AJ14" s="900">
        <f t="shared" si="49"/>
        <v>0</v>
      </c>
      <c r="AL14" s="2034">
        <f>-'[4]Table 5C1K-Tallulah Charter'!P13</f>
        <v>0</v>
      </c>
      <c r="AM14" s="2034">
        <f t="shared" si="50"/>
        <v>0</v>
      </c>
      <c r="AN14" s="2034">
        <f t="shared" si="51"/>
        <v>0</v>
      </c>
    </row>
    <row r="15" spans="1:40">
      <c r="A15" s="876">
        <v>8</v>
      </c>
      <c r="B15" s="877" t="s">
        <v>99</v>
      </c>
      <c r="C15" s="969">
        <v>0</v>
      </c>
      <c r="D15" s="878">
        <f>'Table 3 Levels 1&amp;2'!AL15</f>
        <v>4289.5073606712331</v>
      </c>
      <c r="E15" s="919">
        <f t="shared" si="31"/>
        <v>0</v>
      </c>
      <c r="F15" s="919">
        <f>'Table 4 Level 3'!P13</f>
        <v>725.76</v>
      </c>
      <c r="G15" s="919">
        <f t="shared" si="32"/>
        <v>0</v>
      </c>
      <c r="H15" s="898">
        <f t="shared" si="33"/>
        <v>0</v>
      </c>
      <c r="I15" s="1732">
        <f>+'[3]Oct midyear Tallulah Charter'!K14</f>
        <v>0</v>
      </c>
      <c r="J15" s="1732">
        <f>'[3]Feb midyear Tallulah Charter'!K14</f>
        <v>0</v>
      </c>
      <c r="K15" s="1543">
        <f t="shared" si="34"/>
        <v>0</v>
      </c>
      <c r="L15" s="1485">
        <f t="shared" si="28"/>
        <v>0</v>
      </c>
      <c r="M15" s="929">
        <f t="shared" si="35"/>
        <v>0</v>
      </c>
      <c r="N15" s="898">
        <f t="shared" si="36"/>
        <v>0</v>
      </c>
      <c r="O15" s="878">
        <v>0</v>
      </c>
      <c r="P15" s="1550">
        <f t="shared" si="37"/>
        <v>0</v>
      </c>
      <c r="Q15" s="1719">
        <f>'[4]Table 5C1K-Tallulah Charter'!M14+'[27]Table 5C1K-Tallulah Charter'!T14+('[26]Table 5C1K-Tallulah Charter'!T14*6)</f>
        <v>0</v>
      </c>
      <c r="R15" s="1732">
        <f t="shared" si="38"/>
        <v>0</v>
      </c>
      <c r="S15" s="998">
        <f t="shared" si="39"/>
        <v>0</v>
      </c>
      <c r="T15" s="1802">
        <f>'Table 5C1A-Madison Prep'!T15</f>
        <v>3988</v>
      </c>
      <c r="U15" s="1555">
        <f t="shared" si="29"/>
        <v>0</v>
      </c>
      <c r="V15" s="1758">
        <f>+'[3]Oct midyear Tallulah Charter'!E14</f>
        <v>0</v>
      </c>
      <c r="W15" s="1759">
        <f t="shared" si="40"/>
        <v>0</v>
      </c>
      <c r="X15" s="1758">
        <f>'[3]Feb midyear Tallulah Charter'!E14</f>
        <v>0</v>
      </c>
      <c r="Y15" s="1759">
        <f t="shared" si="41"/>
        <v>0</v>
      </c>
      <c r="Z15" s="1653">
        <f t="shared" si="42"/>
        <v>0</v>
      </c>
      <c r="AA15" s="1486">
        <f t="shared" si="43"/>
        <v>0</v>
      </c>
      <c r="AB15" s="937">
        <f t="shared" si="44"/>
        <v>0</v>
      </c>
      <c r="AC15" s="899">
        <f t="shared" si="45"/>
        <v>0</v>
      </c>
      <c r="AD15" s="1830">
        <v>0</v>
      </c>
      <c r="AE15" s="899">
        <f t="shared" si="46"/>
        <v>0</v>
      </c>
      <c r="AF15" s="1829">
        <f>'[4]Table 5C1K-Tallulah Charter'!T14+'[27]Table 5C1K-Tallulah Charter'!AF14+('[26]Table 5C1K-Tallulah Charter'!AF14*6)</f>
        <v>0</v>
      </c>
      <c r="AG15" s="1834">
        <f t="shared" si="47"/>
        <v>0</v>
      </c>
      <c r="AH15" s="1521">
        <f t="shared" si="48"/>
        <v>0</v>
      </c>
      <c r="AI15" s="900">
        <f t="shared" si="30"/>
        <v>0</v>
      </c>
      <c r="AJ15" s="900">
        <f t="shared" si="49"/>
        <v>0</v>
      </c>
      <c r="AL15" s="2034">
        <f>-'[4]Table 5C1K-Tallulah Charter'!P14</f>
        <v>0</v>
      </c>
      <c r="AM15" s="2034">
        <f t="shared" si="50"/>
        <v>0</v>
      </c>
      <c r="AN15" s="2034">
        <f t="shared" si="51"/>
        <v>0</v>
      </c>
    </row>
    <row r="16" spans="1:40">
      <c r="A16" s="876">
        <v>9</v>
      </c>
      <c r="B16" s="877" t="s">
        <v>100</v>
      </c>
      <c r="C16" s="969">
        <v>0</v>
      </c>
      <c r="D16" s="878">
        <f>'Table 3 Levels 1&amp;2'!AL16</f>
        <v>4395.6154516889328</v>
      </c>
      <c r="E16" s="919">
        <f t="shared" si="31"/>
        <v>0</v>
      </c>
      <c r="F16" s="919">
        <f>'Table 4 Level 3'!P14</f>
        <v>744.76</v>
      </c>
      <c r="G16" s="919">
        <f t="shared" si="32"/>
        <v>0</v>
      </c>
      <c r="H16" s="898">
        <f t="shared" si="33"/>
        <v>0</v>
      </c>
      <c r="I16" s="1732">
        <f>+'[3]Oct midyear Tallulah Charter'!K15</f>
        <v>0</v>
      </c>
      <c r="J16" s="1732">
        <f>'[3]Feb midyear Tallulah Charter'!K15</f>
        <v>0</v>
      </c>
      <c r="K16" s="1543">
        <f t="shared" si="34"/>
        <v>0</v>
      </c>
      <c r="L16" s="1485">
        <f t="shared" si="28"/>
        <v>0</v>
      </c>
      <c r="M16" s="929">
        <f t="shared" si="35"/>
        <v>0</v>
      </c>
      <c r="N16" s="898">
        <f t="shared" si="36"/>
        <v>0</v>
      </c>
      <c r="O16" s="878">
        <v>0</v>
      </c>
      <c r="P16" s="1550">
        <f t="shared" si="37"/>
        <v>0</v>
      </c>
      <c r="Q16" s="1719">
        <f>'[4]Table 5C1K-Tallulah Charter'!M15+'[27]Table 5C1K-Tallulah Charter'!T15+('[26]Table 5C1K-Tallulah Charter'!T15*6)</f>
        <v>0</v>
      </c>
      <c r="R16" s="1732">
        <f t="shared" si="38"/>
        <v>0</v>
      </c>
      <c r="S16" s="998">
        <f t="shared" si="39"/>
        <v>0</v>
      </c>
      <c r="T16" s="1802">
        <f>'Table 5C1A-Madison Prep'!T16</f>
        <v>4677</v>
      </c>
      <c r="U16" s="1555">
        <f t="shared" si="29"/>
        <v>0</v>
      </c>
      <c r="V16" s="1758">
        <f>+'[3]Oct midyear Tallulah Charter'!E15</f>
        <v>0</v>
      </c>
      <c r="W16" s="1759">
        <f t="shared" si="40"/>
        <v>0</v>
      </c>
      <c r="X16" s="1758">
        <f>'[3]Feb midyear Tallulah Charter'!E15</f>
        <v>0</v>
      </c>
      <c r="Y16" s="1759">
        <f t="shared" si="41"/>
        <v>0</v>
      </c>
      <c r="Z16" s="1653">
        <f t="shared" si="42"/>
        <v>0</v>
      </c>
      <c r="AA16" s="1486">
        <f t="shared" si="43"/>
        <v>0</v>
      </c>
      <c r="AB16" s="937">
        <f t="shared" si="44"/>
        <v>0</v>
      </c>
      <c r="AC16" s="899">
        <f t="shared" si="45"/>
        <v>0</v>
      </c>
      <c r="AD16" s="1830">
        <v>0</v>
      </c>
      <c r="AE16" s="899">
        <f t="shared" si="46"/>
        <v>0</v>
      </c>
      <c r="AF16" s="1829">
        <f>'[4]Table 5C1K-Tallulah Charter'!T15+'[27]Table 5C1K-Tallulah Charter'!AF15+('[26]Table 5C1K-Tallulah Charter'!AF15*6)</f>
        <v>0</v>
      </c>
      <c r="AG16" s="1834">
        <f t="shared" si="47"/>
        <v>0</v>
      </c>
      <c r="AH16" s="1521">
        <f t="shared" si="48"/>
        <v>0</v>
      </c>
      <c r="AI16" s="900">
        <f t="shared" si="30"/>
        <v>0</v>
      </c>
      <c r="AJ16" s="900">
        <f t="shared" si="49"/>
        <v>0</v>
      </c>
      <c r="AL16" s="2034">
        <f>-'[4]Table 5C1K-Tallulah Charter'!P15</f>
        <v>0</v>
      </c>
      <c r="AM16" s="2034">
        <f t="shared" si="50"/>
        <v>0</v>
      </c>
      <c r="AN16" s="2034">
        <f t="shared" si="51"/>
        <v>0</v>
      </c>
    </row>
    <row r="17" spans="1:40">
      <c r="A17" s="879">
        <v>10</v>
      </c>
      <c r="B17" s="880" t="s">
        <v>101</v>
      </c>
      <c r="C17" s="970">
        <v>0</v>
      </c>
      <c r="D17" s="881">
        <f>'Table 3 Levels 1&amp;2'!AL17</f>
        <v>4253.5980618992444</v>
      </c>
      <c r="E17" s="920">
        <f t="shared" si="31"/>
        <v>0</v>
      </c>
      <c r="F17" s="920">
        <f>'Table 4 Level 3'!P15</f>
        <v>608.04000000000008</v>
      </c>
      <c r="G17" s="920">
        <f t="shared" si="32"/>
        <v>0</v>
      </c>
      <c r="H17" s="901">
        <f t="shared" si="33"/>
        <v>0</v>
      </c>
      <c r="I17" s="1733">
        <f>+'[3]Oct midyear Tallulah Charter'!K16</f>
        <v>0</v>
      </c>
      <c r="J17" s="1733">
        <f>'[3]Feb midyear Tallulah Charter'!K16</f>
        <v>0</v>
      </c>
      <c r="K17" s="1544">
        <f t="shared" si="34"/>
        <v>0</v>
      </c>
      <c r="L17" s="1487">
        <f t="shared" si="28"/>
        <v>0</v>
      </c>
      <c r="M17" s="930">
        <f t="shared" si="35"/>
        <v>0</v>
      </c>
      <c r="N17" s="901">
        <f t="shared" si="36"/>
        <v>0</v>
      </c>
      <c r="O17" s="881">
        <v>0</v>
      </c>
      <c r="P17" s="1551">
        <f t="shared" si="37"/>
        <v>0</v>
      </c>
      <c r="Q17" s="1720">
        <f>'[4]Table 5C1K-Tallulah Charter'!M16+'[27]Table 5C1K-Tallulah Charter'!T16+('[26]Table 5C1K-Tallulah Charter'!T16*6)</f>
        <v>0</v>
      </c>
      <c r="R17" s="1733">
        <f t="shared" si="38"/>
        <v>0</v>
      </c>
      <c r="S17" s="1806">
        <f t="shared" si="39"/>
        <v>0</v>
      </c>
      <c r="T17" s="1807">
        <f>'Table 5C1A-Madison Prep'!T17</f>
        <v>4502</v>
      </c>
      <c r="U17" s="1556">
        <f t="shared" si="29"/>
        <v>0</v>
      </c>
      <c r="V17" s="1762">
        <f>+'[3]Oct midyear Tallulah Charter'!E16</f>
        <v>0</v>
      </c>
      <c r="W17" s="1763">
        <f t="shared" si="40"/>
        <v>0</v>
      </c>
      <c r="X17" s="1762">
        <f>'[3]Feb midyear Tallulah Charter'!E16</f>
        <v>0</v>
      </c>
      <c r="Y17" s="1763">
        <f t="shared" si="41"/>
        <v>0</v>
      </c>
      <c r="Z17" s="1654">
        <f t="shared" si="42"/>
        <v>0</v>
      </c>
      <c r="AA17" s="1488">
        <f t="shared" si="43"/>
        <v>0</v>
      </c>
      <c r="AB17" s="938">
        <f t="shared" si="44"/>
        <v>0</v>
      </c>
      <c r="AC17" s="903">
        <f t="shared" si="45"/>
        <v>0</v>
      </c>
      <c r="AD17" s="1831">
        <v>0</v>
      </c>
      <c r="AE17" s="903">
        <f t="shared" si="46"/>
        <v>0</v>
      </c>
      <c r="AF17" s="1837">
        <f>'[4]Table 5C1K-Tallulah Charter'!T16+'[27]Table 5C1K-Tallulah Charter'!AF16+('[26]Table 5C1K-Tallulah Charter'!AF16*6)</f>
        <v>0</v>
      </c>
      <c r="AG17" s="1835">
        <f t="shared" si="47"/>
        <v>0</v>
      </c>
      <c r="AH17" s="1530">
        <f t="shared" si="48"/>
        <v>0</v>
      </c>
      <c r="AI17" s="904">
        <f t="shared" si="30"/>
        <v>0</v>
      </c>
      <c r="AJ17" s="904">
        <f t="shared" si="49"/>
        <v>0</v>
      </c>
      <c r="AL17" s="2034">
        <f>-'[4]Table 5C1K-Tallulah Charter'!P16</f>
        <v>0</v>
      </c>
      <c r="AM17" s="2034">
        <f t="shared" si="50"/>
        <v>0</v>
      </c>
      <c r="AN17" s="2034">
        <f t="shared" si="51"/>
        <v>0</v>
      </c>
    </row>
    <row r="18" spans="1:40">
      <c r="A18" s="870">
        <v>11</v>
      </c>
      <c r="B18" s="871" t="s">
        <v>102</v>
      </c>
      <c r="C18" s="971">
        <v>0</v>
      </c>
      <c r="D18" s="872">
        <f>'Table 3 Levels 1&amp;2'!AL18</f>
        <v>6852.9138435383502</v>
      </c>
      <c r="E18" s="918">
        <f t="shared" si="31"/>
        <v>0</v>
      </c>
      <c r="F18" s="918">
        <f>'Table 4 Level 3'!P16</f>
        <v>706.55</v>
      </c>
      <c r="G18" s="918">
        <f t="shared" si="32"/>
        <v>0</v>
      </c>
      <c r="H18" s="873">
        <f t="shared" si="33"/>
        <v>0</v>
      </c>
      <c r="I18" s="1718">
        <f>+'[3]Oct midyear Tallulah Charter'!K17</f>
        <v>0</v>
      </c>
      <c r="J18" s="1718">
        <f>'[3]Feb midyear Tallulah Charter'!K17</f>
        <v>0</v>
      </c>
      <c r="K18" s="1542">
        <f t="shared" si="34"/>
        <v>0</v>
      </c>
      <c r="L18" s="1480">
        <f t="shared" si="28"/>
        <v>0</v>
      </c>
      <c r="M18" s="928">
        <f t="shared" si="35"/>
        <v>0</v>
      </c>
      <c r="N18" s="873">
        <f t="shared" si="36"/>
        <v>0</v>
      </c>
      <c r="O18" s="872">
        <v>0</v>
      </c>
      <c r="P18" s="998">
        <f t="shared" si="37"/>
        <v>0</v>
      </c>
      <c r="Q18" s="1718">
        <f>'[4]Table 5C1K-Tallulah Charter'!M17+'[27]Table 5C1K-Tallulah Charter'!T17+('[26]Table 5C1K-Tallulah Charter'!T17*6)</f>
        <v>0</v>
      </c>
      <c r="R18" s="1718">
        <f t="shared" si="38"/>
        <v>0</v>
      </c>
      <c r="S18" s="998">
        <f t="shared" si="39"/>
        <v>0</v>
      </c>
      <c r="T18" s="1802">
        <f>'Table 5C1A-Madison Prep'!T18</f>
        <v>3776</v>
      </c>
      <c r="U18" s="999">
        <f t="shared" si="29"/>
        <v>0</v>
      </c>
      <c r="V18" s="1754">
        <f>+'[3]Oct midyear Tallulah Charter'!E17</f>
        <v>0</v>
      </c>
      <c r="W18" s="1755">
        <f t="shared" si="40"/>
        <v>0</v>
      </c>
      <c r="X18" s="1754">
        <f>'[3]Feb midyear Tallulah Charter'!E17</f>
        <v>0</v>
      </c>
      <c r="Y18" s="1755">
        <f t="shared" si="41"/>
        <v>0</v>
      </c>
      <c r="Z18" s="1652">
        <f t="shared" si="42"/>
        <v>0</v>
      </c>
      <c r="AA18" s="1481">
        <f t="shared" si="43"/>
        <v>0</v>
      </c>
      <c r="AB18" s="936">
        <f t="shared" si="44"/>
        <v>0</v>
      </c>
      <c r="AC18" s="874">
        <f t="shared" si="45"/>
        <v>0</v>
      </c>
      <c r="AD18" s="1829">
        <v>0</v>
      </c>
      <c r="AE18" s="874">
        <f t="shared" si="46"/>
        <v>0</v>
      </c>
      <c r="AF18" s="1829">
        <f>'[4]Table 5C1K-Tallulah Charter'!T17+'[27]Table 5C1K-Tallulah Charter'!AF17+('[26]Table 5C1K-Tallulah Charter'!AF17*6)</f>
        <v>0</v>
      </c>
      <c r="AG18" s="1829">
        <f t="shared" si="47"/>
        <v>0</v>
      </c>
      <c r="AH18" s="1521">
        <f t="shared" si="48"/>
        <v>0</v>
      </c>
      <c r="AI18" s="875">
        <f t="shared" si="30"/>
        <v>0</v>
      </c>
      <c r="AJ18" s="875">
        <f t="shared" si="49"/>
        <v>0</v>
      </c>
      <c r="AL18" s="2034">
        <f>-'[4]Table 5C1K-Tallulah Charter'!P17</f>
        <v>0</v>
      </c>
      <c r="AM18" s="2034">
        <f t="shared" si="50"/>
        <v>0</v>
      </c>
      <c r="AN18" s="2034">
        <f t="shared" si="51"/>
        <v>0</v>
      </c>
    </row>
    <row r="19" spans="1:40">
      <c r="A19" s="876">
        <v>12</v>
      </c>
      <c r="B19" s="877" t="s">
        <v>103</v>
      </c>
      <c r="C19" s="969">
        <v>0</v>
      </c>
      <c r="D19" s="878">
        <f>'Table 3 Levels 1&amp;2'!AL19</f>
        <v>1733.9056059356967</v>
      </c>
      <c r="E19" s="919">
        <f t="shared" si="31"/>
        <v>0</v>
      </c>
      <c r="F19" s="919">
        <f>'Table 4 Level 3'!P17</f>
        <v>1063.31</v>
      </c>
      <c r="G19" s="919">
        <f t="shared" si="32"/>
        <v>0</v>
      </c>
      <c r="H19" s="898">
        <f t="shared" si="33"/>
        <v>0</v>
      </c>
      <c r="I19" s="1732">
        <f>+'[3]Oct midyear Tallulah Charter'!K18</f>
        <v>0</v>
      </c>
      <c r="J19" s="1732">
        <f>'[3]Feb midyear Tallulah Charter'!K18</f>
        <v>0</v>
      </c>
      <c r="K19" s="1543">
        <f t="shared" si="34"/>
        <v>0</v>
      </c>
      <c r="L19" s="1485">
        <f t="shared" si="28"/>
        <v>0</v>
      </c>
      <c r="M19" s="929">
        <f t="shared" si="35"/>
        <v>0</v>
      </c>
      <c r="N19" s="898">
        <f t="shared" si="36"/>
        <v>0</v>
      </c>
      <c r="O19" s="878">
        <v>0</v>
      </c>
      <c r="P19" s="1550">
        <f t="shared" si="37"/>
        <v>0</v>
      </c>
      <c r="Q19" s="1719">
        <f>'[4]Table 5C1K-Tallulah Charter'!M18+'[27]Table 5C1K-Tallulah Charter'!T18+('[26]Table 5C1K-Tallulah Charter'!T18*6)</f>
        <v>0</v>
      </c>
      <c r="R19" s="1732">
        <f t="shared" si="38"/>
        <v>0</v>
      </c>
      <c r="S19" s="998">
        <f t="shared" si="39"/>
        <v>0</v>
      </c>
      <c r="T19" s="1802">
        <f>'Table 5C1A-Madison Prep'!T19</f>
        <v>13312</v>
      </c>
      <c r="U19" s="1555">
        <f t="shared" si="29"/>
        <v>0</v>
      </c>
      <c r="V19" s="1758">
        <f>+'[3]Oct midyear Tallulah Charter'!E18</f>
        <v>0</v>
      </c>
      <c r="W19" s="1759">
        <f t="shared" si="40"/>
        <v>0</v>
      </c>
      <c r="X19" s="1758">
        <f>'[3]Feb midyear Tallulah Charter'!E18</f>
        <v>0</v>
      </c>
      <c r="Y19" s="1759">
        <f t="shared" si="41"/>
        <v>0</v>
      </c>
      <c r="Z19" s="1653">
        <f t="shared" si="42"/>
        <v>0</v>
      </c>
      <c r="AA19" s="1486">
        <f t="shared" si="43"/>
        <v>0</v>
      </c>
      <c r="AB19" s="937">
        <f t="shared" si="44"/>
        <v>0</v>
      </c>
      <c r="AC19" s="899">
        <f t="shared" si="45"/>
        <v>0</v>
      </c>
      <c r="AD19" s="1830">
        <v>0</v>
      </c>
      <c r="AE19" s="899">
        <f t="shared" si="46"/>
        <v>0</v>
      </c>
      <c r="AF19" s="1829">
        <f>'[4]Table 5C1K-Tallulah Charter'!T18+'[27]Table 5C1K-Tallulah Charter'!AF18+('[26]Table 5C1K-Tallulah Charter'!AF18*6)</f>
        <v>0</v>
      </c>
      <c r="AG19" s="1834">
        <f t="shared" si="47"/>
        <v>0</v>
      </c>
      <c r="AH19" s="1521">
        <f t="shared" si="48"/>
        <v>0</v>
      </c>
      <c r="AI19" s="900">
        <f t="shared" si="30"/>
        <v>0</v>
      </c>
      <c r="AJ19" s="900">
        <f t="shared" si="49"/>
        <v>0</v>
      </c>
      <c r="AL19" s="2034">
        <f>-'[4]Table 5C1K-Tallulah Charter'!P18</f>
        <v>0</v>
      </c>
      <c r="AM19" s="2034">
        <f t="shared" si="50"/>
        <v>0</v>
      </c>
      <c r="AN19" s="2034">
        <f t="shared" si="51"/>
        <v>0</v>
      </c>
    </row>
    <row r="20" spans="1:40">
      <c r="A20" s="876">
        <v>13</v>
      </c>
      <c r="B20" s="877" t="s">
        <v>104</v>
      </c>
      <c r="C20" s="969">
        <v>0</v>
      </c>
      <c r="D20" s="878">
        <f>'Table 3 Levels 1&amp;2'!AL20</f>
        <v>6254.1238637730876</v>
      </c>
      <c r="E20" s="919">
        <f t="shared" si="31"/>
        <v>0</v>
      </c>
      <c r="F20" s="919">
        <f>'Table 4 Level 3'!P18</f>
        <v>749.43000000000006</v>
      </c>
      <c r="G20" s="919">
        <f t="shared" si="32"/>
        <v>0</v>
      </c>
      <c r="H20" s="898">
        <f t="shared" si="33"/>
        <v>0</v>
      </c>
      <c r="I20" s="1732">
        <f>+'[3]Oct midyear Tallulah Charter'!K19</f>
        <v>0</v>
      </c>
      <c r="J20" s="1732">
        <f>'[3]Feb midyear Tallulah Charter'!K19</f>
        <v>0</v>
      </c>
      <c r="K20" s="1543">
        <f t="shared" si="34"/>
        <v>0</v>
      </c>
      <c r="L20" s="1485">
        <f t="shared" si="28"/>
        <v>0</v>
      </c>
      <c r="M20" s="929">
        <f t="shared" si="35"/>
        <v>0</v>
      </c>
      <c r="N20" s="898">
        <f t="shared" si="36"/>
        <v>0</v>
      </c>
      <c r="O20" s="878">
        <v>0</v>
      </c>
      <c r="P20" s="1550">
        <f t="shared" si="37"/>
        <v>0</v>
      </c>
      <c r="Q20" s="1719">
        <f>'[4]Table 5C1K-Tallulah Charter'!M19+'[27]Table 5C1K-Tallulah Charter'!T19+('[26]Table 5C1K-Tallulah Charter'!T19*6)</f>
        <v>0</v>
      </c>
      <c r="R20" s="1732">
        <f t="shared" si="38"/>
        <v>0</v>
      </c>
      <c r="S20" s="998">
        <f t="shared" si="39"/>
        <v>0</v>
      </c>
      <c r="T20" s="1802">
        <f>'Table 5C1A-Madison Prep'!T20</f>
        <v>2671</v>
      </c>
      <c r="U20" s="1555">
        <f t="shared" si="29"/>
        <v>0</v>
      </c>
      <c r="V20" s="1758">
        <f>+'[3]Oct midyear Tallulah Charter'!E19</f>
        <v>0</v>
      </c>
      <c r="W20" s="1759">
        <f t="shared" si="40"/>
        <v>0</v>
      </c>
      <c r="X20" s="1758">
        <f>'[3]Feb midyear Tallulah Charter'!E19</f>
        <v>0</v>
      </c>
      <c r="Y20" s="1759">
        <f t="shared" si="41"/>
        <v>0</v>
      </c>
      <c r="Z20" s="1653">
        <f t="shared" si="42"/>
        <v>0</v>
      </c>
      <c r="AA20" s="1486">
        <f t="shared" si="43"/>
        <v>0</v>
      </c>
      <c r="AB20" s="937">
        <f t="shared" si="44"/>
        <v>0</v>
      </c>
      <c r="AC20" s="899">
        <f t="shared" si="45"/>
        <v>0</v>
      </c>
      <c r="AD20" s="1830">
        <v>0</v>
      </c>
      <c r="AE20" s="899">
        <f t="shared" si="46"/>
        <v>0</v>
      </c>
      <c r="AF20" s="1829">
        <f>'[4]Table 5C1K-Tallulah Charter'!T19+'[27]Table 5C1K-Tallulah Charter'!AF19+('[26]Table 5C1K-Tallulah Charter'!AF19*6)</f>
        <v>0</v>
      </c>
      <c r="AG20" s="1834">
        <f t="shared" si="47"/>
        <v>0</v>
      </c>
      <c r="AH20" s="1521">
        <f t="shared" si="48"/>
        <v>0</v>
      </c>
      <c r="AI20" s="900">
        <f t="shared" si="30"/>
        <v>0</v>
      </c>
      <c r="AJ20" s="900">
        <f t="shared" si="49"/>
        <v>0</v>
      </c>
      <c r="AL20" s="2034">
        <f>-'[4]Table 5C1K-Tallulah Charter'!P19</f>
        <v>0</v>
      </c>
      <c r="AM20" s="2034">
        <f t="shared" si="50"/>
        <v>0</v>
      </c>
      <c r="AN20" s="2034">
        <f t="shared" si="51"/>
        <v>0</v>
      </c>
    </row>
    <row r="21" spans="1:40">
      <c r="A21" s="876">
        <v>14</v>
      </c>
      <c r="B21" s="877" t="s">
        <v>105</v>
      </c>
      <c r="C21" s="969">
        <v>0</v>
      </c>
      <c r="D21" s="878">
        <f>'Table 3 Levels 1&amp;2'!AL21</f>
        <v>5377.9187438545459</v>
      </c>
      <c r="E21" s="919">
        <f t="shared" si="31"/>
        <v>0</v>
      </c>
      <c r="F21" s="919">
        <f>'Table 4 Level 3'!P19</f>
        <v>809.9799999999999</v>
      </c>
      <c r="G21" s="919">
        <f t="shared" si="32"/>
        <v>0</v>
      </c>
      <c r="H21" s="898">
        <f t="shared" si="33"/>
        <v>0</v>
      </c>
      <c r="I21" s="1732">
        <f>+'[3]Oct midyear Tallulah Charter'!K20</f>
        <v>0</v>
      </c>
      <c r="J21" s="1732">
        <f>'[3]Feb midyear Tallulah Charter'!K20</f>
        <v>0</v>
      </c>
      <c r="K21" s="1543">
        <f t="shared" si="34"/>
        <v>0</v>
      </c>
      <c r="L21" s="1485">
        <f t="shared" si="28"/>
        <v>0</v>
      </c>
      <c r="M21" s="929">
        <f t="shared" si="35"/>
        <v>0</v>
      </c>
      <c r="N21" s="898">
        <f t="shared" si="36"/>
        <v>0</v>
      </c>
      <c r="O21" s="878">
        <v>0</v>
      </c>
      <c r="P21" s="1550">
        <f t="shared" si="37"/>
        <v>0</v>
      </c>
      <c r="Q21" s="1719">
        <f>'[4]Table 5C1K-Tallulah Charter'!M20+'[27]Table 5C1K-Tallulah Charter'!T20+('[26]Table 5C1K-Tallulah Charter'!T20*6)</f>
        <v>0</v>
      </c>
      <c r="R21" s="1732">
        <f t="shared" si="38"/>
        <v>0</v>
      </c>
      <c r="S21" s="998">
        <f t="shared" si="39"/>
        <v>0</v>
      </c>
      <c r="T21" s="1802">
        <f>'Table 5C1A-Madison Prep'!T21</f>
        <v>4439</v>
      </c>
      <c r="U21" s="1555">
        <f t="shared" si="29"/>
        <v>0</v>
      </c>
      <c r="V21" s="1758">
        <f>+'[3]Oct midyear Tallulah Charter'!E20</f>
        <v>0</v>
      </c>
      <c r="W21" s="1759">
        <f t="shared" si="40"/>
        <v>0</v>
      </c>
      <c r="X21" s="1758">
        <f>'[3]Feb midyear Tallulah Charter'!E20</f>
        <v>0</v>
      </c>
      <c r="Y21" s="1759">
        <f t="shared" si="41"/>
        <v>0</v>
      </c>
      <c r="Z21" s="1653">
        <f t="shared" si="42"/>
        <v>0</v>
      </c>
      <c r="AA21" s="1486">
        <f t="shared" si="43"/>
        <v>0</v>
      </c>
      <c r="AB21" s="937">
        <f t="shared" si="44"/>
        <v>0</v>
      </c>
      <c r="AC21" s="899">
        <f t="shared" si="45"/>
        <v>0</v>
      </c>
      <c r="AD21" s="1830">
        <v>0</v>
      </c>
      <c r="AE21" s="899">
        <f t="shared" si="46"/>
        <v>0</v>
      </c>
      <c r="AF21" s="1829">
        <f>'[4]Table 5C1K-Tallulah Charter'!T20+'[27]Table 5C1K-Tallulah Charter'!AF20+('[26]Table 5C1K-Tallulah Charter'!AF20*6)</f>
        <v>0</v>
      </c>
      <c r="AG21" s="1834">
        <f t="shared" si="47"/>
        <v>0</v>
      </c>
      <c r="AH21" s="1521">
        <f t="shared" si="48"/>
        <v>0</v>
      </c>
      <c r="AI21" s="900">
        <f t="shared" si="30"/>
        <v>0</v>
      </c>
      <c r="AJ21" s="900">
        <f t="shared" si="49"/>
        <v>0</v>
      </c>
      <c r="AL21" s="2034">
        <f>-'[4]Table 5C1K-Tallulah Charter'!P20</f>
        <v>0</v>
      </c>
      <c r="AM21" s="2034">
        <f t="shared" si="50"/>
        <v>0</v>
      </c>
      <c r="AN21" s="2034">
        <f t="shared" si="51"/>
        <v>0</v>
      </c>
    </row>
    <row r="22" spans="1:40">
      <c r="A22" s="879">
        <v>15</v>
      </c>
      <c r="B22" s="880" t="s">
        <v>106</v>
      </c>
      <c r="C22" s="970">
        <v>0</v>
      </c>
      <c r="D22" s="881">
        <f>'Table 3 Levels 1&amp;2'!AL22</f>
        <v>5527.7651197617861</v>
      </c>
      <c r="E22" s="920">
        <f t="shared" si="31"/>
        <v>0</v>
      </c>
      <c r="F22" s="920">
        <f>'Table 4 Level 3'!P20</f>
        <v>553.79999999999995</v>
      </c>
      <c r="G22" s="920">
        <f t="shared" si="32"/>
        <v>0</v>
      </c>
      <c r="H22" s="901">
        <f t="shared" si="33"/>
        <v>0</v>
      </c>
      <c r="I22" s="1733">
        <f>+'[3]Oct midyear Tallulah Charter'!K21</f>
        <v>0</v>
      </c>
      <c r="J22" s="1733">
        <f>'[3]Feb midyear Tallulah Charter'!K21</f>
        <v>0</v>
      </c>
      <c r="K22" s="1544">
        <f t="shared" si="34"/>
        <v>0</v>
      </c>
      <c r="L22" s="1487">
        <f t="shared" si="28"/>
        <v>0</v>
      </c>
      <c r="M22" s="930">
        <f t="shared" si="35"/>
        <v>0</v>
      </c>
      <c r="N22" s="901">
        <f t="shared" si="36"/>
        <v>0</v>
      </c>
      <c r="O22" s="881">
        <v>0</v>
      </c>
      <c r="P22" s="1551">
        <f t="shared" si="37"/>
        <v>0</v>
      </c>
      <c r="Q22" s="1720">
        <f>'[4]Table 5C1K-Tallulah Charter'!M21+'[27]Table 5C1K-Tallulah Charter'!T21+('[26]Table 5C1K-Tallulah Charter'!T21*6)</f>
        <v>0</v>
      </c>
      <c r="R22" s="1733">
        <f t="shared" si="38"/>
        <v>0</v>
      </c>
      <c r="S22" s="1806">
        <f t="shared" si="39"/>
        <v>0</v>
      </c>
      <c r="T22" s="1807">
        <f>'Table 5C1A-Madison Prep'!T22</f>
        <v>2800</v>
      </c>
      <c r="U22" s="1556">
        <f t="shared" si="29"/>
        <v>0</v>
      </c>
      <c r="V22" s="1762">
        <f>+'[3]Oct midyear Tallulah Charter'!E21</f>
        <v>0</v>
      </c>
      <c r="W22" s="1763">
        <f t="shared" si="40"/>
        <v>0</v>
      </c>
      <c r="X22" s="1762">
        <f>'[3]Feb midyear Tallulah Charter'!E21</f>
        <v>0</v>
      </c>
      <c r="Y22" s="1763">
        <f t="shared" si="41"/>
        <v>0</v>
      </c>
      <c r="Z22" s="1654">
        <f t="shared" si="42"/>
        <v>0</v>
      </c>
      <c r="AA22" s="1488">
        <f t="shared" si="43"/>
        <v>0</v>
      </c>
      <c r="AB22" s="938">
        <f t="shared" si="44"/>
        <v>0</v>
      </c>
      <c r="AC22" s="903">
        <f t="shared" si="45"/>
        <v>0</v>
      </c>
      <c r="AD22" s="1831">
        <v>0</v>
      </c>
      <c r="AE22" s="903">
        <f t="shared" si="46"/>
        <v>0</v>
      </c>
      <c r="AF22" s="1837">
        <f>'[4]Table 5C1K-Tallulah Charter'!T21+'[27]Table 5C1K-Tallulah Charter'!AF21+('[26]Table 5C1K-Tallulah Charter'!AF21*6)</f>
        <v>0</v>
      </c>
      <c r="AG22" s="1835">
        <f t="shared" si="47"/>
        <v>0</v>
      </c>
      <c r="AH22" s="1530">
        <f t="shared" si="48"/>
        <v>0</v>
      </c>
      <c r="AI22" s="904">
        <f t="shared" si="30"/>
        <v>0</v>
      </c>
      <c r="AJ22" s="904">
        <f t="shared" si="49"/>
        <v>0</v>
      </c>
      <c r="AL22" s="2034">
        <f>-'[4]Table 5C1K-Tallulah Charter'!P21</f>
        <v>0</v>
      </c>
      <c r="AM22" s="2034">
        <f t="shared" si="50"/>
        <v>0</v>
      </c>
      <c r="AN22" s="2034">
        <f t="shared" si="51"/>
        <v>0</v>
      </c>
    </row>
    <row r="23" spans="1:40">
      <c r="A23" s="870">
        <v>16</v>
      </c>
      <c r="B23" s="871" t="s">
        <v>107</v>
      </c>
      <c r="C23" s="971">
        <v>0</v>
      </c>
      <c r="D23" s="872">
        <f>'Table 3 Levels 1&amp;2'!AL23</f>
        <v>1530.3678845377474</v>
      </c>
      <c r="E23" s="918">
        <f t="shared" si="31"/>
        <v>0</v>
      </c>
      <c r="F23" s="918">
        <f>'Table 4 Level 3'!P21</f>
        <v>686.73</v>
      </c>
      <c r="G23" s="918">
        <f t="shared" si="32"/>
        <v>0</v>
      </c>
      <c r="H23" s="873">
        <f t="shared" si="33"/>
        <v>0</v>
      </c>
      <c r="I23" s="1718">
        <f>+'[3]Oct midyear Tallulah Charter'!K22</f>
        <v>0</v>
      </c>
      <c r="J23" s="1718">
        <f>'[3]Feb midyear Tallulah Charter'!K22</f>
        <v>0</v>
      </c>
      <c r="K23" s="1542">
        <f t="shared" si="34"/>
        <v>0</v>
      </c>
      <c r="L23" s="1480">
        <f t="shared" si="28"/>
        <v>0</v>
      </c>
      <c r="M23" s="928">
        <f t="shared" si="35"/>
        <v>0</v>
      </c>
      <c r="N23" s="873">
        <f t="shared" si="36"/>
        <v>0</v>
      </c>
      <c r="O23" s="872">
        <v>0</v>
      </c>
      <c r="P23" s="998">
        <f t="shared" si="37"/>
        <v>0</v>
      </c>
      <c r="Q23" s="1718">
        <f>'[4]Table 5C1K-Tallulah Charter'!M22+'[27]Table 5C1K-Tallulah Charter'!T22+('[26]Table 5C1K-Tallulah Charter'!T22*6)</f>
        <v>0</v>
      </c>
      <c r="R23" s="1718">
        <f t="shared" si="38"/>
        <v>0</v>
      </c>
      <c r="S23" s="998">
        <f t="shared" si="39"/>
        <v>0</v>
      </c>
      <c r="T23" s="1802">
        <f>'Table 5C1A-Madison Prep'!T23</f>
        <v>12312</v>
      </c>
      <c r="U23" s="999">
        <f t="shared" si="29"/>
        <v>0</v>
      </c>
      <c r="V23" s="1754">
        <f>+'[3]Oct midyear Tallulah Charter'!E22</f>
        <v>0</v>
      </c>
      <c r="W23" s="1755">
        <f t="shared" si="40"/>
        <v>0</v>
      </c>
      <c r="X23" s="1754">
        <f>'[3]Feb midyear Tallulah Charter'!E22</f>
        <v>0</v>
      </c>
      <c r="Y23" s="1755">
        <f t="shared" si="41"/>
        <v>0</v>
      </c>
      <c r="Z23" s="1652">
        <f t="shared" si="42"/>
        <v>0</v>
      </c>
      <c r="AA23" s="1481">
        <f t="shared" si="43"/>
        <v>0</v>
      </c>
      <c r="AB23" s="936">
        <f t="shared" si="44"/>
        <v>0</v>
      </c>
      <c r="AC23" s="874">
        <f t="shared" si="45"/>
        <v>0</v>
      </c>
      <c r="AD23" s="1829">
        <v>0</v>
      </c>
      <c r="AE23" s="874">
        <f t="shared" si="46"/>
        <v>0</v>
      </c>
      <c r="AF23" s="1829">
        <f>'[4]Table 5C1K-Tallulah Charter'!T22+'[27]Table 5C1K-Tallulah Charter'!AF22+('[26]Table 5C1K-Tallulah Charter'!AF22*6)</f>
        <v>0</v>
      </c>
      <c r="AG23" s="1829">
        <f t="shared" si="47"/>
        <v>0</v>
      </c>
      <c r="AH23" s="1521">
        <f t="shared" si="48"/>
        <v>0</v>
      </c>
      <c r="AI23" s="875">
        <f t="shared" si="30"/>
        <v>0</v>
      </c>
      <c r="AJ23" s="875">
        <f t="shared" si="49"/>
        <v>0</v>
      </c>
      <c r="AL23" s="2034">
        <f>-'[4]Table 5C1K-Tallulah Charter'!P22</f>
        <v>0</v>
      </c>
      <c r="AM23" s="2034">
        <f t="shared" si="50"/>
        <v>0</v>
      </c>
      <c r="AN23" s="2034">
        <f t="shared" si="51"/>
        <v>0</v>
      </c>
    </row>
    <row r="24" spans="1:40">
      <c r="A24" s="876">
        <v>17</v>
      </c>
      <c r="B24" s="877" t="s">
        <v>108</v>
      </c>
      <c r="C24" s="969">
        <v>0</v>
      </c>
      <c r="D24" s="878">
        <f>'Table 3 Levels 1&amp;2'!AL24</f>
        <v>3313.0666313017805</v>
      </c>
      <c r="E24" s="919">
        <f t="shared" si="31"/>
        <v>0</v>
      </c>
      <c r="F24" s="919">
        <f>'Table 4 Level 3'!P22</f>
        <v>801.47762416806802</v>
      </c>
      <c r="G24" s="919">
        <f t="shared" si="32"/>
        <v>0</v>
      </c>
      <c r="H24" s="898">
        <f t="shared" si="33"/>
        <v>0</v>
      </c>
      <c r="I24" s="1732">
        <f>+'[3]Oct midyear Tallulah Charter'!K23</f>
        <v>0</v>
      </c>
      <c r="J24" s="1732">
        <f>'[3]Feb midyear Tallulah Charter'!K23</f>
        <v>0</v>
      </c>
      <c r="K24" s="1543">
        <f t="shared" si="34"/>
        <v>0</v>
      </c>
      <c r="L24" s="1485">
        <f t="shared" si="28"/>
        <v>0</v>
      </c>
      <c r="M24" s="929">
        <f t="shared" si="35"/>
        <v>0</v>
      </c>
      <c r="N24" s="898">
        <f t="shared" si="36"/>
        <v>0</v>
      </c>
      <c r="O24" s="878">
        <v>0</v>
      </c>
      <c r="P24" s="1550">
        <f t="shared" si="37"/>
        <v>0</v>
      </c>
      <c r="Q24" s="1719">
        <f>'[4]Table 5C1K-Tallulah Charter'!M23+'[27]Table 5C1K-Tallulah Charter'!T23+('[26]Table 5C1K-Tallulah Charter'!T23*6)</f>
        <v>0</v>
      </c>
      <c r="R24" s="1732">
        <f t="shared" si="38"/>
        <v>0</v>
      </c>
      <c r="S24" s="998">
        <f t="shared" si="39"/>
        <v>0</v>
      </c>
      <c r="T24" s="1802">
        <f>'Table 5C1A-Madison Prep'!T24</f>
        <v>6866</v>
      </c>
      <c r="U24" s="1555">
        <f t="shared" si="29"/>
        <v>0</v>
      </c>
      <c r="V24" s="1758">
        <f>+'[3]Oct midyear Tallulah Charter'!E23</f>
        <v>0</v>
      </c>
      <c r="W24" s="1759">
        <f t="shared" si="40"/>
        <v>0</v>
      </c>
      <c r="X24" s="1758">
        <f>'[3]Feb midyear Tallulah Charter'!E23</f>
        <v>0</v>
      </c>
      <c r="Y24" s="1759">
        <f t="shared" si="41"/>
        <v>0</v>
      </c>
      <c r="Z24" s="1653">
        <f t="shared" si="42"/>
        <v>0</v>
      </c>
      <c r="AA24" s="1486">
        <f t="shared" si="43"/>
        <v>0</v>
      </c>
      <c r="AB24" s="937">
        <f t="shared" si="44"/>
        <v>0</v>
      </c>
      <c r="AC24" s="899">
        <f t="shared" si="45"/>
        <v>0</v>
      </c>
      <c r="AD24" s="1830">
        <v>0</v>
      </c>
      <c r="AE24" s="899">
        <f t="shared" si="46"/>
        <v>0</v>
      </c>
      <c r="AF24" s="1829">
        <f>'[4]Table 5C1K-Tallulah Charter'!T23+'[27]Table 5C1K-Tallulah Charter'!AF23+('[26]Table 5C1K-Tallulah Charter'!AF23*6)</f>
        <v>0</v>
      </c>
      <c r="AG24" s="1834">
        <f t="shared" si="47"/>
        <v>0</v>
      </c>
      <c r="AH24" s="1521">
        <f t="shared" si="48"/>
        <v>0</v>
      </c>
      <c r="AI24" s="900">
        <f t="shared" si="30"/>
        <v>0</v>
      </c>
      <c r="AJ24" s="900">
        <f t="shared" si="49"/>
        <v>0</v>
      </c>
      <c r="AL24" s="2034">
        <f>-'[4]Table 5C1K-Tallulah Charter'!P23</f>
        <v>0</v>
      </c>
      <c r="AM24" s="2034">
        <f t="shared" si="50"/>
        <v>0</v>
      </c>
      <c r="AN24" s="2034">
        <f t="shared" si="51"/>
        <v>0</v>
      </c>
    </row>
    <row r="25" spans="1:40">
      <c r="A25" s="876">
        <v>18</v>
      </c>
      <c r="B25" s="877" t="s">
        <v>109</v>
      </c>
      <c r="C25" s="969">
        <v>0</v>
      </c>
      <c r="D25" s="878">
        <f>'Table 3 Levels 1&amp;2'!AL25</f>
        <v>5989.1351892854573</v>
      </c>
      <c r="E25" s="919">
        <f t="shared" si="31"/>
        <v>0</v>
      </c>
      <c r="F25" s="919">
        <f>'Table 4 Level 3'!P23</f>
        <v>845.94999999999993</v>
      </c>
      <c r="G25" s="919">
        <f t="shared" si="32"/>
        <v>0</v>
      </c>
      <c r="H25" s="898">
        <f t="shared" si="33"/>
        <v>0</v>
      </c>
      <c r="I25" s="1732">
        <f>+'[3]Oct midyear Tallulah Charter'!K24</f>
        <v>0</v>
      </c>
      <c r="J25" s="1732">
        <f>'[3]Feb midyear Tallulah Charter'!K24</f>
        <v>0</v>
      </c>
      <c r="K25" s="1543">
        <f t="shared" si="34"/>
        <v>0</v>
      </c>
      <c r="L25" s="1485">
        <f t="shared" si="28"/>
        <v>0</v>
      </c>
      <c r="M25" s="929">
        <f t="shared" si="35"/>
        <v>0</v>
      </c>
      <c r="N25" s="898">
        <f t="shared" si="36"/>
        <v>0</v>
      </c>
      <c r="O25" s="878">
        <v>0</v>
      </c>
      <c r="P25" s="1550">
        <f t="shared" si="37"/>
        <v>0</v>
      </c>
      <c r="Q25" s="1719">
        <f>'[4]Table 5C1K-Tallulah Charter'!M24+'[27]Table 5C1K-Tallulah Charter'!T24+('[26]Table 5C1K-Tallulah Charter'!T24*6)</f>
        <v>4338.7256667441561</v>
      </c>
      <c r="R25" s="1732">
        <f t="shared" si="38"/>
        <v>-4338.7256667441561</v>
      </c>
      <c r="S25" s="998">
        <f t="shared" si="39"/>
        <v>-1085</v>
      </c>
      <c r="T25" s="1802">
        <f>'Table 5C1A-Madison Prep'!T25</f>
        <v>3071</v>
      </c>
      <c r="U25" s="1555">
        <f t="shared" si="29"/>
        <v>0</v>
      </c>
      <c r="V25" s="1758">
        <f>+'[3]Oct midyear Tallulah Charter'!E24</f>
        <v>0</v>
      </c>
      <c r="W25" s="1759">
        <f t="shared" si="40"/>
        <v>0</v>
      </c>
      <c r="X25" s="1758">
        <f>'[3]Feb midyear Tallulah Charter'!E24</f>
        <v>0</v>
      </c>
      <c r="Y25" s="1759">
        <f t="shared" si="41"/>
        <v>0</v>
      </c>
      <c r="Z25" s="1653">
        <f t="shared" si="42"/>
        <v>0</v>
      </c>
      <c r="AA25" s="1486">
        <f t="shared" si="43"/>
        <v>0</v>
      </c>
      <c r="AB25" s="937">
        <f t="shared" si="44"/>
        <v>0</v>
      </c>
      <c r="AC25" s="899">
        <f t="shared" si="45"/>
        <v>0</v>
      </c>
      <c r="AD25" s="1830">
        <v>0</v>
      </c>
      <c r="AE25" s="899">
        <f t="shared" si="46"/>
        <v>0</v>
      </c>
      <c r="AF25" s="1829">
        <f>'[4]Table 5C1K-Tallulah Charter'!T24+'[27]Table 5C1K-Tallulah Charter'!AF24+('[26]Table 5C1K-Tallulah Charter'!AF24*6)</f>
        <v>1856.7102272727273</v>
      </c>
      <c r="AG25" s="1834">
        <f t="shared" si="47"/>
        <v>-1856.7102272727273</v>
      </c>
      <c r="AH25" s="1521">
        <f t="shared" si="48"/>
        <v>-464</v>
      </c>
      <c r="AI25" s="900">
        <f t="shared" si="30"/>
        <v>0</v>
      </c>
      <c r="AJ25" s="900">
        <f t="shared" si="49"/>
        <v>-1549</v>
      </c>
      <c r="AL25" s="2034">
        <f>-'[4]Table 5C1K-Tallulah Charter'!P24</f>
        <v>0</v>
      </c>
      <c r="AM25" s="2034">
        <f t="shared" si="50"/>
        <v>0</v>
      </c>
      <c r="AN25" s="2034">
        <f t="shared" si="51"/>
        <v>0</v>
      </c>
    </row>
    <row r="26" spans="1:40">
      <c r="A26" s="876">
        <v>19</v>
      </c>
      <c r="B26" s="877" t="s">
        <v>110</v>
      </c>
      <c r="C26" s="969">
        <v>0</v>
      </c>
      <c r="D26" s="878">
        <f>'Table 3 Levels 1&amp;2'!AL26</f>
        <v>5315.8913399708035</v>
      </c>
      <c r="E26" s="919">
        <f t="shared" si="31"/>
        <v>0</v>
      </c>
      <c r="F26" s="919">
        <f>'Table 4 Level 3'!P24</f>
        <v>905.43</v>
      </c>
      <c r="G26" s="919">
        <f t="shared" si="32"/>
        <v>0</v>
      </c>
      <c r="H26" s="898">
        <f t="shared" si="33"/>
        <v>0</v>
      </c>
      <c r="I26" s="1732">
        <f>+'[3]Oct midyear Tallulah Charter'!K25</f>
        <v>0</v>
      </c>
      <c r="J26" s="1732">
        <f>'[3]Feb midyear Tallulah Charter'!K25</f>
        <v>0</v>
      </c>
      <c r="K26" s="1543">
        <f t="shared" si="34"/>
        <v>0</v>
      </c>
      <c r="L26" s="1485">
        <f t="shared" si="28"/>
        <v>0</v>
      </c>
      <c r="M26" s="929">
        <f t="shared" si="35"/>
        <v>0</v>
      </c>
      <c r="N26" s="898">
        <f t="shared" si="36"/>
        <v>0</v>
      </c>
      <c r="O26" s="878">
        <v>0</v>
      </c>
      <c r="P26" s="1550">
        <f t="shared" si="37"/>
        <v>0</v>
      </c>
      <c r="Q26" s="1719">
        <f>'[4]Table 5C1K-Tallulah Charter'!M25+'[27]Table 5C1K-Tallulah Charter'!T25+('[26]Table 5C1K-Tallulah Charter'!T25*6)</f>
        <v>0</v>
      </c>
      <c r="R26" s="1732">
        <f t="shared" si="38"/>
        <v>0</v>
      </c>
      <c r="S26" s="998">
        <f t="shared" si="39"/>
        <v>0</v>
      </c>
      <c r="T26" s="1802">
        <f>'Table 5C1A-Madison Prep'!T26</f>
        <v>2566</v>
      </c>
      <c r="U26" s="1555">
        <f t="shared" si="29"/>
        <v>0</v>
      </c>
      <c r="V26" s="1758">
        <f>+'[3]Oct midyear Tallulah Charter'!E25</f>
        <v>0</v>
      </c>
      <c r="W26" s="1759">
        <f t="shared" si="40"/>
        <v>0</v>
      </c>
      <c r="X26" s="1758">
        <f>'[3]Feb midyear Tallulah Charter'!E25</f>
        <v>0</v>
      </c>
      <c r="Y26" s="1759">
        <f t="shared" si="41"/>
        <v>0</v>
      </c>
      <c r="Z26" s="1653">
        <f t="shared" si="42"/>
        <v>0</v>
      </c>
      <c r="AA26" s="1486">
        <f t="shared" si="43"/>
        <v>0</v>
      </c>
      <c r="AB26" s="937">
        <f t="shared" si="44"/>
        <v>0</v>
      </c>
      <c r="AC26" s="899">
        <f t="shared" si="45"/>
        <v>0</v>
      </c>
      <c r="AD26" s="1830">
        <v>0</v>
      </c>
      <c r="AE26" s="899">
        <f t="shared" si="46"/>
        <v>0</v>
      </c>
      <c r="AF26" s="1829">
        <f>'[4]Table 5C1K-Tallulah Charter'!T25+'[27]Table 5C1K-Tallulah Charter'!AF25+('[26]Table 5C1K-Tallulah Charter'!AF25*6)</f>
        <v>0</v>
      </c>
      <c r="AG26" s="1834">
        <f t="shared" si="47"/>
        <v>0</v>
      </c>
      <c r="AH26" s="1521">
        <f t="shared" si="48"/>
        <v>0</v>
      </c>
      <c r="AI26" s="900">
        <f t="shared" si="30"/>
        <v>0</v>
      </c>
      <c r="AJ26" s="900">
        <f t="shared" si="49"/>
        <v>0</v>
      </c>
      <c r="AL26" s="2034">
        <f>-'[4]Table 5C1K-Tallulah Charter'!P25</f>
        <v>0</v>
      </c>
      <c r="AM26" s="2034">
        <f t="shared" si="50"/>
        <v>0</v>
      </c>
      <c r="AN26" s="2034">
        <f t="shared" si="51"/>
        <v>0</v>
      </c>
    </row>
    <row r="27" spans="1:40">
      <c r="A27" s="879">
        <v>20</v>
      </c>
      <c r="B27" s="880" t="s">
        <v>111</v>
      </c>
      <c r="C27" s="970">
        <v>0</v>
      </c>
      <c r="D27" s="881">
        <f>'Table 3 Levels 1&amp;2'!AL27</f>
        <v>5420.2042919205833</v>
      </c>
      <c r="E27" s="920">
        <f t="shared" si="31"/>
        <v>0</v>
      </c>
      <c r="F27" s="920">
        <f>'Table 4 Level 3'!P25</f>
        <v>586.16999999999996</v>
      </c>
      <c r="G27" s="920">
        <f t="shared" si="32"/>
        <v>0</v>
      </c>
      <c r="H27" s="901">
        <f t="shared" si="33"/>
        <v>0</v>
      </c>
      <c r="I27" s="1733">
        <f>+'[3]Oct midyear Tallulah Charter'!K26</f>
        <v>0</v>
      </c>
      <c r="J27" s="1733">
        <f>'[3]Feb midyear Tallulah Charter'!K26</f>
        <v>0</v>
      </c>
      <c r="K27" s="1544">
        <f t="shared" si="34"/>
        <v>0</v>
      </c>
      <c r="L27" s="1487">
        <f t="shared" si="28"/>
        <v>0</v>
      </c>
      <c r="M27" s="930">
        <f t="shared" si="35"/>
        <v>0</v>
      </c>
      <c r="N27" s="901">
        <f t="shared" si="36"/>
        <v>0</v>
      </c>
      <c r="O27" s="881">
        <v>0</v>
      </c>
      <c r="P27" s="1551">
        <f t="shared" si="37"/>
        <v>0</v>
      </c>
      <c r="Q27" s="1720">
        <f>'[4]Table 5C1K-Tallulah Charter'!M26+'[27]Table 5C1K-Tallulah Charter'!T26+('[26]Table 5C1K-Tallulah Charter'!T26*6)</f>
        <v>0</v>
      </c>
      <c r="R27" s="1733">
        <f t="shared" si="38"/>
        <v>0</v>
      </c>
      <c r="S27" s="1806">
        <f t="shared" si="39"/>
        <v>0</v>
      </c>
      <c r="T27" s="1807">
        <f>'Table 5C1A-Madison Prep'!T27</f>
        <v>2621</v>
      </c>
      <c r="U27" s="1556">
        <f t="shared" si="29"/>
        <v>0</v>
      </c>
      <c r="V27" s="1762">
        <f>+'[3]Oct midyear Tallulah Charter'!E26</f>
        <v>0</v>
      </c>
      <c r="W27" s="1763">
        <f t="shared" si="40"/>
        <v>0</v>
      </c>
      <c r="X27" s="1762">
        <f>'[3]Feb midyear Tallulah Charter'!E26</f>
        <v>0</v>
      </c>
      <c r="Y27" s="1763">
        <f t="shared" si="41"/>
        <v>0</v>
      </c>
      <c r="Z27" s="1654">
        <f t="shared" si="42"/>
        <v>0</v>
      </c>
      <c r="AA27" s="1488">
        <f t="shared" si="43"/>
        <v>0</v>
      </c>
      <c r="AB27" s="938">
        <f t="shared" si="44"/>
        <v>0</v>
      </c>
      <c r="AC27" s="903">
        <f t="shared" si="45"/>
        <v>0</v>
      </c>
      <c r="AD27" s="1831">
        <v>0</v>
      </c>
      <c r="AE27" s="903">
        <f t="shared" si="46"/>
        <v>0</v>
      </c>
      <c r="AF27" s="1837">
        <f>'[4]Table 5C1K-Tallulah Charter'!T26+'[27]Table 5C1K-Tallulah Charter'!AF26+('[26]Table 5C1K-Tallulah Charter'!AF26*6)</f>
        <v>0</v>
      </c>
      <c r="AG27" s="1835">
        <f t="shared" si="47"/>
        <v>0</v>
      </c>
      <c r="AH27" s="1530">
        <f t="shared" si="48"/>
        <v>0</v>
      </c>
      <c r="AI27" s="904">
        <f t="shared" si="30"/>
        <v>0</v>
      </c>
      <c r="AJ27" s="904">
        <f t="shared" si="49"/>
        <v>0</v>
      </c>
      <c r="AL27" s="2034">
        <f>-'[4]Table 5C1K-Tallulah Charter'!P26</f>
        <v>0</v>
      </c>
      <c r="AM27" s="2034">
        <f t="shared" si="50"/>
        <v>0</v>
      </c>
      <c r="AN27" s="2034">
        <f t="shared" si="51"/>
        <v>0</v>
      </c>
    </row>
    <row r="28" spans="1:40">
      <c r="A28" s="870">
        <v>21</v>
      </c>
      <c r="B28" s="871" t="s">
        <v>112</v>
      </c>
      <c r="C28" s="971">
        <v>0</v>
      </c>
      <c r="D28" s="872">
        <f>'Table 3 Levels 1&amp;2'!AL28</f>
        <v>5724.5404916279067</v>
      </c>
      <c r="E28" s="918">
        <f t="shared" si="31"/>
        <v>0</v>
      </c>
      <c r="F28" s="918">
        <f>'Table 4 Level 3'!P26</f>
        <v>610.35</v>
      </c>
      <c r="G28" s="918">
        <f t="shared" si="32"/>
        <v>0</v>
      </c>
      <c r="H28" s="873">
        <f t="shared" si="33"/>
        <v>0</v>
      </c>
      <c r="I28" s="1718">
        <f>+'[3]Oct midyear Tallulah Charter'!K27</f>
        <v>0</v>
      </c>
      <c r="J28" s="1718">
        <f>'[3]Feb midyear Tallulah Charter'!K27</f>
        <v>0</v>
      </c>
      <c r="K28" s="1542">
        <f t="shared" si="34"/>
        <v>0</v>
      </c>
      <c r="L28" s="1480">
        <f t="shared" si="28"/>
        <v>0</v>
      </c>
      <c r="M28" s="928">
        <f t="shared" si="35"/>
        <v>0</v>
      </c>
      <c r="N28" s="873">
        <f t="shared" si="36"/>
        <v>0</v>
      </c>
      <c r="O28" s="872">
        <v>0</v>
      </c>
      <c r="P28" s="998">
        <f t="shared" si="37"/>
        <v>0</v>
      </c>
      <c r="Q28" s="1718">
        <f>'[4]Table 5C1K-Tallulah Charter'!M27+'[27]Table 5C1K-Tallulah Charter'!T27+('[26]Table 5C1K-Tallulah Charter'!T27*6)</f>
        <v>0</v>
      </c>
      <c r="R28" s="1718">
        <f t="shared" si="38"/>
        <v>0</v>
      </c>
      <c r="S28" s="998">
        <f t="shared" si="39"/>
        <v>0</v>
      </c>
      <c r="T28" s="1802">
        <f>'Table 5C1A-Madison Prep'!T28</f>
        <v>2445</v>
      </c>
      <c r="U28" s="999">
        <f t="shared" si="29"/>
        <v>0</v>
      </c>
      <c r="V28" s="1754">
        <f>+'[3]Oct midyear Tallulah Charter'!E27</f>
        <v>0</v>
      </c>
      <c r="W28" s="1755">
        <f t="shared" si="40"/>
        <v>0</v>
      </c>
      <c r="X28" s="1754">
        <f>'[3]Feb midyear Tallulah Charter'!E27</f>
        <v>0</v>
      </c>
      <c r="Y28" s="1755">
        <f t="shared" si="41"/>
        <v>0</v>
      </c>
      <c r="Z28" s="1652">
        <f t="shared" si="42"/>
        <v>0</v>
      </c>
      <c r="AA28" s="1481">
        <f t="shared" si="43"/>
        <v>0</v>
      </c>
      <c r="AB28" s="936">
        <f t="shared" si="44"/>
        <v>0</v>
      </c>
      <c r="AC28" s="874">
        <f t="shared" si="45"/>
        <v>0</v>
      </c>
      <c r="AD28" s="1829">
        <v>0</v>
      </c>
      <c r="AE28" s="874">
        <f t="shared" si="46"/>
        <v>0</v>
      </c>
      <c r="AF28" s="1829">
        <f>'[4]Table 5C1K-Tallulah Charter'!T27+'[27]Table 5C1K-Tallulah Charter'!AF27+('[26]Table 5C1K-Tallulah Charter'!AF27*6)</f>
        <v>0</v>
      </c>
      <c r="AG28" s="1829">
        <f t="shared" si="47"/>
        <v>0</v>
      </c>
      <c r="AH28" s="1521">
        <f t="shared" si="48"/>
        <v>0</v>
      </c>
      <c r="AI28" s="875">
        <f t="shared" si="30"/>
        <v>0</v>
      </c>
      <c r="AJ28" s="875">
        <f t="shared" si="49"/>
        <v>0</v>
      </c>
      <c r="AL28" s="2034">
        <f>-'[4]Table 5C1K-Tallulah Charter'!P27</f>
        <v>0</v>
      </c>
      <c r="AM28" s="2034">
        <f t="shared" si="50"/>
        <v>0</v>
      </c>
      <c r="AN28" s="2034">
        <f t="shared" si="51"/>
        <v>0</v>
      </c>
    </row>
    <row r="29" spans="1:40">
      <c r="A29" s="876">
        <v>22</v>
      </c>
      <c r="B29" s="877" t="s">
        <v>113</v>
      </c>
      <c r="C29" s="969">
        <v>0</v>
      </c>
      <c r="D29" s="878">
        <f>'Table 3 Levels 1&amp;2'!AL29</f>
        <v>6203.2933768722742</v>
      </c>
      <c r="E29" s="919">
        <f t="shared" si="31"/>
        <v>0</v>
      </c>
      <c r="F29" s="919">
        <f>'Table 4 Level 3'!P27</f>
        <v>496.36</v>
      </c>
      <c r="G29" s="919">
        <f t="shared" si="32"/>
        <v>0</v>
      </c>
      <c r="H29" s="898">
        <f t="shared" si="33"/>
        <v>0</v>
      </c>
      <c r="I29" s="1732">
        <f>+'[3]Oct midyear Tallulah Charter'!K28</f>
        <v>0</v>
      </c>
      <c r="J29" s="1732">
        <f>'[3]Feb midyear Tallulah Charter'!K28</f>
        <v>0</v>
      </c>
      <c r="K29" s="1543">
        <f t="shared" si="34"/>
        <v>0</v>
      </c>
      <c r="L29" s="1485">
        <f t="shared" si="28"/>
        <v>0</v>
      </c>
      <c r="M29" s="929">
        <f t="shared" si="35"/>
        <v>0</v>
      </c>
      <c r="N29" s="898">
        <f t="shared" si="36"/>
        <v>0</v>
      </c>
      <c r="O29" s="878">
        <v>0</v>
      </c>
      <c r="P29" s="1550">
        <f t="shared" si="37"/>
        <v>0</v>
      </c>
      <c r="Q29" s="1719">
        <f>'[4]Table 5C1K-Tallulah Charter'!M28+'[27]Table 5C1K-Tallulah Charter'!T28+('[26]Table 5C1K-Tallulah Charter'!T28*6)</f>
        <v>0</v>
      </c>
      <c r="R29" s="1732">
        <f t="shared" si="38"/>
        <v>0</v>
      </c>
      <c r="S29" s="998">
        <f t="shared" si="39"/>
        <v>0</v>
      </c>
      <c r="T29" s="1802">
        <f>'Table 5C1A-Madison Prep'!T29</f>
        <v>1519</v>
      </c>
      <c r="U29" s="1555">
        <f t="shared" si="29"/>
        <v>0</v>
      </c>
      <c r="V29" s="1758">
        <f>+'[3]Oct midyear Tallulah Charter'!E28</f>
        <v>0</v>
      </c>
      <c r="W29" s="1759">
        <f t="shared" si="40"/>
        <v>0</v>
      </c>
      <c r="X29" s="1758">
        <f>'[3]Feb midyear Tallulah Charter'!E28</f>
        <v>0</v>
      </c>
      <c r="Y29" s="1759">
        <f t="shared" si="41"/>
        <v>0</v>
      </c>
      <c r="Z29" s="1653">
        <f t="shared" si="42"/>
        <v>0</v>
      </c>
      <c r="AA29" s="1486">
        <f t="shared" si="43"/>
        <v>0</v>
      </c>
      <c r="AB29" s="937">
        <f t="shared" si="44"/>
        <v>0</v>
      </c>
      <c r="AC29" s="899">
        <f t="shared" si="45"/>
        <v>0</v>
      </c>
      <c r="AD29" s="1830">
        <v>0</v>
      </c>
      <c r="AE29" s="899">
        <f t="shared" si="46"/>
        <v>0</v>
      </c>
      <c r="AF29" s="1829">
        <f>'[4]Table 5C1K-Tallulah Charter'!T28+'[27]Table 5C1K-Tallulah Charter'!AF28+('[26]Table 5C1K-Tallulah Charter'!AF28*6)</f>
        <v>0</v>
      </c>
      <c r="AG29" s="1834">
        <f t="shared" si="47"/>
        <v>0</v>
      </c>
      <c r="AH29" s="1521">
        <f t="shared" si="48"/>
        <v>0</v>
      </c>
      <c r="AI29" s="900">
        <f t="shared" si="30"/>
        <v>0</v>
      </c>
      <c r="AJ29" s="900">
        <f t="shared" si="49"/>
        <v>0</v>
      </c>
      <c r="AL29" s="2034">
        <f>-'[4]Table 5C1K-Tallulah Charter'!P28</f>
        <v>0</v>
      </c>
      <c r="AM29" s="2034">
        <f t="shared" si="50"/>
        <v>0</v>
      </c>
      <c r="AN29" s="2034">
        <f t="shared" si="51"/>
        <v>0</v>
      </c>
    </row>
    <row r="30" spans="1:40">
      <c r="A30" s="876">
        <v>23</v>
      </c>
      <c r="B30" s="877" t="s">
        <v>114</v>
      </c>
      <c r="C30" s="969">
        <v>0</v>
      </c>
      <c r="D30" s="878">
        <f>'Table 3 Levels 1&amp;2'!AL30</f>
        <v>4846.0802490067681</v>
      </c>
      <c r="E30" s="919">
        <f t="shared" si="31"/>
        <v>0</v>
      </c>
      <c r="F30" s="919">
        <f>'Table 4 Level 3'!P28</f>
        <v>688.58</v>
      </c>
      <c r="G30" s="919">
        <f t="shared" si="32"/>
        <v>0</v>
      </c>
      <c r="H30" s="898">
        <f t="shared" si="33"/>
        <v>0</v>
      </c>
      <c r="I30" s="1732">
        <f>+'[3]Oct midyear Tallulah Charter'!K29</f>
        <v>0</v>
      </c>
      <c r="J30" s="1732">
        <f>'[3]Feb midyear Tallulah Charter'!K29</f>
        <v>0</v>
      </c>
      <c r="K30" s="1543">
        <f t="shared" si="34"/>
        <v>0</v>
      </c>
      <c r="L30" s="1485">
        <f t="shared" si="28"/>
        <v>0</v>
      </c>
      <c r="M30" s="929">
        <f t="shared" si="35"/>
        <v>0</v>
      </c>
      <c r="N30" s="898">
        <f t="shared" si="36"/>
        <v>0</v>
      </c>
      <c r="O30" s="878">
        <v>0</v>
      </c>
      <c r="P30" s="1550">
        <f t="shared" si="37"/>
        <v>0</v>
      </c>
      <c r="Q30" s="1719">
        <f>'[4]Table 5C1K-Tallulah Charter'!M29+'[27]Table 5C1K-Tallulah Charter'!T29+('[26]Table 5C1K-Tallulah Charter'!T29*6)</f>
        <v>0</v>
      </c>
      <c r="R30" s="1732">
        <f t="shared" si="38"/>
        <v>0</v>
      </c>
      <c r="S30" s="998">
        <f t="shared" si="39"/>
        <v>0</v>
      </c>
      <c r="T30" s="1802">
        <f>'Table 5C1A-Madison Prep'!T30</f>
        <v>3365</v>
      </c>
      <c r="U30" s="1555">
        <f t="shared" si="29"/>
        <v>0</v>
      </c>
      <c r="V30" s="1758">
        <f>+'[3]Oct midyear Tallulah Charter'!E29</f>
        <v>0</v>
      </c>
      <c r="W30" s="1759">
        <f t="shared" si="40"/>
        <v>0</v>
      </c>
      <c r="X30" s="1758">
        <f>'[3]Feb midyear Tallulah Charter'!E29</f>
        <v>0</v>
      </c>
      <c r="Y30" s="1759">
        <f t="shared" si="41"/>
        <v>0</v>
      </c>
      <c r="Z30" s="1653">
        <f t="shared" si="42"/>
        <v>0</v>
      </c>
      <c r="AA30" s="1486">
        <f t="shared" si="43"/>
        <v>0</v>
      </c>
      <c r="AB30" s="937">
        <f t="shared" si="44"/>
        <v>0</v>
      </c>
      <c r="AC30" s="899">
        <f t="shared" si="45"/>
        <v>0</v>
      </c>
      <c r="AD30" s="1830">
        <v>0</v>
      </c>
      <c r="AE30" s="899">
        <f t="shared" si="46"/>
        <v>0</v>
      </c>
      <c r="AF30" s="1829">
        <f>'[4]Table 5C1K-Tallulah Charter'!T29+'[27]Table 5C1K-Tallulah Charter'!AF29+('[26]Table 5C1K-Tallulah Charter'!AF29*6)</f>
        <v>0</v>
      </c>
      <c r="AG30" s="1834">
        <f t="shared" si="47"/>
        <v>0</v>
      </c>
      <c r="AH30" s="1521">
        <f t="shared" si="48"/>
        <v>0</v>
      </c>
      <c r="AI30" s="900">
        <f t="shared" si="30"/>
        <v>0</v>
      </c>
      <c r="AJ30" s="900">
        <f t="shared" si="49"/>
        <v>0</v>
      </c>
      <c r="AL30" s="2034">
        <f>-'[4]Table 5C1K-Tallulah Charter'!P29</f>
        <v>0</v>
      </c>
      <c r="AM30" s="2034">
        <f t="shared" si="50"/>
        <v>0</v>
      </c>
      <c r="AN30" s="2034">
        <f t="shared" si="51"/>
        <v>0</v>
      </c>
    </row>
    <row r="31" spans="1:40">
      <c r="A31" s="876">
        <v>24</v>
      </c>
      <c r="B31" s="877" t="s">
        <v>115</v>
      </c>
      <c r="C31" s="969">
        <v>0</v>
      </c>
      <c r="D31" s="878">
        <f>'Table 3 Levels 1&amp;2'!AL31</f>
        <v>2764.1216755319151</v>
      </c>
      <c r="E31" s="919">
        <f t="shared" si="31"/>
        <v>0</v>
      </c>
      <c r="F31" s="919">
        <f>'Table 4 Level 3'!P29</f>
        <v>854.24999999999989</v>
      </c>
      <c r="G31" s="919">
        <f t="shared" si="32"/>
        <v>0</v>
      </c>
      <c r="H31" s="898">
        <f t="shared" si="33"/>
        <v>0</v>
      </c>
      <c r="I31" s="1732">
        <f>+'[3]Oct midyear Tallulah Charter'!K30</f>
        <v>0</v>
      </c>
      <c r="J31" s="1732">
        <f>'[3]Feb midyear Tallulah Charter'!K30</f>
        <v>0</v>
      </c>
      <c r="K31" s="1543">
        <f t="shared" si="34"/>
        <v>0</v>
      </c>
      <c r="L31" s="1485">
        <f t="shared" si="28"/>
        <v>0</v>
      </c>
      <c r="M31" s="929">
        <f t="shared" si="35"/>
        <v>0</v>
      </c>
      <c r="N31" s="898">
        <f t="shared" si="36"/>
        <v>0</v>
      </c>
      <c r="O31" s="878">
        <v>0</v>
      </c>
      <c r="P31" s="1550">
        <f t="shared" si="37"/>
        <v>0</v>
      </c>
      <c r="Q31" s="1719">
        <f>'[4]Table 5C1K-Tallulah Charter'!M30+'[27]Table 5C1K-Tallulah Charter'!T30+('[26]Table 5C1K-Tallulah Charter'!T30*6)</f>
        <v>0</v>
      </c>
      <c r="R31" s="1732">
        <f t="shared" si="38"/>
        <v>0</v>
      </c>
      <c r="S31" s="998">
        <f t="shared" si="39"/>
        <v>0</v>
      </c>
      <c r="T31" s="1802">
        <f>'Table 5C1A-Madison Prep'!T31</f>
        <v>10907</v>
      </c>
      <c r="U31" s="1555">
        <f t="shared" si="29"/>
        <v>0</v>
      </c>
      <c r="V31" s="1758">
        <f>+'[3]Oct midyear Tallulah Charter'!E30</f>
        <v>0</v>
      </c>
      <c r="W31" s="1759">
        <f t="shared" si="40"/>
        <v>0</v>
      </c>
      <c r="X31" s="1758">
        <f>'[3]Feb midyear Tallulah Charter'!E30</f>
        <v>0</v>
      </c>
      <c r="Y31" s="1759">
        <f t="shared" si="41"/>
        <v>0</v>
      </c>
      <c r="Z31" s="1653">
        <f t="shared" si="42"/>
        <v>0</v>
      </c>
      <c r="AA31" s="1486">
        <f t="shared" si="43"/>
        <v>0</v>
      </c>
      <c r="AB31" s="937">
        <f t="shared" si="44"/>
        <v>0</v>
      </c>
      <c r="AC31" s="899">
        <f t="shared" si="45"/>
        <v>0</v>
      </c>
      <c r="AD31" s="1830">
        <v>0</v>
      </c>
      <c r="AE31" s="899">
        <f t="shared" si="46"/>
        <v>0</v>
      </c>
      <c r="AF31" s="1829">
        <f>'[4]Table 5C1K-Tallulah Charter'!T30+'[27]Table 5C1K-Tallulah Charter'!AF30+('[26]Table 5C1K-Tallulah Charter'!AF30*6)</f>
        <v>0</v>
      </c>
      <c r="AG31" s="1834">
        <f t="shared" si="47"/>
        <v>0</v>
      </c>
      <c r="AH31" s="1521">
        <f t="shared" si="48"/>
        <v>0</v>
      </c>
      <c r="AI31" s="900">
        <f t="shared" si="30"/>
        <v>0</v>
      </c>
      <c r="AJ31" s="900">
        <f t="shared" si="49"/>
        <v>0</v>
      </c>
      <c r="AL31" s="2034">
        <f>-'[4]Table 5C1K-Tallulah Charter'!P30</f>
        <v>0</v>
      </c>
      <c r="AM31" s="2034">
        <f t="shared" si="50"/>
        <v>0</v>
      </c>
      <c r="AN31" s="2034">
        <f t="shared" si="51"/>
        <v>0</v>
      </c>
    </row>
    <row r="32" spans="1:40">
      <c r="A32" s="879">
        <v>25</v>
      </c>
      <c r="B32" s="880" t="s">
        <v>116</v>
      </c>
      <c r="C32" s="970">
        <v>0</v>
      </c>
      <c r="D32" s="881">
        <f>'Table 3 Levels 1&amp;2'!AL32</f>
        <v>3867.4480692053257</v>
      </c>
      <c r="E32" s="920">
        <f t="shared" si="31"/>
        <v>0</v>
      </c>
      <c r="F32" s="920">
        <f>'Table 4 Level 3'!P30</f>
        <v>653.73</v>
      </c>
      <c r="G32" s="920">
        <f t="shared" si="32"/>
        <v>0</v>
      </c>
      <c r="H32" s="901">
        <f t="shared" si="33"/>
        <v>0</v>
      </c>
      <c r="I32" s="1733">
        <f>+'[3]Oct midyear Tallulah Charter'!K31</f>
        <v>0</v>
      </c>
      <c r="J32" s="1733">
        <f>'[3]Feb midyear Tallulah Charter'!K31</f>
        <v>0</v>
      </c>
      <c r="K32" s="1544">
        <f t="shared" si="34"/>
        <v>0</v>
      </c>
      <c r="L32" s="1487">
        <f t="shared" si="28"/>
        <v>0</v>
      </c>
      <c r="M32" s="930">
        <f t="shared" si="35"/>
        <v>0</v>
      </c>
      <c r="N32" s="901">
        <f t="shared" si="36"/>
        <v>0</v>
      </c>
      <c r="O32" s="881">
        <v>0</v>
      </c>
      <c r="P32" s="1551">
        <f t="shared" si="37"/>
        <v>0</v>
      </c>
      <c r="Q32" s="1720">
        <f>'[4]Table 5C1K-Tallulah Charter'!M31+'[27]Table 5C1K-Tallulah Charter'!T31+('[26]Table 5C1K-Tallulah Charter'!T31*6)</f>
        <v>0</v>
      </c>
      <c r="R32" s="1733">
        <f t="shared" si="38"/>
        <v>0</v>
      </c>
      <c r="S32" s="1806">
        <f t="shared" si="39"/>
        <v>0</v>
      </c>
      <c r="T32" s="1807">
        <f>'Table 5C1A-Madison Prep'!T32</f>
        <v>5156</v>
      </c>
      <c r="U32" s="1556">
        <f t="shared" si="29"/>
        <v>0</v>
      </c>
      <c r="V32" s="1762">
        <f>+'[3]Oct midyear Tallulah Charter'!E31</f>
        <v>0</v>
      </c>
      <c r="W32" s="1763">
        <f t="shared" si="40"/>
        <v>0</v>
      </c>
      <c r="X32" s="1762">
        <f>'[3]Feb midyear Tallulah Charter'!E31</f>
        <v>0</v>
      </c>
      <c r="Y32" s="1763">
        <f t="shared" si="41"/>
        <v>0</v>
      </c>
      <c r="Z32" s="1654">
        <f t="shared" si="42"/>
        <v>0</v>
      </c>
      <c r="AA32" s="1488">
        <f t="shared" si="43"/>
        <v>0</v>
      </c>
      <c r="AB32" s="938">
        <f t="shared" si="44"/>
        <v>0</v>
      </c>
      <c r="AC32" s="903">
        <f t="shared" si="45"/>
        <v>0</v>
      </c>
      <c r="AD32" s="1831">
        <v>0</v>
      </c>
      <c r="AE32" s="903">
        <f t="shared" si="46"/>
        <v>0</v>
      </c>
      <c r="AF32" s="1837">
        <f>'[4]Table 5C1K-Tallulah Charter'!T31+'[27]Table 5C1K-Tallulah Charter'!AF31+('[26]Table 5C1K-Tallulah Charter'!AF31*6)</f>
        <v>0</v>
      </c>
      <c r="AG32" s="1835">
        <f t="shared" si="47"/>
        <v>0</v>
      </c>
      <c r="AH32" s="1530">
        <f t="shared" si="48"/>
        <v>0</v>
      </c>
      <c r="AI32" s="904">
        <f t="shared" si="30"/>
        <v>0</v>
      </c>
      <c r="AJ32" s="904">
        <f t="shared" si="49"/>
        <v>0</v>
      </c>
      <c r="AL32" s="2034">
        <f>-'[4]Table 5C1K-Tallulah Charter'!P31</f>
        <v>0</v>
      </c>
      <c r="AM32" s="2034">
        <f t="shared" si="50"/>
        <v>0</v>
      </c>
      <c r="AN32" s="2034">
        <f t="shared" si="51"/>
        <v>0</v>
      </c>
    </row>
    <row r="33" spans="1:40">
      <c r="A33" s="870">
        <v>26</v>
      </c>
      <c r="B33" s="871" t="s">
        <v>117</v>
      </c>
      <c r="C33" s="971">
        <v>0</v>
      </c>
      <c r="D33" s="872">
        <f>'Table 3 Levels 1&amp;2'!AL33</f>
        <v>3293.481526790355</v>
      </c>
      <c r="E33" s="918">
        <f t="shared" si="31"/>
        <v>0</v>
      </c>
      <c r="F33" s="918">
        <f>'Table 4 Level 3'!P31</f>
        <v>836.83</v>
      </c>
      <c r="G33" s="918">
        <f t="shared" si="32"/>
        <v>0</v>
      </c>
      <c r="H33" s="873">
        <f t="shared" si="33"/>
        <v>0</v>
      </c>
      <c r="I33" s="1718">
        <f>+'[3]Oct midyear Tallulah Charter'!K32</f>
        <v>0</v>
      </c>
      <c r="J33" s="1718">
        <f>'[3]Feb midyear Tallulah Charter'!K32</f>
        <v>0</v>
      </c>
      <c r="K33" s="1542">
        <f t="shared" si="34"/>
        <v>0</v>
      </c>
      <c r="L33" s="1480">
        <f t="shared" si="28"/>
        <v>0</v>
      </c>
      <c r="M33" s="928">
        <f t="shared" si="35"/>
        <v>0</v>
      </c>
      <c r="N33" s="873">
        <f t="shared" si="36"/>
        <v>0</v>
      </c>
      <c r="O33" s="872">
        <v>0</v>
      </c>
      <c r="P33" s="998">
        <f t="shared" si="37"/>
        <v>0</v>
      </c>
      <c r="Q33" s="1718">
        <f>'[4]Table 5C1K-Tallulah Charter'!M32+'[27]Table 5C1K-Tallulah Charter'!T32+('[26]Table 5C1K-Tallulah Charter'!T32*6)</f>
        <v>0</v>
      </c>
      <c r="R33" s="1718">
        <f t="shared" si="38"/>
        <v>0</v>
      </c>
      <c r="S33" s="998">
        <f t="shared" si="39"/>
        <v>0</v>
      </c>
      <c r="T33" s="1802">
        <f>'Table 5C1A-Madison Prep'!T33</f>
        <v>5344</v>
      </c>
      <c r="U33" s="999">
        <f t="shared" si="29"/>
        <v>0</v>
      </c>
      <c r="V33" s="1754">
        <f>+'[3]Oct midyear Tallulah Charter'!E32</f>
        <v>0</v>
      </c>
      <c r="W33" s="1755">
        <f t="shared" si="40"/>
        <v>0</v>
      </c>
      <c r="X33" s="1754">
        <f>'[3]Feb midyear Tallulah Charter'!E32</f>
        <v>0</v>
      </c>
      <c r="Y33" s="1755">
        <f t="shared" si="41"/>
        <v>0</v>
      </c>
      <c r="Z33" s="1652">
        <f t="shared" si="42"/>
        <v>0</v>
      </c>
      <c r="AA33" s="1481">
        <f t="shared" si="43"/>
        <v>0</v>
      </c>
      <c r="AB33" s="936">
        <f t="shared" si="44"/>
        <v>0</v>
      </c>
      <c r="AC33" s="874">
        <f t="shared" si="45"/>
        <v>0</v>
      </c>
      <c r="AD33" s="1829">
        <v>0</v>
      </c>
      <c r="AE33" s="874">
        <f t="shared" si="46"/>
        <v>0</v>
      </c>
      <c r="AF33" s="1829">
        <f>'[4]Table 5C1K-Tallulah Charter'!T32+'[27]Table 5C1K-Tallulah Charter'!AF32+('[26]Table 5C1K-Tallulah Charter'!AF32*6)</f>
        <v>0</v>
      </c>
      <c r="AG33" s="1829">
        <f t="shared" si="47"/>
        <v>0</v>
      </c>
      <c r="AH33" s="1521">
        <f t="shared" si="48"/>
        <v>0</v>
      </c>
      <c r="AI33" s="875">
        <f t="shared" si="30"/>
        <v>0</v>
      </c>
      <c r="AJ33" s="875">
        <f t="shared" si="49"/>
        <v>0</v>
      </c>
      <c r="AL33" s="2034">
        <f>-'[4]Table 5C1K-Tallulah Charter'!P32</f>
        <v>0</v>
      </c>
      <c r="AM33" s="2034">
        <f t="shared" si="50"/>
        <v>0</v>
      </c>
      <c r="AN33" s="2034">
        <f t="shared" si="51"/>
        <v>0</v>
      </c>
    </row>
    <row r="34" spans="1:40">
      <c r="A34" s="876">
        <v>27</v>
      </c>
      <c r="B34" s="877" t="s">
        <v>118</v>
      </c>
      <c r="C34" s="972">
        <v>0</v>
      </c>
      <c r="D34" s="882">
        <f>'Table 3 Levels 1&amp;2'!AL34</f>
        <v>5680.7727517381973</v>
      </c>
      <c r="E34" s="921">
        <f t="shared" si="31"/>
        <v>0</v>
      </c>
      <c r="F34" s="921">
        <f>'Table 4 Level 3'!P32</f>
        <v>693.06</v>
      </c>
      <c r="G34" s="921">
        <f t="shared" si="32"/>
        <v>0</v>
      </c>
      <c r="H34" s="905">
        <f t="shared" si="33"/>
        <v>0</v>
      </c>
      <c r="I34" s="1734">
        <f>+'[3]Oct midyear Tallulah Charter'!K33</f>
        <v>0</v>
      </c>
      <c r="J34" s="1734">
        <f>'[3]Feb midyear Tallulah Charter'!K33</f>
        <v>0</v>
      </c>
      <c r="K34" s="1545">
        <f t="shared" si="34"/>
        <v>0</v>
      </c>
      <c r="L34" s="1489">
        <f t="shared" si="28"/>
        <v>0</v>
      </c>
      <c r="M34" s="931">
        <f t="shared" si="35"/>
        <v>0</v>
      </c>
      <c r="N34" s="905">
        <f t="shared" si="36"/>
        <v>0</v>
      </c>
      <c r="O34" s="882">
        <v>0</v>
      </c>
      <c r="P34" s="1552">
        <f t="shared" si="37"/>
        <v>0</v>
      </c>
      <c r="Q34" s="1721">
        <f>'[4]Table 5C1K-Tallulah Charter'!M33+'[27]Table 5C1K-Tallulah Charter'!T33+('[26]Table 5C1K-Tallulah Charter'!T33*6)</f>
        <v>0</v>
      </c>
      <c r="R34" s="1734">
        <f t="shared" si="38"/>
        <v>0</v>
      </c>
      <c r="S34" s="998">
        <f t="shared" si="39"/>
        <v>0</v>
      </c>
      <c r="T34" s="1802">
        <f>'Table 5C1A-Madison Prep'!T34</f>
        <v>3271</v>
      </c>
      <c r="U34" s="1555">
        <f t="shared" si="29"/>
        <v>0</v>
      </c>
      <c r="V34" s="1758">
        <f>+'[3]Oct midyear Tallulah Charter'!E33</f>
        <v>0</v>
      </c>
      <c r="W34" s="1759">
        <f t="shared" si="40"/>
        <v>0</v>
      </c>
      <c r="X34" s="1758">
        <f>'[3]Feb midyear Tallulah Charter'!E33</f>
        <v>0</v>
      </c>
      <c r="Y34" s="1759">
        <f t="shared" si="41"/>
        <v>0</v>
      </c>
      <c r="Z34" s="1653">
        <f t="shared" si="42"/>
        <v>0</v>
      </c>
      <c r="AA34" s="1486">
        <f t="shared" si="43"/>
        <v>0</v>
      </c>
      <c r="AB34" s="937">
        <f t="shared" si="44"/>
        <v>0</v>
      </c>
      <c r="AC34" s="899">
        <f t="shared" si="45"/>
        <v>0</v>
      </c>
      <c r="AD34" s="1830">
        <v>0</v>
      </c>
      <c r="AE34" s="899">
        <f t="shared" si="46"/>
        <v>0</v>
      </c>
      <c r="AF34" s="1829">
        <f>'[4]Table 5C1K-Tallulah Charter'!T33+'[27]Table 5C1K-Tallulah Charter'!AF33+('[26]Table 5C1K-Tallulah Charter'!AF33*6)</f>
        <v>0</v>
      </c>
      <c r="AG34" s="1834">
        <f t="shared" si="47"/>
        <v>0</v>
      </c>
      <c r="AH34" s="1521">
        <f t="shared" si="48"/>
        <v>0</v>
      </c>
      <c r="AI34" s="900">
        <f t="shared" si="30"/>
        <v>0</v>
      </c>
      <c r="AJ34" s="900">
        <f t="shared" si="49"/>
        <v>0</v>
      </c>
      <c r="AL34" s="2034">
        <f>-'[4]Table 5C1K-Tallulah Charter'!P33</f>
        <v>0</v>
      </c>
      <c r="AM34" s="2034">
        <f t="shared" si="50"/>
        <v>0</v>
      </c>
      <c r="AN34" s="2034">
        <f t="shared" si="51"/>
        <v>0</v>
      </c>
    </row>
    <row r="35" spans="1:40">
      <c r="A35" s="876">
        <v>28</v>
      </c>
      <c r="B35" s="877" t="s">
        <v>119</v>
      </c>
      <c r="C35" s="972">
        <v>0</v>
      </c>
      <c r="D35" s="882">
        <f>'Table 3 Levels 1&amp;2'!AL35</f>
        <v>3163.1694438483169</v>
      </c>
      <c r="E35" s="921">
        <f t="shared" si="31"/>
        <v>0</v>
      </c>
      <c r="F35" s="921">
        <f>'Table 4 Level 3'!P33</f>
        <v>694.4</v>
      </c>
      <c r="G35" s="921">
        <f t="shared" si="32"/>
        <v>0</v>
      </c>
      <c r="H35" s="905">
        <f t="shared" si="33"/>
        <v>0</v>
      </c>
      <c r="I35" s="1734">
        <f>+'[3]Oct midyear Tallulah Charter'!K34</f>
        <v>0</v>
      </c>
      <c r="J35" s="1734">
        <f>'[3]Feb midyear Tallulah Charter'!K34</f>
        <v>0</v>
      </c>
      <c r="K35" s="1545">
        <f t="shared" si="34"/>
        <v>0</v>
      </c>
      <c r="L35" s="1489">
        <f t="shared" si="28"/>
        <v>0</v>
      </c>
      <c r="M35" s="931">
        <f t="shared" si="35"/>
        <v>0</v>
      </c>
      <c r="N35" s="905">
        <f t="shared" si="36"/>
        <v>0</v>
      </c>
      <c r="O35" s="882">
        <v>0</v>
      </c>
      <c r="P35" s="1552">
        <f t="shared" si="37"/>
        <v>0</v>
      </c>
      <c r="Q35" s="1721">
        <f>'[4]Table 5C1K-Tallulah Charter'!M34+'[27]Table 5C1K-Tallulah Charter'!T34+('[26]Table 5C1K-Tallulah Charter'!T34*6)</f>
        <v>0</v>
      </c>
      <c r="R35" s="1734">
        <f t="shared" si="38"/>
        <v>0</v>
      </c>
      <c r="S35" s="998">
        <f t="shared" si="39"/>
        <v>0</v>
      </c>
      <c r="T35" s="1802">
        <f>'Table 5C1A-Madison Prep'!T35</f>
        <v>5647</v>
      </c>
      <c r="U35" s="1555">
        <f t="shared" si="29"/>
        <v>0</v>
      </c>
      <c r="V35" s="1758">
        <f>+'[3]Oct midyear Tallulah Charter'!E34</f>
        <v>0</v>
      </c>
      <c r="W35" s="1759">
        <f t="shared" si="40"/>
        <v>0</v>
      </c>
      <c r="X35" s="1758">
        <f>'[3]Feb midyear Tallulah Charter'!E34</f>
        <v>0</v>
      </c>
      <c r="Y35" s="1759">
        <f t="shared" si="41"/>
        <v>0</v>
      </c>
      <c r="Z35" s="1653">
        <f t="shared" si="42"/>
        <v>0</v>
      </c>
      <c r="AA35" s="1486">
        <f t="shared" si="43"/>
        <v>0</v>
      </c>
      <c r="AB35" s="937">
        <f t="shared" si="44"/>
        <v>0</v>
      </c>
      <c r="AC35" s="899">
        <f t="shared" si="45"/>
        <v>0</v>
      </c>
      <c r="AD35" s="1830">
        <v>0</v>
      </c>
      <c r="AE35" s="899">
        <f t="shared" si="46"/>
        <v>0</v>
      </c>
      <c r="AF35" s="1829">
        <f>'[4]Table 5C1K-Tallulah Charter'!T34+'[27]Table 5C1K-Tallulah Charter'!AF34+('[26]Table 5C1K-Tallulah Charter'!AF34*6)</f>
        <v>0</v>
      </c>
      <c r="AG35" s="1834">
        <f t="shared" si="47"/>
        <v>0</v>
      </c>
      <c r="AH35" s="1521">
        <f t="shared" si="48"/>
        <v>0</v>
      </c>
      <c r="AI35" s="900">
        <f t="shared" si="30"/>
        <v>0</v>
      </c>
      <c r="AJ35" s="900">
        <f t="shared" si="49"/>
        <v>0</v>
      </c>
      <c r="AL35" s="2034">
        <f>-'[4]Table 5C1K-Tallulah Charter'!P34</f>
        <v>0</v>
      </c>
      <c r="AM35" s="2034">
        <f t="shared" si="50"/>
        <v>0</v>
      </c>
      <c r="AN35" s="2034">
        <f t="shared" si="51"/>
        <v>0</v>
      </c>
    </row>
    <row r="36" spans="1:40">
      <c r="A36" s="876">
        <v>29</v>
      </c>
      <c r="B36" s="877" t="s">
        <v>120</v>
      </c>
      <c r="C36" s="972">
        <v>0</v>
      </c>
      <c r="D36" s="882">
        <f>'Table 3 Levels 1&amp;2'!AL36</f>
        <v>3952.5586133052648</v>
      </c>
      <c r="E36" s="921">
        <f t="shared" si="31"/>
        <v>0</v>
      </c>
      <c r="F36" s="921">
        <f>'Table 4 Level 3'!P34</f>
        <v>754.94999999999993</v>
      </c>
      <c r="G36" s="921">
        <f t="shared" si="32"/>
        <v>0</v>
      </c>
      <c r="H36" s="905">
        <f t="shared" si="33"/>
        <v>0</v>
      </c>
      <c r="I36" s="1734">
        <f>+'[3]Oct midyear Tallulah Charter'!K35</f>
        <v>0</v>
      </c>
      <c r="J36" s="1734">
        <f>'[3]Feb midyear Tallulah Charter'!K35</f>
        <v>0</v>
      </c>
      <c r="K36" s="1545">
        <f t="shared" si="34"/>
        <v>0</v>
      </c>
      <c r="L36" s="1489">
        <f t="shared" si="28"/>
        <v>0</v>
      </c>
      <c r="M36" s="931">
        <f t="shared" si="35"/>
        <v>0</v>
      </c>
      <c r="N36" s="905">
        <f t="shared" si="36"/>
        <v>0</v>
      </c>
      <c r="O36" s="882">
        <v>0</v>
      </c>
      <c r="P36" s="1552">
        <f t="shared" si="37"/>
        <v>0</v>
      </c>
      <c r="Q36" s="1721">
        <f>'[4]Table 5C1K-Tallulah Charter'!M35+'[27]Table 5C1K-Tallulah Charter'!T35+('[26]Table 5C1K-Tallulah Charter'!T35*6)</f>
        <v>0</v>
      </c>
      <c r="R36" s="1734">
        <f t="shared" si="38"/>
        <v>0</v>
      </c>
      <c r="S36" s="998">
        <f t="shared" si="39"/>
        <v>0</v>
      </c>
      <c r="T36" s="1802">
        <f>'Table 5C1A-Madison Prep'!T36</f>
        <v>4826</v>
      </c>
      <c r="U36" s="1555">
        <f t="shared" si="29"/>
        <v>0</v>
      </c>
      <c r="V36" s="1758">
        <f>+'[3]Oct midyear Tallulah Charter'!E35</f>
        <v>0</v>
      </c>
      <c r="W36" s="1759">
        <f t="shared" si="40"/>
        <v>0</v>
      </c>
      <c r="X36" s="1758">
        <f>'[3]Feb midyear Tallulah Charter'!E35</f>
        <v>0</v>
      </c>
      <c r="Y36" s="1759">
        <f t="shared" si="41"/>
        <v>0</v>
      </c>
      <c r="Z36" s="1653">
        <f t="shared" si="42"/>
        <v>0</v>
      </c>
      <c r="AA36" s="1486">
        <f t="shared" si="43"/>
        <v>0</v>
      </c>
      <c r="AB36" s="937">
        <f t="shared" si="44"/>
        <v>0</v>
      </c>
      <c r="AC36" s="899">
        <f t="shared" si="45"/>
        <v>0</v>
      </c>
      <c r="AD36" s="1830">
        <v>0</v>
      </c>
      <c r="AE36" s="899">
        <f t="shared" si="46"/>
        <v>0</v>
      </c>
      <c r="AF36" s="1829">
        <f>'[4]Table 5C1K-Tallulah Charter'!T35+'[27]Table 5C1K-Tallulah Charter'!AF35+('[26]Table 5C1K-Tallulah Charter'!AF35*6)</f>
        <v>0</v>
      </c>
      <c r="AG36" s="1834">
        <f t="shared" si="47"/>
        <v>0</v>
      </c>
      <c r="AH36" s="1521">
        <f t="shared" si="48"/>
        <v>0</v>
      </c>
      <c r="AI36" s="900">
        <f t="shared" si="30"/>
        <v>0</v>
      </c>
      <c r="AJ36" s="900">
        <f t="shared" si="49"/>
        <v>0</v>
      </c>
      <c r="AL36" s="2034">
        <f>-'[4]Table 5C1K-Tallulah Charter'!P35</f>
        <v>0</v>
      </c>
      <c r="AM36" s="2034">
        <f t="shared" si="50"/>
        <v>0</v>
      </c>
      <c r="AN36" s="2034">
        <f t="shared" si="51"/>
        <v>0</v>
      </c>
    </row>
    <row r="37" spans="1:40">
      <c r="A37" s="879">
        <v>30</v>
      </c>
      <c r="B37" s="880" t="s">
        <v>121</v>
      </c>
      <c r="C37" s="973">
        <v>0</v>
      </c>
      <c r="D37" s="883">
        <f>'Table 3 Levels 1&amp;2'!AL37</f>
        <v>5648.6510465852989</v>
      </c>
      <c r="E37" s="922">
        <f t="shared" si="31"/>
        <v>0</v>
      </c>
      <c r="F37" s="922">
        <f>'Table 4 Level 3'!P35</f>
        <v>727.17</v>
      </c>
      <c r="G37" s="922">
        <f t="shared" si="32"/>
        <v>0</v>
      </c>
      <c r="H37" s="906">
        <f t="shared" si="33"/>
        <v>0</v>
      </c>
      <c r="I37" s="1735">
        <f>+'[3]Oct midyear Tallulah Charter'!K36</f>
        <v>0</v>
      </c>
      <c r="J37" s="1735">
        <f>'[3]Feb midyear Tallulah Charter'!K36</f>
        <v>0</v>
      </c>
      <c r="K37" s="1546">
        <f t="shared" si="34"/>
        <v>0</v>
      </c>
      <c r="L37" s="1490">
        <f t="shared" si="28"/>
        <v>0</v>
      </c>
      <c r="M37" s="932">
        <f t="shared" si="35"/>
        <v>0</v>
      </c>
      <c r="N37" s="906">
        <f t="shared" si="36"/>
        <v>0</v>
      </c>
      <c r="O37" s="883">
        <v>0</v>
      </c>
      <c r="P37" s="1553">
        <f t="shared" si="37"/>
        <v>0</v>
      </c>
      <c r="Q37" s="1722">
        <f>'[4]Table 5C1K-Tallulah Charter'!M36+'[27]Table 5C1K-Tallulah Charter'!T36+('[26]Table 5C1K-Tallulah Charter'!T36*6)</f>
        <v>0</v>
      </c>
      <c r="R37" s="1735">
        <f t="shared" si="38"/>
        <v>0</v>
      </c>
      <c r="S37" s="1806">
        <f t="shared" si="39"/>
        <v>0</v>
      </c>
      <c r="T37" s="1807">
        <f>'Table 5C1A-Madison Prep'!T37</f>
        <v>4193</v>
      </c>
      <c r="U37" s="1556">
        <f t="shared" si="29"/>
        <v>0</v>
      </c>
      <c r="V37" s="1762">
        <f>+'[3]Oct midyear Tallulah Charter'!E36</f>
        <v>0</v>
      </c>
      <c r="W37" s="1763">
        <f t="shared" si="40"/>
        <v>0</v>
      </c>
      <c r="X37" s="1762">
        <f>'[3]Feb midyear Tallulah Charter'!E36</f>
        <v>0</v>
      </c>
      <c r="Y37" s="1763">
        <f t="shared" si="41"/>
        <v>0</v>
      </c>
      <c r="Z37" s="1654">
        <f t="shared" si="42"/>
        <v>0</v>
      </c>
      <c r="AA37" s="1488">
        <f t="shared" si="43"/>
        <v>0</v>
      </c>
      <c r="AB37" s="938">
        <f t="shared" si="44"/>
        <v>0</v>
      </c>
      <c r="AC37" s="903">
        <f t="shared" si="45"/>
        <v>0</v>
      </c>
      <c r="AD37" s="1831">
        <v>0</v>
      </c>
      <c r="AE37" s="903">
        <f t="shared" si="46"/>
        <v>0</v>
      </c>
      <c r="AF37" s="1837">
        <f>'[4]Table 5C1K-Tallulah Charter'!T36+'[27]Table 5C1K-Tallulah Charter'!AF36+('[26]Table 5C1K-Tallulah Charter'!AF36*6)</f>
        <v>0</v>
      </c>
      <c r="AG37" s="1835">
        <f t="shared" si="47"/>
        <v>0</v>
      </c>
      <c r="AH37" s="1530">
        <f t="shared" si="48"/>
        <v>0</v>
      </c>
      <c r="AI37" s="904">
        <f t="shared" si="30"/>
        <v>0</v>
      </c>
      <c r="AJ37" s="904">
        <f t="shared" si="49"/>
        <v>0</v>
      </c>
      <c r="AL37" s="2034">
        <f>-'[4]Table 5C1K-Tallulah Charter'!P36</f>
        <v>0</v>
      </c>
      <c r="AM37" s="2034">
        <f t="shared" si="50"/>
        <v>0</v>
      </c>
      <c r="AN37" s="2034">
        <f t="shared" si="51"/>
        <v>0</v>
      </c>
    </row>
    <row r="38" spans="1:40">
      <c r="A38" s="870">
        <v>31</v>
      </c>
      <c r="B38" s="871" t="s">
        <v>122</v>
      </c>
      <c r="C38" s="974">
        <v>0</v>
      </c>
      <c r="D38" s="884">
        <f>'Table 3 Levels 1&amp;2'!AL38</f>
        <v>4348.9307899232972</v>
      </c>
      <c r="E38" s="923">
        <f t="shared" si="31"/>
        <v>0</v>
      </c>
      <c r="F38" s="923">
        <f>'Table 4 Level 3'!P36</f>
        <v>620.83000000000004</v>
      </c>
      <c r="G38" s="923">
        <f t="shared" si="32"/>
        <v>0</v>
      </c>
      <c r="H38" s="907">
        <f t="shared" si="33"/>
        <v>0</v>
      </c>
      <c r="I38" s="1723">
        <f>+'[3]Oct midyear Tallulah Charter'!K37</f>
        <v>0</v>
      </c>
      <c r="J38" s="1723">
        <f>'[3]Feb midyear Tallulah Charter'!K37</f>
        <v>0</v>
      </c>
      <c r="K38" s="1547">
        <f t="shared" si="34"/>
        <v>0</v>
      </c>
      <c r="L38" s="1491">
        <f t="shared" si="28"/>
        <v>0</v>
      </c>
      <c r="M38" s="933">
        <f t="shared" si="35"/>
        <v>0</v>
      </c>
      <c r="N38" s="907">
        <f t="shared" si="36"/>
        <v>0</v>
      </c>
      <c r="O38" s="884">
        <v>0</v>
      </c>
      <c r="P38" s="996">
        <f t="shared" si="37"/>
        <v>0</v>
      </c>
      <c r="Q38" s="1723">
        <f>'[4]Table 5C1K-Tallulah Charter'!M37+'[27]Table 5C1K-Tallulah Charter'!T37+('[26]Table 5C1K-Tallulah Charter'!T37*6)</f>
        <v>0</v>
      </c>
      <c r="R38" s="1723">
        <f t="shared" si="38"/>
        <v>0</v>
      </c>
      <c r="S38" s="998">
        <f t="shared" si="39"/>
        <v>0</v>
      </c>
      <c r="T38" s="1802">
        <f>'Table 5C1A-Madison Prep'!T38</f>
        <v>4901</v>
      </c>
      <c r="U38" s="999">
        <f t="shared" si="29"/>
        <v>0</v>
      </c>
      <c r="V38" s="1754">
        <f>+'[3]Oct midyear Tallulah Charter'!E37</f>
        <v>0</v>
      </c>
      <c r="W38" s="1755">
        <f t="shared" si="40"/>
        <v>0</v>
      </c>
      <c r="X38" s="1754">
        <f>'[3]Feb midyear Tallulah Charter'!E37</f>
        <v>0</v>
      </c>
      <c r="Y38" s="1755">
        <f t="shared" si="41"/>
        <v>0</v>
      </c>
      <c r="Z38" s="1652">
        <f t="shared" si="42"/>
        <v>0</v>
      </c>
      <c r="AA38" s="1481">
        <f t="shared" si="43"/>
        <v>0</v>
      </c>
      <c r="AB38" s="936">
        <f t="shared" si="44"/>
        <v>0</v>
      </c>
      <c r="AC38" s="874">
        <f t="shared" si="45"/>
        <v>0</v>
      </c>
      <c r="AD38" s="1829">
        <v>0</v>
      </c>
      <c r="AE38" s="874">
        <f t="shared" si="46"/>
        <v>0</v>
      </c>
      <c r="AF38" s="1829">
        <f>'[4]Table 5C1K-Tallulah Charter'!T37+'[27]Table 5C1K-Tallulah Charter'!AF37+('[26]Table 5C1K-Tallulah Charter'!AF37*6)</f>
        <v>0</v>
      </c>
      <c r="AG38" s="1829">
        <f t="shared" si="47"/>
        <v>0</v>
      </c>
      <c r="AH38" s="1521">
        <f t="shared" si="48"/>
        <v>0</v>
      </c>
      <c r="AI38" s="875">
        <f t="shared" si="30"/>
        <v>0</v>
      </c>
      <c r="AJ38" s="875">
        <f t="shared" si="49"/>
        <v>0</v>
      </c>
      <c r="AL38" s="2034">
        <f>-'[4]Table 5C1K-Tallulah Charter'!P37</f>
        <v>0</v>
      </c>
      <c r="AM38" s="2034">
        <f t="shared" si="50"/>
        <v>0</v>
      </c>
      <c r="AN38" s="2034">
        <f t="shared" si="51"/>
        <v>0</v>
      </c>
    </row>
    <row r="39" spans="1:40">
      <c r="A39" s="876">
        <v>32</v>
      </c>
      <c r="B39" s="877" t="s">
        <v>123</v>
      </c>
      <c r="C39" s="972">
        <v>0</v>
      </c>
      <c r="D39" s="882">
        <f>'Table 3 Levels 1&amp;2'!AL39</f>
        <v>5531.5157655456787</v>
      </c>
      <c r="E39" s="921">
        <f t="shared" si="31"/>
        <v>0</v>
      </c>
      <c r="F39" s="921">
        <f>'Table 4 Level 3'!P37</f>
        <v>559.77</v>
      </c>
      <c r="G39" s="921">
        <f t="shared" si="32"/>
        <v>0</v>
      </c>
      <c r="H39" s="905">
        <f t="shared" si="33"/>
        <v>0</v>
      </c>
      <c r="I39" s="1734">
        <f>+'[3]Oct midyear Tallulah Charter'!K38</f>
        <v>0</v>
      </c>
      <c r="J39" s="1734">
        <f>'[3]Feb midyear Tallulah Charter'!K38</f>
        <v>0</v>
      </c>
      <c r="K39" s="1545">
        <f t="shared" si="34"/>
        <v>0</v>
      </c>
      <c r="L39" s="1489">
        <f t="shared" si="28"/>
        <v>0</v>
      </c>
      <c r="M39" s="931">
        <f t="shared" si="35"/>
        <v>0</v>
      </c>
      <c r="N39" s="905">
        <f t="shared" si="36"/>
        <v>0</v>
      </c>
      <c r="O39" s="882">
        <v>0</v>
      </c>
      <c r="P39" s="1552">
        <f t="shared" si="37"/>
        <v>0</v>
      </c>
      <c r="Q39" s="1721">
        <f>'[4]Table 5C1K-Tallulah Charter'!M38+'[27]Table 5C1K-Tallulah Charter'!T38+('[26]Table 5C1K-Tallulah Charter'!T38*6)</f>
        <v>0</v>
      </c>
      <c r="R39" s="1734">
        <f t="shared" si="38"/>
        <v>0</v>
      </c>
      <c r="S39" s="998">
        <f t="shared" si="39"/>
        <v>0</v>
      </c>
      <c r="T39" s="1802">
        <f>'Table 5C1A-Madison Prep'!T39</f>
        <v>2074</v>
      </c>
      <c r="U39" s="1555">
        <f t="shared" si="29"/>
        <v>0</v>
      </c>
      <c r="V39" s="1758">
        <f>+'[3]Oct midyear Tallulah Charter'!E38</f>
        <v>0</v>
      </c>
      <c r="W39" s="1759">
        <f t="shared" si="40"/>
        <v>0</v>
      </c>
      <c r="X39" s="1758">
        <f>'[3]Feb midyear Tallulah Charter'!E38</f>
        <v>0</v>
      </c>
      <c r="Y39" s="1759">
        <f t="shared" si="41"/>
        <v>0</v>
      </c>
      <c r="Z39" s="1653">
        <f t="shared" si="42"/>
        <v>0</v>
      </c>
      <c r="AA39" s="1486">
        <f t="shared" si="43"/>
        <v>0</v>
      </c>
      <c r="AB39" s="937">
        <f t="shared" si="44"/>
        <v>0</v>
      </c>
      <c r="AC39" s="899">
        <f t="shared" si="45"/>
        <v>0</v>
      </c>
      <c r="AD39" s="1830">
        <v>0</v>
      </c>
      <c r="AE39" s="899">
        <f t="shared" si="46"/>
        <v>0</v>
      </c>
      <c r="AF39" s="1829">
        <f>'[4]Table 5C1K-Tallulah Charter'!T38+'[27]Table 5C1K-Tallulah Charter'!AF38+('[26]Table 5C1K-Tallulah Charter'!AF38*6)</f>
        <v>0</v>
      </c>
      <c r="AG39" s="1834">
        <f t="shared" si="47"/>
        <v>0</v>
      </c>
      <c r="AH39" s="1521">
        <f t="shared" si="48"/>
        <v>0</v>
      </c>
      <c r="AI39" s="900">
        <f t="shared" si="30"/>
        <v>0</v>
      </c>
      <c r="AJ39" s="900">
        <f t="shared" si="49"/>
        <v>0</v>
      </c>
      <c r="AL39" s="2034">
        <f>-'[4]Table 5C1K-Tallulah Charter'!P38</f>
        <v>0</v>
      </c>
      <c r="AM39" s="2034">
        <f t="shared" si="50"/>
        <v>0</v>
      </c>
      <c r="AN39" s="2034">
        <f t="shared" si="51"/>
        <v>0</v>
      </c>
    </row>
    <row r="40" spans="1:40">
      <c r="A40" s="876">
        <v>33</v>
      </c>
      <c r="B40" s="877" t="s">
        <v>124</v>
      </c>
      <c r="C40" s="972">
        <v>232</v>
      </c>
      <c r="D40" s="882">
        <f>'Table 3 Levels 1&amp;2'!AL40</f>
        <v>5329.5444226517857</v>
      </c>
      <c r="E40" s="921">
        <f t="shared" si="31"/>
        <v>1236454.3060552143</v>
      </c>
      <c r="F40" s="921">
        <f>'Table 4 Level 3'!P38</f>
        <v>655.31000000000006</v>
      </c>
      <c r="G40" s="921">
        <f t="shared" si="32"/>
        <v>152031.92000000001</v>
      </c>
      <c r="H40" s="905">
        <f t="shared" si="33"/>
        <v>1388486.2260552142</v>
      </c>
      <c r="I40" s="1734">
        <f>+'[3]Oct midyear Tallulah Charter'!K39</f>
        <v>400985.24631766969</v>
      </c>
      <c r="J40" s="1734">
        <f>'[3]Feb midyear Tallulah Charter'!K39</f>
        <v>-14962.136056629464</v>
      </c>
      <c r="K40" s="1545">
        <f t="shared" si="34"/>
        <v>386023.11026104022</v>
      </c>
      <c r="L40" s="1489">
        <f t="shared" ref="L40:L71" si="52">H40+K40</f>
        <v>1774509.3363162545</v>
      </c>
      <c r="M40" s="931">
        <f t="shared" si="35"/>
        <v>-4436.2733407906362</v>
      </c>
      <c r="N40" s="905">
        <f t="shared" si="36"/>
        <v>1770073.0629754639</v>
      </c>
      <c r="O40" s="882">
        <v>0</v>
      </c>
      <c r="P40" s="1552">
        <f t="shared" si="37"/>
        <v>1770073.0629754639</v>
      </c>
      <c r="Q40" s="1721">
        <f>'[4]Table 5C1K-Tallulah Charter'!M39+'[27]Table 5C1K-Tallulah Charter'!T39+('[26]Table 5C1K-Tallulah Charter'!T39*6)</f>
        <v>1195678.9720915766</v>
      </c>
      <c r="R40" s="1734">
        <f t="shared" si="38"/>
        <v>574394.09088388737</v>
      </c>
      <c r="S40" s="998">
        <f t="shared" si="39"/>
        <v>143599</v>
      </c>
      <c r="T40" s="1802">
        <f>'Table 5C1A-Madison Prep'!T40</f>
        <v>3501</v>
      </c>
      <c r="U40" s="1555">
        <f t="shared" ref="U40:U71" si="53">C40*T40</f>
        <v>812232</v>
      </c>
      <c r="V40" s="1758">
        <f>+'[3]Oct midyear Tallulah Charter'!E39</f>
        <v>67</v>
      </c>
      <c r="W40" s="1759">
        <f t="shared" si="40"/>
        <v>234567</v>
      </c>
      <c r="X40" s="1758">
        <f>'[3]Feb midyear Tallulah Charter'!E39</f>
        <v>-5</v>
      </c>
      <c r="Y40" s="1759">
        <f t="shared" si="41"/>
        <v>-8752.5</v>
      </c>
      <c r="Z40" s="1653">
        <f t="shared" si="42"/>
        <v>225814.5</v>
      </c>
      <c r="AA40" s="1486">
        <f t="shared" si="43"/>
        <v>1038046.5</v>
      </c>
      <c r="AB40" s="937">
        <f t="shared" si="44"/>
        <v>-2595.11625</v>
      </c>
      <c r="AC40" s="899">
        <f t="shared" si="45"/>
        <v>1035451.38375</v>
      </c>
      <c r="AD40" s="1830">
        <v>0</v>
      </c>
      <c r="AE40" s="899">
        <f t="shared" si="46"/>
        <v>1035451.38375</v>
      </c>
      <c r="AF40" s="1829">
        <f>'[4]Table 5C1K-Tallulah Charter'!T39+'[27]Table 5C1K-Tallulah Charter'!AF39+('[26]Table 5C1K-Tallulah Charter'!AF39*6)</f>
        <v>529228.17722727265</v>
      </c>
      <c r="AG40" s="1834">
        <f t="shared" si="47"/>
        <v>506223.20652272739</v>
      </c>
      <c r="AH40" s="1521">
        <f t="shared" si="48"/>
        <v>126556</v>
      </c>
      <c r="AI40" s="900">
        <f t="shared" ref="AI40:AI76" si="54">P40+AE40</f>
        <v>2805524.446725464</v>
      </c>
      <c r="AJ40" s="900">
        <f t="shared" si="49"/>
        <v>270155</v>
      </c>
      <c r="AL40" s="2034">
        <f>-'[4]Table 5C1K-Tallulah Charter'!P39</f>
        <v>1536.42</v>
      </c>
      <c r="AM40" s="2034">
        <f t="shared" si="50"/>
        <v>-2595.11625</v>
      </c>
      <c r="AN40" s="2034">
        <f t="shared" si="51"/>
        <v>-1058.69625</v>
      </c>
    </row>
    <row r="41" spans="1:40">
      <c r="A41" s="876">
        <v>34</v>
      </c>
      <c r="B41" s="877" t="s">
        <v>125</v>
      </c>
      <c r="C41" s="972">
        <v>0</v>
      </c>
      <c r="D41" s="882">
        <f>'Table 3 Levels 1&amp;2'!AL41</f>
        <v>6003.632932007491</v>
      </c>
      <c r="E41" s="921">
        <f t="shared" si="31"/>
        <v>0</v>
      </c>
      <c r="F41" s="921">
        <f>'Table 4 Level 3'!P39</f>
        <v>644.11000000000013</v>
      </c>
      <c r="G41" s="921">
        <f t="shared" si="32"/>
        <v>0</v>
      </c>
      <c r="H41" s="905">
        <f t="shared" si="33"/>
        <v>0</v>
      </c>
      <c r="I41" s="1734">
        <f>+'[3]Oct midyear Tallulah Charter'!K40</f>
        <v>0</v>
      </c>
      <c r="J41" s="1734">
        <f>'[3]Feb midyear Tallulah Charter'!K40</f>
        <v>0</v>
      </c>
      <c r="K41" s="1545">
        <f t="shared" si="34"/>
        <v>0</v>
      </c>
      <c r="L41" s="1489">
        <f t="shared" si="52"/>
        <v>0</v>
      </c>
      <c r="M41" s="931">
        <f t="shared" si="35"/>
        <v>0</v>
      </c>
      <c r="N41" s="905">
        <f t="shared" si="36"/>
        <v>0</v>
      </c>
      <c r="O41" s="882">
        <v>0</v>
      </c>
      <c r="P41" s="1552">
        <f t="shared" si="37"/>
        <v>0</v>
      </c>
      <c r="Q41" s="1721">
        <f>'[4]Table 5C1K-Tallulah Charter'!M40+'[27]Table 5C1K-Tallulah Charter'!T40+('[26]Table 5C1K-Tallulah Charter'!T40*6)</f>
        <v>0</v>
      </c>
      <c r="R41" s="1734">
        <f t="shared" si="38"/>
        <v>0</v>
      </c>
      <c r="S41" s="998">
        <f t="shared" si="39"/>
        <v>0</v>
      </c>
      <c r="T41" s="1802">
        <f>'Table 5C1A-Madison Prep'!T41</f>
        <v>2772</v>
      </c>
      <c r="U41" s="1555">
        <f t="shared" si="53"/>
        <v>0</v>
      </c>
      <c r="V41" s="1758">
        <f>+'[3]Oct midyear Tallulah Charter'!E40</f>
        <v>0</v>
      </c>
      <c r="W41" s="1759">
        <f t="shared" si="40"/>
        <v>0</v>
      </c>
      <c r="X41" s="1758">
        <f>'[3]Feb midyear Tallulah Charter'!E40</f>
        <v>0</v>
      </c>
      <c r="Y41" s="1759">
        <f t="shared" si="41"/>
        <v>0</v>
      </c>
      <c r="Z41" s="1653">
        <f t="shared" si="42"/>
        <v>0</v>
      </c>
      <c r="AA41" s="1486">
        <f t="shared" si="43"/>
        <v>0</v>
      </c>
      <c r="AB41" s="937">
        <f t="shared" si="44"/>
        <v>0</v>
      </c>
      <c r="AC41" s="899">
        <f t="shared" si="45"/>
        <v>0</v>
      </c>
      <c r="AD41" s="1830">
        <v>0</v>
      </c>
      <c r="AE41" s="899">
        <f t="shared" si="46"/>
        <v>0</v>
      </c>
      <c r="AF41" s="1829">
        <f>'[4]Table 5C1K-Tallulah Charter'!T40+'[27]Table 5C1K-Tallulah Charter'!AF40+('[26]Table 5C1K-Tallulah Charter'!AF40*6)</f>
        <v>0</v>
      </c>
      <c r="AG41" s="1834">
        <f t="shared" si="47"/>
        <v>0</v>
      </c>
      <c r="AH41" s="1521">
        <f t="shared" si="48"/>
        <v>0</v>
      </c>
      <c r="AI41" s="900">
        <f t="shared" si="54"/>
        <v>0</v>
      </c>
      <c r="AJ41" s="900">
        <f t="shared" si="49"/>
        <v>0</v>
      </c>
      <c r="AL41" s="2034">
        <f>-'[4]Table 5C1K-Tallulah Charter'!P40</f>
        <v>0</v>
      </c>
      <c r="AM41" s="2034">
        <f t="shared" si="50"/>
        <v>0</v>
      </c>
      <c r="AN41" s="2034">
        <f t="shared" si="51"/>
        <v>0</v>
      </c>
    </row>
    <row r="42" spans="1:40">
      <c r="A42" s="879">
        <v>35</v>
      </c>
      <c r="B42" s="880" t="s">
        <v>126</v>
      </c>
      <c r="C42" s="973">
        <v>0</v>
      </c>
      <c r="D42" s="883">
        <f>'Table 3 Levels 1&amp;2'!AL42</f>
        <v>4607.1606416222867</v>
      </c>
      <c r="E42" s="922">
        <f t="shared" si="31"/>
        <v>0</v>
      </c>
      <c r="F42" s="922">
        <f>'Table 4 Level 3'!P40</f>
        <v>537.96</v>
      </c>
      <c r="G42" s="922">
        <f t="shared" si="32"/>
        <v>0</v>
      </c>
      <c r="H42" s="906">
        <f t="shared" si="33"/>
        <v>0</v>
      </c>
      <c r="I42" s="1735">
        <f>+'[3]Oct midyear Tallulah Charter'!K41</f>
        <v>0</v>
      </c>
      <c r="J42" s="1735">
        <f>'[3]Feb midyear Tallulah Charter'!K41</f>
        <v>0</v>
      </c>
      <c r="K42" s="1546">
        <f t="shared" si="34"/>
        <v>0</v>
      </c>
      <c r="L42" s="1490">
        <f t="shared" si="52"/>
        <v>0</v>
      </c>
      <c r="M42" s="932">
        <f t="shared" si="35"/>
        <v>0</v>
      </c>
      <c r="N42" s="906">
        <f t="shared" si="36"/>
        <v>0</v>
      </c>
      <c r="O42" s="883">
        <v>0</v>
      </c>
      <c r="P42" s="1553">
        <f t="shared" si="37"/>
        <v>0</v>
      </c>
      <c r="Q42" s="1722">
        <f>'[4]Table 5C1K-Tallulah Charter'!M41+'[27]Table 5C1K-Tallulah Charter'!T41+('[26]Table 5C1K-Tallulah Charter'!T41*6)</f>
        <v>0</v>
      </c>
      <c r="R42" s="1735">
        <f t="shared" si="38"/>
        <v>0</v>
      </c>
      <c r="S42" s="1806">
        <f t="shared" si="39"/>
        <v>0</v>
      </c>
      <c r="T42" s="1807">
        <f>'Table 5C1A-Madison Prep'!T42</f>
        <v>3140</v>
      </c>
      <c r="U42" s="1556">
        <f t="shared" si="53"/>
        <v>0</v>
      </c>
      <c r="V42" s="1762">
        <f>+'[3]Oct midyear Tallulah Charter'!E41</f>
        <v>0</v>
      </c>
      <c r="W42" s="1763">
        <f t="shared" si="40"/>
        <v>0</v>
      </c>
      <c r="X42" s="1762">
        <f>'[3]Feb midyear Tallulah Charter'!E41</f>
        <v>0</v>
      </c>
      <c r="Y42" s="1763">
        <f t="shared" si="41"/>
        <v>0</v>
      </c>
      <c r="Z42" s="1654">
        <f t="shared" si="42"/>
        <v>0</v>
      </c>
      <c r="AA42" s="1488">
        <f t="shared" si="43"/>
        <v>0</v>
      </c>
      <c r="AB42" s="938">
        <f t="shared" si="44"/>
        <v>0</v>
      </c>
      <c r="AC42" s="903">
        <f t="shared" si="45"/>
        <v>0</v>
      </c>
      <c r="AD42" s="1831">
        <v>0</v>
      </c>
      <c r="AE42" s="903">
        <f t="shared" si="46"/>
        <v>0</v>
      </c>
      <c r="AF42" s="1837">
        <f>'[4]Table 5C1K-Tallulah Charter'!T41+'[27]Table 5C1K-Tallulah Charter'!AF41+('[26]Table 5C1K-Tallulah Charter'!AF41*6)</f>
        <v>0</v>
      </c>
      <c r="AG42" s="1835">
        <f t="shared" si="47"/>
        <v>0</v>
      </c>
      <c r="AH42" s="1530">
        <f t="shared" si="48"/>
        <v>0</v>
      </c>
      <c r="AI42" s="904">
        <f t="shared" si="54"/>
        <v>0</v>
      </c>
      <c r="AJ42" s="904">
        <f t="shared" si="49"/>
        <v>0</v>
      </c>
      <c r="AL42" s="2034">
        <f>-'[4]Table 5C1K-Tallulah Charter'!P41</f>
        <v>0</v>
      </c>
      <c r="AM42" s="2034">
        <f t="shared" si="50"/>
        <v>0</v>
      </c>
      <c r="AN42" s="2034">
        <f t="shared" si="51"/>
        <v>0</v>
      </c>
    </row>
    <row r="43" spans="1:40">
      <c r="A43" s="870">
        <v>36</v>
      </c>
      <c r="B43" s="871" t="s">
        <v>127</v>
      </c>
      <c r="C43" s="974">
        <v>0</v>
      </c>
      <c r="D43" s="884">
        <f>'Table 3 Levels 1&amp;2'!AL43</f>
        <v>3520.4894337711748</v>
      </c>
      <c r="E43" s="923">
        <f t="shared" si="31"/>
        <v>0</v>
      </c>
      <c r="F43" s="923">
        <v>746.0335616438357</v>
      </c>
      <c r="G43" s="923">
        <f t="shared" si="32"/>
        <v>0</v>
      </c>
      <c r="H43" s="907">
        <f t="shared" si="33"/>
        <v>0</v>
      </c>
      <c r="I43" s="1723">
        <f>+'[3]Oct midyear Tallulah Charter'!K42</f>
        <v>0</v>
      </c>
      <c r="J43" s="1723">
        <f>'[3]Feb midyear Tallulah Charter'!K42</f>
        <v>0</v>
      </c>
      <c r="K43" s="1547">
        <f t="shared" si="34"/>
        <v>0</v>
      </c>
      <c r="L43" s="1491">
        <f t="shared" si="52"/>
        <v>0</v>
      </c>
      <c r="M43" s="933">
        <f t="shared" si="35"/>
        <v>0</v>
      </c>
      <c r="N43" s="907">
        <f t="shared" si="36"/>
        <v>0</v>
      </c>
      <c r="O43" s="884">
        <v>0</v>
      </c>
      <c r="P43" s="996">
        <f t="shared" si="37"/>
        <v>0</v>
      </c>
      <c r="Q43" s="1723">
        <f>'[4]Table 5C1K-Tallulah Charter'!M42+'[27]Table 5C1K-Tallulah Charter'!T42+('[26]Table 5C1K-Tallulah Charter'!T42*6)</f>
        <v>0</v>
      </c>
      <c r="R43" s="1723">
        <f t="shared" si="38"/>
        <v>0</v>
      </c>
      <c r="S43" s="998">
        <f t="shared" si="39"/>
        <v>0</v>
      </c>
      <c r="T43" s="1802">
        <f>'Table 5C1A-Madison Prep'!T43</f>
        <v>5433</v>
      </c>
      <c r="U43" s="999">
        <f t="shared" si="53"/>
        <v>0</v>
      </c>
      <c r="V43" s="1754">
        <f>+'[3]Oct midyear Tallulah Charter'!E42</f>
        <v>0</v>
      </c>
      <c r="W43" s="1755">
        <f t="shared" si="40"/>
        <v>0</v>
      </c>
      <c r="X43" s="1754">
        <f>'[3]Feb midyear Tallulah Charter'!E42</f>
        <v>0</v>
      </c>
      <c r="Y43" s="1755">
        <f t="shared" si="41"/>
        <v>0</v>
      </c>
      <c r="Z43" s="1652">
        <f t="shared" si="42"/>
        <v>0</v>
      </c>
      <c r="AA43" s="1481">
        <f t="shared" si="43"/>
        <v>0</v>
      </c>
      <c r="AB43" s="936">
        <f t="shared" si="44"/>
        <v>0</v>
      </c>
      <c r="AC43" s="874">
        <f t="shared" si="45"/>
        <v>0</v>
      </c>
      <c r="AD43" s="1829">
        <v>0</v>
      </c>
      <c r="AE43" s="874">
        <f t="shared" si="46"/>
        <v>0</v>
      </c>
      <c r="AF43" s="1829">
        <f>'[4]Table 5C1K-Tallulah Charter'!T42+'[27]Table 5C1K-Tallulah Charter'!AF42+('[26]Table 5C1K-Tallulah Charter'!AF42*6)</f>
        <v>0</v>
      </c>
      <c r="AG43" s="1829">
        <f t="shared" si="47"/>
        <v>0</v>
      </c>
      <c r="AH43" s="1521">
        <f t="shared" si="48"/>
        <v>0</v>
      </c>
      <c r="AI43" s="875">
        <f t="shared" si="54"/>
        <v>0</v>
      </c>
      <c r="AJ43" s="875">
        <f t="shared" si="49"/>
        <v>0</v>
      </c>
      <c r="AL43" s="2034">
        <f>-'[4]Table 5C1K-Tallulah Charter'!P42</f>
        <v>0</v>
      </c>
      <c r="AM43" s="2034">
        <f t="shared" si="50"/>
        <v>0</v>
      </c>
      <c r="AN43" s="2034">
        <f t="shared" si="51"/>
        <v>0</v>
      </c>
    </row>
    <row r="44" spans="1:40">
      <c r="A44" s="876">
        <v>37</v>
      </c>
      <c r="B44" s="877" t="s">
        <v>128</v>
      </c>
      <c r="C44" s="972">
        <v>0</v>
      </c>
      <c r="D44" s="882">
        <f>'Table 3 Levels 1&amp;2'!AL44</f>
        <v>5503.7595641818853</v>
      </c>
      <c r="E44" s="921">
        <f t="shared" si="31"/>
        <v>0</v>
      </c>
      <c r="F44" s="921">
        <f>'Table 4 Level 3'!P42</f>
        <v>653.61</v>
      </c>
      <c r="G44" s="921">
        <f t="shared" si="32"/>
        <v>0</v>
      </c>
      <c r="H44" s="905">
        <f t="shared" si="33"/>
        <v>0</v>
      </c>
      <c r="I44" s="1734">
        <f>+'[3]Oct midyear Tallulah Charter'!K43</f>
        <v>0</v>
      </c>
      <c r="J44" s="1734">
        <f>'[3]Feb midyear Tallulah Charter'!K43</f>
        <v>0</v>
      </c>
      <c r="K44" s="1545">
        <f t="shared" si="34"/>
        <v>0</v>
      </c>
      <c r="L44" s="1489">
        <f t="shared" si="52"/>
        <v>0</v>
      </c>
      <c r="M44" s="931">
        <f t="shared" si="35"/>
        <v>0</v>
      </c>
      <c r="N44" s="905">
        <f t="shared" si="36"/>
        <v>0</v>
      </c>
      <c r="O44" s="882">
        <v>0</v>
      </c>
      <c r="P44" s="1552">
        <f t="shared" si="37"/>
        <v>0</v>
      </c>
      <c r="Q44" s="1721">
        <f>'[4]Table 5C1K-Tallulah Charter'!M43+'[27]Table 5C1K-Tallulah Charter'!T43+('[26]Table 5C1K-Tallulah Charter'!T43*6)</f>
        <v>0</v>
      </c>
      <c r="R44" s="1734">
        <f t="shared" si="38"/>
        <v>0</v>
      </c>
      <c r="S44" s="998">
        <f t="shared" si="39"/>
        <v>0</v>
      </c>
      <c r="T44" s="1802">
        <f>'Table 5C1A-Madison Prep'!T44</f>
        <v>3310</v>
      </c>
      <c r="U44" s="1555">
        <f t="shared" si="53"/>
        <v>0</v>
      </c>
      <c r="V44" s="1758">
        <f>+'[3]Oct midyear Tallulah Charter'!E43</f>
        <v>0</v>
      </c>
      <c r="W44" s="1759">
        <f t="shared" si="40"/>
        <v>0</v>
      </c>
      <c r="X44" s="1758">
        <f>'[3]Feb midyear Tallulah Charter'!E43</f>
        <v>0</v>
      </c>
      <c r="Y44" s="1759">
        <f t="shared" si="41"/>
        <v>0</v>
      </c>
      <c r="Z44" s="1653">
        <f t="shared" si="42"/>
        <v>0</v>
      </c>
      <c r="AA44" s="1486">
        <f t="shared" si="43"/>
        <v>0</v>
      </c>
      <c r="AB44" s="937">
        <f t="shared" si="44"/>
        <v>0</v>
      </c>
      <c r="AC44" s="899">
        <f t="shared" si="45"/>
        <v>0</v>
      </c>
      <c r="AD44" s="1830">
        <v>0</v>
      </c>
      <c r="AE44" s="899">
        <f t="shared" si="46"/>
        <v>0</v>
      </c>
      <c r="AF44" s="1829">
        <f>'[4]Table 5C1K-Tallulah Charter'!T43+'[27]Table 5C1K-Tallulah Charter'!AF43+('[26]Table 5C1K-Tallulah Charter'!AF43*6)</f>
        <v>0</v>
      </c>
      <c r="AG44" s="1834">
        <f t="shared" si="47"/>
        <v>0</v>
      </c>
      <c r="AH44" s="1521">
        <f t="shared" si="48"/>
        <v>0</v>
      </c>
      <c r="AI44" s="900">
        <f t="shared" si="54"/>
        <v>0</v>
      </c>
      <c r="AJ44" s="900">
        <f t="shared" si="49"/>
        <v>0</v>
      </c>
      <c r="AL44" s="2034">
        <f>-'[4]Table 5C1K-Tallulah Charter'!P43</f>
        <v>0</v>
      </c>
      <c r="AM44" s="2034">
        <f t="shared" si="50"/>
        <v>0</v>
      </c>
      <c r="AN44" s="2034">
        <f t="shared" si="51"/>
        <v>0</v>
      </c>
    </row>
    <row r="45" spans="1:40">
      <c r="A45" s="876">
        <v>38</v>
      </c>
      <c r="B45" s="877" t="s">
        <v>129</v>
      </c>
      <c r="C45" s="972">
        <v>0</v>
      </c>
      <c r="D45" s="882">
        <f>'Table 3 Levels 1&amp;2'!AL45</f>
        <v>2192.7545275590551</v>
      </c>
      <c r="E45" s="921">
        <f t="shared" si="31"/>
        <v>0</v>
      </c>
      <c r="F45" s="921">
        <f>'Table 4 Level 3'!P43</f>
        <v>829.92000000000007</v>
      </c>
      <c r="G45" s="921">
        <f t="shared" si="32"/>
        <v>0</v>
      </c>
      <c r="H45" s="905">
        <f t="shared" si="33"/>
        <v>0</v>
      </c>
      <c r="I45" s="1734">
        <f>+'[3]Oct midyear Tallulah Charter'!K44</f>
        <v>0</v>
      </c>
      <c r="J45" s="1734">
        <f>'[3]Feb midyear Tallulah Charter'!K44</f>
        <v>0</v>
      </c>
      <c r="K45" s="1545">
        <f t="shared" si="34"/>
        <v>0</v>
      </c>
      <c r="L45" s="1489">
        <f t="shared" si="52"/>
        <v>0</v>
      </c>
      <c r="M45" s="931">
        <f t="shared" si="35"/>
        <v>0</v>
      </c>
      <c r="N45" s="905">
        <f t="shared" si="36"/>
        <v>0</v>
      </c>
      <c r="O45" s="882">
        <v>0</v>
      </c>
      <c r="P45" s="1552">
        <f t="shared" si="37"/>
        <v>0</v>
      </c>
      <c r="Q45" s="1721">
        <f>'[4]Table 5C1K-Tallulah Charter'!M44+'[27]Table 5C1K-Tallulah Charter'!T44+('[26]Table 5C1K-Tallulah Charter'!T44*6)</f>
        <v>0</v>
      </c>
      <c r="R45" s="1734">
        <f t="shared" si="38"/>
        <v>0</v>
      </c>
      <c r="S45" s="998">
        <f t="shared" si="39"/>
        <v>0</v>
      </c>
      <c r="T45" s="1802">
        <f>'Table 5C1A-Madison Prep'!T45</f>
        <v>12521</v>
      </c>
      <c r="U45" s="1555">
        <f t="shared" si="53"/>
        <v>0</v>
      </c>
      <c r="V45" s="1758">
        <f>+'[3]Oct midyear Tallulah Charter'!E44</f>
        <v>0</v>
      </c>
      <c r="W45" s="1759">
        <f t="shared" si="40"/>
        <v>0</v>
      </c>
      <c r="X45" s="1758">
        <f>'[3]Feb midyear Tallulah Charter'!E44</f>
        <v>0</v>
      </c>
      <c r="Y45" s="1759">
        <f t="shared" si="41"/>
        <v>0</v>
      </c>
      <c r="Z45" s="1653">
        <f t="shared" si="42"/>
        <v>0</v>
      </c>
      <c r="AA45" s="1486">
        <f t="shared" si="43"/>
        <v>0</v>
      </c>
      <c r="AB45" s="937">
        <f t="shared" si="44"/>
        <v>0</v>
      </c>
      <c r="AC45" s="899">
        <f t="shared" si="45"/>
        <v>0</v>
      </c>
      <c r="AD45" s="1830">
        <v>0</v>
      </c>
      <c r="AE45" s="899">
        <f t="shared" si="46"/>
        <v>0</v>
      </c>
      <c r="AF45" s="1829">
        <f>'[4]Table 5C1K-Tallulah Charter'!T44+'[27]Table 5C1K-Tallulah Charter'!AF44+('[26]Table 5C1K-Tallulah Charter'!AF44*6)</f>
        <v>0</v>
      </c>
      <c r="AG45" s="1834">
        <f t="shared" si="47"/>
        <v>0</v>
      </c>
      <c r="AH45" s="1521">
        <f t="shared" si="48"/>
        <v>0</v>
      </c>
      <c r="AI45" s="900">
        <f t="shared" si="54"/>
        <v>0</v>
      </c>
      <c r="AJ45" s="900">
        <f t="shared" si="49"/>
        <v>0</v>
      </c>
      <c r="AL45" s="2034">
        <f>-'[4]Table 5C1K-Tallulah Charter'!P44</f>
        <v>0</v>
      </c>
      <c r="AM45" s="2034">
        <f t="shared" si="50"/>
        <v>0</v>
      </c>
      <c r="AN45" s="2034">
        <f t="shared" si="51"/>
        <v>0</v>
      </c>
    </row>
    <row r="46" spans="1:40">
      <c r="A46" s="876">
        <v>39</v>
      </c>
      <c r="B46" s="877" t="s">
        <v>130</v>
      </c>
      <c r="C46" s="972">
        <v>0</v>
      </c>
      <c r="D46" s="882">
        <f>'Table 3 Levels 1&amp;2'!AL46</f>
        <v>3639.9942778062696</v>
      </c>
      <c r="E46" s="921">
        <f t="shared" si="31"/>
        <v>0</v>
      </c>
      <c r="F46" s="921">
        <f>'Table 4 Level 3'!P44</f>
        <v>779.65573042776441</v>
      </c>
      <c r="G46" s="921">
        <f t="shared" si="32"/>
        <v>0</v>
      </c>
      <c r="H46" s="905">
        <f t="shared" si="33"/>
        <v>0</v>
      </c>
      <c r="I46" s="1734">
        <f>+'[3]Oct midyear Tallulah Charter'!K45</f>
        <v>0</v>
      </c>
      <c r="J46" s="1734">
        <f>'[3]Feb midyear Tallulah Charter'!K45</f>
        <v>0</v>
      </c>
      <c r="K46" s="1545">
        <f t="shared" si="34"/>
        <v>0</v>
      </c>
      <c r="L46" s="1489">
        <f t="shared" si="52"/>
        <v>0</v>
      </c>
      <c r="M46" s="931">
        <f t="shared" si="35"/>
        <v>0</v>
      </c>
      <c r="N46" s="905">
        <f t="shared" si="36"/>
        <v>0</v>
      </c>
      <c r="O46" s="882">
        <v>0</v>
      </c>
      <c r="P46" s="1552">
        <f t="shared" si="37"/>
        <v>0</v>
      </c>
      <c r="Q46" s="1721">
        <f>'[4]Table 5C1K-Tallulah Charter'!M45+'[27]Table 5C1K-Tallulah Charter'!T45+('[26]Table 5C1K-Tallulah Charter'!T45*6)</f>
        <v>0</v>
      </c>
      <c r="R46" s="1734">
        <f t="shared" si="38"/>
        <v>0</v>
      </c>
      <c r="S46" s="998">
        <f t="shared" si="39"/>
        <v>0</v>
      </c>
      <c r="T46" s="1802">
        <f>'Table 5C1A-Madison Prep'!T46</f>
        <v>4436</v>
      </c>
      <c r="U46" s="1555">
        <f t="shared" si="53"/>
        <v>0</v>
      </c>
      <c r="V46" s="1758">
        <f>+'[3]Oct midyear Tallulah Charter'!E45</f>
        <v>0</v>
      </c>
      <c r="W46" s="1759">
        <f t="shared" si="40"/>
        <v>0</v>
      </c>
      <c r="X46" s="1758">
        <f>'[3]Feb midyear Tallulah Charter'!E45</f>
        <v>0</v>
      </c>
      <c r="Y46" s="1759">
        <f t="shared" si="41"/>
        <v>0</v>
      </c>
      <c r="Z46" s="1653">
        <f t="shared" si="42"/>
        <v>0</v>
      </c>
      <c r="AA46" s="1486">
        <f t="shared" si="43"/>
        <v>0</v>
      </c>
      <c r="AB46" s="937">
        <f t="shared" si="44"/>
        <v>0</v>
      </c>
      <c r="AC46" s="899">
        <f t="shared" si="45"/>
        <v>0</v>
      </c>
      <c r="AD46" s="1830">
        <v>0</v>
      </c>
      <c r="AE46" s="899">
        <f t="shared" si="46"/>
        <v>0</v>
      </c>
      <c r="AF46" s="1829">
        <f>'[4]Table 5C1K-Tallulah Charter'!T45+'[27]Table 5C1K-Tallulah Charter'!AF45+('[26]Table 5C1K-Tallulah Charter'!AF45*6)</f>
        <v>0</v>
      </c>
      <c r="AG46" s="1834">
        <f t="shared" si="47"/>
        <v>0</v>
      </c>
      <c r="AH46" s="1521">
        <f t="shared" si="48"/>
        <v>0</v>
      </c>
      <c r="AI46" s="900">
        <f t="shared" si="54"/>
        <v>0</v>
      </c>
      <c r="AJ46" s="900">
        <f t="shared" si="49"/>
        <v>0</v>
      </c>
      <c r="AL46" s="2034">
        <f>-'[4]Table 5C1K-Tallulah Charter'!P45</f>
        <v>0</v>
      </c>
      <c r="AM46" s="2034">
        <f t="shared" si="50"/>
        <v>0</v>
      </c>
      <c r="AN46" s="2034">
        <f t="shared" si="51"/>
        <v>0</v>
      </c>
    </row>
    <row r="47" spans="1:40">
      <c r="A47" s="879">
        <v>40</v>
      </c>
      <c r="B47" s="880" t="s">
        <v>131</v>
      </c>
      <c r="C47" s="973">
        <v>0</v>
      </c>
      <c r="D47" s="883">
        <f>'Table 3 Levels 1&amp;2'!AL47</f>
        <v>4928.4974462701202</v>
      </c>
      <c r="E47" s="922">
        <f t="shared" si="31"/>
        <v>0</v>
      </c>
      <c r="F47" s="922">
        <f>'Table 4 Level 3'!P45</f>
        <v>700.2700000000001</v>
      </c>
      <c r="G47" s="922">
        <f t="shared" si="32"/>
        <v>0</v>
      </c>
      <c r="H47" s="906">
        <f t="shared" si="33"/>
        <v>0</v>
      </c>
      <c r="I47" s="1735">
        <f>+'[3]Oct midyear Tallulah Charter'!K46</f>
        <v>0</v>
      </c>
      <c r="J47" s="1735">
        <f>'[3]Feb midyear Tallulah Charter'!K46</f>
        <v>0</v>
      </c>
      <c r="K47" s="1546">
        <f t="shared" si="34"/>
        <v>0</v>
      </c>
      <c r="L47" s="1490">
        <f t="shared" si="52"/>
        <v>0</v>
      </c>
      <c r="M47" s="932">
        <f t="shared" si="35"/>
        <v>0</v>
      </c>
      <c r="N47" s="906">
        <f t="shared" si="36"/>
        <v>0</v>
      </c>
      <c r="O47" s="883">
        <v>0</v>
      </c>
      <c r="P47" s="1553">
        <f t="shared" si="37"/>
        <v>0</v>
      </c>
      <c r="Q47" s="1722">
        <f>'[4]Table 5C1K-Tallulah Charter'!M46+'[27]Table 5C1K-Tallulah Charter'!T46+('[26]Table 5C1K-Tallulah Charter'!T46*6)</f>
        <v>0</v>
      </c>
      <c r="R47" s="1735">
        <f t="shared" si="38"/>
        <v>0</v>
      </c>
      <c r="S47" s="1806">
        <f t="shared" si="39"/>
        <v>0</v>
      </c>
      <c r="T47" s="1807">
        <f>'Table 5C1A-Madison Prep'!T47</f>
        <v>3019</v>
      </c>
      <c r="U47" s="1556">
        <f t="shared" si="53"/>
        <v>0</v>
      </c>
      <c r="V47" s="1762">
        <f>+'[3]Oct midyear Tallulah Charter'!E46</f>
        <v>0</v>
      </c>
      <c r="W47" s="1763">
        <f t="shared" si="40"/>
        <v>0</v>
      </c>
      <c r="X47" s="1762">
        <f>'[3]Feb midyear Tallulah Charter'!E46</f>
        <v>0</v>
      </c>
      <c r="Y47" s="1763">
        <f t="shared" si="41"/>
        <v>0</v>
      </c>
      <c r="Z47" s="1654">
        <f t="shared" si="42"/>
        <v>0</v>
      </c>
      <c r="AA47" s="1488">
        <f t="shared" si="43"/>
        <v>0</v>
      </c>
      <c r="AB47" s="938">
        <f t="shared" si="44"/>
        <v>0</v>
      </c>
      <c r="AC47" s="903">
        <f t="shared" si="45"/>
        <v>0</v>
      </c>
      <c r="AD47" s="1831">
        <v>0</v>
      </c>
      <c r="AE47" s="903">
        <f t="shared" si="46"/>
        <v>0</v>
      </c>
      <c r="AF47" s="1837">
        <f>'[4]Table 5C1K-Tallulah Charter'!T46+'[27]Table 5C1K-Tallulah Charter'!AF46+('[26]Table 5C1K-Tallulah Charter'!AF46*6)</f>
        <v>0</v>
      </c>
      <c r="AG47" s="1835">
        <f t="shared" si="47"/>
        <v>0</v>
      </c>
      <c r="AH47" s="1530">
        <f t="shared" si="48"/>
        <v>0</v>
      </c>
      <c r="AI47" s="904">
        <f t="shared" si="54"/>
        <v>0</v>
      </c>
      <c r="AJ47" s="904">
        <f t="shared" si="49"/>
        <v>0</v>
      </c>
      <c r="AL47" s="2034">
        <f>-'[4]Table 5C1K-Tallulah Charter'!P46</f>
        <v>0</v>
      </c>
      <c r="AM47" s="2034">
        <f t="shared" si="50"/>
        <v>0</v>
      </c>
      <c r="AN47" s="2034">
        <f t="shared" si="51"/>
        <v>0</v>
      </c>
    </row>
    <row r="48" spans="1:40">
      <c r="A48" s="870">
        <v>41</v>
      </c>
      <c r="B48" s="871" t="s">
        <v>132</v>
      </c>
      <c r="C48" s="974">
        <v>0</v>
      </c>
      <c r="D48" s="884">
        <f>'Table 3 Levels 1&amp;2'!AL48</f>
        <v>1615.6013465627216</v>
      </c>
      <c r="E48" s="923">
        <f t="shared" si="31"/>
        <v>0</v>
      </c>
      <c r="F48" s="923">
        <f>'Table 4 Level 3'!P46</f>
        <v>886.22</v>
      </c>
      <c r="G48" s="923">
        <f t="shared" si="32"/>
        <v>0</v>
      </c>
      <c r="H48" s="907">
        <f t="shared" si="33"/>
        <v>0</v>
      </c>
      <c r="I48" s="1723">
        <f>+'[3]Oct midyear Tallulah Charter'!K47</f>
        <v>0</v>
      </c>
      <c r="J48" s="1723">
        <f>'[3]Feb midyear Tallulah Charter'!K47</f>
        <v>0</v>
      </c>
      <c r="K48" s="1547">
        <f t="shared" si="34"/>
        <v>0</v>
      </c>
      <c r="L48" s="1491">
        <f t="shared" si="52"/>
        <v>0</v>
      </c>
      <c r="M48" s="933">
        <f t="shared" si="35"/>
        <v>0</v>
      </c>
      <c r="N48" s="907">
        <f t="shared" si="36"/>
        <v>0</v>
      </c>
      <c r="O48" s="884">
        <v>0</v>
      </c>
      <c r="P48" s="996">
        <f t="shared" si="37"/>
        <v>0</v>
      </c>
      <c r="Q48" s="1723">
        <f>'[4]Table 5C1K-Tallulah Charter'!M47+'[27]Table 5C1K-Tallulah Charter'!T47+('[26]Table 5C1K-Tallulah Charter'!T47*6)</f>
        <v>0</v>
      </c>
      <c r="R48" s="1723">
        <f t="shared" si="38"/>
        <v>0</v>
      </c>
      <c r="S48" s="998">
        <f t="shared" si="39"/>
        <v>0</v>
      </c>
      <c r="T48" s="1802">
        <f>'Table 5C1A-Madison Prep'!T48</f>
        <v>8964</v>
      </c>
      <c r="U48" s="999">
        <f t="shared" si="53"/>
        <v>0</v>
      </c>
      <c r="V48" s="1754">
        <f>+'[3]Oct midyear Tallulah Charter'!E47</f>
        <v>0</v>
      </c>
      <c r="W48" s="1755">
        <f t="shared" si="40"/>
        <v>0</v>
      </c>
      <c r="X48" s="1754">
        <f>'[3]Feb midyear Tallulah Charter'!E47</f>
        <v>0</v>
      </c>
      <c r="Y48" s="1755">
        <f t="shared" si="41"/>
        <v>0</v>
      </c>
      <c r="Z48" s="1652">
        <f t="shared" si="42"/>
        <v>0</v>
      </c>
      <c r="AA48" s="1481">
        <f t="shared" si="43"/>
        <v>0</v>
      </c>
      <c r="AB48" s="936">
        <f t="shared" si="44"/>
        <v>0</v>
      </c>
      <c r="AC48" s="874">
        <f t="shared" si="45"/>
        <v>0</v>
      </c>
      <c r="AD48" s="1829">
        <v>0</v>
      </c>
      <c r="AE48" s="874">
        <f t="shared" si="46"/>
        <v>0</v>
      </c>
      <c r="AF48" s="1829">
        <f>'[4]Table 5C1K-Tallulah Charter'!T47+'[27]Table 5C1K-Tallulah Charter'!AF47+('[26]Table 5C1K-Tallulah Charter'!AF47*6)</f>
        <v>0</v>
      </c>
      <c r="AG48" s="1829">
        <f t="shared" si="47"/>
        <v>0</v>
      </c>
      <c r="AH48" s="1521">
        <f t="shared" si="48"/>
        <v>0</v>
      </c>
      <c r="AI48" s="875">
        <f t="shared" si="54"/>
        <v>0</v>
      </c>
      <c r="AJ48" s="875">
        <f t="shared" si="49"/>
        <v>0</v>
      </c>
      <c r="AL48" s="2034">
        <f>-'[4]Table 5C1K-Tallulah Charter'!P47</f>
        <v>0</v>
      </c>
      <c r="AM48" s="2034">
        <f t="shared" si="50"/>
        <v>0</v>
      </c>
      <c r="AN48" s="2034">
        <f t="shared" si="51"/>
        <v>0</v>
      </c>
    </row>
    <row r="49" spans="1:40">
      <c r="A49" s="876">
        <v>42</v>
      </c>
      <c r="B49" s="877" t="s">
        <v>133</v>
      </c>
      <c r="C49" s="972">
        <v>0</v>
      </c>
      <c r="D49" s="882">
        <f>'Table 3 Levels 1&amp;2'!AL49</f>
        <v>5087.4730460987803</v>
      </c>
      <c r="E49" s="921">
        <f t="shared" si="31"/>
        <v>0</v>
      </c>
      <c r="F49" s="921">
        <f>'Table 4 Level 3'!P47</f>
        <v>534.28</v>
      </c>
      <c r="G49" s="921">
        <f t="shared" si="32"/>
        <v>0</v>
      </c>
      <c r="H49" s="905">
        <f t="shared" si="33"/>
        <v>0</v>
      </c>
      <c r="I49" s="1734">
        <f>+'[3]Oct midyear Tallulah Charter'!K48</f>
        <v>0</v>
      </c>
      <c r="J49" s="1734">
        <f>'[3]Feb midyear Tallulah Charter'!K48</f>
        <v>0</v>
      </c>
      <c r="K49" s="1545">
        <f t="shared" si="34"/>
        <v>0</v>
      </c>
      <c r="L49" s="1489">
        <f t="shared" si="52"/>
        <v>0</v>
      </c>
      <c r="M49" s="931">
        <f t="shared" si="35"/>
        <v>0</v>
      </c>
      <c r="N49" s="905">
        <f t="shared" si="36"/>
        <v>0</v>
      </c>
      <c r="O49" s="882">
        <v>0</v>
      </c>
      <c r="P49" s="1552">
        <f t="shared" si="37"/>
        <v>0</v>
      </c>
      <c r="Q49" s="1721">
        <f>'[4]Table 5C1K-Tallulah Charter'!M48+'[27]Table 5C1K-Tallulah Charter'!T48+('[26]Table 5C1K-Tallulah Charter'!T48*6)</f>
        <v>611.74894510729439</v>
      </c>
      <c r="R49" s="1734">
        <f t="shared" si="38"/>
        <v>-611.74894510729439</v>
      </c>
      <c r="S49" s="998">
        <f t="shared" si="39"/>
        <v>-153</v>
      </c>
      <c r="T49" s="1802">
        <f>'Table 5C1A-Madison Prep'!T49</f>
        <v>3535</v>
      </c>
      <c r="U49" s="1555">
        <f t="shared" si="53"/>
        <v>0</v>
      </c>
      <c r="V49" s="1758">
        <f>+'[3]Oct midyear Tallulah Charter'!E48</f>
        <v>0</v>
      </c>
      <c r="W49" s="1759">
        <f t="shared" si="40"/>
        <v>0</v>
      </c>
      <c r="X49" s="1758">
        <f>'[3]Feb midyear Tallulah Charter'!E48</f>
        <v>0</v>
      </c>
      <c r="Y49" s="1759">
        <f t="shared" si="41"/>
        <v>0</v>
      </c>
      <c r="Z49" s="1653">
        <f t="shared" si="42"/>
        <v>0</v>
      </c>
      <c r="AA49" s="1486">
        <f t="shared" si="43"/>
        <v>0</v>
      </c>
      <c r="AB49" s="937">
        <f t="shared" si="44"/>
        <v>0</v>
      </c>
      <c r="AC49" s="899">
        <f t="shared" si="45"/>
        <v>0</v>
      </c>
      <c r="AD49" s="1830">
        <v>0</v>
      </c>
      <c r="AE49" s="899">
        <f t="shared" si="46"/>
        <v>0</v>
      </c>
      <c r="AF49" s="1829">
        <f>'[4]Table 5C1K-Tallulah Charter'!T48+'[27]Table 5C1K-Tallulah Charter'!AF48+('[26]Table 5C1K-Tallulah Charter'!AF48*6)</f>
        <v>311.98172727272731</v>
      </c>
      <c r="AG49" s="1834">
        <f t="shared" si="47"/>
        <v>-311.98172727272731</v>
      </c>
      <c r="AH49" s="1521">
        <f t="shared" si="48"/>
        <v>-78</v>
      </c>
      <c r="AI49" s="900">
        <f t="shared" si="54"/>
        <v>0</v>
      </c>
      <c r="AJ49" s="900">
        <f t="shared" si="49"/>
        <v>-231</v>
      </c>
      <c r="AL49" s="2034">
        <f>-'[4]Table 5C1K-Tallulah Charter'!P48</f>
        <v>0</v>
      </c>
      <c r="AM49" s="2034">
        <f t="shared" si="50"/>
        <v>0</v>
      </c>
      <c r="AN49" s="2034">
        <f t="shared" si="51"/>
        <v>0</v>
      </c>
    </row>
    <row r="50" spans="1:40">
      <c r="A50" s="876">
        <v>43</v>
      </c>
      <c r="B50" s="877" t="s">
        <v>134</v>
      </c>
      <c r="C50" s="972">
        <v>0</v>
      </c>
      <c r="D50" s="882">
        <f>'Table 3 Levels 1&amp;2'!AL50</f>
        <v>4717.8414352725031</v>
      </c>
      <c r="E50" s="921">
        <f t="shared" si="31"/>
        <v>0</v>
      </c>
      <c r="F50" s="921">
        <f>'Table 4 Level 3'!P48</f>
        <v>574.6099999999999</v>
      </c>
      <c r="G50" s="921">
        <f t="shared" si="32"/>
        <v>0</v>
      </c>
      <c r="H50" s="905">
        <f t="shared" si="33"/>
        <v>0</v>
      </c>
      <c r="I50" s="1734">
        <f>+'[3]Oct midyear Tallulah Charter'!K49</f>
        <v>0</v>
      </c>
      <c r="J50" s="1734">
        <f>'[3]Feb midyear Tallulah Charter'!K49</f>
        <v>0</v>
      </c>
      <c r="K50" s="1545">
        <f t="shared" si="34"/>
        <v>0</v>
      </c>
      <c r="L50" s="1489">
        <f t="shared" si="52"/>
        <v>0</v>
      </c>
      <c r="M50" s="931">
        <f t="shared" si="35"/>
        <v>0</v>
      </c>
      <c r="N50" s="905">
        <f t="shared" si="36"/>
        <v>0</v>
      </c>
      <c r="O50" s="882">
        <v>0</v>
      </c>
      <c r="P50" s="1552">
        <f t="shared" si="37"/>
        <v>0</v>
      </c>
      <c r="Q50" s="1721">
        <f>'[4]Table 5C1K-Tallulah Charter'!M49+'[27]Table 5C1K-Tallulah Charter'!T49+('[26]Table 5C1K-Tallulah Charter'!T49*6)</f>
        <v>0</v>
      </c>
      <c r="R50" s="1734">
        <f t="shared" si="38"/>
        <v>0</v>
      </c>
      <c r="S50" s="998">
        <f t="shared" si="39"/>
        <v>0</v>
      </c>
      <c r="T50" s="1802">
        <f>'Table 5C1A-Madison Prep'!T50</f>
        <v>3593</v>
      </c>
      <c r="U50" s="1555">
        <f t="shared" si="53"/>
        <v>0</v>
      </c>
      <c r="V50" s="1758">
        <f>+'[3]Oct midyear Tallulah Charter'!E49</f>
        <v>0</v>
      </c>
      <c r="W50" s="1759">
        <f t="shared" si="40"/>
        <v>0</v>
      </c>
      <c r="X50" s="1758">
        <f>'[3]Feb midyear Tallulah Charter'!E49</f>
        <v>0</v>
      </c>
      <c r="Y50" s="1759">
        <f t="shared" si="41"/>
        <v>0</v>
      </c>
      <c r="Z50" s="1653">
        <f t="shared" si="42"/>
        <v>0</v>
      </c>
      <c r="AA50" s="1486">
        <f t="shared" si="43"/>
        <v>0</v>
      </c>
      <c r="AB50" s="937">
        <f t="shared" si="44"/>
        <v>0</v>
      </c>
      <c r="AC50" s="899">
        <f t="shared" si="45"/>
        <v>0</v>
      </c>
      <c r="AD50" s="1830">
        <v>0</v>
      </c>
      <c r="AE50" s="899">
        <f t="shared" si="46"/>
        <v>0</v>
      </c>
      <c r="AF50" s="1829">
        <f>'[4]Table 5C1K-Tallulah Charter'!T49+'[27]Table 5C1K-Tallulah Charter'!AF49+('[26]Table 5C1K-Tallulah Charter'!AF49*6)</f>
        <v>0</v>
      </c>
      <c r="AG50" s="1834">
        <f t="shared" si="47"/>
        <v>0</v>
      </c>
      <c r="AH50" s="1521">
        <f t="shared" si="48"/>
        <v>0</v>
      </c>
      <c r="AI50" s="900">
        <f t="shared" si="54"/>
        <v>0</v>
      </c>
      <c r="AJ50" s="900">
        <f t="shared" si="49"/>
        <v>0</v>
      </c>
      <c r="AL50" s="2034">
        <f>-'[4]Table 5C1K-Tallulah Charter'!P49</f>
        <v>0</v>
      </c>
      <c r="AM50" s="2034">
        <f t="shared" si="50"/>
        <v>0</v>
      </c>
      <c r="AN50" s="2034">
        <f t="shared" si="51"/>
        <v>0</v>
      </c>
    </row>
    <row r="51" spans="1:40">
      <c r="A51" s="876">
        <v>44</v>
      </c>
      <c r="B51" s="877" t="s">
        <v>135</v>
      </c>
      <c r="C51" s="972">
        <v>0</v>
      </c>
      <c r="D51" s="882">
        <f>'Table 3 Levels 1&amp;2'!AL51</f>
        <v>4696.6221228259064</v>
      </c>
      <c r="E51" s="921">
        <f t="shared" si="31"/>
        <v>0</v>
      </c>
      <c r="F51" s="921">
        <f>'Table 4 Level 3'!P49</f>
        <v>663.16000000000008</v>
      </c>
      <c r="G51" s="921">
        <f t="shared" si="32"/>
        <v>0</v>
      </c>
      <c r="H51" s="905">
        <f t="shared" si="33"/>
        <v>0</v>
      </c>
      <c r="I51" s="1734">
        <f>+'[3]Oct midyear Tallulah Charter'!K50</f>
        <v>0</v>
      </c>
      <c r="J51" s="1734">
        <f>'[3]Feb midyear Tallulah Charter'!K50</f>
        <v>0</v>
      </c>
      <c r="K51" s="1545">
        <f t="shared" si="34"/>
        <v>0</v>
      </c>
      <c r="L51" s="1489">
        <f t="shared" si="52"/>
        <v>0</v>
      </c>
      <c r="M51" s="931">
        <f t="shared" si="35"/>
        <v>0</v>
      </c>
      <c r="N51" s="905">
        <f t="shared" si="36"/>
        <v>0</v>
      </c>
      <c r="O51" s="882">
        <v>0</v>
      </c>
      <c r="P51" s="1552">
        <f t="shared" si="37"/>
        <v>0</v>
      </c>
      <c r="Q51" s="1721">
        <f>'[4]Table 5C1K-Tallulah Charter'!M50+'[27]Table 5C1K-Tallulah Charter'!T50+('[26]Table 5C1K-Tallulah Charter'!T50*6)</f>
        <v>0</v>
      </c>
      <c r="R51" s="1734">
        <f t="shared" si="38"/>
        <v>0</v>
      </c>
      <c r="S51" s="998">
        <f t="shared" si="39"/>
        <v>0</v>
      </c>
      <c r="T51" s="1802">
        <f>'Table 5C1A-Madison Prep'!T51</f>
        <v>4323</v>
      </c>
      <c r="U51" s="1555">
        <f t="shared" si="53"/>
        <v>0</v>
      </c>
      <c r="V51" s="1758">
        <f>+'[3]Oct midyear Tallulah Charter'!E50</f>
        <v>0</v>
      </c>
      <c r="W51" s="1759">
        <f t="shared" si="40"/>
        <v>0</v>
      </c>
      <c r="X51" s="1758">
        <f>'[3]Feb midyear Tallulah Charter'!E50</f>
        <v>0</v>
      </c>
      <c r="Y51" s="1759">
        <f t="shared" si="41"/>
        <v>0</v>
      </c>
      <c r="Z51" s="1653">
        <f t="shared" si="42"/>
        <v>0</v>
      </c>
      <c r="AA51" s="1486">
        <f t="shared" si="43"/>
        <v>0</v>
      </c>
      <c r="AB51" s="937">
        <f t="shared" si="44"/>
        <v>0</v>
      </c>
      <c r="AC51" s="899">
        <f t="shared" si="45"/>
        <v>0</v>
      </c>
      <c r="AD51" s="1830">
        <v>0</v>
      </c>
      <c r="AE51" s="899">
        <f t="shared" si="46"/>
        <v>0</v>
      </c>
      <c r="AF51" s="1829">
        <f>'[4]Table 5C1K-Tallulah Charter'!T50+'[27]Table 5C1K-Tallulah Charter'!AF50+('[26]Table 5C1K-Tallulah Charter'!AF50*6)</f>
        <v>0</v>
      </c>
      <c r="AG51" s="1834">
        <f t="shared" si="47"/>
        <v>0</v>
      </c>
      <c r="AH51" s="1521">
        <f t="shared" si="48"/>
        <v>0</v>
      </c>
      <c r="AI51" s="900">
        <f t="shared" si="54"/>
        <v>0</v>
      </c>
      <c r="AJ51" s="900">
        <f t="shared" si="49"/>
        <v>0</v>
      </c>
      <c r="AL51" s="2034">
        <f>-'[4]Table 5C1K-Tallulah Charter'!P50</f>
        <v>0</v>
      </c>
      <c r="AM51" s="2034">
        <f t="shared" si="50"/>
        <v>0</v>
      </c>
      <c r="AN51" s="2034">
        <f t="shared" si="51"/>
        <v>0</v>
      </c>
    </row>
    <row r="52" spans="1:40">
      <c r="A52" s="879">
        <v>45</v>
      </c>
      <c r="B52" s="880" t="s">
        <v>136</v>
      </c>
      <c r="C52" s="973">
        <v>0</v>
      </c>
      <c r="D52" s="883">
        <f>'Table 3 Levels 1&amp;2'!AL52</f>
        <v>2192.4914538932262</v>
      </c>
      <c r="E52" s="922">
        <f t="shared" si="31"/>
        <v>0</v>
      </c>
      <c r="F52" s="922">
        <f>'Table 4 Level 3'!P50</f>
        <v>753.96000000000015</v>
      </c>
      <c r="G52" s="922">
        <f t="shared" si="32"/>
        <v>0</v>
      </c>
      <c r="H52" s="906">
        <f t="shared" si="33"/>
        <v>0</v>
      </c>
      <c r="I52" s="1735">
        <f>+'[3]Oct midyear Tallulah Charter'!K51</f>
        <v>0</v>
      </c>
      <c r="J52" s="1735">
        <f>'[3]Feb midyear Tallulah Charter'!K51</f>
        <v>0</v>
      </c>
      <c r="K52" s="1546">
        <f t="shared" si="34"/>
        <v>0</v>
      </c>
      <c r="L52" s="1490">
        <f t="shared" si="52"/>
        <v>0</v>
      </c>
      <c r="M52" s="932">
        <f t="shared" si="35"/>
        <v>0</v>
      </c>
      <c r="N52" s="906">
        <f t="shared" si="36"/>
        <v>0</v>
      </c>
      <c r="O52" s="883">
        <v>0</v>
      </c>
      <c r="P52" s="1553">
        <f t="shared" si="37"/>
        <v>0</v>
      </c>
      <c r="Q52" s="1722">
        <f>'[4]Table 5C1K-Tallulah Charter'!M51+'[27]Table 5C1K-Tallulah Charter'!T51+('[26]Table 5C1K-Tallulah Charter'!T51*6)</f>
        <v>0</v>
      </c>
      <c r="R52" s="1735">
        <f t="shared" si="38"/>
        <v>0</v>
      </c>
      <c r="S52" s="1806">
        <f t="shared" si="39"/>
        <v>0</v>
      </c>
      <c r="T52" s="1807">
        <f>'Table 5C1A-Madison Prep'!T52</f>
        <v>12792</v>
      </c>
      <c r="U52" s="1556">
        <f t="shared" si="53"/>
        <v>0</v>
      </c>
      <c r="V52" s="1762">
        <f>+'[3]Oct midyear Tallulah Charter'!E51</f>
        <v>0</v>
      </c>
      <c r="W52" s="1763">
        <f t="shared" si="40"/>
        <v>0</v>
      </c>
      <c r="X52" s="1762">
        <f>'[3]Feb midyear Tallulah Charter'!E51</f>
        <v>0</v>
      </c>
      <c r="Y52" s="1763">
        <f t="shared" si="41"/>
        <v>0</v>
      </c>
      <c r="Z52" s="1654">
        <f t="shared" si="42"/>
        <v>0</v>
      </c>
      <c r="AA52" s="1488">
        <f t="shared" si="43"/>
        <v>0</v>
      </c>
      <c r="AB52" s="938">
        <f t="shared" si="44"/>
        <v>0</v>
      </c>
      <c r="AC52" s="903">
        <f t="shared" si="45"/>
        <v>0</v>
      </c>
      <c r="AD52" s="1831">
        <v>0</v>
      </c>
      <c r="AE52" s="903">
        <f t="shared" si="46"/>
        <v>0</v>
      </c>
      <c r="AF52" s="1837">
        <f>'[4]Table 5C1K-Tallulah Charter'!T51+'[27]Table 5C1K-Tallulah Charter'!AF51+('[26]Table 5C1K-Tallulah Charter'!AF51*6)</f>
        <v>0</v>
      </c>
      <c r="AG52" s="1835">
        <f t="shared" si="47"/>
        <v>0</v>
      </c>
      <c r="AH52" s="1530">
        <f t="shared" si="48"/>
        <v>0</v>
      </c>
      <c r="AI52" s="904">
        <f t="shared" si="54"/>
        <v>0</v>
      </c>
      <c r="AJ52" s="904">
        <f t="shared" si="49"/>
        <v>0</v>
      </c>
      <c r="AL52" s="2034">
        <f>-'[4]Table 5C1K-Tallulah Charter'!P51</f>
        <v>0</v>
      </c>
      <c r="AM52" s="2034">
        <f t="shared" si="50"/>
        <v>0</v>
      </c>
      <c r="AN52" s="2034">
        <f t="shared" si="51"/>
        <v>0</v>
      </c>
    </row>
    <row r="53" spans="1:40">
      <c r="A53" s="870">
        <v>46</v>
      </c>
      <c r="B53" s="871" t="s">
        <v>137</v>
      </c>
      <c r="C53" s="974">
        <v>0</v>
      </c>
      <c r="D53" s="884">
        <f>'Table 3 Levels 1&amp;2'!AL53</f>
        <v>5644.6599115241634</v>
      </c>
      <c r="E53" s="923">
        <f t="shared" si="31"/>
        <v>0</v>
      </c>
      <c r="F53" s="923">
        <f>'Table 4 Level 3'!P51</f>
        <v>728.06</v>
      </c>
      <c r="G53" s="923">
        <f t="shared" si="32"/>
        <v>0</v>
      </c>
      <c r="H53" s="907">
        <f t="shared" si="33"/>
        <v>0</v>
      </c>
      <c r="I53" s="1723">
        <f>+'[3]Oct midyear Tallulah Charter'!K52</f>
        <v>0</v>
      </c>
      <c r="J53" s="1723">
        <f>'[3]Feb midyear Tallulah Charter'!K52</f>
        <v>0</v>
      </c>
      <c r="K53" s="1547">
        <f t="shared" si="34"/>
        <v>0</v>
      </c>
      <c r="L53" s="1491">
        <f t="shared" si="52"/>
        <v>0</v>
      </c>
      <c r="M53" s="933">
        <f t="shared" si="35"/>
        <v>0</v>
      </c>
      <c r="N53" s="907">
        <f t="shared" si="36"/>
        <v>0</v>
      </c>
      <c r="O53" s="884">
        <v>0</v>
      </c>
      <c r="P53" s="996">
        <f t="shared" si="37"/>
        <v>0</v>
      </c>
      <c r="Q53" s="1723">
        <f>'[4]Table 5C1K-Tallulah Charter'!M52+'[27]Table 5C1K-Tallulah Charter'!T52+('[26]Table 5C1K-Tallulah Charter'!T52*6)</f>
        <v>0</v>
      </c>
      <c r="R53" s="1723">
        <f t="shared" si="38"/>
        <v>0</v>
      </c>
      <c r="S53" s="998">
        <f t="shared" si="39"/>
        <v>0</v>
      </c>
      <c r="T53" s="1802">
        <f>'Table 5C1A-Madison Prep'!T53</f>
        <v>2423</v>
      </c>
      <c r="U53" s="999">
        <f t="shared" si="53"/>
        <v>0</v>
      </c>
      <c r="V53" s="1754">
        <f>+'[3]Oct midyear Tallulah Charter'!E52</f>
        <v>0</v>
      </c>
      <c r="W53" s="1755">
        <f t="shared" si="40"/>
        <v>0</v>
      </c>
      <c r="X53" s="1754">
        <f>'[3]Feb midyear Tallulah Charter'!E52</f>
        <v>0</v>
      </c>
      <c r="Y53" s="1755">
        <f t="shared" si="41"/>
        <v>0</v>
      </c>
      <c r="Z53" s="1652">
        <f t="shared" si="42"/>
        <v>0</v>
      </c>
      <c r="AA53" s="1481">
        <f t="shared" si="43"/>
        <v>0</v>
      </c>
      <c r="AB53" s="936">
        <f t="shared" si="44"/>
        <v>0</v>
      </c>
      <c r="AC53" s="874">
        <f t="shared" si="45"/>
        <v>0</v>
      </c>
      <c r="AD53" s="1829">
        <v>0</v>
      </c>
      <c r="AE53" s="874">
        <f t="shared" si="46"/>
        <v>0</v>
      </c>
      <c r="AF53" s="1829">
        <f>'[4]Table 5C1K-Tallulah Charter'!T52+'[27]Table 5C1K-Tallulah Charter'!AF52+('[26]Table 5C1K-Tallulah Charter'!AF52*6)</f>
        <v>0</v>
      </c>
      <c r="AG53" s="1829">
        <f t="shared" si="47"/>
        <v>0</v>
      </c>
      <c r="AH53" s="1521">
        <f t="shared" si="48"/>
        <v>0</v>
      </c>
      <c r="AI53" s="875">
        <f t="shared" si="54"/>
        <v>0</v>
      </c>
      <c r="AJ53" s="875">
        <f t="shared" si="49"/>
        <v>0</v>
      </c>
      <c r="AL53" s="2034">
        <f>-'[4]Table 5C1K-Tallulah Charter'!P52</f>
        <v>0</v>
      </c>
      <c r="AM53" s="2034">
        <f t="shared" si="50"/>
        <v>0</v>
      </c>
      <c r="AN53" s="2034">
        <f t="shared" si="51"/>
        <v>0</v>
      </c>
    </row>
    <row r="54" spans="1:40">
      <c r="A54" s="876">
        <v>47</v>
      </c>
      <c r="B54" s="877" t="s">
        <v>138</v>
      </c>
      <c r="C54" s="972">
        <v>0</v>
      </c>
      <c r="D54" s="882">
        <f>'Table 3 Levels 1&amp;2'!AL54</f>
        <v>2731.2444076222037</v>
      </c>
      <c r="E54" s="921">
        <f t="shared" si="31"/>
        <v>0</v>
      </c>
      <c r="F54" s="921">
        <f>'Table 4 Level 3'!P52</f>
        <v>910.76</v>
      </c>
      <c r="G54" s="921">
        <f t="shared" si="32"/>
        <v>0</v>
      </c>
      <c r="H54" s="905">
        <f t="shared" si="33"/>
        <v>0</v>
      </c>
      <c r="I54" s="1734">
        <f>+'[3]Oct midyear Tallulah Charter'!K53</f>
        <v>0</v>
      </c>
      <c r="J54" s="1734">
        <f>'[3]Feb midyear Tallulah Charter'!K53</f>
        <v>0</v>
      </c>
      <c r="K54" s="1545">
        <f t="shared" si="34"/>
        <v>0</v>
      </c>
      <c r="L54" s="1489">
        <f t="shared" si="52"/>
        <v>0</v>
      </c>
      <c r="M54" s="931">
        <f t="shared" si="35"/>
        <v>0</v>
      </c>
      <c r="N54" s="905">
        <f t="shared" si="36"/>
        <v>0</v>
      </c>
      <c r="O54" s="882">
        <v>0</v>
      </c>
      <c r="P54" s="1552">
        <f t="shared" si="37"/>
        <v>0</v>
      </c>
      <c r="Q54" s="1721">
        <f>'[4]Table 5C1K-Tallulah Charter'!M53+'[27]Table 5C1K-Tallulah Charter'!T53+('[26]Table 5C1K-Tallulah Charter'!T53*6)</f>
        <v>0</v>
      </c>
      <c r="R54" s="1734">
        <f t="shared" si="38"/>
        <v>0</v>
      </c>
      <c r="S54" s="998">
        <f t="shared" si="39"/>
        <v>0</v>
      </c>
      <c r="T54" s="1802">
        <f>'Table 5C1A-Madison Prep'!T54</f>
        <v>12963</v>
      </c>
      <c r="U54" s="1555">
        <f t="shared" si="53"/>
        <v>0</v>
      </c>
      <c r="V54" s="1758">
        <f>+'[3]Oct midyear Tallulah Charter'!E53</f>
        <v>0</v>
      </c>
      <c r="W54" s="1759">
        <f t="shared" si="40"/>
        <v>0</v>
      </c>
      <c r="X54" s="1758">
        <f>'[3]Feb midyear Tallulah Charter'!E53</f>
        <v>0</v>
      </c>
      <c r="Y54" s="1759">
        <f t="shared" si="41"/>
        <v>0</v>
      </c>
      <c r="Z54" s="1653">
        <f t="shared" si="42"/>
        <v>0</v>
      </c>
      <c r="AA54" s="1486">
        <f t="shared" si="43"/>
        <v>0</v>
      </c>
      <c r="AB54" s="937">
        <f t="shared" si="44"/>
        <v>0</v>
      </c>
      <c r="AC54" s="899">
        <f t="shared" si="45"/>
        <v>0</v>
      </c>
      <c r="AD54" s="1830">
        <v>0</v>
      </c>
      <c r="AE54" s="899">
        <f t="shared" si="46"/>
        <v>0</v>
      </c>
      <c r="AF54" s="1829">
        <f>'[4]Table 5C1K-Tallulah Charter'!T53+'[27]Table 5C1K-Tallulah Charter'!AF53+('[26]Table 5C1K-Tallulah Charter'!AF53*6)</f>
        <v>0</v>
      </c>
      <c r="AG54" s="1834">
        <f t="shared" si="47"/>
        <v>0</v>
      </c>
      <c r="AH54" s="1521">
        <f t="shared" si="48"/>
        <v>0</v>
      </c>
      <c r="AI54" s="900">
        <f t="shared" si="54"/>
        <v>0</v>
      </c>
      <c r="AJ54" s="900">
        <f t="shared" si="49"/>
        <v>0</v>
      </c>
      <c r="AL54" s="2034">
        <f>-'[4]Table 5C1K-Tallulah Charter'!P53</f>
        <v>0</v>
      </c>
      <c r="AM54" s="2034">
        <f t="shared" si="50"/>
        <v>0</v>
      </c>
      <c r="AN54" s="2034">
        <f t="shared" si="51"/>
        <v>0</v>
      </c>
    </row>
    <row r="55" spans="1:40">
      <c r="A55" s="876">
        <v>48</v>
      </c>
      <c r="B55" s="877" t="s">
        <v>195</v>
      </c>
      <c r="C55" s="972">
        <v>0</v>
      </c>
      <c r="D55" s="882">
        <f>'Table 3 Levels 1&amp;2'!AL55</f>
        <v>4272.723323083942</v>
      </c>
      <c r="E55" s="921">
        <f t="shared" si="31"/>
        <v>0</v>
      </c>
      <c r="F55" s="921">
        <f>'Table 4 Level 3'!P53</f>
        <v>871.07</v>
      </c>
      <c r="G55" s="921">
        <f t="shared" si="32"/>
        <v>0</v>
      </c>
      <c r="H55" s="905">
        <f t="shared" si="33"/>
        <v>0</v>
      </c>
      <c r="I55" s="1734">
        <f>+'[3]Oct midyear Tallulah Charter'!K54</f>
        <v>0</v>
      </c>
      <c r="J55" s="1734">
        <f>'[3]Feb midyear Tallulah Charter'!K54</f>
        <v>0</v>
      </c>
      <c r="K55" s="1545">
        <f t="shared" si="34"/>
        <v>0</v>
      </c>
      <c r="L55" s="1489">
        <f t="shared" si="52"/>
        <v>0</v>
      </c>
      <c r="M55" s="931">
        <f t="shared" si="35"/>
        <v>0</v>
      </c>
      <c r="N55" s="905">
        <f t="shared" si="36"/>
        <v>0</v>
      </c>
      <c r="O55" s="882">
        <v>0</v>
      </c>
      <c r="P55" s="1552">
        <f t="shared" si="37"/>
        <v>0</v>
      </c>
      <c r="Q55" s="1721">
        <f>'[4]Table 5C1K-Tallulah Charter'!M54+'[27]Table 5C1K-Tallulah Charter'!T54+('[26]Table 5C1K-Tallulah Charter'!T54*6)</f>
        <v>0</v>
      </c>
      <c r="R55" s="1734">
        <f t="shared" si="38"/>
        <v>0</v>
      </c>
      <c r="S55" s="998">
        <f t="shared" si="39"/>
        <v>0</v>
      </c>
      <c r="T55" s="1802">
        <f>'Table 5C1A-Madison Prep'!T55</f>
        <v>6585</v>
      </c>
      <c r="U55" s="1555">
        <f t="shared" si="53"/>
        <v>0</v>
      </c>
      <c r="V55" s="1758">
        <f>+'[3]Oct midyear Tallulah Charter'!E54</f>
        <v>0</v>
      </c>
      <c r="W55" s="1759">
        <f t="shared" si="40"/>
        <v>0</v>
      </c>
      <c r="X55" s="1758">
        <f>'[3]Feb midyear Tallulah Charter'!E54</f>
        <v>0</v>
      </c>
      <c r="Y55" s="1759">
        <f t="shared" si="41"/>
        <v>0</v>
      </c>
      <c r="Z55" s="1653">
        <f t="shared" si="42"/>
        <v>0</v>
      </c>
      <c r="AA55" s="1486">
        <f t="shared" si="43"/>
        <v>0</v>
      </c>
      <c r="AB55" s="937">
        <f t="shared" si="44"/>
        <v>0</v>
      </c>
      <c r="AC55" s="899">
        <f t="shared" si="45"/>
        <v>0</v>
      </c>
      <c r="AD55" s="1830">
        <v>0</v>
      </c>
      <c r="AE55" s="899">
        <f t="shared" si="46"/>
        <v>0</v>
      </c>
      <c r="AF55" s="1829">
        <f>'[4]Table 5C1K-Tallulah Charter'!T54+'[27]Table 5C1K-Tallulah Charter'!AF54+('[26]Table 5C1K-Tallulah Charter'!AF54*6)</f>
        <v>0</v>
      </c>
      <c r="AG55" s="1834">
        <f t="shared" si="47"/>
        <v>0</v>
      </c>
      <c r="AH55" s="1521">
        <f t="shared" si="48"/>
        <v>0</v>
      </c>
      <c r="AI55" s="900">
        <f t="shared" si="54"/>
        <v>0</v>
      </c>
      <c r="AJ55" s="900">
        <f t="shared" si="49"/>
        <v>0</v>
      </c>
      <c r="AL55" s="2034">
        <f>-'[4]Table 5C1K-Tallulah Charter'!P54</f>
        <v>0</v>
      </c>
      <c r="AM55" s="2034">
        <f t="shared" si="50"/>
        <v>0</v>
      </c>
      <c r="AN55" s="2034">
        <f t="shared" si="51"/>
        <v>0</v>
      </c>
    </row>
    <row r="56" spans="1:40">
      <c r="A56" s="876">
        <v>49</v>
      </c>
      <c r="B56" s="877" t="s">
        <v>139</v>
      </c>
      <c r="C56" s="972">
        <v>0</v>
      </c>
      <c r="D56" s="882">
        <f>'Table 3 Levels 1&amp;2'!AL56</f>
        <v>4836.7092570332552</v>
      </c>
      <c r="E56" s="921">
        <f t="shared" si="31"/>
        <v>0</v>
      </c>
      <c r="F56" s="921">
        <f>'Table 4 Level 3'!P54</f>
        <v>574.43999999999994</v>
      </c>
      <c r="G56" s="921">
        <f t="shared" si="32"/>
        <v>0</v>
      </c>
      <c r="H56" s="905">
        <f t="shared" si="33"/>
        <v>0</v>
      </c>
      <c r="I56" s="1734">
        <f>+'[3]Oct midyear Tallulah Charter'!K55</f>
        <v>0</v>
      </c>
      <c r="J56" s="1734">
        <f>'[3]Feb midyear Tallulah Charter'!K55</f>
        <v>0</v>
      </c>
      <c r="K56" s="1545">
        <f t="shared" si="34"/>
        <v>0</v>
      </c>
      <c r="L56" s="1489">
        <f t="shared" si="52"/>
        <v>0</v>
      </c>
      <c r="M56" s="931">
        <f t="shared" si="35"/>
        <v>0</v>
      </c>
      <c r="N56" s="905">
        <f t="shared" si="36"/>
        <v>0</v>
      </c>
      <c r="O56" s="882">
        <v>0</v>
      </c>
      <c r="P56" s="1552">
        <f t="shared" si="37"/>
        <v>0</v>
      </c>
      <c r="Q56" s="1721">
        <f>'[4]Table 5C1K-Tallulah Charter'!M55+'[27]Table 5C1K-Tallulah Charter'!T55+('[26]Table 5C1K-Tallulah Charter'!T55*6)</f>
        <v>0</v>
      </c>
      <c r="R56" s="1734">
        <f t="shared" si="38"/>
        <v>0</v>
      </c>
      <c r="S56" s="998">
        <f t="shared" si="39"/>
        <v>0</v>
      </c>
      <c r="T56" s="1802">
        <f>'Table 5C1A-Madison Prep'!T56</f>
        <v>2402</v>
      </c>
      <c r="U56" s="1555">
        <f t="shared" si="53"/>
        <v>0</v>
      </c>
      <c r="V56" s="1758">
        <f>+'[3]Oct midyear Tallulah Charter'!E55</f>
        <v>0</v>
      </c>
      <c r="W56" s="1759">
        <f t="shared" si="40"/>
        <v>0</v>
      </c>
      <c r="X56" s="1758">
        <f>'[3]Feb midyear Tallulah Charter'!E55</f>
        <v>0</v>
      </c>
      <c r="Y56" s="1759">
        <f t="shared" si="41"/>
        <v>0</v>
      </c>
      <c r="Z56" s="1653">
        <f t="shared" si="42"/>
        <v>0</v>
      </c>
      <c r="AA56" s="1486">
        <f t="shared" si="43"/>
        <v>0</v>
      </c>
      <c r="AB56" s="937">
        <f t="shared" si="44"/>
        <v>0</v>
      </c>
      <c r="AC56" s="899">
        <f t="shared" si="45"/>
        <v>0</v>
      </c>
      <c r="AD56" s="1830">
        <v>0</v>
      </c>
      <c r="AE56" s="899">
        <f t="shared" si="46"/>
        <v>0</v>
      </c>
      <c r="AF56" s="1829">
        <f>'[4]Table 5C1K-Tallulah Charter'!T55+'[27]Table 5C1K-Tallulah Charter'!AF55+('[26]Table 5C1K-Tallulah Charter'!AF55*6)</f>
        <v>0</v>
      </c>
      <c r="AG56" s="1834">
        <f t="shared" si="47"/>
        <v>0</v>
      </c>
      <c r="AH56" s="1521">
        <f t="shared" si="48"/>
        <v>0</v>
      </c>
      <c r="AI56" s="900">
        <f t="shared" si="54"/>
        <v>0</v>
      </c>
      <c r="AJ56" s="900">
        <f t="shared" si="49"/>
        <v>0</v>
      </c>
      <c r="AL56" s="2034">
        <f>-'[4]Table 5C1K-Tallulah Charter'!P55</f>
        <v>0</v>
      </c>
      <c r="AM56" s="2034">
        <f t="shared" si="50"/>
        <v>0</v>
      </c>
      <c r="AN56" s="2034">
        <f t="shared" si="51"/>
        <v>0</v>
      </c>
    </row>
    <row r="57" spans="1:40">
      <c r="A57" s="879">
        <v>50</v>
      </c>
      <c r="B57" s="880" t="s">
        <v>140</v>
      </c>
      <c r="C57" s="973">
        <v>0</v>
      </c>
      <c r="D57" s="883">
        <f>'Table 3 Levels 1&amp;2'!AL57</f>
        <v>5032.6862895017111</v>
      </c>
      <c r="E57" s="922">
        <f t="shared" si="31"/>
        <v>0</v>
      </c>
      <c r="F57" s="922">
        <f>'Table 4 Level 3'!P55</f>
        <v>634.46</v>
      </c>
      <c r="G57" s="922">
        <f t="shared" si="32"/>
        <v>0</v>
      </c>
      <c r="H57" s="906">
        <f t="shared" si="33"/>
        <v>0</v>
      </c>
      <c r="I57" s="1735">
        <f>+'[3]Oct midyear Tallulah Charter'!K56</f>
        <v>0</v>
      </c>
      <c r="J57" s="1735">
        <f>'[3]Feb midyear Tallulah Charter'!K56</f>
        <v>0</v>
      </c>
      <c r="K57" s="1546">
        <f t="shared" si="34"/>
        <v>0</v>
      </c>
      <c r="L57" s="1490">
        <f t="shared" si="52"/>
        <v>0</v>
      </c>
      <c r="M57" s="932">
        <f t="shared" si="35"/>
        <v>0</v>
      </c>
      <c r="N57" s="906">
        <f t="shared" si="36"/>
        <v>0</v>
      </c>
      <c r="O57" s="883">
        <v>0</v>
      </c>
      <c r="P57" s="1553">
        <f t="shared" si="37"/>
        <v>0</v>
      </c>
      <c r="Q57" s="1722">
        <f>'[4]Table 5C1K-Tallulah Charter'!M56+'[27]Table 5C1K-Tallulah Charter'!T56+('[26]Table 5C1K-Tallulah Charter'!T56*6)</f>
        <v>0</v>
      </c>
      <c r="R57" s="1735">
        <f t="shared" si="38"/>
        <v>0</v>
      </c>
      <c r="S57" s="1806">
        <f t="shared" si="39"/>
        <v>0</v>
      </c>
      <c r="T57" s="1807">
        <f>'Table 5C1A-Madison Prep'!T57</f>
        <v>3143</v>
      </c>
      <c r="U57" s="1556">
        <f t="shared" si="53"/>
        <v>0</v>
      </c>
      <c r="V57" s="1762">
        <f>+'[3]Oct midyear Tallulah Charter'!E56</f>
        <v>0</v>
      </c>
      <c r="W57" s="1763">
        <f t="shared" si="40"/>
        <v>0</v>
      </c>
      <c r="X57" s="1762">
        <f>'[3]Feb midyear Tallulah Charter'!E56</f>
        <v>0</v>
      </c>
      <c r="Y57" s="1763">
        <f t="shared" si="41"/>
        <v>0</v>
      </c>
      <c r="Z57" s="1654">
        <f t="shared" si="42"/>
        <v>0</v>
      </c>
      <c r="AA57" s="1488">
        <f t="shared" si="43"/>
        <v>0</v>
      </c>
      <c r="AB57" s="938">
        <f t="shared" si="44"/>
        <v>0</v>
      </c>
      <c r="AC57" s="903">
        <f t="shared" si="45"/>
        <v>0</v>
      </c>
      <c r="AD57" s="1831">
        <v>0</v>
      </c>
      <c r="AE57" s="903">
        <f t="shared" si="46"/>
        <v>0</v>
      </c>
      <c r="AF57" s="1837">
        <f>'[4]Table 5C1K-Tallulah Charter'!T56+'[27]Table 5C1K-Tallulah Charter'!AF56+('[26]Table 5C1K-Tallulah Charter'!AF56*6)</f>
        <v>0</v>
      </c>
      <c r="AG57" s="1835">
        <f t="shared" si="47"/>
        <v>0</v>
      </c>
      <c r="AH57" s="1530">
        <f t="shared" si="48"/>
        <v>0</v>
      </c>
      <c r="AI57" s="904">
        <f t="shared" si="54"/>
        <v>0</v>
      </c>
      <c r="AJ57" s="904">
        <f t="shared" si="49"/>
        <v>0</v>
      </c>
      <c r="AL57" s="2034">
        <f>-'[4]Table 5C1K-Tallulah Charter'!P56</f>
        <v>0</v>
      </c>
      <c r="AM57" s="2034">
        <f t="shared" si="50"/>
        <v>0</v>
      </c>
      <c r="AN57" s="2034">
        <f t="shared" si="51"/>
        <v>0</v>
      </c>
    </row>
    <row r="58" spans="1:40">
      <c r="A58" s="870">
        <v>51</v>
      </c>
      <c r="B58" s="871" t="s">
        <v>141</v>
      </c>
      <c r="C58" s="974">
        <v>0</v>
      </c>
      <c r="D58" s="884">
        <f>'Table 3 Levels 1&amp;2'!AL58</f>
        <v>4246.0339872793602</v>
      </c>
      <c r="E58" s="923">
        <f t="shared" si="31"/>
        <v>0</v>
      </c>
      <c r="F58" s="923">
        <f>'Table 4 Level 3'!P56</f>
        <v>706.66</v>
      </c>
      <c r="G58" s="923">
        <f t="shared" si="32"/>
        <v>0</v>
      </c>
      <c r="H58" s="907">
        <f t="shared" si="33"/>
        <v>0</v>
      </c>
      <c r="I58" s="1723">
        <f>+'[3]Oct midyear Tallulah Charter'!K57</f>
        <v>0</v>
      </c>
      <c r="J58" s="1723">
        <f>'[3]Feb midyear Tallulah Charter'!K57</f>
        <v>0</v>
      </c>
      <c r="K58" s="1547">
        <f t="shared" si="34"/>
        <v>0</v>
      </c>
      <c r="L58" s="1491">
        <f t="shared" si="52"/>
        <v>0</v>
      </c>
      <c r="M58" s="933">
        <f t="shared" si="35"/>
        <v>0</v>
      </c>
      <c r="N58" s="907">
        <f t="shared" si="36"/>
        <v>0</v>
      </c>
      <c r="O58" s="884">
        <v>0</v>
      </c>
      <c r="P58" s="996">
        <f t="shared" si="37"/>
        <v>0</v>
      </c>
      <c r="Q58" s="1723">
        <f>'[4]Table 5C1K-Tallulah Charter'!M57+'[27]Table 5C1K-Tallulah Charter'!T57+('[26]Table 5C1K-Tallulah Charter'!T57*6)</f>
        <v>0</v>
      </c>
      <c r="R58" s="1723">
        <f t="shared" si="38"/>
        <v>0</v>
      </c>
      <c r="S58" s="998">
        <f t="shared" si="39"/>
        <v>0</v>
      </c>
      <c r="T58" s="1802">
        <f>'Table 5C1A-Madison Prep'!T58</f>
        <v>4370</v>
      </c>
      <c r="U58" s="999">
        <f t="shared" si="53"/>
        <v>0</v>
      </c>
      <c r="V58" s="1754">
        <f>+'[3]Oct midyear Tallulah Charter'!E57</f>
        <v>0</v>
      </c>
      <c r="W58" s="1755">
        <f t="shared" si="40"/>
        <v>0</v>
      </c>
      <c r="X58" s="1754">
        <f>'[3]Feb midyear Tallulah Charter'!E57</f>
        <v>0</v>
      </c>
      <c r="Y58" s="1755">
        <f t="shared" si="41"/>
        <v>0</v>
      </c>
      <c r="Z58" s="1652">
        <f t="shared" si="42"/>
        <v>0</v>
      </c>
      <c r="AA58" s="1481">
        <f t="shared" si="43"/>
        <v>0</v>
      </c>
      <c r="AB58" s="936">
        <f t="shared" si="44"/>
        <v>0</v>
      </c>
      <c r="AC58" s="874">
        <f t="shared" si="45"/>
        <v>0</v>
      </c>
      <c r="AD58" s="1829">
        <v>0</v>
      </c>
      <c r="AE58" s="874">
        <f t="shared" si="46"/>
        <v>0</v>
      </c>
      <c r="AF58" s="1829">
        <f>'[4]Table 5C1K-Tallulah Charter'!T57+'[27]Table 5C1K-Tallulah Charter'!AF57+('[26]Table 5C1K-Tallulah Charter'!AF57*6)</f>
        <v>0</v>
      </c>
      <c r="AG58" s="1829">
        <f t="shared" si="47"/>
        <v>0</v>
      </c>
      <c r="AH58" s="1521">
        <f t="shared" si="48"/>
        <v>0</v>
      </c>
      <c r="AI58" s="875">
        <f t="shared" si="54"/>
        <v>0</v>
      </c>
      <c r="AJ58" s="875">
        <f t="shared" si="49"/>
        <v>0</v>
      </c>
      <c r="AL58" s="2034">
        <f>-'[4]Table 5C1K-Tallulah Charter'!P57</f>
        <v>0</v>
      </c>
      <c r="AM58" s="2034">
        <f t="shared" si="50"/>
        <v>0</v>
      </c>
      <c r="AN58" s="2034">
        <f t="shared" si="51"/>
        <v>0</v>
      </c>
    </row>
    <row r="59" spans="1:40">
      <c r="A59" s="876">
        <v>52</v>
      </c>
      <c r="B59" s="877" t="s">
        <v>142</v>
      </c>
      <c r="C59" s="972">
        <v>0</v>
      </c>
      <c r="D59" s="882">
        <f>'Table 3 Levels 1&amp;2'!AL59</f>
        <v>5013.4438050113249</v>
      </c>
      <c r="E59" s="921">
        <f t="shared" si="31"/>
        <v>0</v>
      </c>
      <c r="F59" s="921">
        <f>'Table 4 Level 3'!P57</f>
        <v>658.37</v>
      </c>
      <c r="G59" s="921">
        <f t="shared" si="32"/>
        <v>0</v>
      </c>
      <c r="H59" s="905">
        <f t="shared" si="33"/>
        <v>0</v>
      </c>
      <c r="I59" s="1734">
        <f>+'[3]Oct midyear Tallulah Charter'!K58</f>
        <v>0</v>
      </c>
      <c r="J59" s="1734">
        <f>'[3]Feb midyear Tallulah Charter'!K58</f>
        <v>0</v>
      </c>
      <c r="K59" s="1545">
        <f t="shared" si="34"/>
        <v>0</v>
      </c>
      <c r="L59" s="1489">
        <f t="shared" si="52"/>
        <v>0</v>
      </c>
      <c r="M59" s="931">
        <f t="shared" si="35"/>
        <v>0</v>
      </c>
      <c r="N59" s="905">
        <f t="shared" si="36"/>
        <v>0</v>
      </c>
      <c r="O59" s="882">
        <v>0</v>
      </c>
      <c r="P59" s="1552">
        <f t="shared" si="37"/>
        <v>0</v>
      </c>
      <c r="Q59" s="1721">
        <f>'[4]Table 5C1K-Tallulah Charter'!M58+'[27]Table 5C1K-Tallulah Charter'!T58+('[26]Table 5C1K-Tallulah Charter'!T58*6)</f>
        <v>0</v>
      </c>
      <c r="R59" s="1734">
        <f t="shared" si="38"/>
        <v>0</v>
      </c>
      <c r="S59" s="998">
        <f t="shared" si="39"/>
        <v>0</v>
      </c>
      <c r="T59" s="1802">
        <f>'Table 5C1A-Madison Prep'!T59</f>
        <v>5143</v>
      </c>
      <c r="U59" s="1555">
        <f t="shared" si="53"/>
        <v>0</v>
      </c>
      <c r="V59" s="1758">
        <f>+'[3]Oct midyear Tallulah Charter'!E58</f>
        <v>0</v>
      </c>
      <c r="W59" s="1759">
        <f t="shared" si="40"/>
        <v>0</v>
      </c>
      <c r="X59" s="1758">
        <f>'[3]Feb midyear Tallulah Charter'!E58</f>
        <v>0</v>
      </c>
      <c r="Y59" s="1759">
        <f t="shared" si="41"/>
        <v>0</v>
      </c>
      <c r="Z59" s="1653">
        <f t="shared" si="42"/>
        <v>0</v>
      </c>
      <c r="AA59" s="1486">
        <f t="shared" si="43"/>
        <v>0</v>
      </c>
      <c r="AB59" s="937">
        <f t="shared" si="44"/>
        <v>0</v>
      </c>
      <c r="AC59" s="899">
        <f t="shared" si="45"/>
        <v>0</v>
      </c>
      <c r="AD59" s="1830">
        <v>0</v>
      </c>
      <c r="AE59" s="899">
        <f t="shared" si="46"/>
        <v>0</v>
      </c>
      <c r="AF59" s="1829">
        <f>'[4]Table 5C1K-Tallulah Charter'!T58+'[27]Table 5C1K-Tallulah Charter'!AF58+('[26]Table 5C1K-Tallulah Charter'!AF58*6)</f>
        <v>0</v>
      </c>
      <c r="AG59" s="1834">
        <f t="shared" si="47"/>
        <v>0</v>
      </c>
      <c r="AH59" s="1521">
        <f t="shared" si="48"/>
        <v>0</v>
      </c>
      <c r="AI59" s="900">
        <f t="shared" si="54"/>
        <v>0</v>
      </c>
      <c r="AJ59" s="900">
        <f t="shared" si="49"/>
        <v>0</v>
      </c>
      <c r="AL59" s="2034">
        <f>-'[4]Table 5C1K-Tallulah Charter'!P58</f>
        <v>0</v>
      </c>
      <c r="AM59" s="2034">
        <f t="shared" si="50"/>
        <v>0</v>
      </c>
      <c r="AN59" s="2034">
        <f t="shared" si="51"/>
        <v>0</v>
      </c>
    </row>
    <row r="60" spans="1:40">
      <c r="A60" s="876">
        <v>53</v>
      </c>
      <c r="B60" s="877" t="s">
        <v>143</v>
      </c>
      <c r="C60" s="972">
        <v>0</v>
      </c>
      <c r="D60" s="882">
        <f>'Table 3 Levels 1&amp;2'!AL60</f>
        <v>4775.5877635581091</v>
      </c>
      <c r="E60" s="921">
        <f t="shared" si="31"/>
        <v>0</v>
      </c>
      <c r="F60" s="921">
        <f>'Table 4 Level 3'!P58</f>
        <v>689.74</v>
      </c>
      <c r="G60" s="921">
        <f t="shared" si="32"/>
        <v>0</v>
      </c>
      <c r="H60" s="905">
        <f t="shared" si="33"/>
        <v>0</v>
      </c>
      <c r="I60" s="1734">
        <f>+'[3]Oct midyear Tallulah Charter'!K59</f>
        <v>0</v>
      </c>
      <c r="J60" s="1734">
        <f>'[3]Feb midyear Tallulah Charter'!K59</f>
        <v>0</v>
      </c>
      <c r="K60" s="1545">
        <f t="shared" si="34"/>
        <v>0</v>
      </c>
      <c r="L60" s="1489">
        <f t="shared" si="52"/>
        <v>0</v>
      </c>
      <c r="M60" s="931">
        <f t="shared" si="35"/>
        <v>0</v>
      </c>
      <c r="N60" s="905">
        <f t="shared" si="36"/>
        <v>0</v>
      </c>
      <c r="O60" s="882">
        <v>0</v>
      </c>
      <c r="P60" s="1552">
        <f t="shared" si="37"/>
        <v>0</v>
      </c>
      <c r="Q60" s="1721">
        <f>'[4]Table 5C1K-Tallulah Charter'!M59+'[27]Table 5C1K-Tallulah Charter'!T59+('[26]Table 5C1K-Tallulah Charter'!T59*6)</f>
        <v>0</v>
      </c>
      <c r="R60" s="1734">
        <f t="shared" si="38"/>
        <v>0</v>
      </c>
      <c r="S60" s="998">
        <f t="shared" si="39"/>
        <v>0</v>
      </c>
      <c r="T60" s="1802">
        <f>'Table 5C1A-Madison Prep'!T60</f>
        <v>2109</v>
      </c>
      <c r="U60" s="1555">
        <f t="shared" si="53"/>
        <v>0</v>
      </c>
      <c r="V60" s="1758">
        <f>+'[3]Oct midyear Tallulah Charter'!E59</f>
        <v>0</v>
      </c>
      <c r="W60" s="1759">
        <f t="shared" si="40"/>
        <v>0</v>
      </c>
      <c r="X60" s="1758">
        <f>'[3]Feb midyear Tallulah Charter'!E59</f>
        <v>0</v>
      </c>
      <c r="Y60" s="1759">
        <f t="shared" si="41"/>
        <v>0</v>
      </c>
      <c r="Z60" s="1653">
        <f t="shared" si="42"/>
        <v>0</v>
      </c>
      <c r="AA60" s="1486">
        <f t="shared" si="43"/>
        <v>0</v>
      </c>
      <c r="AB60" s="937">
        <f t="shared" si="44"/>
        <v>0</v>
      </c>
      <c r="AC60" s="899">
        <f t="shared" si="45"/>
        <v>0</v>
      </c>
      <c r="AD60" s="1830">
        <v>0</v>
      </c>
      <c r="AE60" s="899">
        <f t="shared" si="46"/>
        <v>0</v>
      </c>
      <c r="AF60" s="1829">
        <f>'[4]Table 5C1K-Tallulah Charter'!T59+'[27]Table 5C1K-Tallulah Charter'!AF59+('[26]Table 5C1K-Tallulah Charter'!AF59*6)</f>
        <v>0</v>
      </c>
      <c r="AG60" s="1834">
        <f t="shared" si="47"/>
        <v>0</v>
      </c>
      <c r="AH60" s="1521">
        <f t="shared" si="48"/>
        <v>0</v>
      </c>
      <c r="AI60" s="900">
        <f t="shared" si="54"/>
        <v>0</v>
      </c>
      <c r="AJ60" s="900">
        <f t="shared" si="49"/>
        <v>0</v>
      </c>
      <c r="AL60" s="2034">
        <f>-'[4]Table 5C1K-Tallulah Charter'!P59</f>
        <v>0</v>
      </c>
      <c r="AM60" s="2034">
        <f t="shared" si="50"/>
        <v>0</v>
      </c>
      <c r="AN60" s="2034">
        <f t="shared" si="51"/>
        <v>0</v>
      </c>
    </row>
    <row r="61" spans="1:40">
      <c r="A61" s="876">
        <v>54</v>
      </c>
      <c r="B61" s="877" t="s">
        <v>144</v>
      </c>
      <c r="C61" s="972">
        <v>0</v>
      </c>
      <c r="D61" s="882">
        <f>'Table 3 Levels 1&amp;2'!AL61</f>
        <v>5951.8009386275662</v>
      </c>
      <c r="E61" s="921">
        <f t="shared" si="31"/>
        <v>0</v>
      </c>
      <c r="F61" s="921">
        <f>'Table 4 Level 3'!P59</f>
        <v>951.45</v>
      </c>
      <c r="G61" s="921">
        <f t="shared" si="32"/>
        <v>0</v>
      </c>
      <c r="H61" s="905">
        <f t="shared" si="33"/>
        <v>0</v>
      </c>
      <c r="I61" s="1734">
        <f>+'[3]Oct midyear Tallulah Charter'!K60</f>
        <v>0</v>
      </c>
      <c r="J61" s="1734">
        <f>'[3]Feb midyear Tallulah Charter'!K60</f>
        <v>0</v>
      </c>
      <c r="K61" s="1545">
        <f t="shared" si="34"/>
        <v>0</v>
      </c>
      <c r="L61" s="1489">
        <f t="shared" si="52"/>
        <v>0</v>
      </c>
      <c r="M61" s="931">
        <f t="shared" si="35"/>
        <v>0</v>
      </c>
      <c r="N61" s="905">
        <f t="shared" si="36"/>
        <v>0</v>
      </c>
      <c r="O61" s="882">
        <v>0</v>
      </c>
      <c r="P61" s="1552">
        <f t="shared" si="37"/>
        <v>0</v>
      </c>
      <c r="Q61" s="1721">
        <f>'[4]Table 5C1K-Tallulah Charter'!M60+'[27]Table 5C1K-Tallulah Charter'!T60+('[26]Table 5C1K-Tallulah Charter'!T60*6)</f>
        <v>0</v>
      </c>
      <c r="R61" s="1734">
        <f t="shared" si="38"/>
        <v>0</v>
      </c>
      <c r="S61" s="998">
        <f t="shared" si="39"/>
        <v>0</v>
      </c>
      <c r="T61" s="1802">
        <f>'Table 5C1A-Madison Prep'!T61</f>
        <v>3760</v>
      </c>
      <c r="U61" s="1555">
        <f t="shared" si="53"/>
        <v>0</v>
      </c>
      <c r="V61" s="1758">
        <f>+'[3]Oct midyear Tallulah Charter'!E60</f>
        <v>0</v>
      </c>
      <c r="W61" s="1759">
        <f t="shared" si="40"/>
        <v>0</v>
      </c>
      <c r="X61" s="1758">
        <f>'[3]Feb midyear Tallulah Charter'!E60</f>
        <v>0</v>
      </c>
      <c r="Y61" s="1759">
        <f t="shared" si="41"/>
        <v>0</v>
      </c>
      <c r="Z61" s="1653">
        <f t="shared" si="42"/>
        <v>0</v>
      </c>
      <c r="AA61" s="1486">
        <f t="shared" si="43"/>
        <v>0</v>
      </c>
      <c r="AB61" s="937">
        <f t="shared" si="44"/>
        <v>0</v>
      </c>
      <c r="AC61" s="899">
        <f t="shared" si="45"/>
        <v>0</v>
      </c>
      <c r="AD61" s="1830">
        <v>0</v>
      </c>
      <c r="AE61" s="899">
        <f t="shared" si="46"/>
        <v>0</v>
      </c>
      <c r="AF61" s="1829">
        <f>'[4]Table 5C1K-Tallulah Charter'!T60+'[27]Table 5C1K-Tallulah Charter'!AF60+('[26]Table 5C1K-Tallulah Charter'!AF60*6)</f>
        <v>0</v>
      </c>
      <c r="AG61" s="1834">
        <f t="shared" si="47"/>
        <v>0</v>
      </c>
      <c r="AH61" s="1521">
        <f t="shared" si="48"/>
        <v>0</v>
      </c>
      <c r="AI61" s="900">
        <f t="shared" si="54"/>
        <v>0</v>
      </c>
      <c r="AJ61" s="900">
        <f t="shared" si="49"/>
        <v>0</v>
      </c>
      <c r="AL61" s="2034">
        <f>-'[4]Table 5C1K-Tallulah Charter'!P60</f>
        <v>0</v>
      </c>
      <c r="AM61" s="2034">
        <f t="shared" si="50"/>
        <v>0</v>
      </c>
      <c r="AN61" s="2034">
        <f t="shared" si="51"/>
        <v>0</v>
      </c>
    </row>
    <row r="62" spans="1:40">
      <c r="A62" s="879">
        <v>55</v>
      </c>
      <c r="B62" s="880" t="s">
        <v>145</v>
      </c>
      <c r="C62" s="973">
        <v>0</v>
      </c>
      <c r="D62" s="883">
        <f>'Table 3 Levels 1&amp;2'!AL62</f>
        <v>4171.0434735233157</v>
      </c>
      <c r="E62" s="922">
        <f t="shared" si="31"/>
        <v>0</v>
      </c>
      <c r="F62" s="922">
        <f>'Table 4 Level 3'!P60</f>
        <v>795.14</v>
      </c>
      <c r="G62" s="922">
        <f t="shared" si="32"/>
        <v>0</v>
      </c>
      <c r="H62" s="906">
        <f t="shared" si="33"/>
        <v>0</v>
      </c>
      <c r="I62" s="1735">
        <f>+'[3]Oct midyear Tallulah Charter'!K61</f>
        <v>0</v>
      </c>
      <c r="J62" s="1735">
        <f>'[3]Feb midyear Tallulah Charter'!K61</f>
        <v>0</v>
      </c>
      <c r="K62" s="1546">
        <f t="shared" si="34"/>
        <v>0</v>
      </c>
      <c r="L62" s="1490">
        <f t="shared" si="52"/>
        <v>0</v>
      </c>
      <c r="M62" s="932">
        <f t="shared" si="35"/>
        <v>0</v>
      </c>
      <c r="N62" s="906">
        <f t="shared" si="36"/>
        <v>0</v>
      </c>
      <c r="O62" s="883">
        <v>0</v>
      </c>
      <c r="P62" s="1553">
        <f t="shared" si="37"/>
        <v>0</v>
      </c>
      <c r="Q62" s="1722">
        <f>'[4]Table 5C1K-Tallulah Charter'!M61+'[27]Table 5C1K-Tallulah Charter'!T61+('[26]Table 5C1K-Tallulah Charter'!T61*6)</f>
        <v>0</v>
      </c>
      <c r="R62" s="1735">
        <f t="shared" si="38"/>
        <v>0</v>
      </c>
      <c r="S62" s="1806">
        <f t="shared" si="39"/>
        <v>0</v>
      </c>
      <c r="T62" s="1807">
        <f>'Table 5C1A-Madison Prep'!T62</f>
        <v>3359</v>
      </c>
      <c r="U62" s="1556">
        <f t="shared" si="53"/>
        <v>0</v>
      </c>
      <c r="V62" s="1762">
        <f>+'[3]Oct midyear Tallulah Charter'!E61</f>
        <v>0</v>
      </c>
      <c r="W62" s="1763">
        <f t="shared" si="40"/>
        <v>0</v>
      </c>
      <c r="X62" s="1762">
        <f>'[3]Feb midyear Tallulah Charter'!E61</f>
        <v>0</v>
      </c>
      <c r="Y62" s="1763">
        <f t="shared" si="41"/>
        <v>0</v>
      </c>
      <c r="Z62" s="1654">
        <f t="shared" si="42"/>
        <v>0</v>
      </c>
      <c r="AA62" s="1488">
        <f t="shared" si="43"/>
        <v>0</v>
      </c>
      <c r="AB62" s="938">
        <f t="shared" si="44"/>
        <v>0</v>
      </c>
      <c r="AC62" s="903">
        <f t="shared" si="45"/>
        <v>0</v>
      </c>
      <c r="AD62" s="1831">
        <v>0</v>
      </c>
      <c r="AE62" s="903">
        <f t="shared" si="46"/>
        <v>0</v>
      </c>
      <c r="AF62" s="1837">
        <f>'[4]Table 5C1K-Tallulah Charter'!T61+'[27]Table 5C1K-Tallulah Charter'!AF61+('[26]Table 5C1K-Tallulah Charter'!AF61*6)</f>
        <v>0</v>
      </c>
      <c r="AG62" s="1835">
        <f t="shared" si="47"/>
        <v>0</v>
      </c>
      <c r="AH62" s="1530">
        <f t="shared" si="48"/>
        <v>0</v>
      </c>
      <c r="AI62" s="904">
        <f t="shared" si="54"/>
        <v>0</v>
      </c>
      <c r="AJ62" s="904">
        <f t="shared" si="49"/>
        <v>0</v>
      </c>
      <c r="AL62" s="2034">
        <f>-'[4]Table 5C1K-Tallulah Charter'!P61</f>
        <v>0</v>
      </c>
      <c r="AM62" s="2034">
        <f t="shared" si="50"/>
        <v>0</v>
      </c>
      <c r="AN62" s="2034">
        <f t="shared" si="51"/>
        <v>0</v>
      </c>
    </row>
    <row r="63" spans="1:40">
      <c r="A63" s="870">
        <v>56</v>
      </c>
      <c r="B63" s="871" t="s">
        <v>146</v>
      </c>
      <c r="C63" s="974">
        <v>0</v>
      </c>
      <c r="D63" s="884">
        <f>'Table 3 Levels 1&amp;2'!AL63</f>
        <v>4968.593189672727</v>
      </c>
      <c r="E63" s="923">
        <f t="shared" si="31"/>
        <v>0</v>
      </c>
      <c r="F63" s="923">
        <f>'Table 4 Level 3'!P61</f>
        <v>614.66000000000008</v>
      </c>
      <c r="G63" s="923">
        <f t="shared" si="32"/>
        <v>0</v>
      </c>
      <c r="H63" s="907">
        <f t="shared" si="33"/>
        <v>0</v>
      </c>
      <c r="I63" s="1723">
        <f>+'[3]Oct midyear Tallulah Charter'!K62</f>
        <v>0</v>
      </c>
      <c r="J63" s="1723">
        <f>'[3]Feb midyear Tallulah Charter'!K62</f>
        <v>0</v>
      </c>
      <c r="K63" s="1547">
        <f t="shared" si="34"/>
        <v>0</v>
      </c>
      <c r="L63" s="1491">
        <f t="shared" si="52"/>
        <v>0</v>
      </c>
      <c r="M63" s="933">
        <f t="shared" si="35"/>
        <v>0</v>
      </c>
      <c r="N63" s="907">
        <f t="shared" si="36"/>
        <v>0</v>
      </c>
      <c r="O63" s="884">
        <v>0</v>
      </c>
      <c r="P63" s="996">
        <f t="shared" si="37"/>
        <v>0</v>
      </c>
      <c r="Q63" s="1723">
        <f>'[4]Table 5C1K-Tallulah Charter'!M62+'[27]Table 5C1K-Tallulah Charter'!T62+('[26]Table 5C1K-Tallulah Charter'!T62*6)</f>
        <v>0</v>
      </c>
      <c r="R63" s="1723">
        <f t="shared" si="38"/>
        <v>0</v>
      </c>
      <c r="S63" s="998">
        <f t="shared" si="39"/>
        <v>0</v>
      </c>
      <c r="T63" s="1802">
        <f>'Table 5C1A-Madison Prep'!T63</f>
        <v>2853</v>
      </c>
      <c r="U63" s="999">
        <f t="shared" si="53"/>
        <v>0</v>
      </c>
      <c r="V63" s="1754">
        <f>+'[3]Oct midyear Tallulah Charter'!E62</f>
        <v>0</v>
      </c>
      <c r="W63" s="1755">
        <f t="shared" si="40"/>
        <v>0</v>
      </c>
      <c r="X63" s="1754">
        <f>'[3]Feb midyear Tallulah Charter'!E62</f>
        <v>0</v>
      </c>
      <c r="Y63" s="1755">
        <f t="shared" si="41"/>
        <v>0</v>
      </c>
      <c r="Z63" s="1652">
        <f t="shared" si="42"/>
        <v>0</v>
      </c>
      <c r="AA63" s="1481">
        <f t="shared" si="43"/>
        <v>0</v>
      </c>
      <c r="AB63" s="936">
        <f t="shared" si="44"/>
        <v>0</v>
      </c>
      <c r="AC63" s="874">
        <f t="shared" si="45"/>
        <v>0</v>
      </c>
      <c r="AD63" s="1829">
        <v>0</v>
      </c>
      <c r="AE63" s="874">
        <f t="shared" si="46"/>
        <v>0</v>
      </c>
      <c r="AF63" s="1829">
        <f>'[4]Table 5C1K-Tallulah Charter'!T62+'[27]Table 5C1K-Tallulah Charter'!AF62+('[26]Table 5C1K-Tallulah Charter'!AF62*6)</f>
        <v>0</v>
      </c>
      <c r="AG63" s="1829">
        <f t="shared" si="47"/>
        <v>0</v>
      </c>
      <c r="AH63" s="1521">
        <f t="shared" si="48"/>
        <v>0</v>
      </c>
      <c r="AI63" s="875">
        <f t="shared" si="54"/>
        <v>0</v>
      </c>
      <c r="AJ63" s="875">
        <f t="shared" si="49"/>
        <v>0</v>
      </c>
      <c r="AL63" s="2034">
        <f>-'[4]Table 5C1K-Tallulah Charter'!P62</f>
        <v>0</v>
      </c>
      <c r="AM63" s="2034">
        <f t="shared" si="50"/>
        <v>0</v>
      </c>
      <c r="AN63" s="2034">
        <f t="shared" si="51"/>
        <v>0</v>
      </c>
    </row>
    <row r="64" spans="1:40">
      <c r="A64" s="876">
        <v>57</v>
      </c>
      <c r="B64" s="877" t="s">
        <v>147</v>
      </c>
      <c r="C64" s="972">
        <v>0</v>
      </c>
      <c r="D64" s="882">
        <f>'Table 3 Levels 1&amp;2'!AL64</f>
        <v>4485.7073020218859</v>
      </c>
      <c r="E64" s="921">
        <f t="shared" si="31"/>
        <v>0</v>
      </c>
      <c r="F64" s="921">
        <f>'Table 4 Level 3'!P62</f>
        <v>764.51</v>
      </c>
      <c r="G64" s="921">
        <f t="shared" si="32"/>
        <v>0</v>
      </c>
      <c r="H64" s="905">
        <f t="shared" si="33"/>
        <v>0</v>
      </c>
      <c r="I64" s="1734">
        <f>+'[3]Oct midyear Tallulah Charter'!K63</f>
        <v>0</v>
      </c>
      <c r="J64" s="1734">
        <f>'[3]Feb midyear Tallulah Charter'!K63</f>
        <v>0</v>
      </c>
      <c r="K64" s="1545">
        <f t="shared" si="34"/>
        <v>0</v>
      </c>
      <c r="L64" s="1489">
        <f t="shared" si="52"/>
        <v>0</v>
      </c>
      <c r="M64" s="931">
        <f t="shared" si="35"/>
        <v>0</v>
      </c>
      <c r="N64" s="905">
        <f t="shared" si="36"/>
        <v>0</v>
      </c>
      <c r="O64" s="882">
        <v>0</v>
      </c>
      <c r="P64" s="1552">
        <f t="shared" si="37"/>
        <v>0</v>
      </c>
      <c r="Q64" s="1721">
        <f>'[4]Table 5C1K-Tallulah Charter'!M63+'[27]Table 5C1K-Tallulah Charter'!T63+('[26]Table 5C1K-Tallulah Charter'!T63*6)</f>
        <v>0</v>
      </c>
      <c r="R64" s="1734">
        <f t="shared" si="38"/>
        <v>0</v>
      </c>
      <c r="S64" s="998">
        <f t="shared" si="39"/>
        <v>0</v>
      </c>
      <c r="T64" s="1802">
        <f>'Table 5C1A-Madison Prep'!T64</f>
        <v>3178</v>
      </c>
      <c r="U64" s="1555">
        <f t="shared" si="53"/>
        <v>0</v>
      </c>
      <c r="V64" s="1758">
        <f>+'[3]Oct midyear Tallulah Charter'!E63</f>
        <v>0</v>
      </c>
      <c r="W64" s="1759">
        <f t="shared" si="40"/>
        <v>0</v>
      </c>
      <c r="X64" s="1758">
        <f>'[3]Feb midyear Tallulah Charter'!E63</f>
        <v>0</v>
      </c>
      <c r="Y64" s="1759">
        <f t="shared" si="41"/>
        <v>0</v>
      </c>
      <c r="Z64" s="1653">
        <f t="shared" si="42"/>
        <v>0</v>
      </c>
      <c r="AA64" s="1486">
        <f t="shared" si="43"/>
        <v>0</v>
      </c>
      <c r="AB64" s="937">
        <f t="shared" si="44"/>
        <v>0</v>
      </c>
      <c r="AC64" s="899">
        <f t="shared" si="45"/>
        <v>0</v>
      </c>
      <c r="AD64" s="1830">
        <v>0</v>
      </c>
      <c r="AE64" s="899">
        <f t="shared" si="46"/>
        <v>0</v>
      </c>
      <c r="AF64" s="1829">
        <f>'[4]Table 5C1K-Tallulah Charter'!T63+'[27]Table 5C1K-Tallulah Charter'!AF63+('[26]Table 5C1K-Tallulah Charter'!AF63*6)</f>
        <v>0</v>
      </c>
      <c r="AG64" s="1834">
        <f t="shared" si="47"/>
        <v>0</v>
      </c>
      <c r="AH64" s="1521">
        <f t="shared" si="48"/>
        <v>0</v>
      </c>
      <c r="AI64" s="900">
        <f t="shared" si="54"/>
        <v>0</v>
      </c>
      <c r="AJ64" s="900">
        <f t="shared" si="49"/>
        <v>0</v>
      </c>
      <c r="AL64" s="2034">
        <f>-'[4]Table 5C1K-Tallulah Charter'!P63</f>
        <v>0</v>
      </c>
      <c r="AM64" s="2034">
        <f t="shared" si="50"/>
        <v>0</v>
      </c>
      <c r="AN64" s="2034">
        <f t="shared" si="51"/>
        <v>0</v>
      </c>
    </row>
    <row r="65" spans="1:40">
      <c r="A65" s="876">
        <v>58</v>
      </c>
      <c r="B65" s="877" t="s">
        <v>148</v>
      </c>
      <c r="C65" s="972">
        <v>0</v>
      </c>
      <c r="D65" s="882">
        <f>'Table 3 Levels 1&amp;2'!AL65</f>
        <v>5457.8662803476354</v>
      </c>
      <c r="E65" s="921">
        <f t="shared" si="31"/>
        <v>0</v>
      </c>
      <c r="F65" s="921">
        <f>'Table 4 Level 3'!P63</f>
        <v>697.04</v>
      </c>
      <c r="G65" s="921">
        <f t="shared" si="32"/>
        <v>0</v>
      </c>
      <c r="H65" s="905">
        <f t="shared" si="33"/>
        <v>0</v>
      </c>
      <c r="I65" s="1734">
        <f>+'[3]Oct midyear Tallulah Charter'!K64</f>
        <v>0</v>
      </c>
      <c r="J65" s="1734">
        <f>'[3]Feb midyear Tallulah Charter'!K64</f>
        <v>0</v>
      </c>
      <c r="K65" s="1545">
        <f t="shared" si="34"/>
        <v>0</v>
      </c>
      <c r="L65" s="1489">
        <f t="shared" si="52"/>
        <v>0</v>
      </c>
      <c r="M65" s="931">
        <f t="shared" si="35"/>
        <v>0</v>
      </c>
      <c r="N65" s="905">
        <f t="shared" si="36"/>
        <v>0</v>
      </c>
      <c r="O65" s="882">
        <v>0</v>
      </c>
      <c r="P65" s="1552">
        <f t="shared" si="37"/>
        <v>0</v>
      </c>
      <c r="Q65" s="1721">
        <f>'[4]Table 5C1K-Tallulah Charter'!M64+'[27]Table 5C1K-Tallulah Charter'!T64+('[26]Table 5C1K-Tallulah Charter'!T64*6)</f>
        <v>0</v>
      </c>
      <c r="R65" s="1734">
        <f t="shared" si="38"/>
        <v>0</v>
      </c>
      <c r="S65" s="998">
        <f t="shared" si="39"/>
        <v>0</v>
      </c>
      <c r="T65" s="1802">
        <f>'Table 5C1A-Madison Prep'!T65</f>
        <v>2127</v>
      </c>
      <c r="U65" s="1555">
        <f t="shared" si="53"/>
        <v>0</v>
      </c>
      <c r="V65" s="1758">
        <f>+'[3]Oct midyear Tallulah Charter'!E64</f>
        <v>0</v>
      </c>
      <c r="W65" s="1759">
        <f t="shared" si="40"/>
        <v>0</v>
      </c>
      <c r="X65" s="1758">
        <f>'[3]Feb midyear Tallulah Charter'!E64</f>
        <v>0</v>
      </c>
      <c r="Y65" s="1759">
        <f t="shared" si="41"/>
        <v>0</v>
      </c>
      <c r="Z65" s="1653">
        <f t="shared" si="42"/>
        <v>0</v>
      </c>
      <c r="AA65" s="1486">
        <f t="shared" si="43"/>
        <v>0</v>
      </c>
      <c r="AB65" s="937">
        <f t="shared" si="44"/>
        <v>0</v>
      </c>
      <c r="AC65" s="899">
        <f t="shared" si="45"/>
        <v>0</v>
      </c>
      <c r="AD65" s="1830">
        <v>0</v>
      </c>
      <c r="AE65" s="899">
        <f t="shared" si="46"/>
        <v>0</v>
      </c>
      <c r="AF65" s="1829">
        <f>'[4]Table 5C1K-Tallulah Charter'!T64+'[27]Table 5C1K-Tallulah Charter'!AF64+('[26]Table 5C1K-Tallulah Charter'!AF64*6)</f>
        <v>0</v>
      </c>
      <c r="AG65" s="1834">
        <f t="shared" si="47"/>
        <v>0</v>
      </c>
      <c r="AH65" s="1521">
        <f t="shared" si="48"/>
        <v>0</v>
      </c>
      <c r="AI65" s="900">
        <f t="shared" si="54"/>
        <v>0</v>
      </c>
      <c r="AJ65" s="900">
        <f t="shared" si="49"/>
        <v>0</v>
      </c>
      <c r="AL65" s="2034">
        <f>-'[4]Table 5C1K-Tallulah Charter'!P64</f>
        <v>0</v>
      </c>
      <c r="AM65" s="2034">
        <f t="shared" si="50"/>
        <v>0</v>
      </c>
      <c r="AN65" s="2034">
        <f t="shared" si="51"/>
        <v>0</v>
      </c>
    </row>
    <row r="66" spans="1:40">
      <c r="A66" s="876">
        <v>59</v>
      </c>
      <c r="B66" s="877" t="s">
        <v>149</v>
      </c>
      <c r="C66" s="972">
        <v>0</v>
      </c>
      <c r="D66" s="882">
        <f>'Table 3 Levels 1&amp;2'!AL66</f>
        <v>6274.2786338006481</v>
      </c>
      <c r="E66" s="921">
        <f t="shared" si="31"/>
        <v>0</v>
      </c>
      <c r="F66" s="921">
        <f>'Table 4 Level 3'!P64</f>
        <v>689.52</v>
      </c>
      <c r="G66" s="921">
        <f t="shared" si="32"/>
        <v>0</v>
      </c>
      <c r="H66" s="905">
        <f t="shared" si="33"/>
        <v>0</v>
      </c>
      <c r="I66" s="1734">
        <f>+'[3]Oct midyear Tallulah Charter'!K65</f>
        <v>0</v>
      </c>
      <c r="J66" s="1734">
        <f>'[3]Feb midyear Tallulah Charter'!K65</f>
        <v>0</v>
      </c>
      <c r="K66" s="1545">
        <f t="shared" si="34"/>
        <v>0</v>
      </c>
      <c r="L66" s="1489">
        <f t="shared" si="52"/>
        <v>0</v>
      </c>
      <c r="M66" s="931">
        <f t="shared" si="35"/>
        <v>0</v>
      </c>
      <c r="N66" s="905">
        <f t="shared" si="36"/>
        <v>0</v>
      </c>
      <c r="O66" s="882">
        <v>0</v>
      </c>
      <c r="P66" s="1552">
        <f t="shared" si="37"/>
        <v>0</v>
      </c>
      <c r="Q66" s="1721">
        <f>'[4]Table 5C1K-Tallulah Charter'!M65+'[27]Table 5C1K-Tallulah Charter'!T65+('[26]Table 5C1K-Tallulah Charter'!T65*6)</f>
        <v>0</v>
      </c>
      <c r="R66" s="1734">
        <f t="shared" si="38"/>
        <v>0</v>
      </c>
      <c r="S66" s="998">
        <f t="shared" si="39"/>
        <v>0</v>
      </c>
      <c r="T66" s="1802">
        <f>'Table 5C1A-Madison Prep'!T66</f>
        <v>1729</v>
      </c>
      <c r="U66" s="1555">
        <f t="shared" si="53"/>
        <v>0</v>
      </c>
      <c r="V66" s="1758">
        <f>+'[3]Oct midyear Tallulah Charter'!E65</f>
        <v>0</v>
      </c>
      <c r="W66" s="1759">
        <f t="shared" si="40"/>
        <v>0</v>
      </c>
      <c r="X66" s="1758">
        <f>'[3]Feb midyear Tallulah Charter'!E65</f>
        <v>0</v>
      </c>
      <c r="Y66" s="1759">
        <f t="shared" si="41"/>
        <v>0</v>
      </c>
      <c r="Z66" s="1653">
        <f t="shared" si="42"/>
        <v>0</v>
      </c>
      <c r="AA66" s="1486">
        <f t="shared" si="43"/>
        <v>0</v>
      </c>
      <c r="AB66" s="937">
        <f t="shared" si="44"/>
        <v>0</v>
      </c>
      <c r="AC66" s="899">
        <f t="shared" si="45"/>
        <v>0</v>
      </c>
      <c r="AD66" s="1830">
        <v>0</v>
      </c>
      <c r="AE66" s="899">
        <f t="shared" si="46"/>
        <v>0</v>
      </c>
      <c r="AF66" s="1829">
        <f>'[4]Table 5C1K-Tallulah Charter'!T65+'[27]Table 5C1K-Tallulah Charter'!AF65+('[26]Table 5C1K-Tallulah Charter'!AF65*6)</f>
        <v>0</v>
      </c>
      <c r="AG66" s="1834">
        <f t="shared" si="47"/>
        <v>0</v>
      </c>
      <c r="AH66" s="1521">
        <f t="shared" si="48"/>
        <v>0</v>
      </c>
      <c r="AI66" s="900">
        <f t="shared" si="54"/>
        <v>0</v>
      </c>
      <c r="AJ66" s="900">
        <f t="shared" si="49"/>
        <v>0</v>
      </c>
      <c r="AL66" s="2034">
        <f>-'[4]Table 5C1K-Tallulah Charter'!P65</f>
        <v>0</v>
      </c>
      <c r="AM66" s="2034">
        <f t="shared" si="50"/>
        <v>0</v>
      </c>
      <c r="AN66" s="2034">
        <f t="shared" si="51"/>
        <v>0</v>
      </c>
    </row>
    <row r="67" spans="1:40">
      <c r="A67" s="879">
        <v>60</v>
      </c>
      <c r="B67" s="880" t="s">
        <v>150</v>
      </c>
      <c r="C67" s="973">
        <v>0</v>
      </c>
      <c r="D67" s="883">
        <f>'Table 3 Levels 1&amp;2'!AL67</f>
        <v>4940.9166775610411</v>
      </c>
      <c r="E67" s="922">
        <f t="shared" si="31"/>
        <v>0</v>
      </c>
      <c r="F67" s="922">
        <f>'Table 4 Level 3'!P65</f>
        <v>594.04</v>
      </c>
      <c r="G67" s="922">
        <f t="shared" si="32"/>
        <v>0</v>
      </c>
      <c r="H67" s="906">
        <f t="shared" si="33"/>
        <v>0</v>
      </c>
      <c r="I67" s="1735">
        <f>+'[3]Oct midyear Tallulah Charter'!K66</f>
        <v>0</v>
      </c>
      <c r="J67" s="1735">
        <f>'[3]Feb midyear Tallulah Charter'!K66</f>
        <v>0</v>
      </c>
      <c r="K67" s="1546">
        <f t="shared" si="34"/>
        <v>0</v>
      </c>
      <c r="L67" s="1490">
        <f t="shared" si="52"/>
        <v>0</v>
      </c>
      <c r="M67" s="932">
        <f t="shared" si="35"/>
        <v>0</v>
      </c>
      <c r="N67" s="906">
        <f t="shared" si="36"/>
        <v>0</v>
      </c>
      <c r="O67" s="883">
        <v>0</v>
      </c>
      <c r="P67" s="1553">
        <f t="shared" si="37"/>
        <v>0</v>
      </c>
      <c r="Q67" s="1722">
        <f>'[4]Table 5C1K-Tallulah Charter'!M66+'[27]Table 5C1K-Tallulah Charter'!T66+('[26]Table 5C1K-Tallulah Charter'!T66*6)</f>
        <v>0</v>
      </c>
      <c r="R67" s="1735">
        <f t="shared" si="38"/>
        <v>0</v>
      </c>
      <c r="S67" s="1806">
        <f t="shared" si="39"/>
        <v>0</v>
      </c>
      <c r="T67" s="1807">
        <f>'Table 5C1A-Madison Prep'!T67</f>
        <v>3801</v>
      </c>
      <c r="U67" s="1556">
        <f t="shared" si="53"/>
        <v>0</v>
      </c>
      <c r="V67" s="1762">
        <f>+'[3]Oct midyear Tallulah Charter'!E66</f>
        <v>0</v>
      </c>
      <c r="W67" s="1763">
        <f t="shared" si="40"/>
        <v>0</v>
      </c>
      <c r="X67" s="1762">
        <f>'[3]Feb midyear Tallulah Charter'!E66</f>
        <v>0</v>
      </c>
      <c r="Y67" s="1763">
        <f t="shared" si="41"/>
        <v>0</v>
      </c>
      <c r="Z67" s="1654">
        <f t="shared" si="42"/>
        <v>0</v>
      </c>
      <c r="AA67" s="1488">
        <f t="shared" si="43"/>
        <v>0</v>
      </c>
      <c r="AB67" s="938">
        <f t="shared" si="44"/>
        <v>0</v>
      </c>
      <c r="AC67" s="903">
        <f t="shared" si="45"/>
        <v>0</v>
      </c>
      <c r="AD67" s="1831">
        <v>0</v>
      </c>
      <c r="AE67" s="903">
        <f t="shared" si="46"/>
        <v>0</v>
      </c>
      <c r="AF67" s="1837">
        <f>'[4]Table 5C1K-Tallulah Charter'!T66+'[27]Table 5C1K-Tallulah Charter'!AF66+('[26]Table 5C1K-Tallulah Charter'!AF66*6)</f>
        <v>0</v>
      </c>
      <c r="AG67" s="1835">
        <f t="shared" si="47"/>
        <v>0</v>
      </c>
      <c r="AH67" s="1530">
        <f t="shared" si="48"/>
        <v>0</v>
      </c>
      <c r="AI67" s="904">
        <f t="shared" si="54"/>
        <v>0</v>
      </c>
      <c r="AJ67" s="904">
        <f t="shared" si="49"/>
        <v>0</v>
      </c>
      <c r="AL67" s="2034">
        <f>-'[4]Table 5C1K-Tallulah Charter'!P66</f>
        <v>0</v>
      </c>
      <c r="AM67" s="2034">
        <f t="shared" si="50"/>
        <v>0</v>
      </c>
      <c r="AN67" s="2034">
        <f t="shared" si="51"/>
        <v>0</v>
      </c>
    </row>
    <row r="68" spans="1:40">
      <c r="A68" s="870">
        <v>61</v>
      </c>
      <c r="B68" s="871" t="s">
        <v>151</v>
      </c>
      <c r="C68" s="974">
        <v>0</v>
      </c>
      <c r="D68" s="884">
        <f>'Table 3 Levels 1&amp;2'!AL68</f>
        <v>2908.0344869339228</v>
      </c>
      <c r="E68" s="923">
        <f t="shared" si="31"/>
        <v>0</v>
      </c>
      <c r="F68" s="923">
        <f>'Table 4 Level 3'!P66</f>
        <v>833.70999999999992</v>
      </c>
      <c r="G68" s="923">
        <f t="shared" si="32"/>
        <v>0</v>
      </c>
      <c r="H68" s="907">
        <f t="shared" si="33"/>
        <v>0</v>
      </c>
      <c r="I68" s="1723">
        <f>+'[3]Oct midyear Tallulah Charter'!K67</f>
        <v>0</v>
      </c>
      <c r="J68" s="1723">
        <f>'[3]Feb midyear Tallulah Charter'!K67</f>
        <v>0</v>
      </c>
      <c r="K68" s="1547">
        <f t="shared" si="34"/>
        <v>0</v>
      </c>
      <c r="L68" s="1491">
        <f t="shared" si="52"/>
        <v>0</v>
      </c>
      <c r="M68" s="933">
        <f t="shared" si="35"/>
        <v>0</v>
      </c>
      <c r="N68" s="907">
        <f t="shared" si="36"/>
        <v>0</v>
      </c>
      <c r="O68" s="884">
        <v>0</v>
      </c>
      <c r="P68" s="996">
        <f t="shared" si="37"/>
        <v>0</v>
      </c>
      <c r="Q68" s="1723">
        <f>'[4]Table 5C1K-Tallulah Charter'!M67+'[27]Table 5C1K-Tallulah Charter'!T67+('[26]Table 5C1K-Tallulah Charter'!T67*6)</f>
        <v>0</v>
      </c>
      <c r="R68" s="1723">
        <f t="shared" si="38"/>
        <v>0</v>
      </c>
      <c r="S68" s="998">
        <f t="shared" si="39"/>
        <v>0</v>
      </c>
      <c r="T68" s="1802">
        <f>'Table 5C1A-Madison Prep'!T68</f>
        <v>6597</v>
      </c>
      <c r="U68" s="999">
        <f t="shared" si="53"/>
        <v>0</v>
      </c>
      <c r="V68" s="1754">
        <f>+'[3]Oct midyear Tallulah Charter'!E67</f>
        <v>0</v>
      </c>
      <c r="W68" s="1755">
        <f t="shared" si="40"/>
        <v>0</v>
      </c>
      <c r="X68" s="1754">
        <f>'[3]Feb midyear Tallulah Charter'!E67</f>
        <v>0</v>
      </c>
      <c r="Y68" s="1755">
        <f t="shared" si="41"/>
        <v>0</v>
      </c>
      <c r="Z68" s="1652">
        <f t="shared" si="42"/>
        <v>0</v>
      </c>
      <c r="AA68" s="1481">
        <f t="shared" si="43"/>
        <v>0</v>
      </c>
      <c r="AB68" s="936">
        <f t="shared" si="44"/>
        <v>0</v>
      </c>
      <c r="AC68" s="874">
        <f t="shared" si="45"/>
        <v>0</v>
      </c>
      <c r="AD68" s="1829">
        <v>0</v>
      </c>
      <c r="AE68" s="874">
        <f t="shared" si="46"/>
        <v>0</v>
      </c>
      <c r="AF68" s="1829">
        <f>'[4]Table 5C1K-Tallulah Charter'!T67+'[27]Table 5C1K-Tallulah Charter'!AF67+('[26]Table 5C1K-Tallulah Charter'!AF67*6)</f>
        <v>0</v>
      </c>
      <c r="AG68" s="1829">
        <f t="shared" si="47"/>
        <v>0</v>
      </c>
      <c r="AH68" s="1521">
        <f t="shared" si="48"/>
        <v>0</v>
      </c>
      <c r="AI68" s="875">
        <f t="shared" si="54"/>
        <v>0</v>
      </c>
      <c r="AJ68" s="875">
        <f t="shared" si="49"/>
        <v>0</v>
      </c>
      <c r="AL68" s="2034">
        <f>-'[4]Table 5C1K-Tallulah Charter'!P67</f>
        <v>0</v>
      </c>
      <c r="AM68" s="2034">
        <f t="shared" si="50"/>
        <v>0</v>
      </c>
      <c r="AN68" s="2034">
        <f t="shared" si="51"/>
        <v>0</v>
      </c>
    </row>
    <row r="69" spans="1:40">
      <c r="A69" s="876">
        <v>62</v>
      </c>
      <c r="B69" s="877" t="s">
        <v>152</v>
      </c>
      <c r="C69" s="972">
        <v>0</v>
      </c>
      <c r="D69" s="882">
        <f>'Table 3 Levels 1&amp;2'!AL69</f>
        <v>5652.1730736722093</v>
      </c>
      <c r="E69" s="921">
        <f t="shared" si="31"/>
        <v>0</v>
      </c>
      <c r="F69" s="921">
        <f>'Table 4 Level 3'!P67</f>
        <v>516.08000000000004</v>
      </c>
      <c r="G69" s="921">
        <f t="shared" si="32"/>
        <v>0</v>
      </c>
      <c r="H69" s="905">
        <f t="shared" si="33"/>
        <v>0</v>
      </c>
      <c r="I69" s="1734">
        <f>+'[3]Oct midyear Tallulah Charter'!K68</f>
        <v>0</v>
      </c>
      <c r="J69" s="1734">
        <f>'[3]Feb midyear Tallulah Charter'!K68</f>
        <v>0</v>
      </c>
      <c r="K69" s="1545">
        <f t="shared" si="34"/>
        <v>0</v>
      </c>
      <c r="L69" s="1489">
        <f t="shared" si="52"/>
        <v>0</v>
      </c>
      <c r="M69" s="931">
        <f t="shared" si="35"/>
        <v>0</v>
      </c>
      <c r="N69" s="905">
        <f t="shared" si="36"/>
        <v>0</v>
      </c>
      <c r="O69" s="882">
        <v>0</v>
      </c>
      <c r="P69" s="1552">
        <f t="shared" si="37"/>
        <v>0</v>
      </c>
      <c r="Q69" s="1721">
        <f>'[4]Table 5C1K-Tallulah Charter'!M68+'[27]Table 5C1K-Tallulah Charter'!T68+('[26]Table 5C1K-Tallulah Charter'!T68*6)</f>
        <v>0</v>
      </c>
      <c r="R69" s="1734">
        <f t="shared" si="38"/>
        <v>0</v>
      </c>
      <c r="S69" s="998">
        <f t="shared" si="39"/>
        <v>0</v>
      </c>
      <c r="T69" s="1802">
        <f>'Table 5C1A-Madison Prep'!T69</f>
        <v>1998</v>
      </c>
      <c r="U69" s="1555">
        <f t="shared" si="53"/>
        <v>0</v>
      </c>
      <c r="V69" s="1758">
        <f>+'[3]Oct midyear Tallulah Charter'!E68</f>
        <v>0</v>
      </c>
      <c r="W69" s="1759">
        <f t="shared" si="40"/>
        <v>0</v>
      </c>
      <c r="X69" s="1758">
        <f>'[3]Feb midyear Tallulah Charter'!E68</f>
        <v>0</v>
      </c>
      <c r="Y69" s="1759">
        <f t="shared" si="41"/>
        <v>0</v>
      </c>
      <c r="Z69" s="1653">
        <f t="shared" si="42"/>
        <v>0</v>
      </c>
      <c r="AA69" s="1486">
        <f t="shared" si="43"/>
        <v>0</v>
      </c>
      <c r="AB69" s="937">
        <f t="shared" si="44"/>
        <v>0</v>
      </c>
      <c r="AC69" s="899">
        <f t="shared" si="45"/>
        <v>0</v>
      </c>
      <c r="AD69" s="1830">
        <v>0</v>
      </c>
      <c r="AE69" s="899">
        <f t="shared" si="46"/>
        <v>0</v>
      </c>
      <c r="AF69" s="1829">
        <f>'[4]Table 5C1K-Tallulah Charter'!T68+'[27]Table 5C1K-Tallulah Charter'!AF68+('[26]Table 5C1K-Tallulah Charter'!AF68*6)</f>
        <v>0</v>
      </c>
      <c r="AG69" s="1834">
        <f t="shared" si="47"/>
        <v>0</v>
      </c>
      <c r="AH69" s="1521">
        <f t="shared" si="48"/>
        <v>0</v>
      </c>
      <c r="AI69" s="900">
        <f t="shared" si="54"/>
        <v>0</v>
      </c>
      <c r="AJ69" s="900">
        <f t="shared" si="49"/>
        <v>0</v>
      </c>
      <c r="AL69" s="2034">
        <f>-'[4]Table 5C1K-Tallulah Charter'!P68</f>
        <v>0</v>
      </c>
      <c r="AM69" s="2034">
        <f t="shared" si="50"/>
        <v>0</v>
      </c>
      <c r="AN69" s="2034">
        <f t="shared" si="51"/>
        <v>0</v>
      </c>
    </row>
    <row r="70" spans="1:40">
      <c r="A70" s="876">
        <v>63</v>
      </c>
      <c r="B70" s="877" t="s">
        <v>153</v>
      </c>
      <c r="C70" s="972">
        <v>0</v>
      </c>
      <c r="D70" s="882">
        <f>'Table 3 Levels 1&amp;2'!AL70</f>
        <v>4362.300753810403</v>
      </c>
      <c r="E70" s="921">
        <f t="shared" si="31"/>
        <v>0</v>
      </c>
      <c r="F70" s="921">
        <f>'Table 4 Level 3'!P68</f>
        <v>756.79</v>
      </c>
      <c r="G70" s="921">
        <f t="shared" si="32"/>
        <v>0</v>
      </c>
      <c r="H70" s="905">
        <f t="shared" si="33"/>
        <v>0</v>
      </c>
      <c r="I70" s="1734">
        <f>+'[3]Oct midyear Tallulah Charter'!K69</f>
        <v>0</v>
      </c>
      <c r="J70" s="1734">
        <f>'[3]Feb midyear Tallulah Charter'!K69</f>
        <v>0</v>
      </c>
      <c r="K70" s="1545">
        <f t="shared" si="34"/>
        <v>0</v>
      </c>
      <c r="L70" s="1489">
        <f t="shared" si="52"/>
        <v>0</v>
      </c>
      <c r="M70" s="931">
        <f t="shared" si="35"/>
        <v>0</v>
      </c>
      <c r="N70" s="905">
        <f t="shared" si="36"/>
        <v>0</v>
      </c>
      <c r="O70" s="882">
        <v>0</v>
      </c>
      <c r="P70" s="1552">
        <f t="shared" si="37"/>
        <v>0</v>
      </c>
      <c r="Q70" s="1721">
        <f>'[4]Table 5C1K-Tallulah Charter'!M69+'[27]Table 5C1K-Tallulah Charter'!T69+('[26]Table 5C1K-Tallulah Charter'!T69*6)</f>
        <v>0</v>
      </c>
      <c r="R70" s="1734">
        <f t="shared" si="38"/>
        <v>0</v>
      </c>
      <c r="S70" s="998">
        <f t="shared" si="39"/>
        <v>0</v>
      </c>
      <c r="T70" s="1802">
        <f>'Table 5C1A-Madison Prep'!T70</f>
        <v>7391</v>
      </c>
      <c r="U70" s="1555">
        <f t="shared" si="53"/>
        <v>0</v>
      </c>
      <c r="V70" s="1758">
        <f>+'[3]Oct midyear Tallulah Charter'!E69</f>
        <v>0</v>
      </c>
      <c r="W70" s="1759">
        <f t="shared" si="40"/>
        <v>0</v>
      </c>
      <c r="X70" s="1758">
        <f>'[3]Feb midyear Tallulah Charter'!E69</f>
        <v>0</v>
      </c>
      <c r="Y70" s="1759">
        <f t="shared" si="41"/>
        <v>0</v>
      </c>
      <c r="Z70" s="1653">
        <f t="shared" si="42"/>
        <v>0</v>
      </c>
      <c r="AA70" s="1486">
        <f t="shared" si="43"/>
        <v>0</v>
      </c>
      <c r="AB70" s="937">
        <f t="shared" si="44"/>
        <v>0</v>
      </c>
      <c r="AC70" s="899">
        <f t="shared" si="45"/>
        <v>0</v>
      </c>
      <c r="AD70" s="1830">
        <v>0</v>
      </c>
      <c r="AE70" s="899">
        <f t="shared" si="46"/>
        <v>0</v>
      </c>
      <c r="AF70" s="1829">
        <f>'[4]Table 5C1K-Tallulah Charter'!T69+'[27]Table 5C1K-Tallulah Charter'!AF69+('[26]Table 5C1K-Tallulah Charter'!AF69*6)</f>
        <v>0</v>
      </c>
      <c r="AG70" s="1834">
        <f t="shared" si="47"/>
        <v>0</v>
      </c>
      <c r="AH70" s="1521">
        <f t="shared" si="48"/>
        <v>0</v>
      </c>
      <c r="AI70" s="900">
        <f t="shared" si="54"/>
        <v>0</v>
      </c>
      <c r="AJ70" s="900">
        <f t="shared" si="49"/>
        <v>0</v>
      </c>
      <c r="AL70" s="2034">
        <f>-'[4]Table 5C1K-Tallulah Charter'!P69</f>
        <v>0</v>
      </c>
      <c r="AM70" s="2034">
        <f t="shared" si="50"/>
        <v>0</v>
      </c>
      <c r="AN70" s="2034">
        <f t="shared" si="51"/>
        <v>0</v>
      </c>
    </row>
    <row r="71" spans="1:40">
      <c r="A71" s="876">
        <v>64</v>
      </c>
      <c r="B71" s="877" t="s">
        <v>154</v>
      </c>
      <c r="C71" s="972">
        <v>0</v>
      </c>
      <c r="D71" s="882">
        <f>'Table 3 Levels 1&amp;2'!AL71</f>
        <v>5960.2049072003338</v>
      </c>
      <c r="E71" s="921">
        <f t="shared" si="31"/>
        <v>0</v>
      </c>
      <c r="F71" s="921">
        <f>'Table 4 Level 3'!P69</f>
        <v>592.66</v>
      </c>
      <c r="G71" s="921">
        <f t="shared" si="32"/>
        <v>0</v>
      </c>
      <c r="H71" s="905">
        <f t="shared" si="33"/>
        <v>0</v>
      </c>
      <c r="I71" s="1734">
        <f>+'[3]Oct midyear Tallulah Charter'!K70</f>
        <v>0</v>
      </c>
      <c r="J71" s="1734">
        <f>'[3]Feb midyear Tallulah Charter'!K70</f>
        <v>0</v>
      </c>
      <c r="K71" s="1545">
        <f t="shared" si="34"/>
        <v>0</v>
      </c>
      <c r="L71" s="1489">
        <f t="shared" si="52"/>
        <v>0</v>
      </c>
      <c r="M71" s="931">
        <f t="shared" si="35"/>
        <v>0</v>
      </c>
      <c r="N71" s="905">
        <f t="shared" si="36"/>
        <v>0</v>
      </c>
      <c r="O71" s="882">
        <v>0</v>
      </c>
      <c r="P71" s="1552">
        <f t="shared" si="37"/>
        <v>0</v>
      </c>
      <c r="Q71" s="1721">
        <f>'[4]Table 5C1K-Tallulah Charter'!M70+'[27]Table 5C1K-Tallulah Charter'!T70+('[26]Table 5C1K-Tallulah Charter'!T70*6)</f>
        <v>0</v>
      </c>
      <c r="R71" s="1734">
        <f t="shared" si="38"/>
        <v>0</v>
      </c>
      <c r="S71" s="998">
        <f t="shared" si="39"/>
        <v>0</v>
      </c>
      <c r="T71" s="1802">
        <f>'Table 5C1A-Madison Prep'!T71</f>
        <v>2902</v>
      </c>
      <c r="U71" s="1555">
        <f t="shared" si="53"/>
        <v>0</v>
      </c>
      <c r="V71" s="1758">
        <f>+'[3]Oct midyear Tallulah Charter'!E70</f>
        <v>0</v>
      </c>
      <c r="W71" s="1759">
        <f t="shared" si="40"/>
        <v>0</v>
      </c>
      <c r="X71" s="1758">
        <f>'[3]Feb midyear Tallulah Charter'!E70</f>
        <v>0</v>
      </c>
      <c r="Y71" s="1759">
        <f t="shared" si="41"/>
        <v>0</v>
      </c>
      <c r="Z71" s="1653">
        <f t="shared" si="42"/>
        <v>0</v>
      </c>
      <c r="AA71" s="1486">
        <f t="shared" si="43"/>
        <v>0</v>
      </c>
      <c r="AB71" s="937">
        <f t="shared" si="44"/>
        <v>0</v>
      </c>
      <c r="AC71" s="899">
        <f t="shared" si="45"/>
        <v>0</v>
      </c>
      <c r="AD71" s="1830">
        <v>0</v>
      </c>
      <c r="AE71" s="899">
        <f t="shared" si="46"/>
        <v>0</v>
      </c>
      <c r="AF71" s="1829">
        <f>'[4]Table 5C1K-Tallulah Charter'!T70+'[27]Table 5C1K-Tallulah Charter'!AF70+('[26]Table 5C1K-Tallulah Charter'!AF70*6)</f>
        <v>0</v>
      </c>
      <c r="AG71" s="1834">
        <f t="shared" si="47"/>
        <v>0</v>
      </c>
      <c r="AH71" s="1521">
        <f t="shared" si="48"/>
        <v>0</v>
      </c>
      <c r="AI71" s="900">
        <f t="shared" si="54"/>
        <v>0</v>
      </c>
      <c r="AJ71" s="900">
        <f t="shared" si="49"/>
        <v>0</v>
      </c>
      <c r="AL71" s="2034">
        <f>-'[4]Table 5C1K-Tallulah Charter'!P70</f>
        <v>0</v>
      </c>
      <c r="AM71" s="2034">
        <f t="shared" si="50"/>
        <v>0</v>
      </c>
      <c r="AN71" s="2034">
        <f t="shared" si="51"/>
        <v>0</v>
      </c>
    </row>
    <row r="72" spans="1:40">
      <c r="A72" s="879">
        <v>65</v>
      </c>
      <c r="B72" s="880" t="s">
        <v>155</v>
      </c>
      <c r="C72" s="973">
        <v>0</v>
      </c>
      <c r="D72" s="883">
        <f>'Table 3 Levels 1&amp;2'!AL72</f>
        <v>4579.2772303106676</v>
      </c>
      <c r="E72" s="922">
        <f t="shared" si="31"/>
        <v>0</v>
      </c>
      <c r="F72" s="922">
        <f>'Table 4 Level 3'!P70</f>
        <v>829.12</v>
      </c>
      <c r="G72" s="922">
        <f t="shared" si="32"/>
        <v>0</v>
      </c>
      <c r="H72" s="906">
        <f t="shared" si="33"/>
        <v>0</v>
      </c>
      <c r="I72" s="1735">
        <f>+'[3]Oct midyear Tallulah Charter'!K71</f>
        <v>0</v>
      </c>
      <c r="J72" s="1735">
        <f>'[3]Feb midyear Tallulah Charter'!K71</f>
        <v>0</v>
      </c>
      <c r="K72" s="1546">
        <f t="shared" si="34"/>
        <v>0</v>
      </c>
      <c r="L72" s="1490">
        <f t="shared" ref="L72:L76" si="55">H72+K72</f>
        <v>0</v>
      </c>
      <c r="M72" s="932">
        <f t="shared" si="35"/>
        <v>0</v>
      </c>
      <c r="N72" s="906">
        <f t="shared" si="36"/>
        <v>0</v>
      </c>
      <c r="O72" s="883">
        <v>0</v>
      </c>
      <c r="P72" s="1553">
        <f t="shared" si="37"/>
        <v>0</v>
      </c>
      <c r="Q72" s="1722">
        <f>'[4]Table 5C1K-Tallulah Charter'!M71+'[27]Table 5C1K-Tallulah Charter'!T71+('[26]Table 5C1K-Tallulah Charter'!T71*6)</f>
        <v>0</v>
      </c>
      <c r="R72" s="1735">
        <f t="shared" si="38"/>
        <v>0</v>
      </c>
      <c r="S72" s="1806">
        <f t="shared" si="39"/>
        <v>0</v>
      </c>
      <c r="T72" s="1807">
        <f>'Table 5C1A-Madison Prep'!T72</f>
        <v>4823</v>
      </c>
      <c r="U72" s="1556">
        <f t="shared" ref="U72:U76" si="56">C72*T72</f>
        <v>0</v>
      </c>
      <c r="V72" s="1762">
        <f>+'[3]Oct midyear Tallulah Charter'!E71</f>
        <v>0</v>
      </c>
      <c r="W72" s="1763">
        <f t="shared" si="40"/>
        <v>0</v>
      </c>
      <c r="X72" s="1762">
        <f>'[3]Feb midyear Tallulah Charter'!E71</f>
        <v>0</v>
      </c>
      <c r="Y72" s="1763">
        <f t="shared" si="41"/>
        <v>0</v>
      </c>
      <c r="Z72" s="1654">
        <f t="shared" si="42"/>
        <v>0</v>
      </c>
      <c r="AA72" s="1488">
        <f t="shared" si="43"/>
        <v>0</v>
      </c>
      <c r="AB72" s="938">
        <f t="shared" si="44"/>
        <v>0</v>
      </c>
      <c r="AC72" s="903">
        <f t="shared" si="45"/>
        <v>0</v>
      </c>
      <c r="AD72" s="1831">
        <v>0</v>
      </c>
      <c r="AE72" s="903">
        <f t="shared" si="46"/>
        <v>0</v>
      </c>
      <c r="AF72" s="1837">
        <f>'[4]Table 5C1K-Tallulah Charter'!T71+'[27]Table 5C1K-Tallulah Charter'!AF71+('[26]Table 5C1K-Tallulah Charter'!AF71*6)</f>
        <v>0</v>
      </c>
      <c r="AG72" s="1835">
        <f t="shared" si="47"/>
        <v>0</v>
      </c>
      <c r="AH72" s="1530">
        <f t="shared" si="48"/>
        <v>0</v>
      </c>
      <c r="AI72" s="904">
        <f t="shared" si="54"/>
        <v>0</v>
      </c>
      <c r="AJ72" s="904">
        <f t="shared" si="49"/>
        <v>0</v>
      </c>
      <c r="AL72" s="2034">
        <f>-'[4]Table 5C1K-Tallulah Charter'!P71</f>
        <v>0</v>
      </c>
      <c r="AM72" s="2034">
        <f t="shared" si="50"/>
        <v>0</v>
      </c>
      <c r="AN72" s="2034">
        <f t="shared" si="51"/>
        <v>0</v>
      </c>
    </row>
    <row r="73" spans="1:40">
      <c r="A73" s="870">
        <v>66</v>
      </c>
      <c r="B73" s="871" t="s">
        <v>156</v>
      </c>
      <c r="C73" s="974">
        <v>0</v>
      </c>
      <c r="D73" s="884">
        <f>'Table 3 Levels 1&amp;2'!AL73</f>
        <v>6370.8108195713585</v>
      </c>
      <c r="E73" s="923">
        <f t="shared" ref="E73:E76" si="57">C73*D73</f>
        <v>0</v>
      </c>
      <c r="F73" s="923">
        <f>'Table 4 Level 3'!P71</f>
        <v>730.06</v>
      </c>
      <c r="G73" s="923">
        <f t="shared" ref="G73:G76" si="58">C73*F73</f>
        <v>0</v>
      </c>
      <c r="H73" s="907">
        <f t="shared" ref="H73:H76" si="59">E73+G73</f>
        <v>0</v>
      </c>
      <c r="I73" s="1723">
        <f>+'[3]Oct midyear Tallulah Charter'!K72</f>
        <v>0</v>
      </c>
      <c r="J73" s="1723">
        <f>'[3]Feb midyear Tallulah Charter'!K72</f>
        <v>0</v>
      </c>
      <c r="K73" s="1547">
        <f t="shared" ref="K73:K76" si="60">+I73+J73</f>
        <v>0</v>
      </c>
      <c r="L73" s="1491">
        <f t="shared" si="55"/>
        <v>0</v>
      </c>
      <c r="M73" s="933">
        <f t="shared" ref="M73:M76" si="61">-(0.25%*L73)</f>
        <v>0</v>
      </c>
      <c r="N73" s="907">
        <f t="shared" ref="N73:N76" si="62">SUM(L73:M73)</f>
        <v>0</v>
      </c>
      <c r="O73" s="884">
        <v>0</v>
      </c>
      <c r="P73" s="996">
        <f t="shared" ref="P73:P76" si="63">SUM(N73:O73)</f>
        <v>0</v>
      </c>
      <c r="Q73" s="1723">
        <f>'[4]Table 5C1K-Tallulah Charter'!M72+'[27]Table 5C1K-Tallulah Charter'!T72+('[26]Table 5C1K-Tallulah Charter'!T72*6)</f>
        <v>0</v>
      </c>
      <c r="R73" s="1723">
        <f t="shared" ref="R73:R76" si="64">P73-Q73</f>
        <v>0</v>
      </c>
      <c r="S73" s="998">
        <f t="shared" ref="S73:S76" si="65">ROUND(R73/4,0)</f>
        <v>0</v>
      </c>
      <c r="T73" s="1802">
        <f>'Table 5C1A-Madison Prep'!T73</f>
        <v>3524</v>
      </c>
      <c r="U73" s="999">
        <f t="shared" si="56"/>
        <v>0</v>
      </c>
      <c r="V73" s="1754">
        <f>+'[3]Oct midyear Tallulah Charter'!E72</f>
        <v>0</v>
      </c>
      <c r="W73" s="1755">
        <f t="shared" ref="W73:W76" si="66">V73*T73</f>
        <v>0</v>
      </c>
      <c r="X73" s="1754">
        <f>'[3]Feb midyear Tallulah Charter'!E72</f>
        <v>0</v>
      </c>
      <c r="Y73" s="1755">
        <f t="shared" ref="Y73:Y76" si="67">(T73*X73)*0.5</f>
        <v>0</v>
      </c>
      <c r="Z73" s="1652">
        <f t="shared" ref="Z73:Z76" si="68">+W73+Y73</f>
        <v>0</v>
      </c>
      <c r="AA73" s="1481">
        <f t="shared" ref="AA73:AA76" si="69">U73+Z73</f>
        <v>0</v>
      </c>
      <c r="AB73" s="936">
        <f t="shared" ref="AB73:AB76" si="70">-(0.25%*AA73)</f>
        <v>0</v>
      </c>
      <c r="AC73" s="874">
        <f t="shared" ref="AC73:AC76" si="71">SUM(AA73:AB73)</f>
        <v>0</v>
      </c>
      <c r="AD73" s="1829">
        <v>0</v>
      </c>
      <c r="AE73" s="874">
        <f t="shared" ref="AE73:AE76" si="72">SUM(AC73:AD73)</f>
        <v>0</v>
      </c>
      <c r="AF73" s="1829">
        <f>'[4]Table 5C1K-Tallulah Charter'!T72+'[27]Table 5C1K-Tallulah Charter'!AF72+('[26]Table 5C1K-Tallulah Charter'!AF72*6)</f>
        <v>0</v>
      </c>
      <c r="AG73" s="1829">
        <f t="shared" ref="AG73:AG76" si="73">AE73-AF73</f>
        <v>0</v>
      </c>
      <c r="AH73" s="1521">
        <f t="shared" ref="AH73:AH76" si="74">ROUND(AG73/4,0)</f>
        <v>0</v>
      </c>
      <c r="AI73" s="875">
        <f t="shared" si="54"/>
        <v>0</v>
      </c>
      <c r="AJ73" s="875">
        <f t="shared" ref="AJ73:AJ76" si="75">S73+AH73</f>
        <v>0</v>
      </c>
      <c r="AL73" s="2034">
        <f>-'[4]Table 5C1K-Tallulah Charter'!P72</f>
        <v>0</v>
      </c>
      <c r="AM73" s="2034">
        <f t="shared" ref="AM73:AM76" si="76">AB73</f>
        <v>0</v>
      </c>
      <c r="AN73" s="2034">
        <f t="shared" ref="AN73:AN75" si="77">SUM(AL73:AM73)</f>
        <v>0</v>
      </c>
    </row>
    <row r="74" spans="1:40">
      <c r="A74" s="876">
        <v>67</v>
      </c>
      <c r="B74" s="877" t="s">
        <v>32</v>
      </c>
      <c r="C74" s="972">
        <v>0</v>
      </c>
      <c r="D74" s="882">
        <f>'Table 3 Levels 1&amp;2'!AL74</f>
        <v>4951.6009932106244</v>
      </c>
      <c r="E74" s="921">
        <f t="shared" si="57"/>
        <v>0</v>
      </c>
      <c r="F74" s="921">
        <f>'Table 4 Level 3'!P72</f>
        <v>715.61</v>
      </c>
      <c r="G74" s="921">
        <f t="shared" si="58"/>
        <v>0</v>
      </c>
      <c r="H74" s="905">
        <f t="shared" si="59"/>
        <v>0</v>
      </c>
      <c r="I74" s="1734">
        <f>+'[3]Oct midyear Tallulah Charter'!K73</f>
        <v>0</v>
      </c>
      <c r="J74" s="1734">
        <f>'[3]Feb midyear Tallulah Charter'!K73</f>
        <v>0</v>
      </c>
      <c r="K74" s="1545">
        <f t="shared" si="60"/>
        <v>0</v>
      </c>
      <c r="L74" s="1489">
        <f t="shared" si="55"/>
        <v>0</v>
      </c>
      <c r="M74" s="931">
        <f t="shared" si="61"/>
        <v>0</v>
      </c>
      <c r="N74" s="905">
        <f t="shared" si="62"/>
        <v>0</v>
      </c>
      <c r="O74" s="882">
        <v>0</v>
      </c>
      <c r="P74" s="1552">
        <f t="shared" si="63"/>
        <v>0</v>
      </c>
      <c r="Q74" s="1721">
        <f>'[4]Table 5C1K-Tallulah Charter'!M73+'[27]Table 5C1K-Tallulah Charter'!T73+('[26]Table 5C1K-Tallulah Charter'!T73*6)</f>
        <v>0</v>
      </c>
      <c r="R74" s="1734">
        <f t="shared" si="64"/>
        <v>0</v>
      </c>
      <c r="S74" s="998">
        <f t="shared" si="65"/>
        <v>0</v>
      </c>
      <c r="T74" s="1802">
        <f>'Table 5C1A-Madison Prep'!T74</f>
        <v>5007</v>
      </c>
      <c r="U74" s="1555">
        <f t="shared" si="56"/>
        <v>0</v>
      </c>
      <c r="V74" s="1758">
        <f>+'[3]Oct midyear Tallulah Charter'!E73</f>
        <v>0</v>
      </c>
      <c r="W74" s="1759">
        <f t="shared" si="66"/>
        <v>0</v>
      </c>
      <c r="X74" s="1758">
        <f>'[3]Feb midyear Tallulah Charter'!E73</f>
        <v>0</v>
      </c>
      <c r="Y74" s="1759">
        <f t="shared" si="67"/>
        <v>0</v>
      </c>
      <c r="Z74" s="1653">
        <f t="shared" si="68"/>
        <v>0</v>
      </c>
      <c r="AA74" s="1486">
        <f t="shared" si="69"/>
        <v>0</v>
      </c>
      <c r="AB74" s="937">
        <f t="shared" si="70"/>
        <v>0</v>
      </c>
      <c r="AC74" s="899">
        <f t="shared" si="71"/>
        <v>0</v>
      </c>
      <c r="AD74" s="1830">
        <v>0</v>
      </c>
      <c r="AE74" s="899">
        <f t="shared" si="72"/>
        <v>0</v>
      </c>
      <c r="AF74" s="1829">
        <f>'[4]Table 5C1K-Tallulah Charter'!T73+'[27]Table 5C1K-Tallulah Charter'!AF73+('[26]Table 5C1K-Tallulah Charter'!AF73*6)</f>
        <v>0</v>
      </c>
      <c r="AG74" s="1834">
        <f t="shared" si="73"/>
        <v>0</v>
      </c>
      <c r="AH74" s="1521">
        <f t="shared" si="74"/>
        <v>0</v>
      </c>
      <c r="AI74" s="900">
        <f t="shared" si="54"/>
        <v>0</v>
      </c>
      <c r="AJ74" s="900">
        <f t="shared" si="75"/>
        <v>0</v>
      </c>
      <c r="AL74" s="2034">
        <f>-'[4]Table 5C1K-Tallulah Charter'!P73</f>
        <v>0</v>
      </c>
      <c r="AM74" s="2034">
        <f t="shared" si="76"/>
        <v>0</v>
      </c>
      <c r="AN74" s="2034">
        <f t="shared" si="77"/>
        <v>0</v>
      </c>
    </row>
    <row r="75" spans="1:40">
      <c r="A75" s="876">
        <v>68</v>
      </c>
      <c r="B75" s="877" t="s">
        <v>30</v>
      </c>
      <c r="C75" s="972">
        <v>0</v>
      </c>
      <c r="D75" s="882">
        <f>'Table 3 Levels 1&amp;2'!AL75</f>
        <v>6077.2398733698947</v>
      </c>
      <c r="E75" s="921">
        <f t="shared" si="57"/>
        <v>0</v>
      </c>
      <c r="F75" s="921">
        <f>'Table 4 Level 3'!P73</f>
        <v>798.7</v>
      </c>
      <c r="G75" s="921">
        <f t="shared" si="58"/>
        <v>0</v>
      </c>
      <c r="H75" s="905">
        <f t="shared" si="59"/>
        <v>0</v>
      </c>
      <c r="I75" s="1734">
        <f>+'[3]Oct midyear Tallulah Charter'!K74</f>
        <v>0</v>
      </c>
      <c r="J75" s="1734">
        <f>'[3]Feb midyear Tallulah Charter'!K74</f>
        <v>0</v>
      </c>
      <c r="K75" s="1545">
        <f t="shared" si="60"/>
        <v>0</v>
      </c>
      <c r="L75" s="1489">
        <f t="shared" si="55"/>
        <v>0</v>
      </c>
      <c r="M75" s="931">
        <f t="shared" si="61"/>
        <v>0</v>
      </c>
      <c r="N75" s="905">
        <f t="shared" si="62"/>
        <v>0</v>
      </c>
      <c r="O75" s="882">
        <v>0</v>
      </c>
      <c r="P75" s="1552">
        <f t="shared" si="63"/>
        <v>0</v>
      </c>
      <c r="Q75" s="1721">
        <f>'[4]Table 5C1K-Tallulah Charter'!M74+'[27]Table 5C1K-Tallulah Charter'!T74+('[26]Table 5C1K-Tallulah Charter'!T74*6)</f>
        <v>0</v>
      </c>
      <c r="R75" s="1734">
        <f t="shared" si="64"/>
        <v>0</v>
      </c>
      <c r="S75" s="998">
        <f t="shared" si="65"/>
        <v>0</v>
      </c>
      <c r="T75" s="1802">
        <f>'Table 5C1A-Madison Prep'!T75</f>
        <v>2927</v>
      </c>
      <c r="U75" s="1555">
        <f t="shared" si="56"/>
        <v>0</v>
      </c>
      <c r="V75" s="1758">
        <f>+'[3]Oct midyear Tallulah Charter'!E74</f>
        <v>0</v>
      </c>
      <c r="W75" s="1759">
        <f t="shared" si="66"/>
        <v>0</v>
      </c>
      <c r="X75" s="1758">
        <f>'[3]Feb midyear Tallulah Charter'!E74</f>
        <v>0</v>
      </c>
      <c r="Y75" s="1759">
        <f t="shared" si="67"/>
        <v>0</v>
      </c>
      <c r="Z75" s="1653">
        <f t="shared" si="68"/>
        <v>0</v>
      </c>
      <c r="AA75" s="1486">
        <f t="shared" si="69"/>
        <v>0</v>
      </c>
      <c r="AB75" s="937">
        <f t="shared" si="70"/>
        <v>0</v>
      </c>
      <c r="AC75" s="899">
        <f t="shared" si="71"/>
        <v>0</v>
      </c>
      <c r="AD75" s="1830">
        <v>0</v>
      </c>
      <c r="AE75" s="899">
        <f t="shared" si="72"/>
        <v>0</v>
      </c>
      <c r="AF75" s="1829">
        <f>'[4]Table 5C1K-Tallulah Charter'!T74+'[27]Table 5C1K-Tallulah Charter'!AF74+('[26]Table 5C1K-Tallulah Charter'!AF74*6)</f>
        <v>0</v>
      </c>
      <c r="AG75" s="1834">
        <f t="shared" si="73"/>
        <v>0</v>
      </c>
      <c r="AH75" s="1521">
        <f t="shared" si="74"/>
        <v>0</v>
      </c>
      <c r="AI75" s="900">
        <f t="shared" si="54"/>
        <v>0</v>
      </c>
      <c r="AJ75" s="900">
        <f t="shared" si="75"/>
        <v>0</v>
      </c>
      <c r="AL75" s="2034">
        <f>-'[4]Table 5C1K-Tallulah Charter'!P74</f>
        <v>0</v>
      </c>
      <c r="AM75" s="2034">
        <f t="shared" si="76"/>
        <v>0</v>
      </c>
      <c r="AN75" s="2034">
        <f t="shared" si="77"/>
        <v>0</v>
      </c>
    </row>
    <row r="76" spans="1:40">
      <c r="A76" s="885">
        <v>69</v>
      </c>
      <c r="B76" s="886" t="s">
        <v>205</v>
      </c>
      <c r="C76" s="975">
        <v>0</v>
      </c>
      <c r="D76" s="887">
        <f>'Table 3 Levels 1&amp;2'!AL76</f>
        <v>5585.8253106686579</v>
      </c>
      <c r="E76" s="924">
        <f t="shared" si="57"/>
        <v>0</v>
      </c>
      <c r="F76" s="924">
        <f>'Table 4 Level 3'!P74</f>
        <v>705.67</v>
      </c>
      <c r="G76" s="924">
        <f t="shared" si="58"/>
        <v>0</v>
      </c>
      <c r="H76" s="908">
        <f t="shared" si="59"/>
        <v>0</v>
      </c>
      <c r="I76" s="1736">
        <f>+'[3]Oct midyear Tallulah Charter'!K75</f>
        <v>0</v>
      </c>
      <c r="J76" s="1736">
        <f>'[3]Feb midyear Tallulah Charter'!K75</f>
        <v>0</v>
      </c>
      <c r="K76" s="1548">
        <f t="shared" si="60"/>
        <v>0</v>
      </c>
      <c r="L76" s="1492">
        <f t="shared" si="55"/>
        <v>0</v>
      </c>
      <c r="M76" s="934">
        <f t="shared" si="61"/>
        <v>0</v>
      </c>
      <c r="N76" s="908">
        <f t="shared" si="62"/>
        <v>0</v>
      </c>
      <c r="O76" s="887">
        <v>0</v>
      </c>
      <c r="P76" s="1554">
        <f t="shared" si="63"/>
        <v>0</v>
      </c>
      <c r="Q76" s="1724">
        <f>'[4]Table 5C1K-Tallulah Charter'!M75+'[27]Table 5C1K-Tallulah Charter'!T75+('[26]Table 5C1K-Tallulah Charter'!T75*6)</f>
        <v>0</v>
      </c>
      <c r="R76" s="1736">
        <f t="shared" si="64"/>
        <v>0</v>
      </c>
      <c r="S76" s="998">
        <f t="shared" si="65"/>
        <v>0</v>
      </c>
      <c r="T76" s="1802">
        <f>'Table 5C1A-Madison Prep'!T76</f>
        <v>3404</v>
      </c>
      <c r="U76" s="1557">
        <f t="shared" si="56"/>
        <v>0</v>
      </c>
      <c r="V76" s="1766">
        <f>+'[3]Oct midyear Tallulah Charter'!E75</f>
        <v>0</v>
      </c>
      <c r="W76" s="1767">
        <f t="shared" si="66"/>
        <v>0</v>
      </c>
      <c r="X76" s="1766">
        <f>'[3]Feb midyear Tallulah Charter'!E75</f>
        <v>0</v>
      </c>
      <c r="Y76" s="1767">
        <f t="shared" si="67"/>
        <v>0</v>
      </c>
      <c r="Z76" s="1655">
        <f t="shared" si="68"/>
        <v>0</v>
      </c>
      <c r="AA76" s="1493">
        <f t="shared" si="69"/>
        <v>0</v>
      </c>
      <c r="AB76" s="939">
        <f t="shared" si="70"/>
        <v>0</v>
      </c>
      <c r="AC76" s="909">
        <f t="shared" si="71"/>
        <v>0</v>
      </c>
      <c r="AD76" s="1832">
        <v>0</v>
      </c>
      <c r="AE76" s="909">
        <f t="shared" si="72"/>
        <v>0</v>
      </c>
      <c r="AF76" s="1829">
        <f>'[4]Table 5C1K-Tallulah Charter'!T75+'[27]Table 5C1K-Tallulah Charter'!AF75+('[26]Table 5C1K-Tallulah Charter'!AF75*6)</f>
        <v>0</v>
      </c>
      <c r="AG76" s="1836">
        <f t="shared" si="73"/>
        <v>0</v>
      </c>
      <c r="AH76" s="1521">
        <f t="shared" si="74"/>
        <v>0</v>
      </c>
      <c r="AI76" s="910">
        <f t="shared" si="54"/>
        <v>0</v>
      </c>
      <c r="AJ76" s="910">
        <f t="shared" si="75"/>
        <v>0</v>
      </c>
      <c r="AL76" s="2034">
        <f>-'[4]Table 5C1K-Tallulah Charter'!P75</f>
        <v>0</v>
      </c>
      <c r="AM76" s="2034">
        <f t="shared" si="76"/>
        <v>0</v>
      </c>
      <c r="AN76" s="2034">
        <f>SUM(AL76:AM76)</f>
        <v>0</v>
      </c>
    </row>
    <row r="77" spans="1:40" ht="13.5" thickBot="1">
      <c r="A77" s="888"/>
      <c r="B77" s="889" t="s">
        <v>157</v>
      </c>
      <c r="C77" s="890">
        <f>SUM(C8:C76)</f>
        <v>232</v>
      </c>
      <c r="D77" s="891"/>
      <c r="E77" s="925">
        <f>SUM(E8:E76)</f>
        <v>1236454.3060552143</v>
      </c>
      <c r="F77" s="925">
        <f>'[33]Table 4 Level 3'!P75</f>
        <v>703.90028204588873</v>
      </c>
      <c r="G77" s="925">
        <f t="shared" ref="G77:R77" si="78">SUM(G8:G76)</f>
        <v>152031.92000000001</v>
      </c>
      <c r="H77" s="892">
        <f t="shared" si="78"/>
        <v>1388486.2260552142</v>
      </c>
      <c r="I77" s="1737">
        <f t="shared" si="78"/>
        <v>400985.24631766969</v>
      </c>
      <c r="J77" s="1737">
        <f t="shared" si="78"/>
        <v>-14962.136056629464</v>
      </c>
      <c r="K77" s="1549">
        <f t="shared" si="78"/>
        <v>386023.11026104022</v>
      </c>
      <c r="L77" s="1482">
        <f t="shared" si="78"/>
        <v>1774509.3363162545</v>
      </c>
      <c r="M77" s="935">
        <f t="shared" si="78"/>
        <v>-4436.2733407906362</v>
      </c>
      <c r="N77" s="892">
        <f t="shared" si="78"/>
        <v>1770073.0629754639</v>
      </c>
      <c r="O77" s="891">
        <f t="shared" si="78"/>
        <v>0</v>
      </c>
      <c r="P77" s="997">
        <f t="shared" si="78"/>
        <v>1770073.0629754639</v>
      </c>
      <c r="Q77" s="1725">
        <f t="shared" si="78"/>
        <v>1200629.4467034279</v>
      </c>
      <c r="R77" s="1725">
        <f t="shared" si="78"/>
        <v>569443.61627203587</v>
      </c>
      <c r="S77" s="997">
        <f>SUM(S8:S76)</f>
        <v>142361</v>
      </c>
      <c r="T77" s="1812">
        <f>'Table 5C1A-Madison Prep'!T77</f>
        <v>4626</v>
      </c>
      <c r="U77" s="1000">
        <f t="shared" ref="U77:AJ77" si="79">SUM(U8:U76)</f>
        <v>812232</v>
      </c>
      <c r="V77" s="1770">
        <f t="shared" si="79"/>
        <v>67</v>
      </c>
      <c r="W77" s="1771">
        <f t="shared" si="79"/>
        <v>234567</v>
      </c>
      <c r="X77" s="1770">
        <f t="shared" si="79"/>
        <v>-5</v>
      </c>
      <c r="Y77" s="1771">
        <f t="shared" si="79"/>
        <v>-8752.5</v>
      </c>
      <c r="Z77" s="1665">
        <f t="shared" si="79"/>
        <v>225814.5</v>
      </c>
      <c r="AA77" s="1717">
        <f t="shared" si="79"/>
        <v>1038046.5</v>
      </c>
      <c r="AB77" s="940">
        <f t="shared" si="79"/>
        <v>-2595.11625</v>
      </c>
      <c r="AC77" s="1000">
        <f t="shared" si="79"/>
        <v>1035451.38375</v>
      </c>
      <c r="AD77" s="1828">
        <f t="shared" si="79"/>
        <v>0</v>
      </c>
      <c r="AE77" s="1000">
        <f t="shared" si="79"/>
        <v>1035451.38375</v>
      </c>
      <c r="AF77" s="1828">
        <f t="shared" si="79"/>
        <v>531396.8691818181</v>
      </c>
      <c r="AG77" s="1828">
        <f t="shared" si="79"/>
        <v>504054.51456818194</v>
      </c>
      <c r="AH77" s="1000">
        <f t="shared" si="79"/>
        <v>126014</v>
      </c>
      <c r="AI77" s="894">
        <f t="shared" si="79"/>
        <v>2805524.446725464</v>
      </c>
      <c r="AJ77" s="894">
        <f t="shared" si="79"/>
        <v>268375</v>
      </c>
      <c r="AL77" s="2034">
        <f>SUM(AL8:AL76)</f>
        <v>1536.42</v>
      </c>
      <c r="AM77" s="2034">
        <f>SUM(AM8:AM76)</f>
        <v>-2595.11625</v>
      </c>
      <c r="AN77" s="2034">
        <f>SUM(AN8:AN76)</f>
        <v>-1058.69625</v>
      </c>
    </row>
    <row r="78" spans="1:40" ht="12" customHeight="1" thickTop="1"/>
    <row r="79" spans="1:40" hidden="1"/>
    <row r="80" spans="1:40" hidden="1">
      <c r="M80" s="1464" t="s">
        <v>951</v>
      </c>
      <c r="N80" s="2034">
        <f>-'[4]Table 5C1K-Tallulah Charter'!$I$76</f>
        <v>3471.2155651380353</v>
      </c>
    </row>
    <row r="81" spans="13:14" hidden="1">
      <c r="M81" s="1464" t="s">
        <v>952</v>
      </c>
      <c r="N81" s="2034">
        <f>M77</f>
        <v>-4436.2733407906362</v>
      </c>
    </row>
    <row r="82" spans="13:14" hidden="1">
      <c r="M82" s="1464" t="s">
        <v>953</v>
      </c>
      <c r="N82" s="2034">
        <f>SUM(N80:N81)</f>
        <v>-965.05777565260087</v>
      </c>
    </row>
  </sheetData>
  <mergeCells count="30">
    <mergeCell ref="AI2:AI5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P4:P5"/>
    <mergeCell ref="S4:S5"/>
    <mergeCell ref="T4:T5"/>
    <mergeCell ref="A2:B5"/>
    <mergeCell ref="C2:S2"/>
    <mergeCell ref="T2:AH2"/>
    <mergeCell ref="I4:I5"/>
    <mergeCell ref="J4:J5"/>
    <mergeCell ref="K4:K5"/>
    <mergeCell ref="L4:L5"/>
    <mergeCell ref="V4:V5"/>
    <mergeCell ref="W4:W5"/>
    <mergeCell ref="AA4:AA5"/>
    <mergeCell ref="I3:K3"/>
    <mergeCell ref="X4:X5"/>
    <mergeCell ref="Y4:Y5"/>
    <mergeCell ref="V3:Z3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5C1-K: FY2013-14 MFP Budget Letter (March 2014) 
Tallulah Charter School</oddHeader>
    <oddFooter>&amp;R&amp;P</oddFooter>
  </headerFooter>
  <colBreaks count="3" manualBreakCount="3">
    <brk id="12" max="1048575" man="1"/>
    <brk id="19" max="1048575" man="1"/>
    <brk id="31" min="1" max="8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view="pageBreakPreview" zoomScale="90" zoomScaleNormal="100" zoomScaleSheetLayoutView="90" workbookViewId="0">
      <pane xSplit="2" ySplit="7" topLeftCell="X8" activePane="bottomRight" state="frozen"/>
      <selection activeCell="AN13" sqref="AN8:AN77"/>
      <selection pane="topRight" activeCell="AN13" sqref="AN8:AN77"/>
      <selection pane="bottomLeft" activeCell="AN13" sqref="AN8:AN77"/>
      <selection pane="bottomRight"/>
    </sheetView>
  </sheetViews>
  <sheetFormatPr defaultColWidth="8.85546875" defaultRowHeight="12.75"/>
  <cols>
    <col min="1" max="1" width="4.28515625" style="968" customWidth="1"/>
    <col min="2" max="2" width="17.85546875" style="968" customWidth="1"/>
    <col min="3" max="3" width="13.7109375" style="968" customWidth="1"/>
    <col min="4" max="4" width="14" style="968" customWidth="1"/>
    <col min="5" max="5" width="10.7109375" style="968" customWidth="1"/>
    <col min="6" max="6" width="13" style="968" customWidth="1"/>
    <col min="7" max="7" width="13.42578125" style="968" customWidth="1"/>
    <col min="8" max="8" width="12.85546875" style="968" customWidth="1"/>
    <col min="9" max="9" width="12.5703125" style="1494" customWidth="1"/>
    <col min="10" max="10" width="13.28515625" style="1494" bestFit="1" customWidth="1"/>
    <col min="11" max="11" width="12.5703125" style="1494" customWidth="1"/>
    <col min="12" max="12" width="15.140625" style="1494" customWidth="1"/>
    <col min="13" max="13" width="12" style="968" customWidth="1"/>
    <col min="14" max="14" width="13.140625" style="968" customWidth="1"/>
    <col min="15" max="15" width="13.42578125" style="968" bestFit="1" customWidth="1"/>
    <col min="16" max="16" width="14.7109375" style="968" customWidth="1"/>
    <col min="17" max="18" width="14" style="1494" customWidth="1"/>
    <col min="19" max="19" width="10.7109375" style="968" customWidth="1"/>
    <col min="20" max="20" width="11.5703125" style="968" customWidth="1"/>
    <col min="21" max="21" width="10.7109375" style="968" customWidth="1"/>
    <col min="22" max="23" width="12" style="1494" customWidth="1"/>
    <col min="24" max="26" width="12" style="1509" customWidth="1"/>
    <col min="27" max="27" width="13" style="1494" customWidth="1"/>
    <col min="28" max="28" width="12.5703125" style="968" customWidth="1"/>
    <col min="29" max="29" width="13" style="968" customWidth="1"/>
    <col min="30" max="30" width="13.28515625" style="968" customWidth="1"/>
    <col min="31" max="31" width="13" style="968" customWidth="1"/>
    <col min="32" max="33" width="13.140625" style="1494" customWidth="1"/>
    <col min="34" max="34" width="12" style="968" customWidth="1"/>
    <col min="35" max="35" width="11" style="968" customWidth="1"/>
    <col min="36" max="36" width="12.140625" style="968" customWidth="1"/>
    <col min="37" max="37" width="1.85546875" style="968" customWidth="1"/>
    <col min="38" max="38" width="8.85546875" style="2034" hidden="1" customWidth="1"/>
    <col min="39" max="39" width="11" style="968" hidden="1" customWidth="1"/>
    <col min="40" max="40" width="8.85546875" style="968" hidden="1" customWidth="1"/>
    <col min="41" max="16384" width="8.85546875" style="968"/>
  </cols>
  <sheetData>
    <row r="1" spans="1:40"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05"/>
      <c r="O1" s="1105"/>
      <c r="P1" s="1105"/>
      <c r="Q1" s="1105"/>
      <c r="R1" s="1105"/>
      <c r="S1" s="1105"/>
    </row>
    <row r="2" spans="1:40" ht="45" customHeight="1">
      <c r="A2" s="2384" t="s">
        <v>751</v>
      </c>
      <c r="B2" s="2385"/>
      <c r="C2" s="2343" t="s">
        <v>543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20"/>
      <c r="W2" s="2320"/>
      <c r="X2" s="2320"/>
      <c r="Y2" s="2320"/>
      <c r="Z2" s="2320"/>
      <c r="AA2" s="2320"/>
      <c r="AB2" s="2318"/>
      <c r="AC2" s="2318"/>
      <c r="AD2" s="2318"/>
      <c r="AE2" s="2318"/>
      <c r="AF2" s="2320"/>
      <c r="AG2" s="2320"/>
      <c r="AH2" s="2321"/>
      <c r="AI2" s="2307" t="s">
        <v>545</v>
      </c>
      <c r="AJ2" s="2307" t="s">
        <v>527</v>
      </c>
    </row>
    <row r="3" spans="1:40" s="1509" customFormat="1" ht="22.15" customHeight="1">
      <c r="A3" s="2386"/>
      <c r="B3" s="2387"/>
      <c r="C3" s="1585"/>
      <c r="D3" s="1593"/>
      <c r="E3" s="1593"/>
      <c r="F3" s="1593"/>
      <c r="G3" s="1593"/>
      <c r="H3" s="1593"/>
      <c r="I3" s="2373" t="s">
        <v>772</v>
      </c>
      <c r="J3" s="2374"/>
      <c r="K3" s="2375"/>
      <c r="L3" s="1593"/>
      <c r="M3" s="1593"/>
      <c r="N3" s="1593"/>
      <c r="O3" s="1593"/>
      <c r="P3" s="1593"/>
      <c r="Q3" s="1593"/>
      <c r="R3" s="1593"/>
      <c r="S3" s="1594"/>
      <c r="T3" s="1584"/>
      <c r="U3" s="1582"/>
      <c r="V3" s="2376" t="s">
        <v>772</v>
      </c>
      <c r="W3" s="2377"/>
      <c r="X3" s="2377"/>
      <c r="Y3" s="2377"/>
      <c r="Z3" s="2378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  <c r="AL3" s="2034"/>
    </row>
    <row r="4" spans="1:40" ht="135.6" customHeight="1">
      <c r="A4" s="2388"/>
      <c r="B4" s="2387"/>
      <c r="C4" s="2391" t="s">
        <v>834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35" t="s">
        <v>784</v>
      </c>
      <c r="J4" s="2335" t="s">
        <v>785</v>
      </c>
      <c r="K4" s="2335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89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89" t="s">
        <v>808</v>
      </c>
      <c r="AC4" s="2314" t="s">
        <v>805</v>
      </c>
      <c r="AD4" s="2314" t="s">
        <v>794</v>
      </c>
      <c r="AE4" s="2314" t="s">
        <v>806</v>
      </c>
      <c r="AF4" s="1592" t="s">
        <v>807</v>
      </c>
      <c r="AG4" s="1592" t="s">
        <v>795</v>
      </c>
      <c r="AH4" s="1589" t="s">
        <v>540</v>
      </c>
      <c r="AI4" s="2309"/>
      <c r="AJ4" s="2309"/>
    </row>
    <row r="5" spans="1:40" ht="22.15" customHeight="1">
      <c r="A5" s="2389"/>
      <c r="B5" s="2390"/>
      <c r="C5" s="239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90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590"/>
      <c r="AG5" s="1590"/>
      <c r="AH5" s="1590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I6" si="1">E6+1</f>
        <v>4</v>
      </c>
      <c r="G6" s="869">
        <f t="shared" si="1"/>
        <v>5</v>
      </c>
      <c r="H6" s="869">
        <f t="shared" si="1"/>
        <v>6</v>
      </c>
      <c r="I6" s="869">
        <f t="shared" si="1"/>
        <v>7</v>
      </c>
      <c r="J6" s="869">
        <f t="shared" ref="J6" si="2">I6+1</f>
        <v>8</v>
      </c>
      <c r="K6" s="869">
        <f t="shared" ref="K6" si="3">J6+1</f>
        <v>9</v>
      </c>
      <c r="L6" s="869">
        <f t="shared" ref="L6" si="4">K6+1</f>
        <v>10</v>
      </c>
      <c r="M6" s="869">
        <f t="shared" ref="M6" si="5">L6+1</f>
        <v>11</v>
      </c>
      <c r="N6" s="869">
        <f t="shared" ref="N6" si="6">M6+1</f>
        <v>12</v>
      </c>
      <c r="O6" s="869">
        <f t="shared" ref="O6" si="7">N6+1</f>
        <v>13</v>
      </c>
      <c r="P6" s="869">
        <f t="shared" ref="P6" si="8">O6+1</f>
        <v>14</v>
      </c>
      <c r="Q6" s="869">
        <f t="shared" ref="Q6" si="9">P6+1</f>
        <v>15</v>
      </c>
      <c r="R6" s="869">
        <f t="shared" ref="R6" si="10">Q6+1</f>
        <v>16</v>
      </c>
      <c r="S6" s="869">
        <f t="shared" ref="S6" si="11">R6+1</f>
        <v>17</v>
      </c>
      <c r="T6" s="869">
        <f t="shared" ref="T6" si="12">S6+1</f>
        <v>18</v>
      </c>
      <c r="U6" s="869">
        <f t="shared" ref="U6" si="13">T6+1</f>
        <v>19</v>
      </c>
      <c r="V6" s="869">
        <f t="shared" ref="V6" si="14">U6+1</f>
        <v>20</v>
      </c>
      <c r="W6" s="869">
        <f t="shared" ref="W6" si="15">V6+1</f>
        <v>21</v>
      </c>
      <c r="X6" s="869">
        <f t="shared" ref="X6" si="16">W6+1</f>
        <v>22</v>
      </c>
      <c r="Y6" s="869">
        <f t="shared" ref="Y6" si="17">X6+1</f>
        <v>23</v>
      </c>
      <c r="Z6" s="869">
        <f t="shared" ref="Z6:AA6" si="18">Y6+1</f>
        <v>24</v>
      </c>
      <c r="AA6" s="869">
        <f t="shared" si="18"/>
        <v>25</v>
      </c>
      <c r="AB6" s="869">
        <f t="shared" ref="AB6" si="19">AA6+1</f>
        <v>26</v>
      </c>
      <c r="AC6" s="869">
        <f t="shared" ref="AC6" si="20">AB6+1</f>
        <v>27</v>
      </c>
      <c r="AD6" s="869">
        <f t="shared" ref="AD6" si="21">AC6+1</f>
        <v>28</v>
      </c>
      <c r="AE6" s="869">
        <f t="shared" ref="AE6" si="22">AD6+1</f>
        <v>29</v>
      </c>
      <c r="AF6" s="869">
        <f t="shared" ref="AF6" si="23">AE6+1</f>
        <v>30</v>
      </c>
      <c r="AG6" s="869">
        <f t="shared" ref="AG6" si="24">AF6+1</f>
        <v>31</v>
      </c>
      <c r="AH6" s="869">
        <f t="shared" ref="AH6" si="25">AG6+1</f>
        <v>32</v>
      </c>
      <c r="AI6" s="869">
        <f t="shared" ref="AI6" si="26">AH6+1</f>
        <v>33</v>
      </c>
      <c r="AJ6" s="869">
        <f t="shared" ref="AJ6" si="27">AI6+1</f>
        <v>34</v>
      </c>
    </row>
    <row r="7" spans="1:40" ht="21.75" customHeight="1">
      <c r="A7" s="895"/>
      <c r="B7" s="896"/>
      <c r="C7" s="896"/>
      <c r="D7" s="896"/>
      <c r="E7" s="896"/>
      <c r="F7" s="896"/>
      <c r="G7" s="896"/>
      <c r="H7" s="896"/>
      <c r="I7" s="1484"/>
      <c r="J7" s="1484"/>
      <c r="K7" s="1484"/>
      <c r="L7" s="1484"/>
      <c r="M7" s="896"/>
      <c r="N7" s="896"/>
      <c r="O7" s="896"/>
      <c r="P7" s="896"/>
      <c r="Q7" s="1484"/>
      <c r="R7" s="1484"/>
      <c r="S7" s="896"/>
      <c r="T7" s="896"/>
      <c r="U7" s="896"/>
      <c r="V7" s="1484"/>
      <c r="W7" s="1484"/>
      <c r="X7" s="1535"/>
      <c r="Y7" s="1535"/>
      <c r="Z7" s="1535"/>
      <c r="AA7" s="1484"/>
      <c r="AB7" s="896"/>
      <c r="AC7" s="896"/>
      <c r="AD7" s="896"/>
      <c r="AE7" s="896"/>
      <c r="AF7" s="1484"/>
      <c r="AG7" s="1484"/>
      <c r="AH7" s="896"/>
      <c r="AI7" s="896"/>
      <c r="AJ7" s="896"/>
      <c r="AL7" s="2041" t="s">
        <v>945</v>
      </c>
      <c r="AM7" s="2035" t="s">
        <v>948</v>
      </c>
      <c r="AN7" s="2035" t="s">
        <v>947</v>
      </c>
    </row>
    <row r="8" spans="1:40">
      <c r="A8" s="870">
        <v>1</v>
      </c>
      <c r="B8" s="871" t="s">
        <v>92</v>
      </c>
      <c r="C8" s="971"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Northshore Charter'!K7</f>
        <v>0</v>
      </c>
      <c r="J8" s="1718">
        <f>'[3]Feb midyear Northshore Charter'!K7</f>
        <v>0</v>
      </c>
      <c r="K8" s="1542">
        <f>+I8+J8</f>
        <v>0</v>
      </c>
      <c r="L8" s="1480">
        <f>H8+K8</f>
        <v>0</v>
      </c>
      <c r="M8" s="928">
        <f>-(0.25%*L8)</f>
        <v>0</v>
      </c>
      <c r="N8" s="873">
        <f>SUM(L8:M8)</f>
        <v>0</v>
      </c>
      <c r="O8" s="872">
        <v>0</v>
      </c>
      <c r="P8" s="998">
        <f>SUM(N8:O8)</f>
        <v>0</v>
      </c>
      <c r="Q8" s="1718">
        <f>'[4]Table 5C1L-Northshore Charter'!M7+'[27]Table 5C1L-Northshore Charter'!T7+('[26]Table 5C1L-Northshore Charter'!T7*6)</f>
        <v>0</v>
      </c>
      <c r="R8" s="1718">
        <f>P8-Q8</f>
        <v>0</v>
      </c>
      <c r="S8" s="998">
        <f>ROUND(R8/4,0)</f>
        <v>0</v>
      </c>
      <c r="T8" s="1802">
        <f>'Table 5C1A-Madison Prep'!T8</f>
        <v>2180</v>
      </c>
      <c r="U8" s="999">
        <f t="shared" ref="U8:U39" si="28">C8*T8</f>
        <v>0</v>
      </c>
      <c r="V8" s="1754">
        <f>+'[3]Oct midyear Northshore Charter'!E7</f>
        <v>0</v>
      </c>
      <c r="W8" s="1755">
        <f>V8*T8</f>
        <v>0</v>
      </c>
      <c r="X8" s="1754">
        <f>'[3]Feb midyear Northshore Charter'!E7</f>
        <v>0</v>
      </c>
      <c r="Y8" s="1755">
        <f>(T8*X8)*0.5</f>
        <v>0</v>
      </c>
      <c r="Z8" s="1652">
        <f>+W8+Y8</f>
        <v>0</v>
      </c>
      <c r="AA8" s="1481">
        <f>Z8+U8</f>
        <v>0</v>
      </c>
      <c r="AB8" s="936">
        <f>-(0.25%*AA8)</f>
        <v>0</v>
      </c>
      <c r="AC8" s="874">
        <f>SUM(AA8:AB8)</f>
        <v>0</v>
      </c>
      <c r="AD8" s="1829">
        <v>0</v>
      </c>
      <c r="AE8" s="874">
        <f>SUM(AC8:AD8)</f>
        <v>0</v>
      </c>
      <c r="AF8" s="1829">
        <f>'[4]Table 5C1L-Northshore Charter'!T7+'[27]Table 5C1L-Northshore Charter'!AF7+('[26]Table 5C1L-Northshore Charter'!AF7*6)</f>
        <v>0</v>
      </c>
      <c r="AG8" s="1829">
        <f>AE8-AF8</f>
        <v>0</v>
      </c>
      <c r="AH8" s="874">
        <f>ROUND(AG8/4,0)</f>
        <v>0</v>
      </c>
      <c r="AI8" s="875">
        <f t="shared" ref="AI8:AI39" si="29">P8+AE8</f>
        <v>0</v>
      </c>
      <c r="AJ8" s="875">
        <f>S8+AH8</f>
        <v>0</v>
      </c>
      <c r="AL8" s="2034">
        <f>-'[4]Table 5C1L-Northshore Charter'!P7</f>
        <v>0</v>
      </c>
      <c r="AM8" s="2034">
        <f t="shared" ref="AM8:AM39" si="30">AB8</f>
        <v>0</v>
      </c>
      <c r="AN8" s="2034">
        <f>SUM(AL8:AM8)</f>
        <v>0</v>
      </c>
    </row>
    <row r="9" spans="1:40">
      <c r="A9" s="876">
        <v>2</v>
      </c>
      <c r="B9" s="877" t="s">
        <v>93</v>
      </c>
      <c r="C9" s="969">
        <v>0</v>
      </c>
      <c r="D9" s="878">
        <f>'Table 3 Levels 1&amp;2'!AL9</f>
        <v>6182.4313545138375</v>
      </c>
      <c r="E9" s="919">
        <f t="shared" ref="E9:E72" si="31">C9*D9</f>
        <v>0</v>
      </c>
      <c r="F9" s="919">
        <f>'Table 4 Level 3'!P7</f>
        <v>842.32</v>
      </c>
      <c r="G9" s="919">
        <f t="shared" ref="G9:G72" si="32">C9*F9</f>
        <v>0</v>
      </c>
      <c r="H9" s="898">
        <f t="shared" ref="H9:H72" si="33">E9+G9</f>
        <v>0</v>
      </c>
      <c r="I9" s="1732">
        <f>+'[3]Oct midyear Northshore Charter'!K8</f>
        <v>0</v>
      </c>
      <c r="J9" s="1732">
        <f>'[3]Feb midyear Northshore Charter'!K8</f>
        <v>0</v>
      </c>
      <c r="K9" s="1543">
        <f t="shared" ref="K9:K72" si="34">+I9+J9</f>
        <v>0</v>
      </c>
      <c r="L9" s="1485">
        <f t="shared" ref="L9:L39" si="35">H9+K9</f>
        <v>0</v>
      </c>
      <c r="M9" s="929">
        <f t="shared" ref="M9:M72" si="36">-(0.25%*L9)</f>
        <v>0</v>
      </c>
      <c r="N9" s="898">
        <f t="shared" ref="N9:N72" si="37">SUM(L9:M9)</f>
        <v>0</v>
      </c>
      <c r="O9" s="878">
        <v>0</v>
      </c>
      <c r="P9" s="1550">
        <f t="shared" ref="P9:P72" si="38">SUM(N9:O9)</f>
        <v>0</v>
      </c>
      <c r="Q9" s="1718">
        <f>'[4]Table 5C1L-Northshore Charter'!M8+'[27]Table 5C1L-Northshore Charter'!T8+('[26]Table 5C1L-Northshore Charter'!T8*6)</f>
        <v>0</v>
      </c>
      <c r="R9" s="1732">
        <f t="shared" ref="R9:R72" si="39">P9-Q9</f>
        <v>0</v>
      </c>
      <c r="S9" s="998">
        <f t="shared" ref="S9:S72" si="40">ROUND(R9/4,0)</f>
        <v>0</v>
      </c>
      <c r="T9" s="1802">
        <f>'Table 5C1A-Madison Prep'!T9</f>
        <v>2759</v>
      </c>
      <c r="U9" s="1555">
        <f t="shared" si="28"/>
        <v>0</v>
      </c>
      <c r="V9" s="1758">
        <f>+'[3]Oct midyear Northshore Charter'!E8</f>
        <v>0</v>
      </c>
      <c r="W9" s="1759">
        <f t="shared" ref="W9:W72" si="41">V9*T9</f>
        <v>0</v>
      </c>
      <c r="X9" s="1758">
        <f>'[3]Feb midyear Northshore Charter'!E8</f>
        <v>0</v>
      </c>
      <c r="Y9" s="1759">
        <f t="shared" ref="Y9:Y72" si="42">(T9*X9)*0.5</f>
        <v>0</v>
      </c>
      <c r="Z9" s="1653">
        <f t="shared" ref="Z9:Z72" si="43">+W9+Y9</f>
        <v>0</v>
      </c>
      <c r="AA9" s="1486">
        <f t="shared" ref="AA9:AA72" si="44">Z9+U9</f>
        <v>0</v>
      </c>
      <c r="AB9" s="937">
        <f t="shared" ref="AB9:AB72" si="45">-(0.25%*AA9)</f>
        <v>0</v>
      </c>
      <c r="AC9" s="899">
        <f t="shared" ref="AC9:AC72" si="46">SUM(AA9:AB9)</f>
        <v>0</v>
      </c>
      <c r="AD9" s="1830">
        <v>0</v>
      </c>
      <c r="AE9" s="899">
        <f t="shared" ref="AE9:AE72" si="47">SUM(AC9:AD9)</f>
        <v>0</v>
      </c>
      <c r="AF9" s="1829">
        <f>'[4]Table 5C1L-Northshore Charter'!T8+'[27]Table 5C1L-Northshore Charter'!AF8+('[26]Table 5C1L-Northshore Charter'!AF8*6)</f>
        <v>0</v>
      </c>
      <c r="AG9" s="1834">
        <f t="shared" ref="AG9:AG72" si="48">AE9-AF9</f>
        <v>0</v>
      </c>
      <c r="AH9" s="1521">
        <f t="shared" ref="AH9:AH72" si="49">ROUND(AG9/4,0)</f>
        <v>0</v>
      </c>
      <c r="AI9" s="900">
        <f t="shared" si="29"/>
        <v>0</v>
      </c>
      <c r="AJ9" s="900">
        <f t="shared" ref="AJ9:AJ72" si="50">S9+AH9</f>
        <v>0</v>
      </c>
      <c r="AL9" s="2034">
        <f>-'[4]Table 5C1L-Northshore Charter'!P8</f>
        <v>0</v>
      </c>
      <c r="AM9" s="2034">
        <f t="shared" si="30"/>
        <v>0</v>
      </c>
      <c r="AN9" s="2034">
        <f t="shared" ref="AN9:AN72" si="51">SUM(AL9:AM9)</f>
        <v>0</v>
      </c>
    </row>
    <row r="10" spans="1:40">
      <c r="A10" s="876">
        <v>3</v>
      </c>
      <c r="B10" s="877" t="s">
        <v>94</v>
      </c>
      <c r="C10" s="969">
        <v>0</v>
      </c>
      <c r="D10" s="878">
        <f>'Table 3 Levels 1&amp;2'!AL10</f>
        <v>4206.710737685361</v>
      </c>
      <c r="E10" s="919">
        <f t="shared" si="31"/>
        <v>0</v>
      </c>
      <c r="F10" s="919">
        <f>'Table 4 Level 3'!P8</f>
        <v>596.84</v>
      </c>
      <c r="G10" s="919">
        <f t="shared" si="32"/>
        <v>0</v>
      </c>
      <c r="H10" s="898">
        <f t="shared" si="33"/>
        <v>0</v>
      </c>
      <c r="I10" s="1732">
        <f>+'[3]Oct midyear Northshore Charter'!K9</f>
        <v>0</v>
      </c>
      <c r="J10" s="1732">
        <f>'[3]Feb midyear Northshore Charter'!K9</f>
        <v>0</v>
      </c>
      <c r="K10" s="1543">
        <f t="shared" si="34"/>
        <v>0</v>
      </c>
      <c r="L10" s="1485">
        <f t="shared" si="35"/>
        <v>0</v>
      </c>
      <c r="M10" s="929">
        <f t="shared" si="36"/>
        <v>0</v>
      </c>
      <c r="N10" s="898">
        <f t="shared" si="37"/>
        <v>0</v>
      </c>
      <c r="O10" s="878">
        <v>0</v>
      </c>
      <c r="P10" s="1550">
        <f t="shared" si="38"/>
        <v>0</v>
      </c>
      <c r="Q10" s="1718">
        <f>'[4]Table 5C1L-Northshore Charter'!M9+'[27]Table 5C1L-Northshore Charter'!T9+('[26]Table 5C1L-Northshore Charter'!T9*6)</f>
        <v>0</v>
      </c>
      <c r="R10" s="1732">
        <f t="shared" si="39"/>
        <v>0</v>
      </c>
      <c r="S10" s="998">
        <f t="shared" si="40"/>
        <v>0</v>
      </c>
      <c r="T10" s="1802">
        <f>'Table 5C1A-Madison Prep'!T10</f>
        <v>5538</v>
      </c>
      <c r="U10" s="1555">
        <f t="shared" si="28"/>
        <v>0</v>
      </c>
      <c r="V10" s="1758">
        <f>+'[3]Oct midyear Northshore Charter'!E9</f>
        <v>0</v>
      </c>
      <c r="W10" s="1759">
        <f t="shared" si="41"/>
        <v>0</v>
      </c>
      <c r="X10" s="1758">
        <f>'[3]Feb midyear Northshore Charter'!E9</f>
        <v>0</v>
      </c>
      <c r="Y10" s="1759">
        <f t="shared" si="42"/>
        <v>0</v>
      </c>
      <c r="Z10" s="1653">
        <f t="shared" si="43"/>
        <v>0</v>
      </c>
      <c r="AA10" s="1486">
        <f t="shared" si="44"/>
        <v>0</v>
      </c>
      <c r="AB10" s="937">
        <f t="shared" si="45"/>
        <v>0</v>
      </c>
      <c r="AC10" s="899">
        <f t="shared" si="46"/>
        <v>0</v>
      </c>
      <c r="AD10" s="1830">
        <v>0</v>
      </c>
      <c r="AE10" s="899">
        <f t="shared" si="47"/>
        <v>0</v>
      </c>
      <c r="AF10" s="1829">
        <f>'[4]Table 5C1L-Northshore Charter'!T9+'[27]Table 5C1L-Northshore Charter'!AF9+('[26]Table 5C1L-Northshore Charter'!AF9*6)</f>
        <v>0</v>
      </c>
      <c r="AG10" s="1834">
        <f t="shared" si="48"/>
        <v>0</v>
      </c>
      <c r="AH10" s="1521">
        <f t="shared" si="49"/>
        <v>0</v>
      </c>
      <c r="AI10" s="900">
        <f t="shared" si="29"/>
        <v>0</v>
      </c>
      <c r="AJ10" s="900">
        <f t="shared" si="50"/>
        <v>0</v>
      </c>
      <c r="AL10" s="2034">
        <f>-'[4]Table 5C1L-Northshore Charter'!P9</f>
        <v>0</v>
      </c>
      <c r="AM10" s="2034">
        <f t="shared" si="30"/>
        <v>0</v>
      </c>
      <c r="AN10" s="2034">
        <f t="shared" si="51"/>
        <v>0</v>
      </c>
    </row>
    <row r="11" spans="1:40">
      <c r="A11" s="876">
        <v>4</v>
      </c>
      <c r="B11" s="877" t="s">
        <v>95</v>
      </c>
      <c r="C11" s="969">
        <v>0</v>
      </c>
      <c r="D11" s="878">
        <f>'Table 3 Levels 1&amp;2'!AL11</f>
        <v>5987.4993535453223</v>
      </c>
      <c r="E11" s="919">
        <f t="shared" si="31"/>
        <v>0</v>
      </c>
      <c r="F11" s="919">
        <f>'Table 4 Level 3'!P9</f>
        <v>585.76</v>
      </c>
      <c r="G11" s="919">
        <f t="shared" si="32"/>
        <v>0</v>
      </c>
      <c r="H11" s="898">
        <f t="shared" si="33"/>
        <v>0</v>
      </c>
      <c r="I11" s="1732">
        <f>+'[3]Oct midyear Northshore Charter'!K10</f>
        <v>0</v>
      </c>
      <c r="J11" s="1732">
        <f>'[3]Feb midyear Northshore Charter'!K10</f>
        <v>0</v>
      </c>
      <c r="K11" s="1543">
        <f t="shared" si="34"/>
        <v>0</v>
      </c>
      <c r="L11" s="1485">
        <f t="shared" si="35"/>
        <v>0</v>
      </c>
      <c r="M11" s="929">
        <f t="shared" si="36"/>
        <v>0</v>
      </c>
      <c r="N11" s="898">
        <f t="shared" si="37"/>
        <v>0</v>
      </c>
      <c r="O11" s="878">
        <v>0</v>
      </c>
      <c r="P11" s="1550">
        <f t="shared" si="38"/>
        <v>0</v>
      </c>
      <c r="Q11" s="1718">
        <f>'[4]Table 5C1L-Northshore Charter'!M10+'[27]Table 5C1L-Northshore Charter'!T10+('[26]Table 5C1L-Northshore Charter'!T10*6)</f>
        <v>0</v>
      </c>
      <c r="R11" s="1732">
        <f t="shared" si="39"/>
        <v>0</v>
      </c>
      <c r="S11" s="998">
        <f t="shared" si="40"/>
        <v>0</v>
      </c>
      <c r="T11" s="1802">
        <f>'Table 5C1A-Madison Prep'!T11</f>
        <v>3507</v>
      </c>
      <c r="U11" s="1555">
        <f t="shared" si="28"/>
        <v>0</v>
      </c>
      <c r="V11" s="1758">
        <f>+'[3]Oct midyear Northshore Charter'!E10</f>
        <v>0</v>
      </c>
      <c r="W11" s="1759">
        <f t="shared" si="41"/>
        <v>0</v>
      </c>
      <c r="X11" s="1758">
        <f>'[3]Feb midyear Northshore Charter'!E10</f>
        <v>0</v>
      </c>
      <c r="Y11" s="1759">
        <f t="shared" si="42"/>
        <v>0</v>
      </c>
      <c r="Z11" s="1653">
        <f t="shared" si="43"/>
        <v>0</v>
      </c>
      <c r="AA11" s="1486">
        <f t="shared" si="44"/>
        <v>0</v>
      </c>
      <c r="AB11" s="937">
        <f t="shared" si="45"/>
        <v>0</v>
      </c>
      <c r="AC11" s="899">
        <f t="shared" si="46"/>
        <v>0</v>
      </c>
      <c r="AD11" s="1830">
        <v>0</v>
      </c>
      <c r="AE11" s="899">
        <f t="shared" si="47"/>
        <v>0</v>
      </c>
      <c r="AF11" s="1829">
        <f>'[4]Table 5C1L-Northshore Charter'!T10+'[27]Table 5C1L-Northshore Charter'!AF10+('[26]Table 5C1L-Northshore Charter'!AF10*6)</f>
        <v>0</v>
      </c>
      <c r="AG11" s="1834">
        <f t="shared" si="48"/>
        <v>0</v>
      </c>
      <c r="AH11" s="1521">
        <f t="shared" si="49"/>
        <v>0</v>
      </c>
      <c r="AI11" s="900">
        <f t="shared" si="29"/>
        <v>0</v>
      </c>
      <c r="AJ11" s="900">
        <f t="shared" si="50"/>
        <v>0</v>
      </c>
      <c r="AL11" s="2034">
        <f>-'[4]Table 5C1L-Northshore Charter'!P10</f>
        <v>0</v>
      </c>
      <c r="AM11" s="2034">
        <f t="shared" si="30"/>
        <v>0</v>
      </c>
      <c r="AN11" s="2034">
        <f t="shared" si="51"/>
        <v>0</v>
      </c>
    </row>
    <row r="12" spans="1:40">
      <c r="A12" s="879">
        <v>5</v>
      </c>
      <c r="B12" s="880" t="s">
        <v>96</v>
      </c>
      <c r="C12" s="970">
        <v>0</v>
      </c>
      <c r="D12" s="881">
        <f>'Table 3 Levels 1&amp;2'!AL12</f>
        <v>4986.8166927080074</v>
      </c>
      <c r="E12" s="920">
        <f t="shared" si="31"/>
        <v>0</v>
      </c>
      <c r="F12" s="920">
        <f>'Table 4 Level 3'!P10</f>
        <v>555.91</v>
      </c>
      <c r="G12" s="920">
        <f t="shared" si="32"/>
        <v>0</v>
      </c>
      <c r="H12" s="901">
        <f t="shared" si="33"/>
        <v>0</v>
      </c>
      <c r="I12" s="1733">
        <f>+'[3]Oct midyear Northshore Charter'!K11</f>
        <v>0</v>
      </c>
      <c r="J12" s="1733">
        <f>'[3]Feb midyear Northshore Charter'!K11</f>
        <v>0</v>
      </c>
      <c r="K12" s="1544">
        <f t="shared" si="34"/>
        <v>0</v>
      </c>
      <c r="L12" s="1487">
        <f t="shared" si="35"/>
        <v>0</v>
      </c>
      <c r="M12" s="930">
        <f t="shared" si="36"/>
        <v>0</v>
      </c>
      <c r="N12" s="901">
        <f t="shared" si="37"/>
        <v>0</v>
      </c>
      <c r="O12" s="881">
        <v>0</v>
      </c>
      <c r="P12" s="1551">
        <f t="shared" si="38"/>
        <v>0</v>
      </c>
      <c r="Q12" s="1804">
        <f>'[4]Table 5C1L-Northshore Charter'!M11+'[27]Table 5C1L-Northshore Charter'!T11+('[26]Table 5C1L-Northshore Charter'!T11*6)</f>
        <v>0</v>
      </c>
      <c r="R12" s="1733">
        <f t="shared" si="39"/>
        <v>0</v>
      </c>
      <c r="S12" s="1806">
        <f t="shared" si="40"/>
        <v>0</v>
      </c>
      <c r="T12" s="1807">
        <f>'Table 5C1A-Madison Prep'!T12</f>
        <v>2086</v>
      </c>
      <c r="U12" s="1556">
        <f t="shared" si="28"/>
        <v>0</v>
      </c>
      <c r="V12" s="1762">
        <f>+'[3]Oct midyear Northshore Charter'!E11</f>
        <v>0</v>
      </c>
      <c r="W12" s="1763">
        <f t="shared" si="41"/>
        <v>0</v>
      </c>
      <c r="X12" s="1762">
        <f>'[3]Feb midyear Northshore Charter'!E11</f>
        <v>0</v>
      </c>
      <c r="Y12" s="1763">
        <f t="shared" si="42"/>
        <v>0</v>
      </c>
      <c r="Z12" s="1654">
        <f t="shared" si="43"/>
        <v>0</v>
      </c>
      <c r="AA12" s="1488">
        <f t="shared" si="44"/>
        <v>0</v>
      </c>
      <c r="AB12" s="938">
        <f t="shared" si="45"/>
        <v>0</v>
      </c>
      <c r="AC12" s="903">
        <f t="shared" si="46"/>
        <v>0</v>
      </c>
      <c r="AD12" s="1831">
        <v>0</v>
      </c>
      <c r="AE12" s="903">
        <f t="shared" si="47"/>
        <v>0</v>
      </c>
      <c r="AF12" s="1837">
        <f>'[4]Table 5C1L-Northshore Charter'!T11+'[27]Table 5C1L-Northshore Charter'!AF11+('[26]Table 5C1L-Northshore Charter'!AF11*6)</f>
        <v>0</v>
      </c>
      <c r="AG12" s="1835">
        <f t="shared" si="48"/>
        <v>0</v>
      </c>
      <c r="AH12" s="1530">
        <f t="shared" si="49"/>
        <v>0</v>
      </c>
      <c r="AI12" s="904">
        <f t="shared" si="29"/>
        <v>0</v>
      </c>
      <c r="AJ12" s="904">
        <f t="shared" si="50"/>
        <v>0</v>
      </c>
      <c r="AL12" s="2034">
        <f>-'[4]Table 5C1L-Northshore Charter'!P11</f>
        <v>0</v>
      </c>
      <c r="AM12" s="2034">
        <f t="shared" si="30"/>
        <v>0</v>
      </c>
      <c r="AN12" s="2034">
        <f t="shared" si="51"/>
        <v>0</v>
      </c>
    </row>
    <row r="13" spans="1:40">
      <c r="A13" s="870">
        <v>6</v>
      </c>
      <c r="B13" s="871" t="s">
        <v>97</v>
      </c>
      <c r="C13" s="971">
        <v>0</v>
      </c>
      <c r="D13" s="872">
        <f>'Table 3 Levels 1&amp;2'!AL13</f>
        <v>5412.7883404260592</v>
      </c>
      <c r="E13" s="918">
        <f t="shared" si="31"/>
        <v>0</v>
      </c>
      <c r="F13" s="918">
        <f>'Table 4 Level 3'!P11</f>
        <v>545.4799999999999</v>
      </c>
      <c r="G13" s="918">
        <f t="shared" si="32"/>
        <v>0</v>
      </c>
      <c r="H13" s="873">
        <f t="shared" si="33"/>
        <v>0</v>
      </c>
      <c r="I13" s="1718">
        <f>+'[3]Oct midyear Northshore Charter'!K12</f>
        <v>0</v>
      </c>
      <c r="J13" s="1718">
        <f>'[3]Feb midyear Northshore Charter'!K12</f>
        <v>0</v>
      </c>
      <c r="K13" s="1542">
        <f t="shared" si="34"/>
        <v>0</v>
      </c>
      <c r="L13" s="1480">
        <f t="shared" si="35"/>
        <v>0</v>
      </c>
      <c r="M13" s="928">
        <f t="shared" si="36"/>
        <v>0</v>
      </c>
      <c r="N13" s="873">
        <f t="shared" si="37"/>
        <v>0</v>
      </c>
      <c r="O13" s="872">
        <v>0</v>
      </c>
      <c r="P13" s="998">
        <f t="shared" si="38"/>
        <v>0</v>
      </c>
      <c r="Q13" s="1718">
        <f>'[4]Table 5C1L-Northshore Charter'!M12+'[27]Table 5C1L-Northshore Charter'!T12+('[26]Table 5C1L-Northshore Charter'!T12*6)</f>
        <v>0</v>
      </c>
      <c r="R13" s="1718">
        <f t="shared" si="39"/>
        <v>0</v>
      </c>
      <c r="S13" s="998">
        <f t="shared" si="40"/>
        <v>0</v>
      </c>
      <c r="T13" s="1802">
        <f>'Table 5C1A-Madison Prep'!T13</f>
        <v>3683</v>
      </c>
      <c r="U13" s="999">
        <f t="shared" si="28"/>
        <v>0</v>
      </c>
      <c r="V13" s="1754">
        <f>+'[3]Oct midyear Northshore Charter'!E12</f>
        <v>0</v>
      </c>
      <c r="W13" s="1755">
        <f t="shared" si="41"/>
        <v>0</v>
      </c>
      <c r="X13" s="1754">
        <f>'[3]Feb midyear Northshore Charter'!E12</f>
        <v>0</v>
      </c>
      <c r="Y13" s="1755">
        <f t="shared" si="42"/>
        <v>0</v>
      </c>
      <c r="Z13" s="1652">
        <f t="shared" si="43"/>
        <v>0</v>
      </c>
      <c r="AA13" s="1481">
        <f t="shared" si="44"/>
        <v>0</v>
      </c>
      <c r="AB13" s="936">
        <f t="shared" si="45"/>
        <v>0</v>
      </c>
      <c r="AC13" s="874">
        <f t="shared" si="46"/>
        <v>0</v>
      </c>
      <c r="AD13" s="1829">
        <v>0</v>
      </c>
      <c r="AE13" s="874">
        <f t="shared" si="47"/>
        <v>0</v>
      </c>
      <c r="AF13" s="1829">
        <f>'[4]Table 5C1L-Northshore Charter'!T12+'[27]Table 5C1L-Northshore Charter'!AF12+('[26]Table 5C1L-Northshore Charter'!AF12*6)</f>
        <v>0</v>
      </c>
      <c r="AG13" s="1829">
        <f t="shared" si="48"/>
        <v>0</v>
      </c>
      <c r="AH13" s="1521">
        <f t="shared" si="49"/>
        <v>0</v>
      </c>
      <c r="AI13" s="875">
        <f t="shared" si="29"/>
        <v>0</v>
      </c>
      <c r="AJ13" s="875">
        <f t="shared" si="50"/>
        <v>0</v>
      </c>
      <c r="AL13" s="2034">
        <f>-'[4]Table 5C1L-Northshore Charter'!P12</f>
        <v>0</v>
      </c>
      <c r="AM13" s="2034">
        <f t="shared" si="30"/>
        <v>0</v>
      </c>
      <c r="AN13" s="2034">
        <f t="shared" si="51"/>
        <v>0</v>
      </c>
    </row>
    <row r="14" spans="1:40">
      <c r="A14" s="876">
        <v>7</v>
      </c>
      <c r="B14" s="877" t="s">
        <v>98</v>
      </c>
      <c r="C14" s="969">
        <v>0</v>
      </c>
      <c r="D14" s="878">
        <f>'Table 3 Levels 1&amp;2'!AL14</f>
        <v>1766.1023604176123</v>
      </c>
      <c r="E14" s="919">
        <f t="shared" si="31"/>
        <v>0</v>
      </c>
      <c r="F14" s="919">
        <f>'Table 4 Level 3'!P12</f>
        <v>756.91999999999985</v>
      </c>
      <c r="G14" s="919">
        <f t="shared" si="32"/>
        <v>0</v>
      </c>
      <c r="H14" s="898">
        <f t="shared" si="33"/>
        <v>0</v>
      </c>
      <c r="I14" s="1732">
        <f>+'[3]Oct midyear Northshore Charter'!K13</f>
        <v>0</v>
      </c>
      <c r="J14" s="1732">
        <f>'[3]Feb midyear Northshore Charter'!K13</f>
        <v>0</v>
      </c>
      <c r="K14" s="1543">
        <f t="shared" si="34"/>
        <v>0</v>
      </c>
      <c r="L14" s="1485">
        <f t="shared" si="35"/>
        <v>0</v>
      </c>
      <c r="M14" s="929">
        <f t="shared" si="36"/>
        <v>0</v>
      </c>
      <c r="N14" s="898">
        <f t="shared" si="37"/>
        <v>0</v>
      </c>
      <c r="O14" s="878">
        <v>0</v>
      </c>
      <c r="P14" s="1550">
        <f t="shared" si="38"/>
        <v>0</v>
      </c>
      <c r="Q14" s="1718">
        <f>'[4]Table 5C1L-Northshore Charter'!M13+'[27]Table 5C1L-Northshore Charter'!T13+('[26]Table 5C1L-Northshore Charter'!T13*6)</f>
        <v>0</v>
      </c>
      <c r="R14" s="1732">
        <f t="shared" si="39"/>
        <v>0</v>
      </c>
      <c r="S14" s="998">
        <f t="shared" si="40"/>
        <v>0</v>
      </c>
      <c r="T14" s="1802">
        <f>'Table 5C1A-Madison Prep'!T14</f>
        <v>11801</v>
      </c>
      <c r="U14" s="1555">
        <f t="shared" si="28"/>
        <v>0</v>
      </c>
      <c r="V14" s="1758">
        <f>+'[3]Oct midyear Northshore Charter'!E13</f>
        <v>0</v>
      </c>
      <c r="W14" s="1759">
        <f t="shared" si="41"/>
        <v>0</v>
      </c>
      <c r="X14" s="1758">
        <f>'[3]Feb midyear Northshore Charter'!E13</f>
        <v>0</v>
      </c>
      <c r="Y14" s="1759">
        <f t="shared" si="42"/>
        <v>0</v>
      </c>
      <c r="Z14" s="1653">
        <f t="shared" si="43"/>
        <v>0</v>
      </c>
      <c r="AA14" s="1486">
        <f t="shared" si="44"/>
        <v>0</v>
      </c>
      <c r="AB14" s="937">
        <f t="shared" si="45"/>
        <v>0</v>
      </c>
      <c r="AC14" s="899">
        <f t="shared" si="46"/>
        <v>0</v>
      </c>
      <c r="AD14" s="1830">
        <v>0</v>
      </c>
      <c r="AE14" s="899">
        <f t="shared" si="47"/>
        <v>0</v>
      </c>
      <c r="AF14" s="1829">
        <f>'[4]Table 5C1L-Northshore Charter'!T13+'[27]Table 5C1L-Northshore Charter'!AF13+('[26]Table 5C1L-Northshore Charter'!AF13*6)</f>
        <v>0</v>
      </c>
      <c r="AG14" s="1834">
        <f t="shared" si="48"/>
        <v>0</v>
      </c>
      <c r="AH14" s="1521">
        <f t="shared" si="49"/>
        <v>0</v>
      </c>
      <c r="AI14" s="900">
        <f t="shared" si="29"/>
        <v>0</v>
      </c>
      <c r="AJ14" s="900">
        <f t="shared" si="50"/>
        <v>0</v>
      </c>
      <c r="AL14" s="2034">
        <f>-'[4]Table 5C1L-Northshore Charter'!P13</f>
        <v>0</v>
      </c>
      <c r="AM14" s="2034">
        <f t="shared" si="30"/>
        <v>0</v>
      </c>
      <c r="AN14" s="2034">
        <f t="shared" si="51"/>
        <v>0</v>
      </c>
    </row>
    <row r="15" spans="1:40">
      <c r="A15" s="876">
        <v>8</v>
      </c>
      <c r="B15" s="877" t="s">
        <v>99</v>
      </c>
      <c r="C15" s="969">
        <v>0</v>
      </c>
      <c r="D15" s="878">
        <f>'Table 3 Levels 1&amp;2'!AL15</f>
        <v>4289.5073606712331</v>
      </c>
      <c r="E15" s="919">
        <f t="shared" si="31"/>
        <v>0</v>
      </c>
      <c r="F15" s="919">
        <f>'Table 4 Level 3'!P13</f>
        <v>725.76</v>
      </c>
      <c r="G15" s="919">
        <f t="shared" si="32"/>
        <v>0</v>
      </c>
      <c r="H15" s="898">
        <f t="shared" si="33"/>
        <v>0</v>
      </c>
      <c r="I15" s="1732">
        <f>+'[3]Oct midyear Northshore Charter'!K14</f>
        <v>0</v>
      </c>
      <c r="J15" s="1732">
        <f>'[3]Feb midyear Northshore Charter'!K14</f>
        <v>0</v>
      </c>
      <c r="K15" s="1543">
        <f t="shared" si="34"/>
        <v>0</v>
      </c>
      <c r="L15" s="1485">
        <f t="shared" si="35"/>
        <v>0</v>
      </c>
      <c r="M15" s="929">
        <f t="shared" si="36"/>
        <v>0</v>
      </c>
      <c r="N15" s="898">
        <f t="shared" si="37"/>
        <v>0</v>
      </c>
      <c r="O15" s="878">
        <v>0</v>
      </c>
      <c r="P15" s="1550">
        <f t="shared" si="38"/>
        <v>0</v>
      </c>
      <c r="Q15" s="1718">
        <f>'[4]Table 5C1L-Northshore Charter'!M14+'[27]Table 5C1L-Northshore Charter'!T14+('[26]Table 5C1L-Northshore Charter'!T14*6)</f>
        <v>0</v>
      </c>
      <c r="R15" s="1732">
        <f t="shared" si="39"/>
        <v>0</v>
      </c>
      <c r="S15" s="998">
        <f t="shared" si="40"/>
        <v>0</v>
      </c>
      <c r="T15" s="1802">
        <f>'Table 5C1A-Madison Prep'!T15</f>
        <v>3988</v>
      </c>
      <c r="U15" s="1555">
        <f t="shared" si="28"/>
        <v>0</v>
      </c>
      <c r="V15" s="1758">
        <f>+'[3]Oct midyear Northshore Charter'!E14</f>
        <v>0</v>
      </c>
      <c r="W15" s="1759">
        <f t="shared" si="41"/>
        <v>0</v>
      </c>
      <c r="X15" s="1758">
        <f>'[3]Feb midyear Northshore Charter'!E14</f>
        <v>0</v>
      </c>
      <c r="Y15" s="1759">
        <f t="shared" si="42"/>
        <v>0</v>
      </c>
      <c r="Z15" s="1653">
        <f t="shared" si="43"/>
        <v>0</v>
      </c>
      <c r="AA15" s="1486">
        <f t="shared" si="44"/>
        <v>0</v>
      </c>
      <c r="AB15" s="937">
        <f t="shared" si="45"/>
        <v>0</v>
      </c>
      <c r="AC15" s="899">
        <f t="shared" si="46"/>
        <v>0</v>
      </c>
      <c r="AD15" s="1830">
        <v>0</v>
      </c>
      <c r="AE15" s="899">
        <f t="shared" si="47"/>
        <v>0</v>
      </c>
      <c r="AF15" s="1829">
        <f>'[4]Table 5C1L-Northshore Charter'!T14+'[27]Table 5C1L-Northshore Charter'!AF14+('[26]Table 5C1L-Northshore Charter'!AF14*6)</f>
        <v>0</v>
      </c>
      <c r="AG15" s="1834">
        <f t="shared" si="48"/>
        <v>0</v>
      </c>
      <c r="AH15" s="1521">
        <f t="shared" si="49"/>
        <v>0</v>
      </c>
      <c r="AI15" s="900">
        <f t="shared" si="29"/>
        <v>0</v>
      </c>
      <c r="AJ15" s="900">
        <f t="shared" si="50"/>
        <v>0</v>
      </c>
      <c r="AL15" s="2034">
        <f>-'[4]Table 5C1L-Northshore Charter'!P14</f>
        <v>0</v>
      </c>
      <c r="AM15" s="2034">
        <f t="shared" si="30"/>
        <v>0</v>
      </c>
      <c r="AN15" s="2034">
        <f t="shared" si="51"/>
        <v>0</v>
      </c>
    </row>
    <row r="16" spans="1:40">
      <c r="A16" s="876">
        <v>9</v>
      </c>
      <c r="B16" s="877" t="s">
        <v>100</v>
      </c>
      <c r="C16" s="969">
        <v>0</v>
      </c>
      <c r="D16" s="878">
        <f>'Table 3 Levels 1&amp;2'!AL16</f>
        <v>4395.6154516889328</v>
      </c>
      <c r="E16" s="919">
        <f t="shared" si="31"/>
        <v>0</v>
      </c>
      <c r="F16" s="919">
        <f>'Table 4 Level 3'!P14</f>
        <v>744.76</v>
      </c>
      <c r="G16" s="919">
        <f t="shared" si="32"/>
        <v>0</v>
      </c>
      <c r="H16" s="898">
        <f t="shared" si="33"/>
        <v>0</v>
      </c>
      <c r="I16" s="1732">
        <f>+'[3]Oct midyear Northshore Charter'!K15</f>
        <v>0</v>
      </c>
      <c r="J16" s="1732">
        <f>'[3]Feb midyear Northshore Charter'!K15</f>
        <v>0</v>
      </c>
      <c r="K16" s="1543">
        <f t="shared" si="34"/>
        <v>0</v>
      </c>
      <c r="L16" s="1485">
        <f t="shared" si="35"/>
        <v>0</v>
      </c>
      <c r="M16" s="929">
        <f t="shared" si="36"/>
        <v>0</v>
      </c>
      <c r="N16" s="898">
        <f t="shared" si="37"/>
        <v>0</v>
      </c>
      <c r="O16" s="878">
        <v>0</v>
      </c>
      <c r="P16" s="1550">
        <f t="shared" si="38"/>
        <v>0</v>
      </c>
      <c r="Q16" s="1718">
        <f>'[4]Table 5C1L-Northshore Charter'!M15+'[27]Table 5C1L-Northshore Charter'!T15+('[26]Table 5C1L-Northshore Charter'!T15*6)</f>
        <v>0</v>
      </c>
      <c r="R16" s="1732">
        <f t="shared" si="39"/>
        <v>0</v>
      </c>
      <c r="S16" s="998">
        <f t="shared" si="40"/>
        <v>0</v>
      </c>
      <c r="T16" s="1802">
        <f>'Table 5C1A-Madison Prep'!T16</f>
        <v>4677</v>
      </c>
      <c r="U16" s="1555">
        <f t="shared" si="28"/>
        <v>0</v>
      </c>
      <c r="V16" s="1758">
        <f>+'[3]Oct midyear Northshore Charter'!E15</f>
        <v>0</v>
      </c>
      <c r="W16" s="1759">
        <f t="shared" si="41"/>
        <v>0</v>
      </c>
      <c r="X16" s="1758">
        <f>'[3]Feb midyear Northshore Charter'!E15</f>
        <v>0</v>
      </c>
      <c r="Y16" s="1759">
        <f t="shared" si="42"/>
        <v>0</v>
      </c>
      <c r="Z16" s="1653">
        <f t="shared" si="43"/>
        <v>0</v>
      </c>
      <c r="AA16" s="1486">
        <f t="shared" si="44"/>
        <v>0</v>
      </c>
      <c r="AB16" s="937">
        <f t="shared" si="45"/>
        <v>0</v>
      </c>
      <c r="AC16" s="899">
        <f t="shared" si="46"/>
        <v>0</v>
      </c>
      <c r="AD16" s="1830">
        <v>0</v>
      </c>
      <c r="AE16" s="899">
        <f t="shared" si="47"/>
        <v>0</v>
      </c>
      <c r="AF16" s="1829">
        <f>'[4]Table 5C1L-Northshore Charter'!T15+'[27]Table 5C1L-Northshore Charter'!AF15+('[26]Table 5C1L-Northshore Charter'!AF15*6)</f>
        <v>0</v>
      </c>
      <c r="AG16" s="1834">
        <f t="shared" si="48"/>
        <v>0</v>
      </c>
      <c r="AH16" s="1521">
        <f t="shared" si="49"/>
        <v>0</v>
      </c>
      <c r="AI16" s="900">
        <f t="shared" si="29"/>
        <v>0</v>
      </c>
      <c r="AJ16" s="900">
        <f t="shared" si="50"/>
        <v>0</v>
      </c>
      <c r="AL16" s="2034">
        <f>-'[4]Table 5C1L-Northshore Charter'!P15</f>
        <v>0</v>
      </c>
      <c r="AM16" s="2034">
        <f t="shared" si="30"/>
        <v>0</v>
      </c>
      <c r="AN16" s="2034">
        <f t="shared" si="51"/>
        <v>0</v>
      </c>
    </row>
    <row r="17" spans="1:40">
      <c r="A17" s="879">
        <v>10</v>
      </c>
      <c r="B17" s="880" t="s">
        <v>101</v>
      </c>
      <c r="C17" s="970">
        <v>0</v>
      </c>
      <c r="D17" s="881">
        <f>'Table 3 Levels 1&amp;2'!AL17</f>
        <v>4253.5980618992444</v>
      </c>
      <c r="E17" s="920">
        <f t="shared" si="31"/>
        <v>0</v>
      </c>
      <c r="F17" s="920">
        <f>'Table 4 Level 3'!P15</f>
        <v>608.04000000000008</v>
      </c>
      <c r="G17" s="920">
        <f t="shared" si="32"/>
        <v>0</v>
      </c>
      <c r="H17" s="901">
        <f t="shared" si="33"/>
        <v>0</v>
      </c>
      <c r="I17" s="1733">
        <f>+'[3]Oct midyear Northshore Charter'!K16</f>
        <v>0</v>
      </c>
      <c r="J17" s="1733">
        <f>'[3]Feb midyear Northshore Charter'!K16</f>
        <v>0</v>
      </c>
      <c r="K17" s="1544">
        <f t="shared" si="34"/>
        <v>0</v>
      </c>
      <c r="L17" s="1487">
        <f t="shared" si="35"/>
        <v>0</v>
      </c>
      <c r="M17" s="930">
        <f t="shared" si="36"/>
        <v>0</v>
      </c>
      <c r="N17" s="901">
        <f t="shared" si="37"/>
        <v>0</v>
      </c>
      <c r="O17" s="881">
        <v>0</v>
      </c>
      <c r="P17" s="1551">
        <f t="shared" si="38"/>
        <v>0</v>
      </c>
      <c r="Q17" s="1804">
        <f>'[4]Table 5C1L-Northshore Charter'!M16+'[27]Table 5C1L-Northshore Charter'!T16+('[26]Table 5C1L-Northshore Charter'!T16*6)</f>
        <v>0</v>
      </c>
      <c r="R17" s="1733">
        <f t="shared" si="39"/>
        <v>0</v>
      </c>
      <c r="S17" s="1806">
        <f t="shared" si="40"/>
        <v>0</v>
      </c>
      <c r="T17" s="1807">
        <f>'Table 5C1A-Madison Prep'!T17</f>
        <v>4502</v>
      </c>
      <c r="U17" s="1556">
        <f t="shared" si="28"/>
        <v>0</v>
      </c>
      <c r="V17" s="1762">
        <f>+'[3]Oct midyear Northshore Charter'!E16</f>
        <v>0</v>
      </c>
      <c r="W17" s="1763">
        <f t="shared" si="41"/>
        <v>0</v>
      </c>
      <c r="X17" s="1762">
        <f>'[3]Feb midyear Northshore Charter'!E16</f>
        <v>0</v>
      </c>
      <c r="Y17" s="1763">
        <f t="shared" si="42"/>
        <v>0</v>
      </c>
      <c r="Z17" s="1654">
        <f t="shared" si="43"/>
        <v>0</v>
      </c>
      <c r="AA17" s="1488">
        <f t="shared" si="44"/>
        <v>0</v>
      </c>
      <c r="AB17" s="938">
        <f t="shared" si="45"/>
        <v>0</v>
      </c>
      <c r="AC17" s="903">
        <f t="shared" si="46"/>
        <v>0</v>
      </c>
      <c r="AD17" s="1831">
        <v>0</v>
      </c>
      <c r="AE17" s="903">
        <f t="shared" si="47"/>
        <v>0</v>
      </c>
      <c r="AF17" s="1837">
        <f>'[4]Table 5C1L-Northshore Charter'!T16+'[27]Table 5C1L-Northshore Charter'!AF16+('[26]Table 5C1L-Northshore Charter'!AF16*6)</f>
        <v>0</v>
      </c>
      <c r="AG17" s="1835">
        <f t="shared" si="48"/>
        <v>0</v>
      </c>
      <c r="AH17" s="1530">
        <f t="shared" si="49"/>
        <v>0</v>
      </c>
      <c r="AI17" s="904">
        <f t="shared" si="29"/>
        <v>0</v>
      </c>
      <c r="AJ17" s="904">
        <f t="shared" si="50"/>
        <v>0</v>
      </c>
      <c r="AL17" s="2034">
        <f>-'[4]Table 5C1L-Northshore Charter'!P16</f>
        <v>0</v>
      </c>
      <c r="AM17" s="2034">
        <f t="shared" si="30"/>
        <v>0</v>
      </c>
      <c r="AN17" s="2034">
        <f t="shared" si="51"/>
        <v>0</v>
      </c>
    </row>
    <row r="18" spans="1:40">
      <c r="A18" s="870">
        <v>11</v>
      </c>
      <c r="B18" s="871" t="s">
        <v>102</v>
      </c>
      <c r="C18" s="971">
        <v>0</v>
      </c>
      <c r="D18" s="872">
        <f>'Table 3 Levels 1&amp;2'!AL18</f>
        <v>6852.9138435383502</v>
      </c>
      <c r="E18" s="918">
        <f t="shared" si="31"/>
        <v>0</v>
      </c>
      <c r="F18" s="918">
        <f>'Table 4 Level 3'!P16</f>
        <v>706.55</v>
      </c>
      <c r="G18" s="918">
        <f t="shared" si="32"/>
        <v>0</v>
      </c>
      <c r="H18" s="873">
        <f t="shared" si="33"/>
        <v>0</v>
      </c>
      <c r="I18" s="1718">
        <f>+'[3]Oct midyear Northshore Charter'!K17</f>
        <v>0</v>
      </c>
      <c r="J18" s="1718">
        <f>'[3]Feb midyear Northshore Charter'!K17</f>
        <v>0</v>
      </c>
      <c r="K18" s="1542">
        <f t="shared" si="34"/>
        <v>0</v>
      </c>
      <c r="L18" s="1480">
        <f t="shared" si="35"/>
        <v>0</v>
      </c>
      <c r="M18" s="928">
        <f t="shared" si="36"/>
        <v>0</v>
      </c>
      <c r="N18" s="873">
        <f t="shared" si="37"/>
        <v>0</v>
      </c>
      <c r="O18" s="872">
        <v>0</v>
      </c>
      <c r="P18" s="998">
        <f t="shared" si="38"/>
        <v>0</v>
      </c>
      <c r="Q18" s="1718">
        <f>'[4]Table 5C1L-Northshore Charter'!M17+'[27]Table 5C1L-Northshore Charter'!T17+('[26]Table 5C1L-Northshore Charter'!T17*6)</f>
        <v>0</v>
      </c>
      <c r="R18" s="1718">
        <f t="shared" si="39"/>
        <v>0</v>
      </c>
      <c r="S18" s="998">
        <f t="shared" si="40"/>
        <v>0</v>
      </c>
      <c r="T18" s="1802">
        <f>'Table 5C1A-Madison Prep'!T18</f>
        <v>3776</v>
      </c>
      <c r="U18" s="999">
        <f t="shared" si="28"/>
        <v>0</v>
      </c>
      <c r="V18" s="1754">
        <f>+'[3]Oct midyear Northshore Charter'!E17</f>
        <v>0</v>
      </c>
      <c r="W18" s="1755">
        <f t="shared" si="41"/>
        <v>0</v>
      </c>
      <c r="X18" s="1754">
        <f>'[3]Feb midyear Northshore Charter'!E17</f>
        <v>0</v>
      </c>
      <c r="Y18" s="1755">
        <f t="shared" si="42"/>
        <v>0</v>
      </c>
      <c r="Z18" s="1652">
        <f t="shared" si="43"/>
        <v>0</v>
      </c>
      <c r="AA18" s="1481">
        <f t="shared" si="44"/>
        <v>0</v>
      </c>
      <c r="AB18" s="936">
        <f t="shared" si="45"/>
        <v>0</v>
      </c>
      <c r="AC18" s="874">
        <f t="shared" si="46"/>
        <v>0</v>
      </c>
      <c r="AD18" s="1829">
        <v>0</v>
      </c>
      <c r="AE18" s="874">
        <f t="shared" si="47"/>
        <v>0</v>
      </c>
      <c r="AF18" s="1829">
        <f>'[4]Table 5C1L-Northshore Charter'!T17+'[27]Table 5C1L-Northshore Charter'!AF17+('[26]Table 5C1L-Northshore Charter'!AF17*6)</f>
        <v>0</v>
      </c>
      <c r="AG18" s="1829">
        <f t="shared" si="48"/>
        <v>0</v>
      </c>
      <c r="AH18" s="1521">
        <f t="shared" si="49"/>
        <v>0</v>
      </c>
      <c r="AI18" s="875">
        <f t="shared" si="29"/>
        <v>0</v>
      </c>
      <c r="AJ18" s="875">
        <f t="shared" si="50"/>
        <v>0</v>
      </c>
      <c r="AL18" s="2034">
        <f>-'[4]Table 5C1L-Northshore Charter'!P17</f>
        <v>0</v>
      </c>
      <c r="AM18" s="2034">
        <f t="shared" si="30"/>
        <v>0</v>
      </c>
      <c r="AN18" s="2034">
        <f t="shared" si="51"/>
        <v>0</v>
      </c>
    </row>
    <row r="19" spans="1:40">
      <c r="A19" s="876">
        <v>12</v>
      </c>
      <c r="B19" s="877" t="s">
        <v>103</v>
      </c>
      <c r="C19" s="969">
        <v>0</v>
      </c>
      <c r="D19" s="878">
        <f>'Table 3 Levels 1&amp;2'!AL19</f>
        <v>1733.9056059356967</v>
      </c>
      <c r="E19" s="919">
        <f t="shared" si="31"/>
        <v>0</v>
      </c>
      <c r="F19" s="919">
        <f>'Table 4 Level 3'!P17</f>
        <v>1063.31</v>
      </c>
      <c r="G19" s="919">
        <f t="shared" si="32"/>
        <v>0</v>
      </c>
      <c r="H19" s="898">
        <f t="shared" si="33"/>
        <v>0</v>
      </c>
      <c r="I19" s="1732">
        <f>+'[3]Oct midyear Northshore Charter'!K18</f>
        <v>0</v>
      </c>
      <c r="J19" s="1732">
        <f>'[3]Feb midyear Northshore Charter'!K18</f>
        <v>0</v>
      </c>
      <c r="K19" s="1543">
        <f t="shared" si="34"/>
        <v>0</v>
      </c>
      <c r="L19" s="1485">
        <f t="shared" si="35"/>
        <v>0</v>
      </c>
      <c r="M19" s="929">
        <f t="shared" si="36"/>
        <v>0</v>
      </c>
      <c r="N19" s="898">
        <f t="shared" si="37"/>
        <v>0</v>
      </c>
      <c r="O19" s="878">
        <v>0</v>
      </c>
      <c r="P19" s="1550">
        <f t="shared" si="38"/>
        <v>0</v>
      </c>
      <c r="Q19" s="1718">
        <f>'[4]Table 5C1L-Northshore Charter'!M18+'[27]Table 5C1L-Northshore Charter'!T18+('[26]Table 5C1L-Northshore Charter'!T18*6)</f>
        <v>0</v>
      </c>
      <c r="R19" s="1732">
        <f t="shared" si="39"/>
        <v>0</v>
      </c>
      <c r="S19" s="998">
        <f t="shared" si="40"/>
        <v>0</v>
      </c>
      <c r="T19" s="1802">
        <f>'Table 5C1A-Madison Prep'!T19</f>
        <v>13312</v>
      </c>
      <c r="U19" s="1555">
        <f t="shared" si="28"/>
        <v>0</v>
      </c>
      <c r="V19" s="1758">
        <f>+'[3]Oct midyear Northshore Charter'!E18</f>
        <v>0</v>
      </c>
      <c r="W19" s="1759">
        <f t="shared" si="41"/>
        <v>0</v>
      </c>
      <c r="X19" s="1758">
        <f>'[3]Feb midyear Northshore Charter'!E18</f>
        <v>0</v>
      </c>
      <c r="Y19" s="1759">
        <f t="shared" si="42"/>
        <v>0</v>
      </c>
      <c r="Z19" s="1653">
        <f t="shared" si="43"/>
        <v>0</v>
      </c>
      <c r="AA19" s="1486">
        <f t="shared" si="44"/>
        <v>0</v>
      </c>
      <c r="AB19" s="937">
        <f t="shared" si="45"/>
        <v>0</v>
      </c>
      <c r="AC19" s="899">
        <f t="shared" si="46"/>
        <v>0</v>
      </c>
      <c r="AD19" s="1830">
        <v>0</v>
      </c>
      <c r="AE19" s="899">
        <f t="shared" si="47"/>
        <v>0</v>
      </c>
      <c r="AF19" s="1829">
        <f>'[4]Table 5C1L-Northshore Charter'!T18+'[27]Table 5C1L-Northshore Charter'!AF18+('[26]Table 5C1L-Northshore Charter'!AF18*6)</f>
        <v>0</v>
      </c>
      <c r="AG19" s="1834">
        <f t="shared" si="48"/>
        <v>0</v>
      </c>
      <c r="AH19" s="1521">
        <f t="shared" si="49"/>
        <v>0</v>
      </c>
      <c r="AI19" s="900">
        <f t="shared" si="29"/>
        <v>0</v>
      </c>
      <c r="AJ19" s="900">
        <f t="shared" si="50"/>
        <v>0</v>
      </c>
      <c r="AL19" s="2034">
        <f>-'[4]Table 5C1L-Northshore Charter'!P18</f>
        <v>0</v>
      </c>
      <c r="AM19" s="2034">
        <f t="shared" si="30"/>
        <v>0</v>
      </c>
      <c r="AN19" s="2034">
        <f t="shared" si="51"/>
        <v>0</v>
      </c>
    </row>
    <row r="20" spans="1:40">
      <c r="A20" s="876">
        <v>13</v>
      </c>
      <c r="B20" s="877" t="s">
        <v>104</v>
      </c>
      <c r="C20" s="969">
        <v>0</v>
      </c>
      <c r="D20" s="878">
        <f>'Table 3 Levels 1&amp;2'!AL20</f>
        <v>6254.1238637730876</v>
      </c>
      <c r="E20" s="919">
        <f t="shared" si="31"/>
        <v>0</v>
      </c>
      <c r="F20" s="919">
        <f>'Table 4 Level 3'!P18</f>
        <v>749.43000000000006</v>
      </c>
      <c r="G20" s="919">
        <f t="shared" si="32"/>
        <v>0</v>
      </c>
      <c r="H20" s="898">
        <f t="shared" si="33"/>
        <v>0</v>
      </c>
      <c r="I20" s="1732">
        <f>+'[3]Oct midyear Northshore Charter'!K19</f>
        <v>0</v>
      </c>
      <c r="J20" s="1732">
        <f>'[3]Feb midyear Northshore Charter'!K19</f>
        <v>0</v>
      </c>
      <c r="K20" s="1543">
        <f t="shared" si="34"/>
        <v>0</v>
      </c>
      <c r="L20" s="1485">
        <f t="shared" si="35"/>
        <v>0</v>
      </c>
      <c r="M20" s="929">
        <f t="shared" si="36"/>
        <v>0</v>
      </c>
      <c r="N20" s="898">
        <f t="shared" si="37"/>
        <v>0</v>
      </c>
      <c r="O20" s="878">
        <v>0</v>
      </c>
      <c r="P20" s="1550">
        <f t="shared" si="38"/>
        <v>0</v>
      </c>
      <c r="Q20" s="1718">
        <f>'[4]Table 5C1L-Northshore Charter'!M19+'[27]Table 5C1L-Northshore Charter'!T19+('[26]Table 5C1L-Northshore Charter'!T19*6)</f>
        <v>0</v>
      </c>
      <c r="R20" s="1732">
        <f t="shared" si="39"/>
        <v>0</v>
      </c>
      <c r="S20" s="998">
        <f t="shared" si="40"/>
        <v>0</v>
      </c>
      <c r="T20" s="1802">
        <f>'Table 5C1A-Madison Prep'!T20</f>
        <v>2671</v>
      </c>
      <c r="U20" s="1555">
        <f t="shared" si="28"/>
        <v>0</v>
      </c>
      <c r="V20" s="1758">
        <f>+'[3]Oct midyear Northshore Charter'!E19</f>
        <v>0</v>
      </c>
      <c r="W20" s="1759">
        <f t="shared" si="41"/>
        <v>0</v>
      </c>
      <c r="X20" s="1758">
        <f>'[3]Feb midyear Northshore Charter'!E19</f>
        <v>0</v>
      </c>
      <c r="Y20" s="1759">
        <f t="shared" si="42"/>
        <v>0</v>
      </c>
      <c r="Z20" s="1653">
        <f t="shared" si="43"/>
        <v>0</v>
      </c>
      <c r="AA20" s="1486">
        <f t="shared" si="44"/>
        <v>0</v>
      </c>
      <c r="AB20" s="937">
        <f t="shared" si="45"/>
        <v>0</v>
      </c>
      <c r="AC20" s="899">
        <f t="shared" si="46"/>
        <v>0</v>
      </c>
      <c r="AD20" s="1830">
        <v>0</v>
      </c>
      <c r="AE20" s="899">
        <f t="shared" si="47"/>
        <v>0</v>
      </c>
      <c r="AF20" s="1829">
        <f>'[4]Table 5C1L-Northshore Charter'!T19+'[27]Table 5C1L-Northshore Charter'!AF19+('[26]Table 5C1L-Northshore Charter'!AF19*6)</f>
        <v>0</v>
      </c>
      <c r="AG20" s="1834">
        <f t="shared" si="48"/>
        <v>0</v>
      </c>
      <c r="AH20" s="1521">
        <f t="shared" si="49"/>
        <v>0</v>
      </c>
      <c r="AI20" s="900">
        <f t="shared" si="29"/>
        <v>0</v>
      </c>
      <c r="AJ20" s="900">
        <f t="shared" si="50"/>
        <v>0</v>
      </c>
      <c r="AL20" s="2034">
        <f>-'[4]Table 5C1L-Northshore Charter'!P19</f>
        <v>0</v>
      </c>
      <c r="AM20" s="2034">
        <f t="shared" si="30"/>
        <v>0</v>
      </c>
      <c r="AN20" s="2034">
        <f t="shared" si="51"/>
        <v>0</v>
      </c>
    </row>
    <row r="21" spans="1:40">
      <c r="A21" s="876">
        <v>14</v>
      </c>
      <c r="B21" s="877" t="s">
        <v>105</v>
      </c>
      <c r="C21" s="969">
        <v>0</v>
      </c>
      <c r="D21" s="878">
        <f>'Table 3 Levels 1&amp;2'!AL21</f>
        <v>5377.9187438545459</v>
      </c>
      <c r="E21" s="919">
        <f t="shared" si="31"/>
        <v>0</v>
      </c>
      <c r="F21" s="919">
        <f>'Table 4 Level 3'!P19</f>
        <v>809.9799999999999</v>
      </c>
      <c r="G21" s="919">
        <f t="shared" si="32"/>
        <v>0</v>
      </c>
      <c r="H21" s="898">
        <f t="shared" si="33"/>
        <v>0</v>
      </c>
      <c r="I21" s="1732">
        <f>+'[3]Oct midyear Northshore Charter'!K20</f>
        <v>0</v>
      </c>
      <c r="J21" s="1732">
        <f>'[3]Feb midyear Northshore Charter'!K20</f>
        <v>0</v>
      </c>
      <c r="K21" s="1543">
        <f t="shared" si="34"/>
        <v>0</v>
      </c>
      <c r="L21" s="1485">
        <f t="shared" si="35"/>
        <v>0</v>
      </c>
      <c r="M21" s="929">
        <f t="shared" si="36"/>
        <v>0</v>
      </c>
      <c r="N21" s="898">
        <f t="shared" si="37"/>
        <v>0</v>
      </c>
      <c r="O21" s="878">
        <v>0</v>
      </c>
      <c r="P21" s="1550">
        <f t="shared" si="38"/>
        <v>0</v>
      </c>
      <c r="Q21" s="1718">
        <f>'[4]Table 5C1L-Northshore Charter'!M20+'[27]Table 5C1L-Northshore Charter'!T20+('[26]Table 5C1L-Northshore Charter'!T20*6)</f>
        <v>0</v>
      </c>
      <c r="R21" s="1732">
        <f t="shared" si="39"/>
        <v>0</v>
      </c>
      <c r="S21" s="998">
        <f t="shared" si="40"/>
        <v>0</v>
      </c>
      <c r="T21" s="1802">
        <f>'Table 5C1A-Madison Prep'!T21</f>
        <v>4439</v>
      </c>
      <c r="U21" s="1555">
        <f t="shared" si="28"/>
        <v>0</v>
      </c>
      <c r="V21" s="1758">
        <f>+'[3]Oct midyear Northshore Charter'!E20</f>
        <v>0</v>
      </c>
      <c r="W21" s="1759">
        <f t="shared" si="41"/>
        <v>0</v>
      </c>
      <c r="X21" s="1758">
        <f>'[3]Feb midyear Northshore Charter'!E20</f>
        <v>0</v>
      </c>
      <c r="Y21" s="1759">
        <f t="shared" si="42"/>
        <v>0</v>
      </c>
      <c r="Z21" s="1653">
        <f t="shared" si="43"/>
        <v>0</v>
      </c>
      <c r="AA21" s="1486">
        <f t="shared" si="44"/>
        <v>0</v>
      </c>
      <c r="AB21" s="937">
        <f t="shared" si="45"/>
        <v>0</v>
      </c>
      <c r="AC21" s="899">
        <f t="shared" si="46"/>
        <v>0</v>
      </c>
      <c r="AD21" s="1830">
        <v>0</v>
      </c>
      <c r="AE21" s="899">
        <f t="shared" si="47"/>
        <v>0</v>
      </c>
      <c r="AF21" s="1829">
        <f>'[4]Table 5C1L-Northshore Charter'!T20+'[27]Table 5C1L-Northshore Charter'!AF20+('[26]Table 5C1L-Northshore Charter'!AF20*6)</f>
        <v>0</v>
      </c>
      <c r="AG21" s="1834">
        <f t="shared" si="48"/>
        <v>0</v>
      </c>
      <c r="AH21" s="1521">
        <f t="shared" si="49"/>
        <v>0</v>
      </c>
      <c r="AI21" s="900">
        <f t="shared" si="29"/>
        <v>0</v>
      </c>
      <c r="AJ21" s="900">
        <f t="shared" si="50"/>
        <v>0</v>
      </c>
      <c r="AL21" s="2034">
        <f>-'[4]Table 5C1L-Northshore Charter'!P20</f>
        <v>0</v>
      </c>
      <c r="AM21" s="2034">
        <f t="shared" si="30"/>
        <v>0</v>
      </c>
      <c r="AN21" s="2034">
        <f t="shared" si="51"/>
        <v>0</v>
      </c>
    </row>
    <row r="22" spans="1:40">
      <c r="A22" s="879">
        <v>15</v>
      </c>
      <c r="B22" s="880" t="s">
        <v>106</v>
      </c>
      <c r="C22" s="970">
        <v>0</v>
      </c>
      <c r="D22" s="881">
        <f>'Table 3 Levels 1&amp;2'!AL22</f>
        <v>5527.7651197617861</v>
      </c>
      <c r="E22" s="920">
        <f t="shared" si="31"/>
        <v>0</v>
      </c>
      <c r="F22" s="920">
        <f>'Table 4 Level 3'!P20</f>
        <v>553.79999999999995</v>
      </c>
      <c r="G22" s="920">
        <f t="shared" si="32"/>
        <v>0</v>
      </c>
      <c r="H22" s="901">
        <f t="shared" si="33"/>
        <v>0</v>
      </c>
      <c r="I22" s="1733">
        <f>+'[3]Oct midyear Northshore Charter'!K21</f>
        <v>0</v>
      </c>
      <c r="J22" s="1733">
        <f>'[3]Feb midyear Northshore Charter'!K21</f>
        <v>0</v>
      </c>
      <c r="K22" s="1544">
        <f t="shared" si="34"/>
        <v>0</v>
      </c>
      <c r="L22" s="1487">
        <f t="shared" si="35"/>
        <v>0</v>
      </c>
      <c r="M22" s="930">
        <f t="shared" si="36"/>
        <v>0</v>
      </c>
      <c r="N22" s="901">
        <f t="shared" si="37"/>
        <v>0</v>
      </c>
      <c r="O22" s="881">
        <v>0</v>
      </c>
      <c r="P22" s="1551">
        <f t="shared" si="38"/>
        <v>0</v>
      </c>
      <c r="Q22" s="1804">
        <f>'[4]Table 5C1L-Northshore Charter'!M21+'[27]Table 5C1L-Northshore Charter'!T21+('[26]Table 5C1L-Northshore Charter'!T21*6)</f>
        <v>0</v>
      </c>
      <c r="R22" s="1733">
        <f t="shared" si="39"/>
        <v>0</v>
      </c>
      <c r="S22" s="1806">
        <f t="shared" si="40"/>
        <v>0</v>
      </c>
      <c r="T22" s="1807">
        <f>'Table 5C1A-Madison Prep'!T22</f>
        <v>2800</v>
      </c>
      <c r="U22" s="1556">
        <f t="shared" si="28"/>
        <v>0</v>
      </c>
      <c r="V22" s="1762">
        <f>+'[3]Oct midyear Northshore Charter'!E21</f>
        <v>0</v>
      </c>
      <c r="W22" s="1763">
        <f t="shared" si="41"/>
        <v>0</v>
      </c>
      <c r="X22" s="1762">
        <f>'[3]Feb midyear Northshore Charter'!E21</f>
        <v>0</v>
      </c>
      <c r="Y22" s="1763">
        <f t="shared" si="42"/>
        <v>0</v>
      </c>
      <c r="Z22" s="1654">
        <f t="shared" si="43"/>
        <v>0</v>
      </c>
      <c r="AA22" s="1488">
        <f t="shared" si="44"/>
        <v>0</v>
      </c>
      <c r="AB22" s="938">
        <f t="shared" si="45"/>
        <v>0</v>
      </c>
      <c r="AC22" s="903">
        <f t="shared" si="46"/>
        <v>0</v>
      </c>
      <c r="AD22" s="1831">
        <v>0</v>
      </c>
      <c r="AE22" s="903">
        <f t="shared" si="47"/>
        <v>0</v>
      </c>
      <c r="AF22" s="1837">
        <f>'[4]Table 5C1L-Northshore Charter'!T21+'[27]Table 5C1L-Northshore Charter'!AF21+('[26]Table 5C1L-Northshore Charter'!AF21*6)</f>
        <v>0</v>
      </c>
      <c r="AG22" s="1835">
        <f t="shared" si="48"/>
        <v>0</v>
      </c>
      <c r="AH22" s="1530">
        <f t="shared" si="49"/>
        <v>0</v>
      </c>
      <c r="AI22" s="904">
        <f t="shared" si="29"/>
        <v>0</v>
      </c>
      <c r="AJ22" s="904">
        <f t="shared" si="50"/>
        <v>0</v>
      </c>
      <c r="AL22" s="2034">
        <f>-'[4]Table 5C1L-Northshore Charter'!P21</f>
        <v>0</v>
      </c>
      <c r="AM22" s="2034">
        <f t="shared" si="30"/>
        <v>0</v>
      </c>
      <c r="AN22" s="2034">
        <f t="shared" si="51"/>
        <v>0</v>
      </c>
    </row>
    <row r="23" spans="1:40">
      <c r="A23" s="870">
        <v>16</v>
      </c>
      <c r="B23" s="871" t="s">
        <v>107</v>
      </c>
      <c r="C23" s="971">
        <v>0</v>
      </c>
      <c r="D23" s="872">
        <f>'Table 3 Levels 1&amp;2'!AL23</f>
        <v>1530.3678845377474</v>
      </c>
      <c r="E23" s="918">
        <f t="shared" si="31"/>
        <v>0</v>
      </c>
      <c r="F23" s="918">
        <f>'Table 4 Level 3'!P21</f>
        <v>686.73</v>
      </c>
      <c r="G23" s="918">
        <f t="shared" si="32"/>
        <v>0</v>
      </c>
      <c r="H23" s="873">
        <f t="shared" si="33"/>
        <v>0</v>
      </c>
      <c r="I23" s="1718">
        <f>+'[3]Oct midyear Northshore Charter'!K22</f>
        <v>0</v>
      </c>
      <c r="J23" s="1718">
        <f>'[3]Feb midyear Northshore Charter'!K22</f>
        <v>0</v>
      </c>
      <c r="K23" s="1542">
        <f t="shared" si="34"/>
        <v>0</v>
      </c>
      <c r="L23" s="1480">
        <f t="shared" si="35"/>
        <v>0</v>
      </c>
      <c r="M23" s="928">
        <f t="shared" si="36"/>
        <v>0</v>
      </c>
      <c r="N23" s="873">
        <f t="shared" si="37"/>
        <v>0</v>
      </c>
      <c r="O23" s="872">
        <v>0</v>
      </c>
      <c r="P23" s="998">
        <f t="shared" si="38"/>
        <v>0</v>
      </c>
      <c r="Q23" s="1718">
        <f>'[4]Table 5C1L-Northshore Charter'!M22+'[27]Table 5C1L-Northshore Charter'!T22+('[26]Table 5C1L-Northshore Charter'!T22*6)</f>
        <v>0</v>
      </c>
      <c r="R23" s="1718">
        <f t="shared" si="39"/>
        <v>0</v>
      </c>
      <c r="S23" s="998">
        <f t="shared" si="40"/>
        <v>0</v>
      </c>
      <c r="T23" s="1802">
        <f>'Table 5C1A-Madison Prep'!T23</f>
        <v>12312</v>
      </c>
      <c r="U23" s="999">
        <f t="shared" si="28"/>
        <v>0</v>
      </c>
      <c r="V23" s="1754">
        <f>+'[3]Oct midyear Northshore Charter'!E22</f>
        <v>0</v>
      </c>
      <c r="W23" s="1755">
        <f t="shared" si="41"/>
        <v>0</v>
      </c>
      <c r="X23" s="1754">
        <f>'[3]Feb midyear Northshore Charter'!E22</f>
        <v>0</v>
      </c>
      <c r="Y23" s="1755">
        <f t="shared" si="42"/>
        <v>0</v>
      </c>
      <c r="Z23" s="1652">
        <f t="shared" si="43"/>
        <v>0</v>
      </c>
      <c r="AA23" s="1481">
        <f t="shared" si="44"/>
        <v>0</v>
      </c>
      <c r="AB23" s="936">
        <f t="shared" si="45"/>
        <v>0</v>
      </c>
      <c r="AC23" s="874">
        <f t="shared" si="46"/>
        <v>0</v>
      </c>
      <c r="AD23" s="1829">
        <v>0</v>
      </c>
      <c r="AE23" s="874">
        <f t="shared" si="47"/>
        <v>0</v>
      </c>
      <c r="AF23" s="1829">
        <f>'[4]Table 5C1L-Northshore Charter'!T22+'[27]Table 5C1L-Northshore Charter'!AF22+('[26]Table 5C1L-Northshore Charter'!AF22*6)</f>
        <v>0</v>
      </c>
      <c r="AG23" s="1829">
        <f t="shared" si="48"/>
        <v>0</v>
      </c>
      <c r="AH23" s="1521">
        <f t="shared" si="49"/>
        <v>0</v>
      </c>
      <c r="AI23" s="875">
        <f t="shared" si="29"/>
        <v>0</v>
      </c>
      <c r="AJ23" s="875">
        <f t="shared" si="50"/>
        <v>0</v>
      </c>
      <c r="AL23" s="2034">
        <f>-'[4]Table 5C1L-Northshore Charter'!P22</f>
        <v>0</v>
      </c>
      <c r="AM23" s="2034">
        <f t="shared" si="30"/>
        <v>0</v>
      </c>
      <c r="AN23" s="2034">
        <f t="shared" si="51"/>
        <v>0</v>
      </c>
    </row>
    <row r="24" spans="1:40">
      <c r="A24" s="876">
        <v>17</v>
      </c>
      <c r="B24" s="877" t="s">
        <v>108</v>
      </c>
      <c r="C24" s="969">
        <v>0</v>
      </c>
      <c r="D24" s="878">
        <f>'Table 3 Levels 1&amp;2'!AL24</f>
        <v>3313.0666313017805</v>
      </c>
      <c r="E24" s="919">
        <f t="shared" si="31"/>
        <v>0</v>
      </c>
      <c r="F24" s="919">
        <f>'Table 4 Level 3'!P22</f>
        <v>801.47762416806802</v>
      </c>
      <c r="G24" s="919">
        <f t="shared" si="32"/>
        <v>0</v>
      </c>
      <c r="H24" s="898">
        <f t="shared" si="33"/>
        <v>0</v>
      </c>
      <c r="I24" s="1732">
        <f>+'[3]Oct midyear Northshore Charter'!K23</f>
        <v>0</v>
      </c>
      <c r="J24" s="1732">
        <f>'[3]Feb midyear Northshore Charter'!K23</f>
        <v>0</v>
      </c>
      <c r="K24" s="1543">
        <f t="shared" si="34"/>
        <v>0</v>
      </c>
      <c r="L24" s="1485">
        <f t="shared" si="35"/>
        <v>0</v>
      </c>
      <c r="M24" s="929">
        <f t="shared" si="36"/>
        <v>0</v>
      </c>
      <c r="N24" s="898">
        <f t="shared" si="37"/>
        <v>0</v>
      </c>
      <c r="O24" s="878">
        <v>0</v>
      </c>
      <c r="P24" s="1550">
        <f t="shared" si="38"/>
        <v>0</v>
      </c>
      <c r="Q24" s="1718">
        <f>'[4]Table 5C1L-Northshore Charter'!M23+'[27]Table 5C1L-Northshore Charter'!T23+('[26]Table 5C1L-Northshore Charter'!T23*6)</f>
        <v>0</v>
      </c>
      <c r="R24" s="1732">
        <f t="shared" si="39"/>
        <v>0</v>
      </c>
      <c r="S24" s="998">
        <f t="shared" si="40"/>
        <v>0</v>
      </c>
      <c r="T24" s="1802">
        <f>'Table 5C1A-Madison Prep'!T24</f>
        <v>6866</v>
      </c>
      <c r="U24" s="1555">
        <f t="shared" si="28"/>
        <v>0</v>
      </c>
      <c r="V24" s="1758">
        <f>+'[3]Oct midyear Northshore Charter'!E23</f>
        <v>0</v>
      </c>
      <c r="W24" s="1759">
        <f t="shared" si="41"/>
        <v>0</v>
      </c>
      <c r="X24" s="1758">
        <f>'[3]Feb midyear Northshore Charter'!E23</f>
        <v>0</v>
      </c>
      <c r="Y24" s="1759">
        <f t="shared" si="42"/>
        <v>0</v>
      </c>
      <c r="Z24" s="1653">
        <f t="shared" si="43"/>
        <v>0</v>
      </c>
      <c r="AA24" s="1486">
        <f t="shared" si="44"/>
        <v>0</v>
      </c>
      <c r="AB24" s="937">
        <f t="shared" si="45"/>
        <v>0</v>
      </c>
      <c r="AC24" s="899">
        <f t="shared" si="46"/>
        <v>0</v>
      </c>
      <c r="AD24" s="1830">
        <v>0</v>
      </c>
      <c r="AE24" s="899">
        <f t="shared" si="47"/>
        <v>0</v>
      </c>
      <c r="AF24" s="1829">
        <f>'[4]Table 5C1L-Northshore Charter'!T23+'[27]Table 5C1L-Northshore Charter'!AF23+('[26]Table 5C1L-Northshore Charter'!AF23*6)</f>
        <v>0</v>
      </c>
      <c r="AG24" s="1834">
        <f t="shared" si="48"/>
        <v>0</v>
      </c>
      <c r="AH24" s="1521">
        <f t="shared" si="49"/>
        <v>0</v>
      </c>
      <c r="AI24" s="900">
        <f t="shared" si="29"/>
        <v>0</v>
      </c>
      <c r="AJ24" s="900">
        <f t="shared" si="50"/>
        <v>0</v>
      </c>
      <c r="AL24" s="2034">
        <f>-'[4]Table 5C1L-Northshore Charter'!P23</f>
        <v>0</v>
      </c>
      <c r="AM24" s="2034">
        <f t="shared" si="30"/>
        <v>0</v>
      </c>
      <c r="AN24" s="2034">
        <f t="shared" si="51"/>
        <v>0</v>
      </c>
    </row>
    <row r="25" spans="1:40">
      <c r="A25" s="876">
        <v>18</v>
      </c>
      <c r="B25" s="877" t="s">
        <v>109</v>
      </c>
      <c r="C25" s="969">
        <v>0</v>
      </c>
      <c r="D25" s="878">
        <f>'Table 3 Levels 1&amp;2'!AL25</f>
        <v>5989.1351892854573</v>
      </c>
      <c r="E25" s="919">
        <f t="shared" si="31"/>
        <v>0</v>
      </c>
      <c r="F25" s="919">
        <f>'Table 4 Level 3'!P23</f>
        <v>845.94999999999993</v>
      </c>
      <c r="G25" s="919">
        <f t="shared" si="32"/>
        <v>0</v>
      </c>
      <c r="H25" s="898">
        <f t="shared" si="33"/>
        <v>0</v>
      </c>
      <c r="I25" s="1732">
        <f>+'[3]Oct midyear Northshore Charter'!K24</f>
        <v>0</v>
      </c>
      <c r="J25" s="1732">
        <f>'[3]Feb midyear Northshore Charter'!K24</f>
        <v>0</v>
      </c>
      <c r="K25" s="1543">
        <f t="shared" si="34"/>
        <v>0</v>
      </c>
      <c r="L25" s="1485">
        <f t="shared" si="35"/>
        <v>0</v>
      </c>
      <c r="M25" s="929">
        <f t="shared" si="36"/>
        <v>0</v>
      </c>
      <c r="N25" s="898">
        <f t="shared" si="37"/>
        <v>0</v>
      </c>
      <c r="O25" s="878">
        <v>0</v>
      </c>
      <c r="P25" s="1550">
        <f t="shared" si="38"/>
        <v>0</v>
      </c>
      <c r="Q25" s="1718">
        <f>'[4]Table 5C1L-Northshore Charter'!M24+'[27]Table 5C1L-Northshore Charter'!T24+('[26]Table 5C1L-Northshore Charter'!T24*6)</f>
        <v>0</v>
      </c>
      <c r="R25" s="1732">
        <f t="shared" si="39"/>
        <v>0</v>
      </c>
      <c r="S25" s="998">
        <f t="shared" si="40"/>
        <v>0</v>
      </c>
      <c r="T25" s="1802">
        <f>'Table 5C1A-Madison Prep'!T25</f>
        <v>3071</v>
      </c>
      <c r="U25" s="1555">
        <f t="shared" si="28"/>
        <v>0</v>
      </c>
      <c r="V25" s="1758">
        <f>+'[3]Oct midyear Northshore Charter'!E24</f>
        <v>0</v>
      </c>
      <c r="W25" s="1759">
        <f t="shared" si="41"/>
        <v>0</v>
      </c>
      <c r="X25" s="1758">
        <f>'[3]Feb midyear Northshore Charter'!E24</f>
        <v>0</v>
      </c>
      <c r="Y25" s="1759">
        <f t="shared" si="42"/>
        <v>0</v>
      </c>
      <c r="Z25" s="1653">
        <f t="shared" si="43"/>
        <v>0</v>
      </c>
      <c r="AA25" s="1486">
        <f t="shared" si="44"/>
        <v>0</v>
      </c>
      <c r="AB25" s="937">
        <f t="shared" si="45"/>
        <v>0</v>
      </c>
      <c r="AC25" s="899">
        <f t="shared" si="46"/>
        <v>0</v>
      </c>
      <c r="AD25" s="1830">
        <v>0</v>
      </c>
      <c r="AE25" s="899">
        <f t="shared" si="47"/>
        <v>0</v>
      </c>
      <c r="AF25" s="1829">
        <f>'[4]Table 5C1L-Northshore Charter'!T24+'[27]Table 5C1L-Northshore Charter'!AF24+('[26]Table 5C1L-Northshore Charter'!AF24*6)</f>
        <v>0</v>
      </c>
      <c r="AG25" s="1834">
        <f t="shared" si="48"/>
        <v>0</v>
      </c>
      <c r="AH25" s="1521">
        <f t="shared" si="49"/>
        <v>0</v>
      </c>
      <c r="AI25" s="900">
        <f t="shared" si="29"/>
        <v>0</v>
      </c>
      <c r="AJ25" s="900">
        <f t="shared" si="50"/>
        <v>0</v>
      </c>
      <c r="AL25" s="2034">
        <f>-'[4]Table 5C1L-Northshore Charter'!P24</f>
        <v>0</v>
      </c>
      <c r="AM25" s="2034">
        <f t="shared" si="30"/>
        <v>0</v>
      </c>
      <c r="AN25" s="2034">
        <f t="shared" si="51"/>
        <v>0</v>
      </c>
    </row>
    <row r="26" spans="1:40">
      <c r="A26" s="876">
        <v>19</v>
      </c>
      <c r="B26" s="877" t="s">
        <v>110</v>
      </c>
      <c r="C26" s="969">
        <v>0</v>
      </c>
      <c r="D26" s="878">
        <f>'Table 3 Levels 1&amp;2'!AL26</f>
        <v>5315.8913399708035</v>
      </c>
      <c r="E26" s="919">
        <f t="shared" si="31"/>
        <v>0</v>
      </c>
      <c r="F26" s="919">
        <f>'Table 4 Level 3'!P24</f>
        <v>905.43</v>
      </c>
      <c r="G26" s="919">
        <f t="shared" si="32"/>
        <v>0</v>
      </c>
      <c r="H26" s="898">
        <f t="shared" si="33"/>
        <v>0</v>
      </c>
      <c r="I26" s="1732">
        <f>+'[3]Oct midyear Northshore Charter'!K25</f>
        <v>0</v>
      </c>
      <c r="J26" s="1732">
        <f>'[3]Feb midyear Northshore Charter'!K25</f>
        <v>0</v>
      </c>
      <c r="K26" s="1543">
        <f t="shared" si="34"/>
        <v>0</v>
      </c>
      <c r="L26" s="1485">
        <f t="shared" si="35"/>
        <v>0</v>
      </c>
      <c r="M26" s="929">
        <f t="shared" si="36"/>
        <v>0</v>
      </c>
      <c r="N26" s="898">
        <f t="shared" si="37"/>
        <v>0</v>
      </c>
      <c r="O26" s="878">
        <v>0</v>
      </c>
      <c r="P26" s="1550">
        <f t="shared" si="38"/>
        <v>0</v>
      </c>
      <c r="Q26" s="1718">
        <f>'[4]Table 5C1L-Northshore Charter'!M25+'[27]Table 5C1L-Northshore Charter'!T25+('[26]Table 5C1L-Northshore Charter'!T25*6)</f>
        <v>0</v>
      </c>
      <c r="R26" s="1732">
        <f t="shared" si="39"/>
        <v>0</v>
      </c>
      <c r="S26" s="998">
        <f t="shared" si="40"/>
        <v>0</v>
      </c>
      <c r="T26" s="1802">
        <f>'Table 5C1A-Madison Prep'!T26</f>
        <v>2566</v>
      </c>
      <c r="U26" s="1555">
        <f t="shared" si="28"/>
        <v>0</v>
      </c>
      <c r="V26" s="1758">
        <f>+'[3]Oct midyear Northshore Charter'!E25</f>
        <v>0</v>
      </c>
      <c r="W26" s="1759">
        <f t="shared" si="41"/>
        <v>0</v>
      </c>
      <c r="X26" s="1758">
        <f>'[3]Feb midyear Northshore Charter'!E25</f>
        <v>0</v>
      </c>
      <c r="Y26" s="1759">
        <f t="shared" si="42"/>
        <v>0</v>
      </c>
      <c r="Z26" s="1653">
        <f t="shared" si="43"/>
        <v>0</v>
      </c>
      <c r="AA26" s="1486">
        <f t="shared" si="44"/>
        <v>0</v>
      </c>
      <c r="AB26" s="937">
        <f t="shared" si="45"/>
        <v>0</v>
      </c>
      <c r="AC26" s="899">
        <f t="shared" si="46"/>
        <v>0</v>
      </c>
      <c r="AD26" s="1830">
        <v>0</v>
      </c>
      <c r="AE26" s="899">
        <f t="shared" si="47"/>
        <v>0</v>
      </c>
      <c r="AF26" s="1829">
        <f>'[4]Table 5C1L-Northshore Charter'!T25+'[27]Table 5C1L-Northshore Charter'!AF25+('[26]Table 5C1L-Northshore Charter'!AF25*6)</f>
        <v>0</v>
      </c>
      <c r="AG26" s="1834">
        <f t="shared" si="48"/>
        <v>0</v>
      </c>
      <c r="AH26" s="1521">
        <f t="shared" si="49"/>
        <v>0</v>
      </c>
      <c r="AI26" s="900">
        <f t="shared" si="29"/>
        <v>0</v>
      </c>
      <c r="AJ26" s="900">
        <f t="shared" si="50"/>
        <v>0</v>
      </c>
      <c r="AL26" s="2034">
        <f>-'[4]Table 5C1L-Northshore Charter'!P25</f>
        <v>0</v>
      </c>
      <c r="AM26" s="2034">
        <f t="shared" si="30"/>
        <v>0</v>
      </c>
      <c r="AN26" s="2034">
        <f t="shared" si="51"/>
        <v>0</v>
      </c>
    </row>
    <row r="27" spans="1:40">
      <c r="A27" s="879">
        <v>20</v>
      </c>
      <c r="B27" s="880" t="s">
        <v>111</v>
      </c>
      <c r="C27" s="970">
        <v>0</v>
      </c>
      <c r="D27" s="881">
        <f>'Table 3 Levels 1&amp;2'!AL27</f>
        <v>5420.2042919205833</v>
      </c>
      <c r="E27" s="920">
        <f t="shared" si="31"/>
        <v>0</v>
      </c>
      <c r="F27" s="920">
        <f>'Table 4 Level 3'!P25</f>
        <v>586.16999999999996</v>
      </c>
      <c r="G27" s="920">
        <f t="shared" si="32"/>
        <v>0</v>
      </c>
      <c r="H27" s="901">
        <f t="shared" si="33"/>
        <v>0</v>
      </c>
      <c r="I27" s="1733">
        <f>+'[3]Oct midyear Northshore Charter'!K26</f>
        <v>0</v>
      </c>
      <c r="J27" s="1733">
        <f>'[3]Feb midyear Northshore Charter'!K26</f>
        <v>0</v>
      </c>
      <c r="K27" s="1544">
        <f t="shared" si="34"/>
        <v>0</v>
      </c>
      <c r="L27" s="1487">
        <f t="shared" si="35"/>
        <v>0</v>
      </c>
      <c r="M27" s="930">
        <f t="shared" si="36"/>
        <v>0</v>
      </c>
      <c r="N27" s="901">
        <f t="shared" si="37"/>
        <v>0</v>
      </c>
      <c r="O27" s="881">
        <v>0</v>
      </c>
      <c r="P27" s="1551">
        <f t="shared" si="38"/>
        <v>0</v>
      </c>
      <c r="Q27" s="1804">
        <f>'[4]Table 5C1L-Northshore Charter'!M26+'[27]Table 5C1L-Northshore Charter'!T26+('[26]Table 5C1L-Northshore Charter'!T26*6)</f>
        <v>0</v>
      </c>
      <c r="R27" s="1733">
        <f t="shared" si="39"/>
        <v>0</v>
      </c>
      <c r="S27" s="1806">
        <f t="shared" si="40"/>
        <v>0</v>
      </c>
      <c r="T27" s="1807">
        <f>'Table 5C1A-Madison Prep'!T27</f>
        <v>2621</v>
      </c>
      <c r="U27" s="1556">
        <f t="shared" si="28"/>
        <v>0</v>
      </c>
      <c r="V27" s="1762">
        <f>+'[3]Oct midyear Northshore Charter'!E26</f>
        <v>0</v>
      </c>
      <c r="W27" s="1763">
        <f t="shared" si="41"/>
        <v>0</v>
      </c>
      <c r="X27" s="1762">
        <f>'[3]Feb midyear Northshore Charter'!E26</f>
        <v>0</v>
      </c>
      <c r="Y27" s="1763">
        <f t="shared" si="42"/>
        <v>0</v>
      </c>
      <c r="Z27" s="1654">
        <f t="shared" si="43"/>
        <v>0</v>
      </c>
      <c r="AA27" s="1488">
        <f t="shared" si="44"/>
        <v>0</v>
      </c>
      <c r="AB27" s="938">
        <f t="shared" si="45"/>
        <v>0</v>
      </c>
      <c r="AC27" s="903">
        <f t="shared" si="46"/>
        <v>0</v>
      </c>
      <c r="AD27" s="1831">
        <v>0</v>
      </c>
      <c r="AE27" s="903">
        <f t="shared" si="47"/>
        <v>0</v>
      </c>
      <c r="AF27" s="1837">
        <f>'[4]Table 5C1L-Northshore Charter'!T26+'[27]Table 5C1L-Northshore Charter'!AF26+('[26]Table 5C1L-Northshore Charter'!AF26*6)</f>
        <v>0</v>
      </c>
      <c r="AG27" s="1835">
        <f t="shared" si="48"/>
        <v>0</v>
      </c>
      <c r="AH27" s="1530">
        <f t="shared" si="49"/>
        <v>0</v>
      </c>
      <c r="AI27" s="904">
        <f t="shared" si="29"/>
        <v>0</v>
      </c>
      <c r="AJ27" s="904">
        <f t="shared" si="50"/>
        <v>0</v>
      </c>
      <c r="AL27" s="2034">
        <f>-'[4]Table 5C1L-Northshore Charter'!P26</f>
        <v>0</v>
      </c>
      <c r="AM27" s="2034">
        <f t="shared" si="30"/>
        <v>0</v>
      </c>
      <c r="AN27" s="2034">
        <f t="shared" si="51"/>
        <v>0</v>
      </c>
    </row>
    <row r="28" spans="1:40">
      <c r="A28" s="870">
        <v>21</v>
      </c>
      <c r="B28" s="871" t="s">
        <v>112</v>
      </c>
      <c r="C28" s="971">
        <v>0</v>
      </c>
      <c r="D28" s="872">
        <f>'Table 3 Levels 1&amp;2'!AL28</f>
        <v>5724.5404916279067</v>
      </c>
      <c r="E28" s="918">
        <f t="shared" si="31"/>
        <v>0</v>
      </c>
      <c r="F28" s="918">
        <f>'Table 4 Level 3'!P26</f>
        <v>610.35</v>
      </c>
      <c r="G28" s="918">
        <f t="shared" si="32"/>
        <v>0</v>
      </c>
      <c r="H28" s="873">
        <f t="shared" si="33"/>
        <v>0</v>
      </c>
      <c r="I28" s="1718">
        <f>+'[3]Oct midyear Northshore Charter'!K27</f>
        <v>0</v>
      </c>
      <c r="J28" s="1718">
        <f>'[3]Feb midyear Northshore Charter'!K27</f>
        <v>0</v>
      </c>
      <c r="K28" s="1542">
        <f t="shared" si="34"/>
        <v>0</v>
      </c>
      <c r="L28" s="1480">
        <f t="shared" si="35"/>
        <v>0</v>
      </c>
      <c r="M28" s="928">
        <f t="shared" si="36"/>
        <v>0</v>
      </c>
      <c r="N28" s="873">
        <f t="shared" si="37"/>
        <v>0</v>
      </c>
      <c r="O28" s="872">
        <v>0</v>
      </c>
      <c r="P28" s="998">
        <f t="shared" si="38"/>
        <v>0</v>
      </c>
      <c r="Q28" s="1718">
        <f>'[4]Table 5C1L-Northshore Charter'!M27+'[27]Table 5C1L-Northshore Charter'!T27+('[26]Table 5C1L-Northshore Charter'!T27*6)</f>
        <v>0</v>
      </c>
      <c r="R28" s="1718">
        <f t="shared" si="39"/>
        <v>0</v>
      </c>
      <c r="S28" s="998">
        <f t="shared" si="40"/>
        <v>0</v>
      </c>
      <c r="T28" s="1802">
        <f>'Table 5C1A-Madison Prep'!T28</f>
        <v>2445</v>
      </c>
      <c r="U28" s="999">
        <f t="shared" si="28"/>
        <v>0</v>
      </c>
      <c r="V28" s="1754">
        <f>+'[3]Oct midyear Northshore Charter'!E27</f>
        <v>0</v>
      </c>
      <c r="W28" s="1755">
        <f t="shared" si="41"/>
        <v>0</v>
      </c>
      <c r="X28" s="1754">
        <f>'[3]Feb midyear Northshore Charter'!E27</f>
        <v>0</v>
      </c>
      <c r="Y28" s="1755">
        <f t="shared" si="42"/>
        <v>0</v>
      </c>
      <c r="Z28" s="1652">
        <f t="shared" si="43"/>
        <v>0</v>
      </c>
      <c r="AA28" s="1481">
        <f t="shared" si="44"/>
        <v>0</v>
      </c>
      <c r="AB28" s="936">
        <f t="shared" si="45"/>
        <v>0</v>
      </c>
      <c r="AC28" s="874">
        <f t="shared" si="46"/>
        <v>0</v>
      </c>
      <c r="AD28" s="1829">
        <v>0</v>
      </c>
      <c r="AE28" s="874">
        <f t="shared" si="47"/>
        <v>0</v>
      </c>
      <c r="AF28" s="1829">
        <f>'[4]Table 5C1L-Northshore Charter'!T27+'[27]Table 5C1L-Northshore Charter'!AF27+('[26]Table 5C1L-Northshore Charter'!AF27*6)</f>
        <v>0</v>
      </c>
      <c r="AG28" s="1829">
        <f t="shared" si="48"/>
        <v>0</v>
      </c>
      <c r="AH28" s="1521">
        <f t="shared" si="49"/>
        <v>0</v>
      </c>
      <c r="AI28" s="875">
        <f t="shared" si="29"/>
        <v>0</v>
      </c>
      <c r="AJ28" s="875">
        <f t="shared" si="50"/>
        <v>0</v>
      </c>
      <c r="AL28" s="2034">
        <f>-'[4]Table 5C1L-Northshore Charter'!P27</f>
        <v>0</v>
      </c>
      <c r="AM28" s="2034">
        <f t="shared" si="30"/>
        <v>0</v>
      </c>
      <c r="AN28" s="2034">
        <f t="shared" si="51"/>
        <v>0</v>
      </c>
    </row>
    <row r="29" spans="1:40">
      <c r="A29" s="876">
        <v>22</v>
      </c>
      <c r="B29" s="877" t="s">
        <v>113</v>
      </c>
      <c r="C29" s="969">
        <v>0</v>
      </c>
      <c r="D29" s="878">
        <f>'Table 3 Levels 1&amp;2'!AL29</f>
        <v>6203.2933768722742</v>
      </c>
      <c r="E29" s="919">
        <f t="shared" si="31"/>
        <v>0</v>
      </c>
      <c r="F29" s="919">
        <f>'Table 4 Level 3'!P27</f>
        <v>496.36</v>
      </c>
      <c r="G29" s="919">
        <f t="shared" si="32"/>
        <v>0</v>
      </c>
      <c r="H29" s="898">
        <f t="shared" si="33"/>
        <v>0</v>
      </c>
      <c r="I29" s="1732">
        <f>+'[3]Oct midyear Northshore Charter'!K28</f>
        <v>0</v>
      </c>
      <c r="J29" s="1732">
        <f>'[3]Feb midyear Northshore Charter'!K28</f>
        <v>0</v>
      </c>
      <c r="K29" s="1543">
        <f t="shared" si="34"/>
        <v>0</v>
      </c>
      <c r="L29" s="1485">
        <f t="shared" si="35"/>
        <v>0</v>
      </c>
      <c r="M29" s="929">
        <f t="shared" si="36"/>
        <v>0</v>
      </c>
      <c r="N29" s="898">
        <f t="shared" si="37"/>
        <v>0</v>
      </c>
      <c r="O29" s="878">
        <v>0</v>
      </c>
      <c r="P29" s="1550">
        <f t="shared" si="38"/>
        <v>0</v>
      </c>
      <c r="Q29" s="1718">
        <f>'[4]Table 5C1L-Northshore Charter'!M28+'[27]Table 5C1L-Northshore Charter'!T28+('[26]Table 5C1L-Northshore Charter'!T28*6)</f>
        <v>0</v>
      </c>
      <c r="R29" s="1732">
        <f t="shared" si="39"/>
        <v>0</v>
      </c>
      <c r="S29" s="998">
        <f t="shared" si="40"/>
        <v>0</v>
      </c>
      <c r="T29" s="1802">
        <f>'Table 5C1A-Madison Prep'!T29</f>
        <v>1519</v>
      </c>
      <c r="U29" s="1555">
        <f t="shared" si="28"/>
        <v>0</v>
      </c>
      <c r="V29" s="1758">
        <f>+'[3]Oct midyear Northshore Charter'!E28</f>
        <v>0</v>
      </c>
      <c r="W29" s="1759">
        <f t="shared" si="41"/>
        <v>0</v>
      </c>
      <c r="X29" s="1758">
        <f>'[3]Feb midyear Northshore Charter'!E28</f>
        <v>0</v>
      </c>
      <c r="Y29" s="1759">
        <f t="shared" si="42"/>
        <v>0</v>
      </c>
      <c r="Z29" s="1653">
        <f t="shared" si="43"/>
        <v>0</v>
      </c>
      <c r="AA29" s="1486">
        <f t="shared" si="44"/>
        <v>0</v>
      </c>
      <c r="AB29" s="937">
        <f t="shared" si="45"/>
        <v>0</v>
      </c>
      <c r="AC29" s="899">
        <f t="shared" si="46"/>
        <v>0</v>
      </c>
      <c r="AD29" s="1830">
        <v>0</v>
      </c>
      <c r="AE29" s="899">
        <f t="shared" si="47"/>
        <v>0</v>
      </c>
      <c r="AF29" s="1829">
        <f>'[4]Table 5C1L-Northshore Charter'!T28+'[27]Table 5C1L-Northshore Charter'!AF28+('[26]Table 5C1L-Northshore Charter'!AF28*6)</f>
        <v>0</v>
      </c>
      <c r="AG29" s="1834">
        <f t="shared" si="48"/>
        <v>0</v>
      </c>
      <c r="AH29" s="1521">
        <f t="shared" si="49"/>
        <v>0</v>
      </c>
      <c r="AI29" s="900">
        <f t="shared" si="29"/>
        <v>0</v>
      </c>
      <c r="AJ29" s="900">
        <f t="shared" si="50"/>
        <v>0</v>
      </c>
      <c r="AL29" s="2034">
        <f>-'[4]Table 5C1L-Northshore Charter'!P28</f>
        <v>0</v>
      </c>
      <c r="AM29" s="2034">
        <f t="shared" si="30"/>
        <v>0</v>
      </c>
      <c r="AN29" s="2034">
        <f t="shared" si="51"/>
        <v>0</v>
      </c>
    </row>
    <row r="30" spans="1:40">
      <c r="A30" s="876">
        <v>23</v>
      </c>
      <c r="B30" s="877" t="s">
        <v>114</v>
      </c>
      <c r="C30" s="969">
        <v>0</v>
      </c>
      <c r="D30" s="878">
        <f>'Table 3 Levels 1&amp;2'!AL30</f>
        <v>4846.0802490067681</v>
      </c>
      <c r="E30" s="919">
        <f t="shared" si="31"/>
        <v>0</v>
      </c>
      <c r="F30" s="919">
        <f>'Table 4 Level 3'!P28</f>
        <v>688.58</v>
      </c>
      <c r="G30" s="919">
        <f t="shared" si="32"/>
        <v>0</v>
      </c>
      <c r="H30" s="898">
        <f t="shared" si="33"/>
        <v>0</v>
      </c>
      <c r="I30" s="1732">
        <f>+'[3]Oct midyear Northshore Charter'!K29</f>
        <v>0</v>
      </c>
      <c r="J30" s="1732">
        <f>'[3]Feb midyear Northshore Charter'!K29</f>
        <v>0</v>
      </c>
      <c r="K30" s="1543">
        <f t="shared" si="34"/>
        <v>0</v>
      </c>
      <c r="L30" s="1485">
        <f t="shared" si="35"/>
        <v>0</v>
      </c>
      <c r="M30" s="929">
        <f t="shared" si="36"/>
        <v>0</v>
      </c>
      <c r="N30" s="898">
        <f t="shared" si="37"/>
        <v>0</v>
      </c>
      <c r="O30" s="878">
        <v>0</v>
      </c>
      <c r="P30" s="1550">
        <f t="shared" si="38"/>
        <v>0</v>
      </c>
      <c r="Q30" s="1718">
        <f>'[4]Table 5C1L-Northshore Charter'!M29+'[27]Table 5C1L-Northshore Charter'!T29+('[26]Table 5C1L-Northshore Charter'!T29*6)</f>
        <v>0</v>
      </c>
      <c r="R30" s="1732">
        <f t="shared" si="39"/>
        <v>0</v>
      </c>
      <c r="S30" s="998">
        <f t="shared" si="40"/>
        <v>0</v>
      </c>
      <c r="T30" s="1802">
        <f>'Table 5C1A-Madison Prep'!T30</f>
        <v>3365</v>
      </c>
      <c r="U30" s="1555">
        <f t="shared" si="28"/>
        <v>0</v>
      </c>
      <c r="V30" s="1758">
        <f>+'[3]Oct midyear Northshore Charter'!E29</f>
        <v>0</v>
      </c>
      <c r="W30" s="1759">
        <f t="shared" si="41"/>
        <v>0</v>
      </c>
      <c r="X30" s="1758">
        <f>'[3]Feb midyear Northshore Charter'!E29</f>
        <v>0</v>
      </c>
      <c r="Y30" s="1759">
        <f t="shared" si="42"/>
        <v>0</v>
      </c>
      <c r="Z30" s="1653">
        <f t="shared" si="43"/>
        <v>0</v>
      </c>
      <c r="AA30" s="1486">
        <f t="shared" si="44"/>
        <v>0</v>
      </c>
      <c r="AB30" s="937">
        <f t="shared" si="45"/>
        <v>0</v>
      </c>
      <c r="AC30" s="899">
        <f t="shared" si="46"/>
        <v>0</v>
      </c>
      <c r="AD30" s="1830">
        <v>0</v>
      </c>
      <c r="AE30" s="899">
        <f t="shared" si="47"/>
        <v>0</v>
      </c>
      <c r="AF30" s="1829">
        <f>'[4]Table 5C1L-Northshore Charter'!T29+'[27]Table 5C1L-Northshore Charter'!AF29+('[26]Table 5C1L-Northshore Charter'!AF29*6)</f>
        <v>0</v>
      </c>
      <c r="AG30" s="1834">
        <f t="shared" si="48"/>
        <v>0</v>
      </c>
      <c r="AH30" s="1521">
        <f t="shared" si="49"/>
        <v>0</v>
      </c>
      <c r="AI30" s="900">
        <f t="shared" si="29"/>
        <v>0</v>
      </c>
      <c r="AJ30" s="900">
        <f t="shared" si="50"/>
        <v>0</v>
      </c>
      <c r="AL30" s="2034">
        <f>-'[4]Table 5C1L-Northshore Charter'!P29</f>
        <v>0</v>
      </c>
      <c r="AM30" s="2034">
        <f t="shared" si="30"/>
        <v>0</v>
      </c>
      <c r="AN30" s="2034">
        <f t="shared" si="51"/>
        <v>0</v>
      </c>
    </row>
    <row r="31" spans="1:40">
      <c r="A31" s="876">
        <v>24</v>
      </c>
      <c r="B31" s="877" t="s">
        <v>115</v>
      </c>
      <c r="C31" s="969">
        <v>0</v>
      </c>
      <c r="D31" s="878">
        <f>'Table 3 Levels 1&amp;2'!AL31</f>
        <v>2764.1216755319151</v>
      </c>
      <c r="E31" s="919">
        <f t="shared" si="31"/>
        <v>0</v>
      </c>
      <c r="F31" s="919">
        <f>'Table 4 Level 3'!P29</f>
        <v>854.24999999999989</v>
      </c>
      <c r="G31" s="919">
        <f t="shared" si="32"/>
        <v>0</v>
      </c>
      <c r="H31" s="898">
        <f t="shared" si="33"/>
        <v>0</v>
      </c>
      <c r="I31" s="1732">
        <f>+'[3]Oct midyear Northshore Charter'!K30</f>
        <v>0</v>
      </c>
      <c r="J31" s="1732">
        <f>'[3]Feb midyear Northshore Charter'!K30</f>
        <v>0</v>
      </c>
      <c r="K31" s="1543">
        <f t="shared" si="34"/>
        <v>0</v>
      </c>
      <c r="L31" s="1485">
        <f t="shared" si="35"/>
        <v>0</v>
      </c>
      <c r="M31" s="929">
        <f t="shared" si="36"/>
        <v>0</v>
      </c>
      <c r="N31" s="898">
        <f t="shared" si="37"/>
        <v>0</v>
      </c>
      <c r="O31" s="878">
        <v>0</v>
      </c>
      <c r="P31" s="1550">
        <f t="shared" si="38"/>
        <v>0</v>
      </c>
      <c r="Q31" s="1718">
        <f>'[4]Table 5C1L-Northshore Charter'!M30+'[27]Table 5C1L-Northshore Charter'!T30+('[26]Table 5C1L-Northshore Charter'!T30*6)</f>
        <v>0</v>
      </c>
      <c r="R31" s="1732">
        <f t="shared" si="39"/>
        <v>0</v>
      </c>
      <c r="S31" s="998">
        <f t="shared" si="40"/>
        <v>0</v>
      </c>
      <c r="T31" s="1802">
        <f>'Table 5C1A-Madison Prep'!T31</f>
        <v>10907</v>
      </c>
      <c r="U31" s="1555">
        <f t="shared" si="28"/>
        <v>0</v>
      </c>
      <c r="V31" s="1758">
        <f>+'[3]Oct midyear Northshore Charter'!E30</f>
        <v>0</v>
      </c>
      <c r="W31" s="1759">
        <f t="shared" si="41"/>
        <v>0</v>
      </c>
      <c r="X31" s="1758">
        <f>'[3]Feb midyear Northshore Charter'!E30</f>
        <v>0</v>
      </c>
      <c r="Y31" s="1759">
        <f t="shared" si="42"/>
        <v>0</v>
      </c>
      <c r="Z31" s="1653">
        <f t="shared" si="43"/>
        <v>0</v>
      </c>
      <c r="AA31" s="1486">
        <f t="shared" si="44"/>
        <v>0</v>
      </c>
      <c r="AB31" s="937">
        <f t="shared" si="45"/>
        <v>0</v>
      </c>
      <c r="AC31" s="899">
        <f t="shared" si="46"/>
        <v>0</v>
      </c>
      <c r="AD31" s="1830">
        <v>0</v>
      </c>
      <c r="AE31" s="899">
        <f t="shared" si="47"/>
        <v>0</v>
      </c>
      <c r="AF31" s="1829">
        <f>'[4]Table 5C1L-Northshore Charter'!T30+'[27]Table 5C1L-Northshore Charter'!AF30+('[26]Table 5C1L-Northshore Charter'!AF30*6)</f>
        <v>0</v>
      </c>
      <c r="AG31" s="1834">
        <f t="shared" si="48"/>
        <v>0</v>
      </c>
      <c r="AH31" s="1521">
        <f t="shared" si="49"/>
        <v>0</v>
      </c>
      <c r="AI31" s="900">
        <f t="shared" si="29"/>
        <v>0</v>
      </c>
      <c r="AJ31" s="900">
        <f t="shared" si="50"/>
        <v>0</v>
      </c>
      <c r="AL31" s="2034">
        <f>-'[4]Table 5C1L-Northshore Charter'!P30</f>
        <v>0</v>
      </c>
      <c r="AM31" s="2034">
        <f t="shared" si="30"/>
        <v>0</v>
      </c>
      <c r="AN31" s="2034">
        <f t="shared" si="51"/>
        <v>0</v>
      </c>
    </row>
    <row r="32" spans="1:40">
      <c r="A32" s="879">
        <v>25</v>
      </c>
      <c r="B32" s="880" t="s">
        <v>116</v>
      </c>
      <c r="C32" s="970">
        <v>0</v>
      </c>
      <c r="D32" s="881">
        <f>'Table 3 Levels 1&amp;2'!AL32</f>
        <v>3867.4480692053257</v>
      </c>
      <c r="E32" s="920">
        <f t="shared" si="31"/>
        <v>0</v>
      </c>
      <c r="F32" s="920">
        <f>'Table 4 Level 3'!P30</f>
        <v>653.73</v>
      </c>
      <c r="G32" s="920">
        <f t="shared" si="32"/>
        <v>0</v>
      </c>
      <c r="H32" s="901">
        <f t="shared" si="33"/>
        <v>0</v>
      </c>
      <c r="I32" s="1733">
        <f>+'[3]Oct midyear Northshore Charter'!K31</f>
        <v>0</v>
      </c>
      <c r="J32" s="1733">
        <f>'[3]Feb midyear Northshore Charter'!K31</f>
        <v>0</v>
      </c>
      <c r="K32" s="1544">
        <f t="shared" si="34"/>
        <v>0</v>
      </c>
      <c r="L32" s="1487">
        <f t="shared" si="35"/>
        <v>0</v>
      </c>
      <c r="M32" s="930">
        <f t="shared" si="36"/>
        <v>0</v>
      </c>
      <c r="N32" s="901">
        <f t="shared" si="37"/>
        <v>0</v>
      </c>
      <c r="O32" s="881">
        <v>0</v>
      </c>
      <c r="P32" s="1551">
        <f t="shared" si="38"/>
        <v>0</v>
      </c>
      <c r="Q32" s="1804">
        <f>'[4]Table 5C1L-Northshore Charter'!M31+'[27]Table 5C1L-Northshore Charter'!T31+('[26]Table 5C1L-Northshore Charter'!T31*6)</f>
        <v>0</v>
      </c>
      <c r="R32" s="1733">
        <f t="shared" si="39"/>
        <v>0</v>
      </c>
      <c r="S32" s="1806">
        <f t="shared" si="40"/>
        <v>0</v>
      </c>
      <c r="T32" s="1807">
        <f>'Table 5C1A-Madison Prep'!T32</f>
        <v>5156</v>
      </c>
      <c r="U32" s="1556">
        <f t="shared" si="28"/>
        <v>0</v>
      </c>
      <c r="V32" s="1762">
        <f>+'[3]Oct midyear Northshore Charter'!E31</f>
        <v>0</v>
      </c>
      <c r="W32" s="1763">
        <f t="shared" si="41"/>
        <v>0</v>
      </c>
      <c r="X32" s="1762">
        <f>'[3]Feb midyear Northshore Charter'!E31</f>
        <v>0</v>
      </c>
      <c r="Y32" s="1763">
        <f t="shared" si="42"/>
        <v>0</v>
      </c>
      <c r="Z32" s="1654">
        <f t="shared" si="43"/>
        <v>0</v>
      </c>
      <c r="AA32" s="1488">
        <f t="shared" si="44"/>
        <v>0</v>
      </c>
      <c r="AB32" s="938">
        <f t="shared" si="45"/>
        <v>0</v>
      </c>
      <c r="AC32" s="903">
        <f t="shared" si="46"/>
        <v>0</v>
      </c>
      <c r="AD32" s="1831">
        <v>0</v>
      </c>
      <c r="AE32" s="903">
        <f t="shared" si="47"/>
        <v>0</v>
      </c>
      <c r="AF32" s="1837">
        <f>'[4]Table 5C1L-Northshore Charter'!T31+'[27]Table 5C1L-Northshore Charter'!AF31+('[26]Table 5C1L-Northshore Charter'!AF31*6)</f>
        <v>0</v>
      </c>
      <c r="AG32" s="1835">
        <f t="shared" si="48"/>
        <v>0</v>
      </c>
      <c r="AH32" s="1530">
        <f t="shared" si="49"/>
        <v>0</v>
      </c>
      <c r="AI32" s="904">
        <f t="shared" si="29"/>
        <v>0</v>
      </c>
      <c r="AJ32" s="904">
        <f t="shared" si="50"/>
        <v>0</v>
      </c>
      <c r="AL32" s="2034">
        <f>-'[4]Table 5C1L-Northshore Charter'!P31</f>
        <v>0</v>
      </c>
      <c r="AM32" s="2034">
        <f t="shared" si="30"/>
        <v>0</v>
      </c>
      <c r="AN32" s="2034">
        <f t="shared" si="51"/>
        <v>0</v>
      </c>
    </row>
    <row r="33" spans="1:40">
      <c r="A33" s="870">
        <v>26</v>
      </c>
      <c r="B33" s="871" t="s">
        <v>117</v>
      </c>
      <c r="C33" s="971">
        <v>0</v>
      </c>
      <c r="D33" s="872">
        <f>'Table 3 Levels 1&amp;2'!AL33</f>
        <v>3293.481526790355</v>
      </c>
      <c r="E33" s="918">
        <f t="shared" si="31"/>
        <v>0</v>
      </c>
      <c r="F33" s="918">
        <f>'Table 4 Level 3'!P31</f>
        <v>836.83</v>
      </c>
      <c r="G33" s="918">
        <f t="shared" si="32"/>
        <v>0</v>
      </c>
      <c r="H33" s="873">
        <f t="shared" si="33"/>
        <v>0</v>
      </c>
      <c r="I33" s="1718">
        <f>+'[3]Oct midyear Northshore Charter'!K32</f>
        <v>0</v>
      </c>
      <c r="J33" s="1718">
        <f>'[3]Feb midyear Northshore Charter'!K32</f>
        <v>0</v>
      </c>
      <c r="K33" s="1542">
        <f t="shared" si="34"/>
        <v>0</v>
      </c>
      <c r="L33" s="1480">
        <f t="shared" si="35"/>
        <v>0</v>
      </c>
      <c r="M33" s="928">
        <f t="shared" si="36"/>
        <v>0</v>
      </c>
      <c r="N33" s="873">
        <f t="shared" si="37"/>
        <v>0</v>
      </c>
      <c r="O33" s="872">
        <v>0</v>
      </c>
      <c r="P33" s="998">
        <f t="shared" si="38"/>
        <v>0</v>
      </c>
      <c r="Q33" s="1718">
        <f>'[4]Table 5C1L-Northshore Charter'!M32+'[27]Table 5C1L-Northshore Charter'!T32+('[26]Table 5C1L-Northshore Charter'!T32*6)</f>
        <v>0</v>
      </c>
      <c r="R33" s="1718">
        <f t="shared" si="39"/>
        <v>0</v>
      </c>
      <c r="S33" s="998">
        <f t="shared" si="40"/>
        <v>0</v>
      </c>
      <c r="T33" s="1802">
        <f>'Table 5C1A-Madison Prep'!T33</f>
        <v>5344</v>
      </c>
      <c r="U33" s="999">
        <f t="shared" si="28"/>
        <v>0</v>
      </c>
      <c r="V33" s="1754">
        <f>+'[3]Oct midyear Northshore Charter'!E32</f>
        <v>0</v>
      </c>
      <c r="W33" s="1755">
        <f t="shared" si="41"/>
        <v>0</v>
      </c>
      <c r="X33" s="1754">
        <f>'[3]Feb midyear Northshore Charter'!E32</f>
        <v>0</v>
      </c>
      <c r="Y33" s="1755">
        <f t="shared" si="42"/>
        <v>0</v>
      </c>
      <c r="Z33" s="1652">
        <f t="shared" si="43"/>
        <v>0</v>
      </c>
      <c r="AA33" s="1481">
        <f t="shared" si="44"/>
        <v>0</v>
      </c>
      <c r="AB33" s="936">
        <f t="shared" si="45"/>
        <v>0</v>
      </c>
      <c r="AC33" s="874">
        <f t="shared" si="46"/>
        <v>0</v>
      </c>
      <c r="AD33" s="1829">
        <v>0</v>
      </c>
      <c r="AE33" s="874">
        <f t="shared" si="47"/>
        <v>0</v>
      </c>
      <c r="AF33" s="1829">
        <f>'[4]Table 5C1L-Northshore Charter'!T32+'[27]Table 5C1L-Northshore Charter'!AF32+('[26]Table 5C1L-Northshore Charter'!AF32*6)</f>
        <v>0</v>
      </c>
      <c r="AG33" s="1829">
        <f t="shared" si="48"/>
        <v>0</v>
      </c>
      <c r="AH33" s="1521">
        <f t="shared" si="49"/>
        <v>0</v>
      </c>
      <c r="AI33" s="875">
        <f t="shared" si="29"/>
        <v>0</v>
      </c>
      <c r="AJ33" s="875">
        <f t="shared" si="50"/>
        <v>0</v>
      </c>
      <c r="AL33" s="2034">
        <f>-'[4]Table 5C1L-Northshore Charter'!P32</f>
        <v>0</v>
      </c>
      <c r="AM33" s="2034">
        <f t="shared" si="30"/>
        <v>0</v>
      </c>
      <c r="AN33" s="2034">
        <f t="shared" si="51"/>
        <v>0</v>
      </c>
    </row>
    <row r="34" spans="1:40">
      <c r="A34" s="876">
        <v>27</v>
      </c>
      <c r="B34" s="877" t="s">
        <v>118</v>
      </c>
      <c r="C34" s="972">
        <v>0</v>
      </c>
      <c r="D34" s="882">
        <f>'Table 3 Levels 1&amp;2'!AL34</f>
        <v>5680.7727517381973</v>
      </c>
      <c r="E34" s="921">
        <f t="shared" si="31"/>
        <v>0</v>
      </c>
      <c r="F34" s="921">
        <f>'Table 4 Level 3'!P32</f>
        <v>693.06</v>
      </c>
      <c r="G34" s="921">
        <f t="shared" si="32"/>
        <v>0</v>
      </c>
      <c r="H34" s="905">
        <f t="shared" si="33"/>
        <v>0</v>
      </c>
      <c r="I34" s="1734">
        <f>+'[3]Oct midyear Northshore Charter'!K33</f>
        <v>0</v>
      </c>
      <c r="J34" s="1734">
        <f>'[3]Feb midyear Northshore Charter'!K33</f>
        <v>0</v>
      </c>
      <c r="K34" s="1545">
        <f t="shared" si="34"/>
        <v>0</v>
      </c>
      <c r="L34" s="1489">
        <f t="shared" si="35"/>
        <v>0</v>
      </c>
      <c r="M34" s="931">
        <f t="shared" si="36"/>
        <v>0</v>
      </c>
      <c r="N34" s="905">
        <f t="shared" si="37"/>
        <v>0</v>
      </c>
      <c r="O34" s="882">
        <v>0</v>
      </c>
      <c r="P34" s="1552">
        <f t="shared" si="38"/>
        <v>0</v>
      </c>
      <c r="Q34" s="1718">
        <f>'[4]Table 5C1L-Northshore Charter'!M33+'[27]Table 5C1L-Northshore Charter'!T33+('[26]Table 5C1L-Northshore Charter'!T33*6)</f>
        <v>0</v>
      </c>
      <c r="R34" s="1734">
        <f t="shared" si="39"/>
        <v>0</v>
      </c>
      <c r="S34" s="998">
        <f t="shared" si="40"/>
        <v>0</v>
      </c>
      <c r="T34" s="1802">
        <f>'Table 5C1A-Madison Prep'!T34</f>
        <v>3271</v>
      </c>
      <c r="U34" s="1555">
        <f t="shared" si="28"/>
        <v>0</v>
      </c>
      <c r="V34" s="1758">
        <f>+'[3]Oct midyear Northshore Charter'!E33</f>
        <v>0</v>
      </c>
      <c r="W34" s="1759">
        <f t="shared" si="41"/>
        <v>0</v>
      </c>
      <c r="X34" s="1758">
        <f>'[3]Feb midyear Northshore Charter'!E33</f>
        <v>0</v>
      </c>
      <c r="Y34" s="1759">
        <f t="shared" si="42"/>
        <v>0</v>
      </c>
      <c r="Z34" s="1653">
        <f t="shared" si="43"/>
        <v>0</v>
      </c>
      <c r="AA34" s="1486">
        <f t="shared" si="44"/>
        <v>0</v>
      </c>
      <c r="AB34" s="937">
        <f t="shared" si="45"/>
        <v>0</v>
      </c>
      <c r="AC34" s="899">
        <f t="shared" si="46"/>
        <v>0</v>
      </c>
      <c r="AD34" s="1830">
        <v>0</v>
      </c>
      <c r="AE34" s="899">
        <f t="shared" si="47"/>
        <v>0</v>
      </c>
      <c r="AF34" s="1829">
        <f>'[4]Table 5C1L-Northshore Charter'!T33+'[27]Table 5C1L-Northshore Charter'!AF33+('[26]Table 5C1L-Northshore Charter'!AF33*6)</f>
        <v>0</v>
      </c>
      <c r="AG34" s="1834">
        <f t="shared" si="48"/>
        <v>0</v>
      </c>
      <c r="AH34" s="1521">
        <f t="shared" si="49"/>
        <v>0</v>
      </c>
      <c r="AI34" s="900">
        <f t="shared" si="29"/>
        <v>0</v>
      </c>
      <c r="AJ34" s="900">
        <f t="shared" si="50"/>
        <v>0</v>
      </c>
      <c r="AL34" s="2034">
        <f>-'[4]Table 5C1L-Northshore Charter'!P33</f>
        <v>0</v>
      </c>
      <c r="AM34" s="2034">
        <f t="shared" si="30"/>
        <v>0</v>
      </c>
      <c r="AN34" s="2034">
        <f t="shared" si="51"/>
        <v>0</v>
      </c>
    </row>
    <row r="35" spans="1:40">
      <c r="A35" s="876">
        <v>28</v>
      </c>
      <c r="B35" s="877" t="s">
        <v>119</v>
      </c>
      <c r="C35" s="972">
        <v>0</v>
      </c>
      <c r="D35" s="882">
        <f>'Table 3 Levels 1&amp;2'!AL35</f>
        <v>3163.1694438483169</v>
      </c>
      <c r="E35" s="921">
        <f t="shared" si="31"/>
        <v>0</v>
      </c>
      <c r="F35" s="921">
        <f>'Table 4 Level 3'!P33</f>
        <v>694.4</v>
      </c>
      <c r="G35" s="921">
        <f t="shared" si="32"/>
        <v>0</v>
      </c>
      <c r="H35" s="905">
        <f t="shared" si="33"/>
        <v>0</v>
      </c>
      <c r="I35" s="1734">
        <f>+'[3]Oct midyear Northshore Charter'!K34</f>
        <v>0</v>
      </c>
      <c r="J35" s="1734">
        <f>'[3]Feb midyear Northshore Charter'!K34</f>
        <v>0</v>
      </c>
      <c r="K35" s="1545">
        <f t="shared" si="34"/>
        <v>0</v>
      </c>
      <c r="L35" s="1489">
        <f t="shared" si="35"/>
        <v>0</v>
      </c>
      <c r="M35" s="931">
        <f t="shared" si="36"/>
        <v>0</v>
      </c>
      <c r="N35" s="905">
        <f t="shared" si="37"/>
        <v>0</v>
      </c>
      <c r="O35" s="882">
        <v>0</v>
      </c>
      <c r="P35" s="1552">
        <f t="shared" si="38"/>
        <v>0</v>
      </c>
      <c r="Q35" s="1718">
        <f>'[4]Table 5C1L-Northshore Charter'!M34+'[27]Table 5C1L-Northshore Charter'!T34+('[26]Table 5C1L-Northshore Charter'!T34*6)</f>
        <v>0</v>
      </c>
      <c r="R35" s="1734">
        <f t="shared" si="39"/>
        <v>0</v>
      </c>
      <c r="S35" s="998">
        <f t="shared" si="40"/>
        <v>0</v>
      </c>
      <c r="T35" s="1802">
        <f>'Table 5C1A-Madison Prep'!T35</f>
        <v>5647</v>
      </c>
      <c r="U35" s="1555">
        <f t="shared" si="28"/>
        <v>0</v>
      </c>
      <c r="V35" s="1758">
        <f>+'[3]Oct midyear Northshore Charter'!E34</f>
        <v>0</v>
      </c>
      <c r="W35" s="1759">
        <f t="shared" si="41"/>
        <v>0</v>
      </c>
      <c r="X35" s="1758">
        <f>'[3]Feb midyear Northshore Charter'!E34</f>
        <v>0</v>
      </c>
      <c r="Y35" s="1759">
        <f t="shared" si="42"/>
        <v>0</v>
      </c>
      <c r="Z35" s="1653">
        <f t="shared" si="43"/>
        <v>0</v>
      </c>
      <c r="AA35" s="1486">
        <f t="shared" si="44"/>
        <v>0</v>
      </c>
      <c r="AB35" s="937">
        <f t="shared" si="45"/>
        <v>0</v>
      </c>
      <c r="AC35" s="899">
        <f t="shared" si="46"/>
        <v>0</v>
      </c>
      <c r="AD35" s="1830">
        <v>0</v>
      </c>
      <c r="AE35" s="899">
        <f t="shared" si="47"/>
        <v>0</v>
      </c>
      <c r="AF35" s="1829">
        <f>'[4]Table 5C1L-Northshore Charter'!T34+'[27]Table 5C1L-Northshore Charter'!AF34+('[26]Table 5C1L-Northshore Charter'!AF34*6)</f>
        <v>0</v>
      </c>
      <c r="AG35" s="1834">
        <f t="shared" si="48"/>
        <v>0</v>
      </c>
      <c r="AH35" s="1521">
        <f t="shared" si="49"/>
        <v>0</v>
      </c>
      <c r="AI35" s="900">
        <f t="shared" si="29"/>
        <v>0</v>
      </c>
      <c r="AJ35" s="900">
        <f t="shared" si="50"/>
        <v>0</v>
      </c>
      <c r="AL35" s="2034">
        <f>-'[4]Table 5C1L-Northshore Charter'!P34</f>
        <v>0</v>
      </c>
      <c r="AM35" s="2034">
        <f t="shared" si="30"/>
        <v>0</v>
      </c>
      <c r="AN35" s="2034">
        <f t="shared" si="51"/>
        <v>0</v>
      </c>
    </row>
    <row r="36" spans="1:40">
      <c r="A36" s="876">
        <v>29</v>
      </c>
      <c r="B36" s="877" t="s">
        <v>120</v>
      </c>
      <c r="C36" s="972">
        <v>0</v>
      </c>
      <c r="D36" s="882">
        <f>'Table 3 Levels 1&amp;2'!AL36</f>
        <v>3952.5586133052648</v>
      </c>
      <c r="E36" s="921">
        <f t="shared" si="31"/>
        <v>0</v>
      </c>
      <c r="F36" s="921">
        <f>'Table 4 Level 3'!P34</f>
        <v>754.94999999999993</v>
      </c>
      <c r="G36" s="921">
        <f t="shared" si="32"/>
        <v>0</v>
      </c>
      <c r="H36" s="905">
        <f t="shared" si="33"/>
        <v>0</v>
      </c>
      <c r="I36" s="1734">
        <f>+'[3]Oct midyear Northshore Charter'!K35</f>
        <v>0</v>
      </c>
      <c r="J36" s="1734">
        <f>'[3]Feb midyear Northshore Charter'!K35</f>
        <v>0</v>
      </c>
      <c r="K36" s="1545">
        <f t="shared" si="34"/>
        <v>0</v>
      </c>
      <c r="L36" s="1489">
        <f t="shared" si="35"/>
        <v>0</v>
      </c>
      <c r="M36" s="931">
        <f t="shared" si="36"/>
        <v>0</v>
      </c>
      <c r="N36" s="905">
        <f t="shared" si="37"/>
        <v>0</v>
      </c>
      <c r="O36" s="882">
        <v>0</v>
      </c>
      <c r="P36" s="1552">
        <f t="shared" si="38"/>
        <v>0</v>
      </c>
      <c r="Q36" s="1718">
        <f>'[4]Table 5C1L-Northshore Charter'!M35+'[27]Table 5C1L-Northshore Charter'!T35+('[26]Table 5C1L-Northshore Charter'!T35*6)</f>
        <v>0</v>
      </c>
      <c r="R36" s="1734">
        <f t="shared" si="39"/>
        <v>0</v>
      </c>
      <c r="S36" s="998">
        <f t="shared" si="40"/>
        <v>0</v>
      </c>
      <c r="T36" s="1802">
        <f>'Table 5C1A-Madison Prep'!T36</f>
        <v>4826</v>
      </c>
      <c r="U36" s="1555">
        <f t="shared" si="28"/>
        <v>0</v>
      </c>
      <c r="V36" s="1758">
        <f>+'[3]Oct midyear Northshore Charter'!E35</f>
        <v>0</v>
      </c>
      <c r="W36" s="1759">
        <f t="shared" si="41"/>
        <v>0</v>
      </c>
      <c r="X36" s="1758">
        <f>'[3]Feb midyear Northshore Charter'!E35</f>
        <v>0</v>
      </c>
      <c r="Y36" s="1759">
        <f t="shared" si="42"/>
        <v>0</v>
      </c>
      <c r="Z36" s="1653">
        <f t="shared" si="43"/>
        <v>0</v>
      </c>
      <c r="AA36" s="1486">
        <f t="shared" si="44"/>
        <v>0</v>
      </c>
      <c r="AB36" s="937">
        <f t="shared" si="45"/>
        <v>0</v>
      </c>
      <c r="AC36" s="899">
        <f t="shared" si="46"/>
        <v>0</v>
      </c>
      <c r="AD36" s="1830">
        <v>0</v>
      </c>
      <c r="AE36" s="899">
        <f t="shared" si="47"/>
        <v>0</v>
      </c>
      <c r="AF36" s="1829">
        <f>'[4]Table 5C1L-Northshore Charter'!T35+'[27]Table 5C1L-Northshore Charter'!AF35+('[26]Table 5C1L-Northshore Charter'!AF35*6)</f>
        <v>0</v>
      </c>
      <c r="AG36" s="1834">
        <f t="shared" si="48"/>
        <v>0</v>
      </c>
      <c r="AH36" s="1521">
        <f t="shared" si="49"/>
        <v>0</v>
      </c>
      <c r="AI36" s="900">
        <f t="shared" si="29"/>
        <v>0</v>
      </c>
      <c r="AJ36" s="900">
        <f t="shared" si="50"/>
        <v>0</v>
      </c>
      <c r="AL36" s="2034">
        <f>-'[4]Table 5C1L-Northshore Charter'!P35</f>
        <v>0</v>
      </c>
      <c r="AM36" s="2034">
        <f t="shared" si="30"/>
        <v>0</v>
      </c>
      <c r="AN36" s="2034">
        <f t="shared" si="51"/>
        <v>0</v>
      </c>
    </row>
    <row r="37" spans="1:40">
      <c r="A37" s="879">
        <v>30</v>
      </c>
      <c r="B37" s="880" t="s">
        <v>121</v>
      </c>
      <c r="C37" s="973">
        <v>0</v>
      </c>
      <c r="D37" s="883">
        <f>'Table 3 Levels 1&amp;2'!AL37</f>
        <v>5648.6510465852989</v>
      </c>
      <c r="E37" s="922">
        <f t="shared" si="31"/>
        <v>0</v>
      </c>
      <c r="F37" s="922">
        <f>'Table 4 Level 3'!P35</f>
        <v>727.17</v>
      </c>
      <c r="G37" s="922">
        <f t="shared" si="32"/>
        <v>0</v>
      </c>
      <c r="H37" s="906">
        <f t="shared" si="33"/>
        <v>0</v>
      </c>
      <c r="I37" s="1735">
        <f>+'[3]Oct midyear Northshore Charter'!K36</f>
        <v>0</v>
      </c>
      <c r="J37" s="1735">
        <f>'[3]Feb midyear Northshore Charter'!K36</f>
        <v>0</v>
      </c>
      <c r="K37" s="1546">
        <f t="shared" si="34"/>
        <v>0</v>
      </c>
      <c r="L37" s="1490">
        <f t="shared" si="35"/>
        <v>0</v>
      </c>
      <c r="M37" s="932">
        <f t="shared" si="36"/>
        <v>0</v>
      </c>
      <c r="N37" s="906">
        <f t="shared" si="37"/>
        <v>0</v>
      </c>
      <c r="O37" s="883">
        <v>0</v>
      </c>
      <c r="P37" s="1553">
        <f t="shared" si="38"/>
        <v>0</v>
      </c>
      <c r="Q37" s="1804">
        <f>'[4]Table 5C1L-Northshore Charter'!M36+'[27]Table 5C1L-Northshore Charter'!T36+('[26]Table 5C1L-Northshore Charter'!T36*6)</f>
        <v>0</v>
      </c>
      <c r="R37" s="1735">
        <f t="shared" si="39"/>
        <v>0</v>
      </c>
      <c r="S37" s="1806">
        <f t="shared" si="40"/>
        <v>0</v>
      </c>
      <c r="T37" s="1807">
        <f>'Table 5C1A-Madison Prep'!T37</f>
        <v>4193</v>
      </c>
      <c r="U37" s="1556">
        <f t="shared" si="28"/>
        <v>0</v>
      </c>
      <c r="V37" s="1762">
        <f>+'[3]Oct midyear Northshore Charter'!E36</f>
        <v>0</v>
      </c>
      <c r="W37" s="1763">
        <f t="shared" si="41"/>
        <v>0</v>
      </c>
      <c r="X37" s="1762">
        <f>'[3]Feb midyear Northshore Charter'!E36</f>
        <v>0</v>
      </c>
      <c r="Y37" s="1763">
        <f t="shared" si="42"/>
        <v>0</v>
      </c>
      <c r="Z37" s="1654">
        <f t="shared" si="43"/>
        <v>0</v>
      </c>
      <c r="AA37" s="1488">
        <f t="shared" si="44"/>
        <v>0</v>
      </c>
      <c r="AB37" s="938">
        <f t="shared" si="45"/>
        <v>0</v>
      </c>
      <c r="AC37" s="903">
        <f t="shared" si="46"/>
        <v>0</v>
      </c>
      <c r="AD37" s="1831">
        <v>0</v>
      </c>
      <c r="AE37" s="903">
        <f t="shared" si="47"/>
        <v>0</v>
      </c>
      <c r="AF37" s="1837">
        <f>'[4]Table 5C1L-Northshore Charter'!T36+'[27]Table 5C1L-Northshore Charter'!AF36+('[26]Table 5C1L-Northshore Charter'!AF36*6)</f>
        <v>0</v>
      </c>
      <c r="AG37" s="1835">
        <f t="shared" si="48"/>
        <v>0</v>
      </c>
      <c r="AH37" s="1530">
        <f t="shared" si="49"/>
        <v>0</v>
      </c>
      <c r="AI37" s="904">
        <f t="shared" si="29"/>
        <v>0</v>
      </c>
      <c r="AJ37" s="904">
        <f t="shared" si="50"/>
        <v>0</v>
      </c>
      <c r="AL37" s="2034">
        <f>-'[4]Table 5C1L-Northshore Charter'!P36</f>
        <v>0</v>
      </c>
      <c r="AM37" s="2034">
        <f t="shared" si="30"/>
        <v>0</v>
      </c>
      <c r="AN37" s="2034">
        <f t="shared" si="51"/>
        <v>0</v>
      </c>
    </row>
    <row r="38" spans="1:40">
      <c r="A38" s="870">
        <v>31</v>
      </c>
      <c r="B38" s="871" t="s">
        <v>122</v>
      </c>
      <c r="C38" s="974">
        <v>0</v>
      </c>
      <c r="D38" s="884">
        <f>'Table 3 Levels 1&amp;2'!AL38</f>
        <v>4348.9307899232972</v>
      </c>
      <c r="E38" s="923">
        <f t="shared" si="31"/>
        <v>0</v>
      </c>
      <c r="F38" s="923">
        <f>'Table 4 Level 3'!P36</f>
        <v>620.83000000000004</v>
      </c>
      <c r="G38" s="923">
        <f t="shared" si="32"/>
        <v>0</v>
      </c>
      <c r="H38" s="907">
        <f t="shared" si="33"/>
        <v>0</v>
      </c>
      <c r="I38" s="1723">
        <f>+'[3]Oct midyear Northshore Charter'!K37</f>
        <v>0</v>
      </c>
      <c r="J38" s="1723">
        <f>'[3]Feb midyear Northshore Charter'!K37</f>
        <v>0</v>
      </c>
      <c r="K38" s="1547">
        <f t="shared" si="34"/>
        <v>0</v>
      </c>
      <c r="L38" s="1491">
        <f t="shared" si="35"/>
        <v>0</v>
      </c>
      <c r="M38" s="933">
        <f t="shared" si="36"/>
        <v>0</v>
      </c>
      <c r="N38" s="907">
        <f t="shared" si="37"/>
        <v>0</v>
      </c>
      <c r="O38" s="884">
        <v>0</v>
      </c>
      <c r="P38" s="996">
        <f t="shared" si="38"/>
        <v>0</v>
      </c>
      <c r="Q38" s="1718">
        <f>'[4]Table 5C1L-Northshore Charter'!M37+'[27]Table 5C1L-Northshore Charter'!T37+('[26]Table 5C1L-Northshore Charter'!T37*6)</f>
        <v>0</v>
      </c>
      <c r="R38" s="1723">
        <f t="shared" si="39"/>
        <v>0</v>
      </c>
      <c r="S38" s="998">
        <f t="shared" si="40"/>
        <v>0</v>
      </c>
      <c r="T38" s="1802">
        <f>'Table 5C1A-Madison Prep'!T38</f>
        <v>4901</v>
      </c>
      <c r="U38" s="999">
        <f t="shared" si="28"/>
        <v>0</v>
      </c>
      <c r="V38" s="1754">
        <f>+'[3]Oct midyear Northshore Charter'!E37</f>
        <v>0</v>
      </c>
      <c r="W38" s="1755">
        <f t="shared" si="41"/>
        <v>0</v>
      </c>
      <c r="X38" s="1754">
        <f>'[3]Feb midyear Northshore Charter'!E37</f>
        <v>0</v>
      </c>
      <c r="Y38" s="1755">
        <f t="shared" si="42"/>
        <v>0</v>
      </c>
      <c r="Z38" s="1652">
        <f t="shared" si="43"/>
        <v>0</v>
      </c>
      <c r="AA38" s="1481">
        <f t="shared" si="44"/>
        <v>0</v>
      </c>
      <c r="AB38" s="936">
        <f t="shared" si="45"/>
        <v>0</v>
      </c>
      <c r="AC38" s="874">
        <f t="shared" si="46"/>
        <v>0</v>
      </c>
      <c r="AD38" s="1829">
        <v>0</v>
      </c>
      <c r="AE38" s="874">
        <f t="shared" si="47"/>
        <v>0</v>
      </c>
      <c r="AF38" s="1829">
        <f>'[4]Table 5C1L-Northshore Charter'!T37+'[27]Table 5C1L-Northshore Charter'!AF37+('[26]Table 5C1L-Northshore Charter'!AF37*6)</f>
        <v>0</v>
      </c>
      <c r="AG38" s="1829">
        <f t="shared" si="48"/>
        <v>0</v>
      </c>
      <c r="AH38" s="1521">
        <f t="shared" si="49"/>
        <v>0</v>
      </c>
      <c r="AI38" s="875">
        <f t="shared" si="29"/>
        <v>0</v>
      </c>
      <c r="AJ38" s="875">
        <f t="shared" si="50"/>
        <v>0</v>
      </c>
      <c r="AL38" s="2034">
        <f>-'[4]Table 5C1L-Northshore Charter'!P37</f>
        <v>0</v>
      </c>
      <c r="AM38" s="2034">
        <f t="shared" si="30"/>
        <v>0</v>
      </c>
      <c r="AN38" s="2034">
        <f t="shared" si="51"/>
        <v>0</v>
      </c>
    </row>
    <row r="39" spans="1:40">
      <c r="A39" s="876">
        <v>32</v>
      </c>
      <c r="B39" s="877" t="s">
        <v>123</v>
      </c>
      <c r="C39" s="972">
        <v>0</v>
      </c>
      <c r="D39" s="882">
        <f>'Table 3 Levels 1&amp;2'!AL39</f>
        <v>5531.5157655456787</v>
      </c>
      <c r="E39" s="921">
        <f t="shared" si="31"/>
        <v>0</v>
      </c>
      <c r="F39" s="921">
        <f>'Table 4 Level 3'!P37</f>
        <v>559.77</v>
      </c>
      <c r="G39" s="921">
        <f t="shared" si="32"/>
        <v>0</v>
      </c>
      <c r="H39" s="905">
        <f t="shared" si="33"/>
        <v>0</v>
      </c>
      <c r="I39" s="1734">
        <f>+'[3]Oct midyear Northshore Charter'!K38</f>
        <v>0</v>
      </c>
      <c r="J39" s="1734">
        <f>'[3]Feb midyear Northshore Charter'!K38</f>
        <v>0</v>
      </c>
      <c r="K39" s="1545">
        <f t="shared" si="34"/>
        <v>0</v>
      </c>
      <c r="L39" s="1489">
        <f t="shared" si="35"/>
        <v>0</v>
      </c>
      <c r="M39" s="931">
        <f t="shared" si="36"/>
        <v>0</v>
      </c>
      <c r="N39" s="905">
        <f t="shared" si="37"/>
        <v>0</v>
      </c>
      <c r="O39" s="882">
        <v>0</v>
      </c>
      <c r="P39" s="1552">
        <f t="shared" si="38"/>
        <v>0</v>
      </c>
      <c r="Q39" s="1718">
        <f>'[4]Table 5C1L-Northshore Charter'!M38+'[27]Table 5C1L-Northshore Charter'!T38+('[26]Table 5C1L-Northshore Charter'!T38*6)</f>
        <v>0</v>
      </c>
      <c r="R39" s="1734">
        <f t="shared" si="39"/>
        <v>0</v>
      </c>
      <c r="S39" s="998">
        <f t="shared" si="40"/>
        <v>0</v>
      </c>
      <c r="T39" s="1802">
        <f>'Table 5C1A-Madison Prep'!T39</f>
        <v>2074</v>
      </c>
      <c r="U39" s="1555">
        <f t="shared" si="28"/>
        <v>0</v>
      </c>
      <c r="V39" s="1758">
        <f>+'[3]Oct midyear Northshore Charter'!E38</f>
        <v>0</v>
      </c>
      <c r="W39" s="1759">
        <f t="shared" si="41"/>
        <v>0</v>
      </c>
      <c r="X39" s="1758">
        <f>'[3]Feb midyear Northshore Charter'!E38</f>
        <v>0</v>
      </c>
      <c r="Y39" s="1759">
        <f t="shared" si="42"/>
        <v>0</v>
      </c>
      <c r="Z39" s="1653">
        <f t="shared" si="43"/>
        <v>0</v>
      </c>
      <c r="AA39" s="1486">
        <f t="shared" si="44"/>
        <v>0</v>
      </c>
      <c r="AB39" s="937">
        <f t="shared" si="45"/>
        <v>0</v>
      </c>
      <c r="AC39" s="899">
        <f t="shared" si="46"/>
        <v>0</v>
      </c>
      <c r="AD39" s="1830">
        <v>0</v>
      </c>
      <c r="AE39" s="899">
        <f t="shared" si="47"/>
        <v>0</v>
      </c>
      <c r="AF39" s="1829">
        <f>'[4]Table 5C1L-Northshore Charter'!T38+'[27]Table 5C1L-Northshore Charter'!AF38+('[26]Table 5C1L-Northshore Charter'!AF38*6)</f>
        <v>0</v>
      </c>
      <c r="AG39" s="1834">
        <f t="shared" si="48"/>
        <v>0</v>
      </c>
      <c r="AH39" s="1521">
        <f t="shared" si="49"/>
        <v>0</v>
      </c>
      <c r="AI39" s="900">
        <f t="shared" si="29"/>
        <v>0</v>
      </c>
      <c r="AJ39" s="900">
        <f t="shared" si="50"/>
        <v>0</v>
      </c>
      <c r="AL39" s="2034">
        <f>-'[4]Table 5C1L-Northshore Charter'!P38</f>
        <v>0</v>
      </c>
      <c r="AM39" s="2034">
        <f t="shared" si="30"/>
        <v>0</v>
      </c>
      <c r="AN39" s="2034">
        <f t="shared" si="51"/>
        <v>0</v>
      </c>
    </row>
    <row r="40" spans="1:40">
      <c r="A40" s="876">
        <v>33</v>
      </c>
      <c r="B40" s="877" t="s">
        <v>124</v>
      </c>
      <c r="C40" s="972">
        <v>0</v>
      </c>
      <c r="D40" s="882">
        <f>'Table 3 Levels 1&amp;2'!AL40</f>
        <v>5329.5444226517857</v>
      </c>
      <c r="E40" s="921">
        <f t="shared" si="31"/>
        <v>0</v>
      </c>
      <c r="F40" s="921">
        <f>'Table 4 Level 3'!P38</f>
        <v>655.31000000000006</v>
      </c>
      <c r="G40" s="921">
        <f t="shared" si="32"/>
        <v>0</v>
      </c>
      <c r="H40" s="905">
        <f t="shared" si="33"/>
        <v>0</v>
      </c>
      <c r="I40" s="1734">
        <f>+'[3]Oct midyear Northshore Charter'!K39</f>
        <v>0</v>
      </c>
      <c r="J40" s="1734">
        <f>'[3]Feb midyear Northshore Charter'!K39</f>
        <v>0</v>
      </c>
      <c r="K40" s="1545">
        <f t="shared" si="34"/>
        <v>0</v>
      </c>
      <c r="L40" s="1489">
        <f t="shared" ref="L40:L71" si="52">H40+K40</f>
        <v>0</v>
      </c>
      <c r="M40" s="931">
        <f t="shared" si="36"/>
        <v>0</v>
      </c>
      <c r="N40" s="905">
        <f t="shared" si="37"/>
        <v>0</v>
      </c>
      <c r="O40" s="882">
        <v>0</v>
      </c>
      <c r="P40" s="1552">
        <f t="shared" si="38"/>
        <v>0</v>
      </c>
      <c r="Q40" s="1718">
        <f>'[4]Table 5C1L-Northshore Charter'!M39+'[27]Table 5C1L-Northshore Charter'!T39+('[26]Table 5C1L-Northshore Charter'!T39*6)</f>
        <v>0</v>
      </c>
      <c r="R40" s="1734">
        <f t="shared" si="39"/>
        <v>0</v>
      </c>
      <c r="S40" s="998">
        <f t="shared" si="40"/>
        <v>0</v>
      </c>
      <c r="T40" s="1802">
        <f>'Table 5C1A-Madison Prep'!T40</f>
        <v>3501</v>
      </c>
      <c r="U40" s="1555">
        <f t="shared" ref="U40:U71" si="53">C40*T40</f>
        <v>0</v>
      </c>
      <c r="V40" s="1758">
        <f>+'[3]Oct midyear Northshore Charter'!E39</f>
        <v>0</v>
      </c>
      <c r="W40" s="1759">
        <f t="shared" si="41"/>
        <v>0</v>
      </c>
      <c r="X40" s="1758">
        <f>'[3]Feb midyear Northshore Charter'!E39</f>
        <v>0</v>
      </c>
      <c r="Y40" s="1759">
        <f t="shared" si="42"/>
        <v>0</v>
      </c>
      <c r="Z40" s="1653">
        <f t="shared" si="43"/>
        <v>0</v>
      </c>
      <c r="AA40" s="1486">
        <f t="shared" si="44"/>
        <v>0</v>
      </c>
      <c r="AB40" s="937">
        <f t="shared" si="45"/>
        <v>0</v>
      </c>
      <c r="AC40" s="899">
        <f t="shared" si="46"/>
        <v>0</v>
      </c>
      <c r="AD40" s="1830">
        <v>0</v>
      </c>
      <c r="AE40" s="899">
        <f t="shared" si="47"/>
        <v>0</v>
      </c>
      <c r="AF40" s="1829">
        <f>'[4]Table 5C1L-Northshore Charter'!T39+'[27]Table 5C1L-Northshore Charter'!AF39+('[26]Table 5C1L-Northshore Charter'!AF39*6)</f>
        <v>0</v>
      </c>
      <c r="AG40" s="1834">
        <f t="shared" si="48"/>
        <v>0</v>
      </c>
      <c r="AH40" s="1521">
        <f t="shared" si="49"/>
        <v>0</v>
      </c>
      <c r="AI40" s="900">
        <f t="shared" ref="AI40:AI76" si="54">P40+AE40</f>
        <v>0</v>
      </c>
      <c r="AJ40" s="900">
        <f t="shared" si="50"/>
        <v>0</v>
      </c>
      <c r="AL40" s="2034">
        <f>-'[4]Table 5C1L-Northshore Charter'!P39</f>
        <v>0</v>
      </c>
      <c r="AM40" s="2034">
        <f t="shared" ref="AM40:AM76" si="55">AB40</f>
        <v>0</v>
      </c>
      <c r="AN40" s="2034">
        <f t="shared" si="51"/>
        <v>0</v>
      </c>
    </row>
    <row r="41" spans="1:40">
      <c r="A41" s="876">
        <v>34</v>
      </c>
      <c r="B41" s="877" t="s">
        <v>125</v>
      </c>
      <c r="C41" s="972">
        <v>0</v>
      </c>
      <c r="D41" s="882">
        <f>'Table 3 Levels 1&amp;2'!AL41</f>
        <v>6003.632932007491</v>
      </c>
      <c r="E41" s="921">
        <f t="shared" si="31"/>
        <v>0</v>
      </c>
      <c r="F41" s="921">
        <f>'Table 4 Level 3'!P39</f>
        <v>644.11000000000013</v>
      </c>
      <c r="G41" s="921">
        <f t="shared" si="32"/>
        <v>0</v>
      </c>
      <c r="H41" s="905">
        <f t="shared" si="33"/>
        <v>0</v>
      </c>
      <c r="I41" s="1734">
        <f>+'[3]Oct midyear Northshore Charter'!K40</f>
        <v>0</v>
      </c>
      <c r="J41" s="1734">
        <f>'[3]Feb midyear Northshore Charter'!K40</f>
        <v>0</v>
      </c>
      <c r="K41" s="1545">
        <f t="shared" si="34"/>
        <v>0</v>
      </c>
      <c r="L41" s="1489">
        <f t="shared" si="52"/>
        <v>0</v>
      </c>
      <c r="M41" s="931">
        <f t="shared" si="36"/>
        <v>0</v>
      </c>
      <c r="N41" s="905">
        <f t="shared" si="37"/>
        <v>0</v>
      </c>
      <c r="O41" s="882">
        <v>0</v>
      </c>
      <c r="P41" s="1552">
        <f t="shared" si="38"/>
        <v>0</v>
      </c>
      <c r="Q41" s="1718">
        <f>'[4]Table 5C1L-Northshore Charter'!M40+'[27]Table 5C1L-Northshore Charter'!T40+('[26]Table 5C1L-Northshore Charter'!T40*6)</f>
        <v>0</v>
      </c>
      <c r="R41" s="1734">
        <f t="shared" si="39"/>
        <v>0</v>
      </c>
      <c r="S41" s="998">
        <f t="shared" si="40"/>
        <v>0</v>
      </c>
      <c r="T41" s="1802">
        <f>'Table 5C1A-Madison Prep'!T41</f>
        <v>2772</v>
      </c>
      <c r="U41" s="1555">
        <f t="shared" si="53"/>
        <v>0</v>
      </c>
      <c r="V41" s="1758">
        <f>+'[3]Oct midyear Northshore Charter'!E40</f>
        <v>0</v>
      </c>
      <c r="W41" s="1759">
        <f t="shared" si="41"/>
        <v>0</v>
      </c>
      <c r="X41" s="1758">
        <f>'[3]Feb midyear Northshore Charter'!E40</f>
        <v>0</v>
      </c>
      <c r="Y41" s="1759">
        <f t="shared" si="42"/>
        <v>0</v>
      </c>
      <c r="Z41" s="1653">
        <f t="shared" si="43"/>
        <v>0</v>
      </c>
      <c r="AA41" s="1486">
        <f t="shared" si="44"/>
        <v>0</v>
      </c>
      <c r="AB41" s="937">
        <f t="shared" si="45"/>
        <v>0</v>
      </c>
      <c r="AC41" s="899">
        <f t="shared" si="46"/>
        <v>0</v>
      </c>
      <c r="AD41" s="1830">
        <v>0</v>
      </c>
      <c r="AE41" s="899">
        <f t="shared" si="47"/>
        <v>0</v>
      </c>
      <c r="AF41" s="1829">
        <f>'[4]Table 5C1L-Northshore Charter'!T40+'[27]Table 5C1L-Northshore Charter'!AF40+('[26]Table 5C1L-Northshore Charter'!AF40*6)</f>
        <v>0</v>
      </c>
      <c r="AG41" s="1834">
        <f t="shared" si="48"/>
        <v>0</v>
      </c>
      <c r="AH41" s="1521">
        <f t="shared" si="49"/>
        <v>0</v>
      </c>
      <c r="AI41" s="900">
        <f t="shared" si="54"/>
        <v>0</v>
      </c>
      <c r="AJ41" s="900">
        <f t="shared" si="50"/>
        <v>0</v>
      </c>
      <c r="AL41" s="2034">
        <f>-'[4]Table 5C1L-Northshore Charter'!P40</f>
        <v>0</v>
      </c>
      <c r="AM41" s="2034">
        <f t="shared" si="55"/>
        <v>0</v>
      </c>
      <c r="AN41" s="2034">
        <f t="shared" si="51"/>
        <v>0</v>
      </c>
    </row>
    <row r="42" spans="1:40">
      <c r="A42" s="879">
        <v>35</v>
      </c>
      <c r="B42" s="880" t="s">
        <v>126</v>
      </c>
      <c r="C42" s="973">
        <v>0</v>
      </c>
      <c r="D42" s="883">
        <f>'Table 3 Levels 1&amp;2'!AL42</f>
        <v>4607.1606416222867</v>
      </c>
      <c r="E42" s="922">
        <f t="shared" si="31"/>
        <v>0</v>
      </c>
      <c r="F42" s="922">
        <f>'Table 4 Level 3'!P40</f>
        <v>537.96</v>
      </c>
      <c r="G42" s="922">
        <f t="shared" si="32"/>
        <v>0</v>
      </c>
      <c r="H42" s="906">
        <f t="shared" si="33"/>
        <v>0</v>
      </c>
      <c r="I42" s="1735">
        <f>+'[3]Oct midyear Northshore Charter'!K41</f>
        <v>0</v>
      </c>
      <c r="J42" s="1735">
        <f>'[3]Feb midyear Northshore Charter'!K41</f>
        <v>0</v>
      </c>
      <c r="K42" s="1546">
        <f t="shared" si="34"/>
        <v>0</v>
      </c>
      <c r="L42" s="1490">
        <f t="shared" si="52"/>
        <v>0</v>
      </c>
      <c r="M42" s="932">
        <f t="shared" si="36"/>
        <v>0</v>
      </c>
      <c r="N42" s="906">
        <f t="shared" si="37"/>
        <v>0</v>
      </c>
      <c r="O42" s="883">
        <v>0</v>
      </c>
      <c r="P42" s="1553">
        <f t="shared" si="38"/>
        <v>0</v>
      </c>
      <c r="Q42" s="1804">
        <f>'[4]Table 5C1L-Northshore Charter'!M41+'[27]Table 5C1L-Northshore Charter'!T41+('[26]Table 5C1L-Northshore Charter'!T41*6)</f>
        <v>0</v>
      </c>
      <c r="R42" s="1735">
        <f t="shared" si="39"/>
        <v>0</v>
      </c>
      <c r="S42" s="1806">
        <f t="shared" si="40"/>
        <v>0</v>
      </c>
      <c r="T42" s="1807">
        <f>'Table 5C1A-Madison Prep'!T42</f>
        <v>3140</v>
      </c>
      <c r="U42" s="1556">
        <f t="shared" si="53"/>
        <v>0</v>
      </c>
      <c r="V42" s="1762">
        <f>+'[3]Oct midyear Northshore Charter'!E41</f>
        <v>0</v>
      </c>
      <c r="W42" s="1763">
        <f t="shared" si="41"/>
        <v>0</v>
      </c>
      <c r="X42" s="1762">
        <f>'[3]Feb midyear Northshore Charter'!E41</f>
        <v>0</v>
      </c>
      <c r="Y42" s="1763">
        <f t="shared" si="42"/>
        <v>0</v>
      </c>
      <c r="Z42" s="1654">
        <f t="shared" si="43"/>
        <v>0</v>
      </c>
      <c r="AA42" s="1488">
        <f t="shared" si="44"/>
        <v>0</v>
      </c>
      <c r="AB42" s="938">
        <f t="shared" si="45"/>
        <v>0</v>
      </c>
      <c r="AC42" s="903">
        <f t="shared" si="46"/>
        <v>0</v>
      </c>
      <c r="AD42" s="1831">
        <v>0</v>
      </c>
      <c r="AE42" s="903">
        <f t="shared" si="47"/>
        <v>0</v>
      </c>
      <c r="AF42" s="1837">
        <f>'[4]Table 5C1L-Northshore Charter'!T41+'[27]Table 5C1L-Northshore Charter'!AF41+('[26]Table 5C1L-Northshore Charter'!AF41*6)</f>
        <v>0</v>
      </c>
      <c r="AG42" s="1835">
        <f t="shared" si="48"/>
        <v>0</v>
      </c>
      <c r="AH42" s="1530">
        <f t="shared" si="49"/>
        <v>0</v>
      </c>
      <c r="AI42" s="904">
        <f t="shared" si="54"/>
        <v>0</v>
      </c>
      <c r="AJ42" s="904">
        <f t="shared" si="50"/>
        <v>0</v>
      </c>
      <c r="AL42" s="2034">
        <f>-'[4]Table 5C1L-Northshore Charter'!P41</f>
        <v>0</v>
      </c>
      <c r="AM42" s="2034">
        <f t="shared" si="55"/>
        <v>0</v>
      </c>
      <c r="AN42" s="2034">
        <f t="shared" si="51"/>
        <v>0</v>
      </c>
    </row>
    <row r="43" spans="1:40">
      <c r="A43" s="870">
        <v>36</v>
      </c>
      <c r="B43" s="871" t="s">
        <v>127</v>
      </c>
      <c r="C43" s="974">
        <v>0</v>
      </c>
      <c r="D43" s="884">
        <f>'Table 3 Levels 1&amp;2'!AL43</f>
        <v>3520.4894337711748</v>
      </c>
      <c r="E43" s="923">
        <f t="shared" si="31"/>
        <v>0</v>
      </c>
      <c r="F43" s="923">
        <v>746.0335616438357</v>
      </c>
      <c r="G43" s="923">
        <f t="shared" si="32"/>
        <v>0</v>
      </c>
      <c r="H43" s="907">
        <f t="shared" si="33"/>
        <v>0</v>
      </c>
      <c r="I43" s="1723">
        <f>+'[3]Oct midyear Northshore Charter'!K42</f>
        <v>0</v>
      </c>
      <c r="J43" s="1723">
        <f>'[3]Feb midyear Northshore Charter'!K42</f>
        <v>0</v>
      </c>
      <c r="K43" s="1547">
        <f t="shared" si="34"/>
        <v>0</v>
      </c>
      <c r="L43" s="1491">
        <f t="shared" si="52"/>
        <v>0</v>
      </c>
      <c r="M43" s="933">
        <f t="shared" si="36"/>
        <v>0</v>
      </c>
      <c r="N43" s="907">
        <f t="shared" si="37"/>
        <v>0</v>
      </c>
      <c r="O43" s="884">
        <v>0</v>
      </c>
      <c r="P43" s="996">
        <f t="shared" si="38"/>
        <v>0</v>
      </c>
      <c r="Q43" s="1718">
        <f>'[4]Table 5C1L-Northshore Charter'!M42+'[27]Table 5C1L-Northshore Charter'!T42+('[26]Table 5C1L-Northshore Charter'!T42*6)</f>
        <v>0</v>
      </c>
      <c r="R43" s="1723">
        <f t="shared" si="39"/>
        <v>0</v>
      </c>
      <c r="S43" s="998">
        <f t="shared" si="40"/>
        <v>0</v>
      </c>
      <c r="T43" s="1802">
        <f>'Table 5C1A-Madison Prep'!T43</f>
        <v>5433</v>
      </c>
      <c r="U43" s="999">
        <f t="shared" si="53"/>
        <v>0</v>
      </c>
      <c r="V43" s="1754">
        <f>+'[3]Oct midyear Northshore Charter'!E42</f>
        <v>0</v>
      </c>
      <c r="W43" s="1755">
        <f t="shared" si="41"/>
        <v>0</v>
      </c>
      <c r="X43" s="1754">
        <f>'[3]Feb midyear Northshore Charter'!E42</f>
        <v>0</v>
      </c>
      <c r="Y43" s="1755">
        <f t="shared" si="42"/>
        <v>0</v>
      </c>
      <c r="Z43" s="1652">
        <f t="shared" si="43"/>
        <v>0</v>
      </c>
      <c r="AA43" s="1481">
        <f t="shared" si="44"/>
        <v>0</v>
      </c>
      <c r="AB43" s="936">
        <f t="shared" si="45"/>
        <v>0</v>
      </c>
      <c r="AC43" s="874">
        <f t="shared" si="46"/>
        <v>0</v>
      </c>
      <c r="AD43" s="1829">
        <v>0</v>
      </c>
      <c r="AE43" s="874">
        <f t="shared" si="47"/>
        <v>0</v>
      </c>
      <c r="AF43" s="1829">
        <f>'[4]Table 5C1L-Northshore Charter'!T42+'[27]Table 5C1L-Northshore Charter'!AF42+('[26]Table 5C1L-Northshore Charter'!AF42*6)</f>
        <v>0</v>
      </c>
      <c r="AG43" s="1829">
        <f t="shared" si="48"/>
        <v>0</v>
      </c>
      <c r="AH43" s="1521">
        <f t="shared" si="49"/>
        <v>0</v>
      </c>
      <c r="AI43" s="875">
        <f t="shared" si="54"/>
        <v>0</v>
      </c>
      <c r="AJ43" s="875">
        <f t="shared" si="50"/>
        <v>0</v>
      </c>
      <c r="AL43" s="2034">
        <f>-'[4]Table 5C1L-Northshore Charter'!P42</f>
        <v>0</v>
      </c>
      <c r="AM43" s="2034">
        <f t="shared" si="55"/>
        <v>0</v>
      </c>
      <c r="AN43" s="2034">
        <f t="shared" si="51"/>
        <v>0</v>
      </c>
    </row>
    <row r="44" spans="1:40">
      <c r="A44" s="876">
        <v>37</v>
      </c>
      <c r="B44" s="877" t="s">
        <v>128</v>
      </c>
      <c r="C44" s="972">
        <v>0</v>
      </c>
      <c r="D44" s="882">
        <f>'Table 3 Levels 1&amp;2'!AL44</f>
        <v>5503.7595641818853</v>
      </c>
      <c r="E44" s="921">
        <f t="shared" si="31"/>
        <v>0</v>
      </c>
      <c r="F44" s="921">
        <f>'Table 4 Level 3'!P42</f>
        <v>653.61</v>
      </c>
      <c r="G44" s="921">
        <f t="shared" si="32"/>
        <v>0</v>
      </c>
      <c r="H44" s="905">
        <f t="shared" si="33"/>
        <v>0</v>
      </c>
      <c r="I44" s="1734">
        <f>+'[3]Oct midyear Northshore Charter'!K43</f>
        <v>0</v>
      </c>
      <c r="J44" s="1734">
        <f>'[3]Feb midyear Northshore Charter'!K43</f>
        <v>0</v>
      </c>
      <c r="K44" s="1545">
        <f t="shared" si="34"/>
        <v>0</v>
      </c>
      <c r="L44" s="1489">
        <f t="shared" si="52"/>
        <v>0</v>
      </c>
      <c r="M44" s="931">
        <f t="shared" si="36"/>
        <v>0</v>
      </c>
      <c r="N44" s="905">
        <f t="shared" si="37"/>
        <v>0</v>
      </c>
      <c r="O44" s="882">
        <v>0</v>
      </c>
      <c r="P44" s="1552">
        <f t="shared" si="38"/>
        <v>0</v>
      </c>
      <c r="Q44" s="1718">
        <f>'[4]Table 5C1L-Northshore Charter'!M43+'[27]Table 5C1L-Northshore Charter'!T43+('[26]Table 5C1L-Northshore Charter'!T43*6)</f>
        <v>0</v>
      </c>
      <c r="R44" s="1734">
        <f t="shared" si="39"/>
        <v>0</v>
      </c>
      <c r="S44" s="998">
        <f t="shared" si="40"/>
        <v>0</v>
      </c>
      <c r="T44" s="1802">
        <f>'Table 5C1A-Madison Prep'!T44</f>
        <v>3310</v>
      </c>
      <c r="U44" s="1555">
        <f t="shared" si="53"/>
        <v>0</v>
      </c>
      <c r="V44" s="1758">
        <f>+'[3]Oct midyear Northshore Charter'!E43</f>
        <v>0</v>
      </c>
      <c r="W44" s="1759">
        <f t="shared" si="41"/>
        <v>0</v>
      </c>
      <c r="X44" s="1758">
        <f>'[3]Feb midyear Northshore Charter'!E43</f>
        <v>0</v>
      </c>
      <c r="Y44" s="1759">
        <f t="shared" si="42"/>
        <v>0</v>
      </c>
      <c r="Z44" s="1653">
        <f t="shared" si="43"/>
        <v>0</v>
      </c>
      <c r="AA44" s="1486">
        <f t="shared" si="44"/>
        <v>0</v>
      </c>
      <c r="AB44" s="937">
        <f t="shared" si="45"/>
        <v>0</v>
      </c>
      <c r="AC44" s="899">
        <f t="shared" si="46"/>
        <v>0</v>
      </c>
      <c r="AD44" s="1830">
        <v>0</v>
      </c>
      <c r="AE44" s="899">
        <f t="shared" si="47"/>
        <v>0</v>
      </c>
      <c r="AF44" s="1829">
        <f>'[4]Table 5C1L-Northshore Charter'!T43+'[27]Table 5C1L-Northshore Charter'!AF43+('[26]Table 5C1L-Northshore Charter'!AF43*6)</f>
        <v>0</v>
      </c>
      <c r="AG44" s="1834">
        <f t="shared" si="48"/>
        <v>0</v>
      </c>
      <c r="AH44" s="1521">
        <f t="shared" si="49"/>
        <v>0</v>
      </c>
      <c r="AI44" s="900">
        <f t="shared" si="54"/>
        <v>0</v>
      </c>
      <c r="AJ44" s="900">
        <f t="shared" si="50"/>
        <v>0</v>
      </c>
      <c r="AL44" s="2034">
        <f>-'[4]Table 5C1L-Northshore Charter'!P43</f>
        <v>0</v>
      </c>
      <c r="AM44" s="2034">
        <f t="shared" si="55"/>
        <v>0</v>
      </c>
      <c r="AN44" s="2034">
        <f t="shared" si="51"/>
        <v>0</v>
      </c>
    </row>
    <row r="45" spans="1:40">
      <c r="A45" s="876">
        <v>38</v>
      </c>
      <c r="B45" s="877" t="s">
        <v>129</v>
      </c>
      <c r="C45" s="972">
        <v>0</v>
      </c>
      <c r="D45" s="882">
        <f>'Table 3 Levels 1&amp;2'!AL45</f>
        <v>2192.7545275590551</v>
      </c>
      <c r="E45" s="921">
        <f t="shared" si="31"/>
        <v>0</v>
      </c>
      <c r="F45" s="921">
        <f>'Table 4 Level 3'!P43</f>
        <v>829.92000000000007</v>
      </c>
      <c r="G45" s="921">
        <f t="shared" si="32"/>
        <v>0</v>
      </c>
      <c r="H45" s="905">
        <f t="shared" si="33"/>
        <v>0</v>
      </c>
      <c r="I45" s="1734">
        <f>+'[3]Oct midyear Northshore Charter'!K44</f>
        <v>0</v>
      </c>
      <c r="J45" s="1734">
        <f>'[3]Feb midyear Northshore Charter'!K44</f>
        <v>0</v>
      </c>
      <c r="K45" s="1545">
        <f t="shared" si="34"/>
        <v>0</v>
      </c>
      <c r="L45" s="1489">
        <f t="shared" si="52"/>
        <v>0</v>
      </c>
      <c r="M45" s="931">
        <f t="shared" si="36"/>
        <v>0</v>
      </c>
      <c r="N45" s="905">
        <f t="shared" si="37"/>
        <v>0</v>
      </c>
      <c r="O45" s="882">
        <v>0</v>
      </c>
      <c r="P45" s="1552">
        <f t="shared" si="38"/>
        <v>0</v>
      </c>
      <c r="Q45" s="1718">
        <f>'[4]Table 5C1L-Northshore Charter'!M44+'[27]Table 5C1L-Northshore Charter'!T44+('[26]Table 5C1L-Northshore Charter'!T44*6)</f>
        <v>0</v>
      </c>
      <c r="R45" s="1734">
        <f t="shared" si="39"/>
        <v>0</v>
      </c>
      <c r="S45" s="998">
        <f t="shared" si="40"/>
        <v>0</v>
      </c>
      <c r="T45" s="1802">
        <f>'Table 5C1A-Madison Prep'!T45</f>
        <v>12521</v>
      </c>
      <c r="U45" s="1555">
        <f t="shared" si="53"/>
        <v>0</v>
      </c>
      <c r="V45" s="1758">
        <f>+'[3]Oct midyear Northshore Charter'!E44</f>
        <v>0</v>
      </c>
      <c r="W45" s="1759">
        <f t="shared" si="41"/>
        <v>0</v>
      </c>
      <c r="X45" s="1758">
        <f>'[3]Feb midyear Northshore Charter'!E44</f>
        <v>0</v>
      </c>
      <c r="Y45" s="1759">
        <f t="shared" si="42"/>
        <v>0</v>
      </c>
      <c r="Z45" s="1653">
        <f t="shared" si="43"/>
        <v>0</v>
      </c>
      <c r="AA45" s="1486">
        <f t="shared" si="44"/>
        <v>0</v>
      </c>
      <c r="AB45" s="937">
        <f t="shared" si="45"/>
        <v>0</v>
      </c>
      <c r="AC45" s="899">
        <f t="shared" si="46"/>
        <v>0</v>
      </c>
      <c r="AD45" s="1830">
        <v>0</v>
      </c>
      <c r="AE45" s="899">
        <f t="shared" si="47"/>
        <v>0</v>
      </c>
      <c r="AF45" s="1829">
        <f>'[4]Table 5C1L-Northshore Charter'!T44+'[27]Table 5C1L-Northshore Charter'!AF44+('[26]Table 5C1L-Northshore Charter'!AF44*6)</f>
        <v>0</v>
      </c>
      <c r="AG45" s="1834">
        <f t="shared" si="48"/>
        <v>0</v>
      </c>
      <c r="AH45" s="1521">
        <f t="shared" si="49"/>
        <v>0</v>
      </c>
      <c r="AI45" s="900">
        <f t="shared" si="54"/>
        <v>0</v>
      </c>
      <c r="AJ45" s="900">
        <f t="shared" si="50"/>
        <v>0</v>
      </c>
      <c r="AL45" s="2034">
        <f>-'[4]Table 5C1L-Northshore Charter'!P44</f>
        <v>0</v>
      </c>
      <c r="AM45" s="2034">
        <f t="shared" si="55"/>
        <v>0</v>
      </c>
      <c r="AN45" s="2034">
        <f t="shared" si="51"/>
        <v>0</v>
      </c>
    </row>
    <row r="46" spans="1:40">
      <c r="A46" s="876">
        <v>39</v>
      </c>
      <c r="B46" s="877" t="s">
        <v>130</v>
      </c>
      <c r="C46" s="972">
        <v>0</v>
      </c>
      <c r="D46" s="882">
        <f>'Table 3 Levels 1&amp;2'!AL46</f>
        <v>3639.9942778062696</v>
      </c>
      <c r="E46" s="921">
        <f t="shared" si="31"/>
        <v>0</v>
      </c>
      <c r="F46" s="921">
        <f>'Table 4 Level 3'!P44</f>
        <v>779.65573042776441</v>
      </c>
      <c r="G46" s="921">
        <f t="shared" si="32"/>
        <v>0</v>
      </c>
      <c r="H46" s="905">
        <f t="shared" si="33"/>
        <v>0</v>
      </c>
      <c r="I46" s="1734">
        <f>+'[3]Oct midyear Northshore Charter'!K45</f>
        <v>0</v>
      </c>
      <c r="J46" s="1734">
        <f>'[3]Feb midyear Northshore Charter'!K45</f>
        <v>0</v>
      </c>
      <c r="K46" s="1545">
        <f t="shared" si="34"/>
        <v>0</v>
      </c>
      <c r="L46" s="1489">
        <f t="shared" si="52"/>
        <v>0</v>
      </c>
      <c r="M46" s="931">
        <f t="shared" si="36"/>
        <v>0</v>
      </c>
      <c r="N46" s="905">
        <f t="shared" si="37"/>
        <v>0</v>
      </c>
      <c r="O46" s="882">
        <v>0</v>
      </c>
      <c r="P46" s="1552">
        <f t="shared" si="38"/>
        <v>0</v>
      </c>
      <c r="Q46" s="1718">
        <f>'[4]Table 5C1L-Northshore Charter'!M45+'[27]Table 5C1L-Northshore Charter'!T45+('[26]Table 5C1L-Northshore Charter'!T45*6)</f>
        <v>0</v>
      </c>
      <c r="R46" s="1734">
        <f t="shared" si="39"/>
        <v>0</v>
      </c>
      <c r="S46" s="998">
        <f t="shared" si="40"/>
        <v>0</v>
      </c>
      <c r="T46" s="1802">
        <f>'Table 5C1A-Madison Prep'!T46</f>
        <v>4436</v>
      </c>
      <c r="U46" s="1555">
        <f t="shared" si="53"/>
        <v>0</v>
      </c>
      <c r="V46" s="1758">
        <f>+'[3]Oct midyear Northshore Charter'!E45</f>
        <v>0</v>
      </c>
      <c r="W46" s="1759">
        <f t="shared" si="41"/>
        <v>0</v>
      </c>
      <c r="X46" s="1758">
        <f>'[3]Feb midyear Northshore Charter'!E45</f>
        <v>0</v>
      </c>
      <c r="Y46" s="1759">
        <f t="shared" si="42"/>
        <v>0</v>
      </c>
      <c r="Z46" s="1653">
        <f t="shared" si="43"/>
        <v>0</v>
      </c>
      <c r="AA46" s="1486">
        <f t="shared" si="44"/>
        <v>0</v>
      </c>
      <c r="AB46" s="937">
        <f t="shared" si="45"/>
        <v>0</v>
      </c>
      <c r="AC46" s="899">
        <f t="shared" si="46"/>
        <v>0</v>
      </c>
      <c r="AD46" s="1830">
        <v>0</v>
      </c>
      <c r="AE46" s="899">
        <f t="shared" si="47"/>
        <v>0</v>
      </c>
      <c r="AF46" s="1829">
        <f>'[4]Table 5C1L-Northshore Charter'!T45+'[27]Table 5C1L-Northshore Charter'!AF45+('[26]Table 5C1L-Northshore Charter'!AF45*6)</f>
        <v>0</v>
      </c>
      <c r="AG46" s="1834">
        <f t="shared" si="48"/>
        <v>0</v>
      </c>
      <c r="AH46" s="1521">
        <f t="shared" si="49"/>
        <v>0</v>
      </c>
      <c r="AI46" s="900">
        <f t="shared" si="54"/>
        <v>0</v>
      </c>
      <c r="AJ46" s="900">
        <f t="shared" si="50"/>
        <v>0</v>
      </c>
      <c r="AL46" s="2034">
        <f>-'[4]Table 5C1L-Northshore Charter'!P45</f>
        <v>0</v>
      </c>
      <c r="AM46" s="2034">
        <f t="shared" si="55"/>
        <v>0</v>
      </c>
      <c r="AN46" s="2034">
        <f t="shared" si="51"/>
        <v>0</v>
      </c>
    </row>
    <row r="47" spans="1:40">
      <c r="A47" s="879">
        <v>40</v>
      </c>
      <c r="B47" s="880" t="s">
        <v>131</v>
      </c>
      <c r="C47" s="973">
        <v>0</v>
      </c>
      <c r="D47" s="883">
        <f>'Table 3 Levels 1&amp;2'!AL47</f>
        <v>4928.4974462701202</v>
      </c>
      <c r="E47" s="922">
        <f t="shared" si="31"/>
        <v>0</v>
      </c>
      <c r="F47" s="922">
        <f>'Table 4 Level 3'!P45</f>
        <v>700.2700000000001</v>
      </c>
      <c r="G47" s="922">
        <f t="shared" si="32"/>
        <v>0</v>
      </c>
      <c r="H47" s="906">
        <f t="shared" si="33"/>
        <v>0</v>
      </c>
      <c r="I47" s="1735">
        <f>+'[3]Oct midyear Northshore Charter'!K46</f>
        <v>0</v>
      </c>
      <c r="J47" s="1735">
        <f>'[3]Feb midyear Northshore Charter'!K46</f>
        <v>0</v>
      </c>
      <c r="K47" s="1546">
        <f t="shared" si="34"/>
        <v>0</v>
      </c>
      <c r="L47" s="1490">
        <f t="shared" si="52"/>
        <v>0</v>
      </c>
      <c r="M47" s="932">
        <f t="shared" si="36"/>
        <v>0</v>
      </c>
      <c r="N47" s="906">
        <f t="shared" si="37"/>
        <v>0</v>
      </c>
      <c r="O47" s="883">
        <v>0</v>
      </c>
      <c r="P47" s="1553">
        <f t="shared" si="38"/>
        <v>0</v>
      </c>
      <c r="Q47" s="1804">
        <f>'[4]Table 5C1L-Northshore Charter'!M46+'[27]Table 5C1L-Northshore Charter'!T46+('[26]Table 5C1L-Northshore Charter'!T46*6)</f>
        <v>0</v>
      </c>
      <c r="R47" s="1735">
        <f t="shared" si="39"/>
        <v>0</v>
      </c>
      <c r="S47" s="1806">
        <f t="shared" si="40"/>
        <v>0</v>
      </c>
      <c r="T47" s="1807">
        <f>'Table 5C1A-Madison Prep'!T47</f>
        <v>3019</v>
      </c>
      <c r="U47" s="1556">
        <f t="shared" si="53"/>
        <v>0</v>
      </c>
      <c r="V47" s="1762">
        <f>+'[3]Oct midyear Northshore Charter'!E46</f>
        <v>0</v>
      </c>
      <c r="W47" s="1763">
        <f t="shared" si="41"/>
        <v>0</v>
      </c>
      <c r="X47" s="1762">
        <f>'[3]Feb midyear Northshore Charter'!E46</f>
        <v>0</v>
      </c>
      <c r="Y47" s="1763">
        <f t="shared" si="42"/>
        <v>0</v>
      </c>
      <c r="Z47" s="1654">
        <f t="shared" si="43"/>
        <v>0</v>
      </c>
      <c r="AA47" s="1488">
        <f t="shared" si="44"/>
        <v>0</v>
      </c>
      <c r="AB47" s="938">
        <f t="shared" si="45"/>
        <v>0</v>
      </c>
      <c r="AC47" s="903">
        <f t="shared" si="46"/>
        <v>0</v>
      </c>
      <c r="AD47" s="1831">
        <v>0</v>
      </c>
      <c r="AE47" s="903">
        <f t="shared" si="47"/>
        <v>0</v>
      </c>
      <c r="AF47" s="1837">
        <f>'[4]Table 5C1L-Northshore Charter'!T46+'[27]Table 5C1L-Northshore Charter'!AF46+('[26]Table 5C1L-Northshore Charter'!AF46*6)</f>
        <v>0</v>
      </c>
      <c r="AG47" s="1835">
        <f t="shared" si="48"/>
        <v>0</v>
      </c>
      <c r="AH47" s="1530">
        <f t="shared" si="49"/>
        <v>0</v>
      </c>
      <c r="AI47" s="904">
        <f t="shared" si="54"/>
        <v>0</v>
      </c>
      <c r="AJ47" s="904">
        <f t="shared" si="50"/>
        <v>0</v>
      </c>
      <c r="AL47" s="2034">
        <f>-'[4]Table 5C1L-Northshore Charter'!P46</f>
        <v>0</v>
      </c>
      <c r="AM47" s="2034">
        <f t="shared" si="55"/>
        <v>0</v>
      </c>
      <c r="AN47" s="2034">
        <f t="shared" si="51"/>
        <v>0</v>
      </c>
    </row>
    <row r="48" spans="1:40">
      <c r="A48" s="870">
        <v>41</v>
      </c>
      <c r="B48" s="871" t="s">
        <v>132</v>
      </c>
      <c r="C48" s="974">
        <v>0</v>
      </c>
      <c r="D48" s="884">
        <f>'Table 3 Levels 1&amp;2'!AL48</f>
        <v>1615.6013465627216</v>
      </c>
      <c r="E48" s="923">
        <f t="shared" si="31"/>
        <v>0</v>
      </c>
      <c r="F48" s="923">
        <f>'Table 4 Level 3'!P46</f>
        <v>886.22</v>
      </c>
      <c r="G48" s="923">
        <f t="shared" si="32"/>
        <v>0</v>
      </c>
      <c r="H48" s="907">
        <f t="shared" si="33"/>
        <v>0</v>
      </c>
      <c r="I48" s="1723">
        <f>+'[3]Oct midyear Northshore Charter'!K47</f>
        <v>0</v>
      </c>
      <c r="J48" s="1723">
        <f>'[3]Feb midyear Northshore Charter'!K47</f>
        <v>0</v>
      </c>
      <c r="K48" s="1547">
        <f t="shared" si="34"/>
        <v>0</v>
      </c>
      <c r="L48" s="1491">
        <f t="shared" si="52"/>
        <v>0</v>
      </c>
      <c r="M48" s="933">
        <f t="shared" si="36"/>
        <v>0</v>
      </c>
      <c r="N48" s="907">
        <f t="shared" si="37"/>
        <v>0</v>
      </c>
      <c r="O48" s="884">
        <v>0</v>
      </c>
      <c r="P48" s="996">
        <f t="shared" si="38"/>
        <v>0</v>
      </c>
      <c r="Q48" s="1718">
        <f>'[4]Table 5C1L-Northshore Charter'!M47+'[27]Table 5C1L-Northshore Charter'!T47+('[26]Table 5C1L-Northshore Charter'!T47*6)</f>
        <v>0</v>
      </c>
      <c r="R48" s="1723">
        <f t="shared" si="39"/>
        <v>0</v>
      </c>
      <c r="S48" s="998">
        <f t="shared" si="40"/>
        <v>0</v>
      </c>
      <c r="T48" s="1802">
        <f>'Table 5C1A-Madison Prep'!T48</f>
        <v>8964</v>
      </c>
      <c r="U48" s="999">
        <f t="shared" si="53"/>
        <v>0</v>
      </c>
      <c r="V48" s="1754">
        <f>+'[3]Oct midyear Northshore Charter'!E47</f>
        <v>0</v>
      </c>
      <c r="W48" s="1755">
        <f t="shared" si="41"/>
        <v>0</v>
      </c>
      <c r="X48" s="1754">
        <f>'[3]Feb midyear Northshore Charter'!E47</f>
        <v>0</v>
      </c>
      <c r="Y48" s="1755">
        <f t="shared" si="42"/>
        <v>0</v>
      </c>
      <c r="Z48" s="1652">
        <f t="shared" si="43"/>
        <v>0</v>
      </c>
      <c r="AA48" s="1481">
        <f t="shared" si="44"/>
        <v>0</v>
      </c>
      <c r="AB48" s="936">
        <f t="shared" si="45"/>
        <v>0</v>
      </c>
      <c r="AC48" s="874">
        <f t="shared" si="46"/>
        <v>0</v>
      </c>
      <c r="AD48" s="1829">
        <v>0</v>
      </c>
      <c r="AE48" s="874">
        <f t="shared" si="47"/>
        <v>0</v>
      </c>
      <c r="AF48" s="1829">
        <f>'[4]Table 5C1L-Northshore Charter'!T47+'[27]Table 5C1L-Northshore Charter'!AF47+('[26]Table 5C1L-Northshore Charter'!AF47*6)</f>
        <v>0</v>
      </c>
      <c r="AG48" s="1829">
        <f t="shared" si="48"/>
        <v>0</v>
      </c>
      <c r="AH48" s="1521">
        <f t="shared" si="49"/>
        <v>0</v>
      </c>
      <c r="AI48" s="875">
        <f t="shared" si="54"/>
        <v>0</v>
      </c>
      <c r="AJ48" s="875">
        <f t="shared" si="50"/>
        <v>0</v>
      </c>
      <c r="AL48" s="2034">
        <f>-'[4]Table 5C1L-Northshore Charter'!P47</f>
        <v>0</v>
      </c>
      <c r="AM48" s="2034">
        <f t="shared" si="55"/>
        <v>0</v>
      </c>
      <c r="AN48" s="2034">
        <f t="shared" si="51"/>
        <v>0</v>
      </c>
    </row>
    <row r="49" spans="1:40">
      <c r="A49" s="876">
        <v>42</v>
      </c>
      <c r="B49" s="877" t="s">
        <v>133</v>
      </c>
      <c r="C49" s="972">
        <v>0</v>
      </c>
      <c r="D49" s="882">
        <f>'Table 3 Levels 1&amp;2'!AL49</f>
        <v>5087.4730460987803</v>
      </c>
      <c r="E49" s="921">
        <f t="shared" si="31"/>
        <v>0</v>
      </c>
      <c r="F49" s="921">
        <f>'Table 4 Level 3'!P47</f>
        <v>534.28</v>
      </c>
      <c r="G49" s="921">
        <f t="shared" si="32"/>
        <v>0</v>
      </c>
      <c r="H49" s="905">
        <f t="shared" si="33"/>
        <v>0</v>
      </c>
      <c r="I49" s="1734">
        <f>+'[3]Oct midyear Northshore Charter'!K48</f>
        <v>0</v>
      </c>
      <c r="J49" s="1734">
        <f>'[3]Feb midyear Northshore Charter'!K48</f>
        <v>0</v>
      </c>
      <c r="K49" s="1545">
        <f t="shared" si="34"/>
        <v>0</v>
      </c>
      <c r="L49" s="1489">
        <f t="shared" si="52"/>
        <v>0</v>
      </c>
      <c r="M49" s="931">
        <f t="shared" si="36"/>
        <v>0</v>
      </c>
      <c r="N49" s="905">
        <f t="shared" si="37"/>
        <v>0</v>
      </c>
      <c r="O49" s="882">
        <v>0</v>
      </c>
      <c r="P49" s="1552">
        <f t="shared" si="38"/>
        <v>0</v>
      </c>
      <c r="Q49" s="1718">
        <f>'[4]Table 5C1L-Northshore Charter'!M48+'[27]Table 5C1L-Northshore Charter'!T48+('[26]Table 5C1L-Northshore Charter'!T48*6)</f>
        <v>0</v>
      </c>
      <c r="R49" s="1734">
        <f t="shared" si="39"/>
        <v>0</v>
      </c>
      <c r="S49" s="998">
        <f t="shared" si="40"/>
        <v>0</v>
      </c>
      <c r="T49" s="1802">
        <f>'Table 5C1A-Madison Prep'!T49</f>
        <v>3535</v>
      </c>
      <c r="U49" s="1555">
        <f t="shared" si="53"/>
        <v>0</v>
      </c>
      <c r="V49" s="1758">
        <f>+'[3]Oct midyear Northshore Charter'!E48</f>
        <v>0</v>
      </c>
      <c r="W49" s="1759">
        <f t="shared" si="41"/>
        <v>0</v>
      </c>
      <c r="X49" s="1758">
        <f>'[3]Feb midyear Northshore Charter'!E48</f>
        <v>0</v>
      </c>
      <c r="Y49" s="1759">
        <f t="shared" si="42"/>
        <v>0</v>
      </c>
      <c r="Z49" s="1653">
        <f t="shared" si="43"/>
        <v>0</v>
      </c>
      <c r="AA49" s="1486">
        <f t="shared" si="44"/>
        <v>0</v>
      </c>
      <c r="AB49" s="937">
        <f t="shared" si="45"/>
        <v>0</v>
      </c>
      <c r="AC49" s="899">
        <f t="shared" si="46"/>
        <v>0</v>
      </c>
      <c r="AD49" s="1830">
        <v>0</v>
      </c>
      <c r="AE49" s="899">
        <f t="shared" si="47"/>
        <v>0</v>
      </c>
      <c r="AF49" s="1829">
        <f>'[4]Table 5C1L-Northshore Charter'!T48+'[27]Table 5C1L-Northshore Charter'!AF48+('[26]Table 5C1L-Northshore Charter'!AF48*6)</f>
        <v>0</v>
      </c>
      <c r="AG49" s="1834">
        <f t="shared" si="48"/>
        <v>0</v>
      </c>
      <c r="AH49" s="1521">
        <f t="shared" si="49"/>
        <v>0</v>
      </c>
      <c r="AI49" s="900">
        <f t="shared" si="54"/>
        <v>0</v>
      </c>
      <c r="AJ49" s="900">
        <f t="shared" si="50"/>
        <v>0</v>
      </c>
      <c r="AL49" s="2034">
        <f>-'[4]Table 5C1L-Northshore Charter'!P48</f>
        <v>0</v>
      </c>
      <c r="AM49" s="2034">
        <f t="shared" si="55"/>
        <v>0</v>
      </c>
      <c r="AN49" s="2034">
        <f t="shared" si="51"/>
        <v>0</v>
      </c>
    </row>
    <row r="50" spans="1:40">
      <c r="A50" s="876">
        <v>43</v>
      </c>
      <c r="B50" s="877" t="s">
        <v>134</v>
      </c>
      <c r="C50" s="972">
        <v>0</v>
      </c>
      <c r="D50" s="882">
        <f>'Table 3 Levels 1&amp;2'!AL50</f>
        <v>4717.8414352725031</v>
      </c>
      <c r="E50" s="921">
        <f t="shared" si="31"/>
        <v>0</v>
      </c>
      <c r="F50" s="921">
        <f>'Table 4 Level 3'!P48</f>
        <v>574.6099999999999</v>
      </c>
      <c r="G50" s="921">
        <f t="shared" si="32"/>
        <v>0</v>
      </c>
      <c r="H50" s="905">
        <f t="shared" si="33"/>
        <v>0</v>
      </c>
      <c r="I50" s="1734">
        <f>+'[3]Oct midyear Northshore Charter'!K49</f>
        <v>0</v>
      </c>
      <c r="J50" s="1734">
        <f>'[3]Feb midyear Northshore Charter'!K49</f>
        <v>0</v>
      </c>
      <c r="K50" s="1545">
        <f t="shared" si="34"/>
        <v>0</v>
      </c>
      <c r="L50" s="1489">
        <f t="shared" si="52"/>
        <v>0</v>
      </c>
      <c r="M50" s="931">
        <f t="shared" si="36"/>
        <v>0</v>
      </c>
      <c r="N50" s="905">
        <f t="shared" si="37"/>
        <v>0</v>
      </c>
      <c r="O50" s="882">
        <v>0</v>
      </c>
      <c r="P50" s="1552">
        <f t="shared" si="38"/>
        <v>0</v>
      </c>
      <c r="Q50" s="1718">
        <f>'[4]Table 5C1L-Northshore Charter'!M49+'[27]Table 5C1L-Northshore Charter'!T49+('[26]Table 5C1L-Northshore Charter'!T49*6)</f>
        <v>0</v>
      </c>
      <c r="R50" s="1734">
        <f t="shared" si="39"/>
        <v>0</v>
      </c>
      <c r="S50" s="998">
        <f t="shared" si="40"/>
        <v>0</v>
      </c>
      <c r="T50" s="1802">
        <f>'Table 5C1A-Madison Prep'!T50</f>
        <v>3593</v>
      </c>
      <c r="U50" s="1555">
        <f t="shared" si="53"/>
        <v>0</v>
      </c>
      <c r="V50" s="1758">
        <f>+'[3]Oct midyear Northshore Charter'!E49</f>
        <v>0</v>
      </c>
      <c r="W50" s="1759">
        <f t="shared" si="41"/>
        <v>0</v>
      </c>
      <c r="X50" s="1758">
        <f>'[3]Feb midyear Northshore Charter'!E49</f>
        <v>0</v>
      </c>
      <c r="Y50" s="1759">
        <f t="shared" si="42"/>
        <v>0</v>
      </c>
      <c r="Z50" s="1653">
        <f t="shared" si="43"/>
        <v>0</v>
      </c>
      <c r="AA50" s="1486">
        <f t="shared" si="44"/>
        <v>0</v>
      </c>
      <c r="AB50" s="937">
        <f t="shared" si="45"/>
        <v>0</v>
      </c>
      <c r="AC50" s="899">
        <f t="shared" si="46"/>
        <v>0</v>
      </c>
      <c r="AD50" s="1830">
        <v>0</v>
      </c>
      <c r="AE50" s="899">
        <f t="shared" si="47"/>
        <v>0</v>
      </c>
      <c r="AF50" s="1829">
        <f>'[4]Table 5C1L-Northshore Charter'!T49+'[27]Table 5C1L-Northshore Charter'!AF49+('[26]Table 5C1L-Northshore Charter'!AF49*6)</f>
        <v>0</v>
      </c>
      <c r="AG50" s="1834">
        <f t="shared" si="48"/>
        <v>0</v>
      </c>
      <c r="AH50" s="1521">
        <f t="shared" si="49"/>
        <v>0</v>
      </c>
      <c r="AI50" s="900">
        <f t="shared" si="54"/>
        <v>0</v>
      </c>
      <c r="AJ50" s="900">
        <f t="shared" si="50"/>
        <v>0</v>
      </c>
      <c r="AL50" s="2034">
        <f>-'[4]Table 5C1L-Northshore Charter'!P49</f>
        <v>0</v>
      </c>
      <c r="AM50" s="2034">
        <f t="shared" si="55"/>
        <v>0</v>
      </c>
      <c r="AN50" s="2034">
        <f t="shared" si="51"/>
        <v>0</v>
      </c>
    </row>
    <row r="51" spans="1:40">
      <c r="A51" s="876">
        <v>44</v>
      </c>
      <c r="B51" s="877" t="s">
        <v>135</v>
      </c>
      <c r="C51" s="972">
        <v>0</v>
      </c>
      <c r="D51" s="882">
        <f>'Table 3 Levels 1&amp;2'!AL51</f>
        <v>4696.6221228259064</v>
      </c>
      <c r="E51" s="921">
        <f t="shared" si="31"/>
        <v>0</v>
      </c>
      <c r="F51" s="921">
        <f>'Table 4 Level 3'!P49</f>
        <v>663.16000000000008</v>
      </c>
      <c r="G51" s="921">
        <f t="shared" si="32"/>
        <v>0</v>
      </c>
      <c r="H51" s="905">
        <f t="shared" si="33"/>
        <v>0</v>
      </c>
      <c r="I51" s="1734">
        <f>+'[3]Oct midyear Northshore Charter'!K50</f>
        <v>0</v>
      </c>
      <c r="J51" s="1734">
        <f>'[3]Feb midyear Northshore Charter'!K50</f>
        <v>0</v>
      </c>
      <c r="K51" s="1545">
        <f t="shared" si="34"/>
        <v>0</v>
      </c>
      <c r="L51" s="1489">
        <f t="shared" si="52"/>
        <v>0</v>
      </c>
      <c r="M51" s="931">
        <f t="shared" si="36"/>
        <v>0</v>
      </c>
      <c r="N51" s="905">
        <f t="shared" si="37"/>
        <v>0</v>
      </c>
      <c r="O51" s="882">
        <v>0</v>
      </c>
      <c r="P51" s="1552">
        <f t="shared" si="38"/>
        <v>0</v>
      </c>
      <c r="Q51" s="1718">
        <f>'[4]Table 5C1L-Northshore Charter'!M50+'[27]Table 5C1L-Northshore Charter'!T50+('[26]Table 5C1L-Northshore Charter'!T50*6)</f>
        <v>0</v>
      </c>
      <c r="R51" s="1734">
        <f t="shared" si="39"/>
        <v>0</v>
      </c>
      <c r="S51" s="998">
        <f t="shared" si="40"/>
        <v>0</v>
      </c>
      <c r="T51" s="1802">
        <f>'Table 5C1A-Madison Prep'!T51</f>
        <v>4323</v>
      </c>
      <c r="U51" s="1555">
        <f t="shared" si="53"/>
        <v>0</v>
      </c>
      <c r="V51" s="1758">
        <f>+'[3]Oct midyear Northshore Charter'!E50</f>
        <v>0</v>
      </c>
      <c r="W51" s="1759">
        <f t="shared" si="41"/>
        <v>0</v>
      </c>
      <c r="X51" s="1758">
        <f>'[3]Feb midyear Northshore Charter'!E50</f>
        <v>0</v>
      </c>
      <c r="Y51" s="1759">
        <f t="shared" si="42"/>
        <v>0</v>
      </c>
      <c r="Z51" s="1653">
        <f t="shared" si="43"/>
        <v>0</v>
      </c>
      <c r="AA51" s="1486">
        <f t="shared" si="44"/>
        <v>0</v>
      </c>
      <c r="AB51" s="937">
        <f t="shared" si="45"/>
        <v>0</v>
      </c>
      <c r="AC51" s="899">
        <f t="shared" si="46"/>
        <v>0</v>
      </c>
      <c r="AD51" s="1830">
        <v>0</v>
      </c>
      <c r="AE51" s="899">
        <f t="shared" si="47"/>
        <v>0</v>
      </c>
      <c r="AF51" s="1829">
        <f>'[4]Table 5C1L-Northshore Charter'!T50+'[27]Table 5C1L-Northshore Charter'!AF50+('[26]Table 5C1L-Northshore Charter'!AF50*6)</f>
        <v>0</v>
      </c>
      <c r="AG51" s="1834">
        <f t="shared" si="48"/>
        <v>0</v>
      </c>
      <c r="AH51" s="1521">
        <f t="shared" si="49"/>
        <v>0</v>
      </c>
      <c r="AI51" s="900">
        <f t="shared" si="54"/>
        <v>0</v>
      </c>
      <c r="AJ51" s="900">
        <f t="shared" si="50"/>
        <v>0</v>
      </c>
      <c r="AL51" s="2034">
        <f>-'[4]Table 5C1L-Northshore Charter'!P50</f>
        <v>0</v>
      </c>
      <c r="AM51" s="2034">
        <f t="shared" si="55"/>
        <v>0</v>
      </c>
      <c r="AN51" s="2034">
        <f t="shared" si="51"/>
        <v>0</v>
      </c>
    </row>
    <row r="52" spans="1:40">
      <c r="A52" s="879">
        <v>45</v>
      </c>
      <c r="B52" s="880" t="s">
        <v>136</v>
      </c>
      <c r="C52" s="973">
        <v>0</v>
      </c>
      <c r="D52" s="883">
        <f>'Table 3 Levels 1&amp;2'!AL52</f>
        <v>2192.4914538932262</v>
      </c>
      <c r="E52" s="922">
        <f t="shared" si="31"/>
        <v>0</v>
      </c>
      <c r="F52" s="922">
        <f>'Table 4 Level 3'!P50</f>
        <v>753.96000000000015</v>
      </c>
      <c r="G52" s="922">
        <f t="shared" si="32"/>
        <v>0</v>
      </c>
      <c r="H52" s="906">
        <f t="shared" si="33"/>
        <v>0</v>
      </c>
      <c r="I52" s="1735">
        <f>+'[3]Oct midyear Northshore Charter'!K51</f>
        <v>0</v>
      </c>
      <c r="J52" s="1735">
        <f>'[3]Feb midyear Northshore Charter'!K51</f>
        <v>0</v>
      </c>
      <c r="K52" s="1546">
        <f t="shared" si="34"/>
        <v>0</v>
      </c>
      <c r="L52" s="1490">
        <f t="shared" si="52"/>
        <v>0</v>
      </c>
      <c r="M52" s="932">
        <f t="shared" si="36"/>
        <v>0</v>
      </c>
      <c r="N52" s="906">
        <f t="shared" si="37"/>
        <v>0</v>
      </c>
      <c r="O52" s="883">
        <v>0</v>
      </c>
      <c r="P52" s="1553">
        <f t="shared" si="38"/>
        <v>0</v>
      </c>
      <c r="Q52" s="1804">
        <f>'[4]Table 5C1L-Northshore Charter'!M51+'[27]Table 5C1L-Northshore Charter'!T51+('[26]Table 5C1L-Northshore Charter'!T51*6)</f>
        <v>0</v>
      </c>
      <c r="R52" s="1735">
        <f t="shared" si="39"/>
        <v>0</v>
      </c>
      <c r="S52" s="1806">
        <f t="shared" si="40"/>
        <v>0</v>
      </c>
      <c r="T52" s="1807">
        <f>'Table 5C1A-Madison Prep'!T52</f>
        <v>12792</v>
      </c>
      <c r="U52" s="1556">
        <f t="shared" si="53"/>
        <v>0</v>
      </c>
      <c r="V52" s="1762">
        <f>+'[3]Oct midyear Northshore Charter'!E51</f>
        <v>0</v>
      </c>
      <c r="W52" s="1763">
        <f t="shared" si="41"/>
        <v>0</v>
      </c>
      <c r="X52" s="1762">
        <f>'[3]Feb midyear Northshore Charter'!E51</f>
        <v>0</v>
      </c>
      <c r="Y52" s="1763">
        <f t="shared" si="42"/>
        <v>0</v>
      </c>
      <c r="Z52" s="1654">
        <f t="shared" si="43"/>
        <v>0</v>
      </c>
      <c r="AA52" s="1488">
        <f t="shared" si="44"/>
        <v>0</v>
      </c>
      <c r="AB52" s="938">
        <f t="shared" si="45"/>
        <v>0</v>
      </c>
      <c r="AC52" s="903">
        <f t="shared" si="46"/>
        <v>0</v>
      </c>
      <c r="AD52" s="1831">
        <v>0</v>
      </c>
      <c r="AE52" s="903">
        <f t="shared" si="47"/>
        <v>0</v>
      </c>
      <c r="AF52" s="1837">
        <f>'[4]Table 5C1L-Northshore Charter'!T51+'[27]Table 5C1L-Northshore Charter'!AF51+('[26]Table 5C1L-Northshore Charter'!AF51*6)</f>
        <v>0</v>
      </c>
      <c r="AG52" s="1835">
        <f t="shared" si="48"/>
        <v>0</v>
      </c>
      <c r="AH52" s="1530">
        <f t="shared" si="49"/>
        <v>0</v>
      </c>
      <c r="AI52" s="904">
        <f t="shared" si="54"/>
        <v>0</v>
      </c>
      <c r="AJ52" s="904">
        <f t="shared" si="50"/>
        <v>0</v>
      </c>
      <c r="AL52" s="2034">
        <f>-'[4]Table 5C1L-Northshore Charter'!P51</f>
        <v>0</v>
      </c>
      <c r="AM52" s="2034">
        <f t="shared" si="55"/>
        <v>0</v>
      </c>
      <c r="AN52" s="2034">
        <f t="shared" si="51"/>
        <v>0</v>
      </c>
    </row>
    <row r="53" spans="1:40">
      <c r="A53" s="870">
        <v>46</v>
      </c>
      <c r="B53" s="871" t="s">
        <v>137</v>
      </c>
      <c r="C53" s="974">
        <v>0</v>
      </c>
      <c r="D53" s="884">
        <f>'Table 3 Levels 1&amp;2'!AL53</f>
        <v>5644.6599115241634</v>
      </c>
      <c r="E53" s="923">
        <f t="shared" si="31"/>
        <v>0</v>
      </c>
      <c r="F53" s="923">
        <f>'Table 4 Level 3'!P51</f>
        <v>728.06</v>
      </c>
      <c r="G53" s="923">
        <f t="shared" si="32"/>
        <v>0</v>
      </c>
      <c r="H53" s="907">
        <f t="shared" si="33"/>
        <v>0</v>
      </c>
      <c r="I53" s="1723">
        <f>+'[3]Oct midyear Northshore Charter'!K52</f>
        <v>0</v>
      </c>
      <c r="J53" s="1723">
        <f>'[3]Feb midyear Northshore Charter'!K52</f>
        <v>0</v>
      </c>
      <c r="K53" s="1547">
        <f t="shared" si="34"/>
        <v>0</v>
      </c>
      <c r="L53" s="1491">
        <f t="shared" si="52"/>
        <v>0</v>
      </c>
      <c r="M53" s="933">
        <f t="shared" si="36"/>
        <v>0</v>
      </c>
      <c r="N53" s="907">
        <f t="shared" si="37"/>
        <v>0</v>
      </c>
      <c r="O53" s="884">
        <v>0</v>
      </c>
      <c r="P53" s="996">
        <f t="shared" si="38"/>
        <v>0</v>
      </c>
      <c r="Q53" s="1718">
        <f>'[4]Table 5C1L-Northshore Charter'!M52+'[27]Table 5C1L-Northshore Charter'!T52+('[26]Table 5C1L-Northshore Charter'!T52*6)</f>
        <v>0</v>
      </c>
      <c r="R53" s="1723">
        <f t="shared" si="39"/>
        <v>0</v>
      </c>
      <c r="S53" s="998">
        <f t="shared" si="40"/>
        <v>0</v>
      </c>
      <c r="T53" s="1802">
        <f>'Table 5C1A-Madison Prep'!T53</f>
        <v>2423</v>
      </c>
      <c r="U53" s="999">
        <f t="shared" si="53"/>
        <v>0</v>
      </c>
      <c r="V53" s="1754">
        <f>+'[3]Oct midyear Northshore Charter'!E52</f>
        <v>0</v>
      </c>
      <c r="W53" s="1755">
        <f t="shared" si="41"/>
        <v>0</v>
      </c>
      <c r="X53" s="1754">
        <f>'[3]Feb midyear Northshore Charter'!E52</f>
        <v>0</v>
      </c>
      <c r="Y53" s="1755">
        <f t="shared" si="42"/>
        <v>0</v>
      </c>
      <c r="Z53" s="1652">
        <f t="shared" si="43"/>
        <v>0</v>
      </c>
      <c r="AA53" s="1481">
        <f t="shared" si="44"/>
        <v>0</v>
      </c>
      <c r="AB53" s="936">
        <f t="shared" si="45"/>
        <v>0</v>
      </c>
      <c r="AC53" s="874">
        <f t="shared" si="46"/>
        <v>0</v>
      </c>
      <c r="AD53" s="1829">
        <v>0</v>
      </c>
      <c r="AE53" s="874">
        <f t="shared" si="47"/>
        <v>0</v>
      </c>
      <c r="AF53" s="1829">
        <f>'[4]Table 5C1L-Northshore Charter'!T52+'[27]Table 5C1L-Northshore Charter'!AF52+('[26]Table 5C1L-Northshore Charter'!AF52*6)</f>
        <v>0</v>
      </c>
      <c r="AG53" s="1829">
        <f t="shared" si="48"/>
        <v>0</v>
      </c>
      <c r="AH53" s="1521">
        <f t="shared" si="49"/>
        <v>0</v>
      </c>
      <c r="AI53" s="875">
        <f t="shared" si="54"/>
        <v>0</v>
      </c>
      <c r="AJ53" s="875">
        <f t="shared" si="50"/>
        <v>0</v>
      </c>
      <c r="AL53" s="2034">
        <f>-'[4]Table 5C1L-Northshore Charter'!P52</f>
        <v>0</v>
      </c>
      <c r="AM53" s="2034">
        <f t="shared" si="55"/>
        <v>0</v>
      </c>
      <c r="AN53" s="2034">
        <f t="shared" si="51"/>
        <v>0</v>
      </c>
    </row>
    <row r="54" spans="1:40">
      <c r="A54" s="876">
        <v>47</v>
      </c>
      <c r="B54" s="877" t="s">
        <v>138</v>
      </c>
      <c r="C54" s="972">
        <v>0</v>
      </c>
      <c r="D54" s="882">
        <f>'Table 3 Levels 1&amp;2'!AL54</f>
        <v>2731.2444076222037</v>
      </c>
      <c r="E54" s="921">
        <f t="shared" si="31"/>
        <v>0</v>
      </c>
      <c r="F54" s="921">
        <f>'Table 4 Level 3'!P52</f>
        <v>910.76</v>
      </c>
      <c r="G54" s="921">
        <f t="shared" si="32"/>
        <v>0</v>
      </c>
      <c r="H54" s="905">
        <f t="shared" si="33"/>
        <v>0</v>
      </c>
      <c r="I54" s="1734">
        <f>+'[3]Oct midyear Northshore Charter'!K53</f>
        <v>0</v>
      </c>
      <c r="J54" s="1734">
        <f>'[3]Feb midyear Northshore Charter'!K53</f>
        <v>0</v>
      </c>
      <c r="K54" s="1545">
        <f t="shared" si="34"/>
        <v>0</v>
      </c>
      <c r="L54" s="1489">
        <f t="shared" si="52"/>
        <v>0</v>
      </c>
      <c r="M54" s="931">
        <f t="shared" si="36"/>
        <v>0</v>
      </c>
      <c r="N54" s="905">
        <f t="shared" si="37"/>
        <v>0</v>
      </c>
      <c r="O54" s="882">
        <v>0</v>
      </c>
      <c r="P54" s="1552">
        <f t="shared" si="38"/>
        <v>0</v>
      </c>
      <c r="Q54" s="1718">
        <f>'[4]Table 5C1L-Northshore Charter'!M53+'[27]Table 5C1L-Northshore Charter'!T53+('[26]Table 5C1L-Northshore Charter'!T53*6)</f>
        <v>0</v>
      </c>
      <c r="R54" s="1734">
        <f t="shared" si="39"/>
        <v>0</v>
      </c>
      <c r="S54" s="998">
        <f t="shared" si="40"/>
        <v>0</v>
      </c>
      <c r="T54" s="1802">
        <f>'Table 5C1A-Madison Prep'!T54</f>
        <v>12963</v>
      </c>
      <c r="U54" s="1555">
        <f t="shared" si="53"/>
        <v>0</v>
      </c>
      <c r="V54" s="1758">
        <f>+'[3]Oct midyear Northshore Charter'!E53</f>
        <v>0</v>
      </c>
      <c r="W54" s="1759">
        <f t="shared" si="41"/>
        <v>0</v>
      </c>
      <c r="X54" s="1758">
        <f>'[3]Feb midyear Northshore Charter'!E53</f>
        <v>0</v>
      </c>
      <c r="Y54" s="1759">
        <f t="shared" si="42"/>
        <v>0</v>
      </c>
      <c r="Z54" s="1653">
        <f t="shared" si="43"/>
        <v>0</v>
      </c>
      <c r="AA54" s="1486">
        <f t="shared" si="44"/>
        <v>0</v>
      </c>
      <c r="AB54" s="937">
        <f t="shared" si="45"/>
        <v>0</v>
      </c>
      <c r="AC54" s="899">
        <f t="shared" si="46"/>
        <v>0</v>
      </c>
      <c r="AD54" s="1830">
        <v>0</v>
      </c>
      <c r="AE54" s="899">
        <f t="shared" si="47"/>
        <v>0</v>
      </c>
      <c r="AF54" s="1829">
        <f>'[4]Table 5C1L-Northshore Charter'!T53+'[27]Table 5C1L-Northshore Charter'!AF53+('[26]Table 5C1L-Northshore Charter'!AF53*6)</f>
        <v>0</v>
      </c>
      <c r="AG54" s="1834">
        <f t="shared" si="48"/>
        <v>0</v>
      </c>
      <c r="AH54" s="1521">
        <f t="shared" si="49"/>
        <v>0</v>
      </c>
      <c r="AI54" s="900">
        <f t="shared" si="54"/>
        <v>0</v>
      </c>
      <c r="AJ54" s="900">
        <f t="shared" si="50"/>
        <v>0</v>
      </c>
      <c r="AL54" s="2034">
        <f>-'[4]Table 5C1L-Northshore Charter'!P53</f>
        <v>0</v>
      </c>
      <c r="AM54" s="2034">
        <f t="shared" si="55"/>
        <v>0</v>
      </c>
      <c r="AN54" s="2034">
        <f t="shared" si="51"/>
        <v>0</v>
      </c>
    </row>
    <row r="55" spans="1:40">
      <c r="A55" s="876">
        <v>48</v>
      </c>
      <c r="B55" s="877" t="s">
        <v>195</v>
      </c>
      <c r="C55" s="972">
        <v>0</v>
      </c>
      <c r="D55" s="882">
        <f>'Table 3 Levels 1&amp;2'!AL55</f>
        <v>4272.723323083942</v>
      </c>
      <c r="E55" s="921">
        <f t="shared" si="31"/>
        <v>0</v>
      </c>
      <c r="F55" s="921">
        <f>'Table 4 Level 3'!P53</f>
        <v>871.07</v>
      </c>
      <c r="G55" s="921">
        <f t="shared" si="32"/>
        <v>0</v>
      </c>
      <c r="H55" s="905">
        <f t="shared" si="33"/>
        <v>0</v>
      </c>
      <c r="I55" s="1734">
        <f>+'[3]Oct midyear Northshore Charter'!K54</f>
        <v>0</v>
      </c>
      <c r="J55" s="1734">
        <f>'[3]Feb midyear Northshore Charter'!K54</f>
        <v>0</v>
      </c>
      <c r="K55" s="1545">
        <f t="shared" si="34"/>
        <v>0</v>
      </c>
      <c r="L55" s="1489">
        <f t="shared" si="52"/>
        <v>0</v>
      </c>
      <c r="M55" s="931">
        <f t="shared" si="36"/>
        <v>0</v>
      </c>
      <c r="N55" s="905">
        <f t="shared" si="37"/>
        <v>0</v>
      </c>
      <c r="O55" s="882">
        <v>0</v>
      </c>
      <c r="P55" s="1552">
        <f t="shared" si="38"/>
        <v>0</v>
      </c>
      <c r="Q55" s="1718">
        <f>'[4]Table 5C1L-Northshore Charter'!M54+'[27]Table 5C1L-Northshore Charter'!T54+('[26]Table 5C1L-Northshore Charter'!T54*6)</f>
        <v>0</v>
      </c>
      <c r="R55" s="1734">
        <f t="shared" si="39"/>
        <v>0</v>
      </c>
      <c r="S55" s="998">
        <f t="shared" si="40"/>
        <v>0</v>
      </c>
      <c r="T55" s="1802">
        <f>'Table 5C1A-Madison Prep'!T55</f>
        <v>6585</v>
      </c>
      <c r="U55" s="1555">
        <f t="shared" si="53"/>
        <v>0</v>
      </c>
      <c r="V55" s="1758">
        <f>+'[3]Oct midyear Northshore Charter'!E54</f>
        <v>0</v>
      </c>
      <c r="W55" s="1759">
        <f t="shared" si="41"/>
        <v>0</v>
      </c>
      <c r="X55" s="1758">
        <f>'[3]Feb midyear Northshore Charter'!E54</f>
        <v>0</v>
      </c>
      <c r="Y55" s="1759">
        <f t="shared" si="42"/>
        <v>0</v>
      </c>
      <c r="Z55" s="1653">
        <f t="shared" si="43"/>
        <v>0</v>
      </c>
      <c r="AA55" s="1486">
        <f t="shared" si="44"/>
        <v>0</v>
      </c>
      <c r="AB55" s="937">
        <f t="shared" si="45"/>
        <v>0</v>
      </c>
      <c r="AC55" s="899">
        <f t="shared" si="46"/>
        <v>0</v>
      </c>
      <c r="AD55" s="1830">
        <v>0</v>
      </c>
      <c r="AE55" s="899">
        <f t="shared" si="47"/>
        <v>0</v>
      </c>
      <c r="AF55" s="1829">
        <f>'[4]Table 5C1L-Northshore Charter'!T54+'[27]Table 5C1L-Northshore Charter'!AF54+('[26]Table 5C1L-Northshore Charter'!AF54*6)</f>
        <v>0</v>
      </c>
      <c r="AG55" s="1834">
        <f t="shared" si="48"/>
        <v>0</v>
      </c>
      <c r="AH55" s="1521">
        <f t="shared" si="49"/>
        <v>0</v>
      </c>
      <c r="AI55" s="900">
        <f t="shared" si="54"/>
        <v>0</v>
      </c>
      <c r="AJ55" s="900">
        <f t="shared" si="50"/>
        <v>0</v>
      </c>
      <c r="AL55" s="2034">
        <f>-'[4]Table 5C1L-Northshore Charter'!P54</f>
        <v>0</v>
      </c>
      <c r="AM55" s="2034">
        <f t="shared" si="55"/>
        <v>0</v>
      </c>
      <c r="AN55" s="2034">
        <f t="shared" si="51"/>
        <v>0</v>
      </c>
    </row>
    <row r="56" spans="1:40">
      <c r="A56" s="876">
        <v>49</v>
      </c>
      <c r="B56" s="877" t="s">
        <v>139</v>
      </c>
      <c r="C56" s="972">
        <v>0</v>
      </c>
      <c r="D56" s="882">
        <f>'Table 3 Levels 1&amp;2'!AL56</f>
        <v>4836.7092570332552</v>
      </c>
      <c r="E56" s="921">
        <f t="shared" si="31"/>
        <v>0</v>
      </c>
      <c r="F56" s="921">
        <f>'Table 4 Level 3'!P54</f>
        <v>574.43999999999994</v>
      </c>
      <c r="G56" s="921">
        <f t="shared" si="32"/>
        <v>0</v>
      </c>
      <c r="H56" s="905">
        <f t="shared" si="33"/>
        <v>0</v>
      </c>
      <c r="I56" s="1734">
        <f>+'[3]Oct midyear Northshore Charter'!K55</f>
        <v>0</v>
      </c>
      <c r="J56" s="1734">
        <f>'[3]Feb midyear Northshore Charter'!K55</f>
        <v>0</v>
      </c>
      <c r="K56" s="1545">
        <f t="shared" si="34"/>
        <v>0</v>
      </c>
      <c r="L56" s="1489">
        <f t="shared" si="52"/>
        <v>0</v>
      </c>
      <c r="M56" s="931">
        <f t="shared" si="36"/>
        <v>0</v>
      </c>
      <c r="N56" s="905">
        <f t="shared" si="37"/>
        <v>0</v>
      </c>
      <c r="O56" s="882">
        <v>0</v>
      </c>
      <c r="P56" s="1552">
        <f t="shared" si="38"/>
        <v>0</v>
      </c>
      <c r="Q56" s="1718">
        <f>'[4]Table 5C1L-Northshore Charter'!M55+'[27]Table 5C1L-Northshore Charter'!T55+('[26]Table 5C1L-Northshore Charter'!T55*6)</f>
        <v>0</v>
      </c>
      <c r="R56" s="1734">
        <f t="shared" si="39"/>
        <v>0</v>
      </c>
      <c r="S56" s="998">
        <f t="shared" si="40"/>
        <v>0</v>
      </c>
      <c r="T56" s="1802">
        <f>'Table 5C1A-Madison Prep'!T56</f>
        <v>2402</v>
      </c>
      <c r="U56" s="1555">
        <f t="shared" si="53"/>
        <v>0</v>
      </c>
      <c r="V56" s="1758">
        <f>+'[3]Oct midyear Northshore Charter'!E55</f>
        <v>0</v>
      </c>
      <c r="W56" s="1759">
        <f t="shared" si="41"/>
        <v>0</v>
      </c>
      <c r="X56" s="1758">
        <f>'[3]Feb midyear Northshore Charter'!E55</f>
        <v>0</v>
      </c>
      <c r="Y56" s="1759">
        <f t="shared" si="42"/>
        <v>0</v>
      </c>
      <c r="Z56" s="1653">
        <f t="shared" si="43"/>
        <v>0</v>
      </c>
      <c r="AA56" s="1486">
        <f t="shared" si="44"/>
        <v>0</v>
      </c>
      <c r="AB56" s="937">
        <f t="shared" si="45"/>
        <v>0</v>
      </c>
      <c r="AC56" s="899">
        <f t="shared" si="46"/>
        <v>0</v>
      </c>
      <c r="AD56" s="1830">
        <v>0</v>
      </c>
      <c r="AE56" s="899">
        <f t="shared" si="47"/>
        <v>0</v>
      </c>
      <c r="AF56" s="1829">
        <f>'[4]Table 5C1L-Northshore Charter'!T55+'[27]Table 5C1L-Northshore Charter'!AF55+('[26]Table 5C1L-Northshore Charter'!AF55*6)</f>
        <v>0</v>
      </c>
      <c r="AG56" s="1834">
        <f t="shared" si="48"/>
        <v>0</v>
      </c>
      <c r="AH56" s="1521">
        <f t="shared" si="49"/>
        <v>0</v>
      </c>
      <c r="AI56" s="900">
        <f t="shared" si="54"/>
        <v>0</v>
      </c>
      <c r="AJ56" s="900">
        <f t="shared" si="50"/>
        <v>0</v>
      </c>
      <c r="AL56" s="2034">
        <f>-'[4]Table 5C1L-Northshore Charter'!P55</f>
        <v>0</v>
      </c>
      <c r="AM56" s="2034">
        <f t="shared" si="55"/>
        <v>0</v>
      </c>
      <c r="AN56" s="2034">
        <f t="shared" si="51"/>
        <v>0</v>
      </c>
    </row>
    <row r="57" spans="1:40">
      <c r="A57" s="879">
        <v>50</v>
      </c>
      <c r="B57" s="880" t="s">
        <v>140</v>
      </c>
      <c r="C57" s="973">
        <v>0</v>
      </c>
      <c r="D57" s="883">
        <f>'Table 3 Levels 1&amp;2'!AL57</f>
        <v>5032.6862895017111</v>
      </c>
      <c r="E57" s="922">
        <f t="shared" si="31"/>
        <v>0</v>
      </c>
      <c r="F57" s="922">
        <f>'Table 4 Level 3'!P55</f>
        <v>634.46</v>
      </c>
      <c r="G57" s="922">
        <f t="shared" si="32"/>
        <v>0</v>
      </c>
      <c r="H57" s="906">
        <f t="shared" si="33"/>
        <v>0</v>
      </c>
      <c r="I57" s="1735">
        <f>+'[3]Oct midyear Northshore Charter'!K56</f>
        <v>0</v>
      </c>
      <c r="J57" s="1735">
        <f>'[3]Feb midyear Northshore Charter'!K56</f>
        <v>0</v>
      </c>
      <c r="K57" s="1546">
        <f t="shared" si="34"/>
        <v>0</v>
      </c>
      <c r="L57" s="1490">
        <f t="shared" si="52"/>
        <v>0</v>
      </c>
      <c r="M57" s="932">
        <f t="shared" si="36"/>
        <v>0</v>
      </c>
      <c r="N57" s="906">
        <f t="shared" si="37"/>
        <v>0</v>
      </c>
      <c r="O57" s="883">
        <v>0</v>
      </c>
      <c r="P57" s="1553">
        <f t="shared" si="38"/>
        <v>0</v>
      </c>
      <c r="Q57" s="1804">
        <f>'[4]Table 5C1L-Northshore Charter'!M56+'[27]Table 5C1L-Northshore Charter'!T56+('[26]Table 5C1L-Northshore Charter'!T56*6)</f>
        <v>0</v>
      </c>
      <c r="R57" s="1735">
        <f t="shared" si="39"/>
        <v>0</v>
      </c>
      <c r="S57" s="1806">
        <f t="shared" si="40"/>
        <v>0</v>
      </c>
      <c r="T57" s="1807">
        <f>'Table 5C1A-Madison Prep'!T57</f>
        <v>3143</v>
      </c>
      <c r="U57" s="1556">
        <f t="shared" si="53"/>
        <v>0</v>
      </c>
      <c r="V57" s="1762">
        <f>+'[3]Oct midyear Northshore Charter'!E56</f>
        <v>0</v>
      </c>
      <c r="W57" s="1763">
        <f t="shared" si="41"/>
        <v>0</v>
      </c>
      <c r="X57" s="1762">
        <f>'[3]Feb midyear Northshore Charter'!E56</f>
        <v>0</v>
      </c>
      <c r="Y57" s="1763">
        <f t="shared" si="42"/>
        <v>0</v>
      </c>
      <c r="Z57" s="1654">
        <f t="shared" si="43"/>
        <v>0</v>
      </c>
      <c r="AA57" s="1488">
        <f t="shared" si="44"/>
        <v>0</v>
      </c>
      <c r="AB57" s="938">
        <f t="shared" si="45"/>
        <v>0</v>
      </c>
      <c r="AC57" s="903">
        <f t="shared" si="46"/>
        <v>0</v>
      </c>
      <c r="AD57" s="1831">
        <v>0</v>
      </c>
      <c r="AE57" s="903">
        <f t="shared" si="47"/>
        <v>0</v>
      </c>
      <c r="AF57" s="1837">
        <f>'[4]Table 5C1L-Northshore Charter'!T56+'[27]Table 5C1L-Northshore Charter'!AF56+('[26]Table 5C1L-Northshore Charter'!AF56*6)</f>
        <v>0</v>
      </c>
      <c r="AG57" s="1835">
        <f t="shared" si="48"/>
        <v>0</v>
      </c>
      <c r="AH57" s="1530">
        <f t="shared" si="49"/>
        <v>0</v>
      </c>
      <c r="AI57" s="904">
        <f t="shared" si="54"/>
        <v>0</v>
      </c>
      <c r="AJ57" s="904">
        <f t="shared" si="50"/>
        <v>0</v>
      </c>
      <c r="AL57" s="2034">
        <f>-'[4]Table 5C1L-Northshore Charter'!P56</f>
        <v>0</v>
      </c>
      <c r="AM57" s="2034">
        <f t="shared" si="55"/>
        <v>0</v>
      </c>
      <c r="AN57" s="2034">
        <f t="shared" si="51"/>
        <v>0</v>
      </c>
    </row>
    <row r="58" spans="1:40">
      <c r="A58" s="870">
        <v>51</v>
      </c>
      <c r="B58" s="871" t="s">
        <v>141</v>
      </c>
      <c r="C58" s="974">
        <v>0</v>
      </c>
      <c r="D58" s="884">
        <f>'Table 3 Levels 1&amp;2'!AL58</f>
        <v>4246.0339872793602</v>
      </c>
      <c r="E58" s="923">
        <f t="shared" si="31"/>
        <v>0</v>
      </c>
      <c r="F58" s="923">
        <f>'Table 4 Level 3'!P56</f>
        <v>706.66</v>
      </c>
      <c r="G58" s="923">
        <f t="shared" si="32"/>
        <v>0</v>
      </c>
      <c r="H58" s="907">
        <f t="shared" si="33"/>
        <v>0</v>
      </c>
      <c r="I58" s="1723">
        <f>+'[3]Oct midyear Northshore Charter'!K57</f>
        <v>0</v>
      </c>
      <c r="J58" s="1723">
        <f>'[3]Feb midyear Northshore Charter'!K57</f>
        <v>0</v>
      </c>
      <c r="K58" s="1547">
        <f t="shared" si="34"/>
        <v>0</v>
      </c>
      <c r="L58" s="1491">
        <f t="shared" si="52"/>
        <v>0</v>
      </c>
      <c r="M58" s="933">
        <f t="shared" si="36"/>
        <v>0</v>
      </c>
      <c r="N58" s="907">
        <f t="shared" si="37"/>
        <v>0</v>
      </c>
      <c r="O58" s="884">
        <v>0</v>
      </c>
      <c r="P58" s="996">
        <f t="shared" si="38"/>
        <v>0</v>
      </c>
      <c r="Q58" s="1718">
        <f>'[4]Table 5C1L-Northshore Charter'!M57+'[27]Table 5C1L-Northshore Charter'!T57+('[26]Table 5C1L-Northshore Charter'!T57*6)</f>
        <v>0</v>
      </c>
      <c r="R58" s="1723">
        <f t="shared" si="39"/>
        <v>0</v>
      </c>
      <c r="S58" s="998">
        <f t="shared" si="40"/>
        <v>0</v>
      </c>
      <c r="T58" s="1802">
        <f>'Table 5C1A-Madison Prep'!T58</f>
        <v>4370</v>
      </c>
      <c r="U58" s="999">
        <f t="shared" si="53"/>
        <v>0</v>
      </c>
      <c r="V58" s="1754">
        <f>+'[3]Oct midyear Northshore Charter'!E57</f>
        <v>0</v>
      </c>
      <c r="W58" s="1755">
        <f t="shared" si="41"/>
        <v>0</v>
      </c>
      <c r="X58" s="1754">
        <f>'[3]Feb midyear Northshore Charter'!E57</f>
        <v>0</v>
      </c>
      <c r="Y58" s="1755">
        <f t="shared" si="42"/>
        <v>0</v>
      </c>
      <c r="Z58" s="1652">
        <f t="shared" si="43"/>
        <v>0</v>
      </c>
      <c r="AA58" s="1481">
        <f t="shared" si="44"/>
        <v>0</v>
      </c>
      <c r="AB58" s="936">
        <f t="shared" si="45"/>
        <v>0</v>
      </c>
      <c r="AC58" s="874">
        <f t="shared" si="46"/>
        <v>0</v>
      </c>
      <c r="AD58" s="1829">
        <v>0</v>
      </c>
      <c r="AE58" s="874">
        <f t="shared" si="47"/>
        <v>0</v>
      </c>
      <c r="AF58" s="1829">
        <f>'[4]Table 5C1L-Northshore Charter'!T57+'[27]Table 5C1L-Northshore Charter'!AF57+('[26]Table 5C1L-Northshore Charter'!AF57*6)</f>
        <v>0</v>
      </c>
      <c r="AG58" s="1829">
        <f t="shared" si="48"/>
        <v>0</v>
      </c>
      <c r="AH58" s="1521">
        <f t="shared" si="49"/>
        <v>0</v>
      </c>
      <c r="AI58" s="875">
        <f t="shared" si="54"/>
        <v>0</v>
      </c>
      <c r="AJ58" s="875">
        <f t="shared" si="50"/>
        <v>0</v>
      </c>
      <c r="AL58" s="2034">
        <f>-'[4]Table 5C1L-Northshore Charter'!P57</f>
        <v>0</v>
      </c>
      <c r="AM58" s="2034">
        <f t="shared" si="55"/>
        <v>0</v>
      </c>
      <c r="AN58" s="2034">
        <f t="shared" si="51"/>
        <v>0</v>
      </c>
    </row>
    <row r="59" spans="1:40">
      <c r="A59" s="876">
        <v>52</v>
      </c>
      <c r="B59" s="877" t="s">
        <v>142</v>
      </c>
      <c r="C59" s="972">
        <v>0</v>
      </c>
      <c r="D59" s="882">
        <f>'Table 3 Levels 1&amp;2'!AL59</f>
        <v>5013.4438050113249</v>
      </c>
      <c r="E59" s="921">
        <f t="shared" si="31"/>
        <v>0</v>
      </c>
      <c r="F59" s="921">
        <f>'Table 4 Level 3'!P57</f>
        <v>658.37</v>
      </c>
      <c r="G59" s="921">
        <f t="shared" si="32"/>
        <v>0</v>
      </c>
      <c r="H59" s="905">
        <f t="shared" si="33"/>
        <v>0</v>
      </c>
      <c r="I59" s="1734">
        <f>+'[3]Oct midyear Northshore Charter'!K58</f>
        <v>0</v>
      </c>
      <c r="J59" s="1734">
        <f>'[3]Feb midyear Northshore Charter'!K58</f>
        <v>0</v>
      </c>
      <c r="K59" s="1545">
        <f t="shared" si="34"/>
        <v>0</v>
      </c>
      <c r="L59" s="1489">
        <f t="shared" si="52"/>
        <v>0</v>
      </c>
      <c r="M59" s="931">
        <f t="shared" si="36"/>
        <v>0</v>
      </c>
      <c r="N59" s="905">
        <f t="shared" si="37"/>
        <v>0</v>
      </c>
      <c r="O59" s="882">
        <v>0</v>
      </c>
      <c r="P59" s="1552">
        <f t="shared" si="38"/>
        <v>0</v>
      </c>
      <c r="Q59" s="1718">
        <f>'[4]Table 5C1L-Northshore Charter'!M58+'[27]Table 5C1L-Northshore Charter'!T58+('[26]Table 5C1L-Northshore Charter'!T58*6)</f>
        <v>0</v>
      </c>
      <c r="R59" s="1734">
        <f t="shared" si="39"/>
        <v>0</v>
      </c>
      <c r="S59" s="998">
        <f t="shared" si="40"/>
        <v>0</v>
      </c>
      <c r="T59" s="1802">
        <f>'Table 5C1A-Madison Prep'!T59</f>
        <v>5143</v>
      </c>
      <c r="U59" s="1555">
        <f t="shared" si="53"/>
        <v>0</v>
      </c>
      <c r="V59" s="1758">
        <f>+'[3]Oct midyear Northshore Charter'!E58</f>
        <v>0</v>
      </c>
      <c r="W59" s="1759">
        <f t="shared" si="41"/>
        <v>0</v>
      </c>
      <c r="X59" s="1758">
        <f>'[3]Feb midyear Northshore Charter'!E58</f>
        <v>0</v>
      </c>
      <c r="Y59" s="1759">
        <f t="shared" si="42"/>
        <v>0</v>
      </c>
      <c r="Z59" s="1653">
        <f t="shared" si="43"/>
        <v>0</v>
      </c>
      <c r="AA59" s="1486">
        <f t="shared" si="44"/>
        <v>0</v>
      </c>
      <c r="AB59" s="937">
        <f t="shared" si="45"/>
        <v>0</v>
      </c>
      <c r="AC59" s="899">
        <f t="shared" si="46"/>
        <v>0</v>
      </c>
      <c r="AD59" s="1830">
        <v>0</v>
      </c>
      <c r="AE59" s="899">
        <f t="shared" si="47"/>
        <v>0</v>
      </c>
      <c r="AF59" s="1829">
        <f>'[4]Table 5C1L-Northshore Charter'!T58+'[27]Table 5C1L-Northshore Charter'!AF58+('[26]Table 5C1L-Northshore Charter'!AF58*6)</f>
        <v>0</v>
      </c>
      <c r="AG59" s="1834">
        <f t="shared" si="48"/>
        <v>0</v>
      </c>
      <c r="AH59" s="1521">
        <f t="shared" si="49"/>
        <v>0</v>
      </c>
      <c r="AI59" s="900">
        <f t="shared" si="54"/>
        <v>0</v>
      </c>
      <c r="AJ59" s="900">
        <f t="shared" si="50"/>
        <v>0</v>
      </c>
      <c r="AL59" s="2034">
        <f>-'[4]Table 5C1L-Northshore Charter'!P58</f>
        <v>0</v>
      </c>
      <c r="AM59" s="2034">
        <f t="shared" si="55"/>
        <v>0</v>
      </c>
      <c r="AN59" s="2034">
        <f t="shared" si="51"/>
        <v>0</v>
      </c>
    </row>
    <row r="60" spans="1:40">
      <c r="A60" s="876">
        <v>53</v>
      </c>
      <c r="B60" s="877" t="s">
        <v>143</v>
      </c>
      <c r="C60" s="972">
        <v>0</v>
      </c>
      <c r="D60" s="882">
        <f>'Table 3 Levels 1&amp;2'!AL60</f>
        <v>4775.5877635581091</v>
      </c>
      <c r="E60" s="921">
        <f t="shared" si="31"/>
        <v>0</v>
      </c>
      <c r="F60" s="921">
        <f>'Table 4 Level 3'!P58</f>
        <v>689.74</v>
      </c>
      <c r="G60" s="921">
        <f t="shared" si="32"/>
        <v>0</v>
      </c>
      <c r="H60" s="905">
        <f t="shared" si="33"/>
        <v>0</v>
      </c>
      <c r="I60" s="1734">
        <f>+'[3]Oct midyear Northshore Charter'!K59</f>
        <v>0</v>
      </c>
      <c r="J60" s="1734">
        <f>'[3]Feb midyear Northshore Charter'!K59</f>
        <v>0</v>
      </c>
      <c r="K60" s="1545">
        <f t="shared" si="34"/>
        <v>0</v>
      </c>
      <c r="L60" s="1489">
        <f t="shared" si="52"/>
        <v>0</v>
      </c>
      <c r="M60" s="931">
        <f t="shared" si="36"/>
        <v>0</v>
      </c>
      <c r="N60" s="905">
        <f t="shared" si="37"/>
        <v>0</v>
      </c>
      <c r="O60" s="882">
        <v>0</v>
      </c>
      <c r="P60" s="1552">
        <f t="shared" si="38"/>
        <v>0</v>
      </c>
      <c r="Q60" s="1718">
        <f>'[4]Table 5C1L-Northshore Charter'!M59+'[27]Table 5C1L-Northshore Charter'!T59+('[26]Table 5C1L-Northshore Charter'!T59*6)</f>
        <v>0</v>
      </c>
      <c r="R60" s="1734">
        <f t="shared" si="39"/>
        <v>0</v>
      </c>
      <c r="S60" s="998">
        <f t="shared" si="40"/>
        <v>0</v>
      </c>
      <c r="T60" s="1802">
        <f>'Table 5C1A-Madison Prep'!T60</f>
        <v>2109</v>
      </c>
      <c r="U60" s="1555">
        <f t="shared" si="53"/>
        <v>0</v>
      </c>
      <c r="V60" s="1758">
        <f>+'[3]Oct midyear Northshore Charter'!E59</f>
        <v>0</v>
      </c>
      <c r="W60" s="1759">
        <f t="shared" si="41"/>
        <v>0</v>
      </c>
      <c r="X60" s="1758">
        <f>'[3]Feb midyear Northshore Charter'!E59</f>
        <v>0</v>
      </c>
      <c r="Y60" s="1759">
        <f t="shared" si="42"/>
        <v>0</v>
      </c>
      <c r="Z60" s="1653">
        <f t="shared" si="43"/>
        <v>0</v>
      </c>
      <c r="AA60" s="1486">
        <f t="shared" si="44"/>
        <v>0</v>
      </c>
      <c r="AB60" s="937">
        <f t="shared" si="45"/>
        <v>0</v>
      </c>
      <c r="AC60" s="899">
        <f t="shared" si="46"/>
        <v>0</v>
      </c>
      <c r="AD60" s="1830">
        <v>0</v>
      </c>
      <c r="AE60" s="899">
        <f t="shared" si="47"/>
        <v>0</v>
      </c>
      <c r="AF60" s="1829">
        <f>'[4]Table 5C1L-Northshore Charter'!T59+'[27]Table 5C1L-Northshore Charter'!AF59+('[26]Table 5C1L-Northshore Charter'!AF59*6)</f>
        <v>0</v>
      </c>
      <c r="AG60" s="1834">
        <f t="shared" si="48"/>
        <v>0</v>
      </c>
      <c r="AH60" s="1521">
        <f t="shared" si="49"/>
        <v>0</v>
      </c>
      <c r="AI60" s="900">
        <f t="shared" si="54"/>
        <v>0</v>
      </c>
      <c r="AJ60" s="900">
        <f t="shared" si="50"/>
        <v>0</v>
      </c>
      <c r="AL60" s="2034">
        <f>-'[4]Table 5C1L-Northshore Charter'!P59</f>
        <v>0</v>
      </c>
      <c r="AM60" s="2034">
        <f t="shared" si="55"/>
        <v>0</v>
      </c>
      <c r="AN60" s="2034">
        <f t="shared" si="51"/>
        <v>0</v>
      </c>
    </row>
    <row r="61" spans="1:40">
      <c r="A61" s="876">
        <v>54</v>
      </c>
      <c r="B61" s="877" t="s">
        <v>144</v>
      </c>
      <c r="C61" s="972">
        <v>0</v>
      </c>
      <c r="D61" s="882">
        <f>'Table 3 Levels 1&amp;2'!AL61</f>
        <v>5951.8009386275662</v>
      </c>
      <c r="E61" s="921">
        <f t="shared" si="31"/>
        <v>0</v>
      </c>
      <c r="F61" s="921">
        <f>'Table 4 Level 3'!P59</f>
        <v>951.45</v>
      </c>
      <c r="G61" s="921">
        <f t="shared" si="32"/>
        <v>0</v>
      </c>
      <c r="H61" s="905">
        <f t="shared" si="33"/>
        <v>0</v>
      </c>
      <c r="I61" s="1734">
        <f>+'[3]Oct midyear Northshore Charter'!K60</f>
        <v>0</v>
      </c>
      <c r="J61" s="1734">
        <f>'[3]Feb midyear Northshore Charter'!K60</f>
        <v>0</v>
      </c>
      <c r="K61" s="1545">
        <f t="shared" si="34"/>
        <v>0</v>
      </c>
      <c r="L61" s="1489">
        <f t="shared" si="52"/>
        <v>0</v>
      </c>
      <c r="M61" s="931">
        <f t="shared" si="36"/>
        <v>0</v>
      </c>
      <c r="N61" s="905">
        <f t="shared" si="37"/>
        <v>0</v>
      </c>
      <c r="O61" s="882">
        <v>0</v>
      </c>
      <c r="P61" s="1552">
        <f t="shared" si="38"/>
        <v>0</v>
      </c>
      <c r="Q61" s="1718">
        <f>'[4]Table 5C1L-Northshore Charter'!M60+'[27]Table 5C1L-Northshore Charter'!T60+('[26]Table 5C1L-Northshore Charter'!T60*6)</f>
        <v>0</v>
      </c>
      <c r="R61" s="1734">
        <f t="shared" si="39"/>
        <v>0</v>
      </c>
      <c r="S61" s="998">
        <f t="shared" si="40"/>
        <v>0</v>
      </c>
      <c r="T61" s="1802">
        <f>'Table 5C1A-Madison Prep'!T61</f>
        <v>3760</v>
      </c>
      <c r="U61" s="1555">
        <f t="shared" si="53"/>
        <v>0</v>
      </c>
      <c r="V61" s="1758">
        <f>+'[3]Oct midyear Northshore Charter'!E60</f>
        <v>0</v>
      </c>
      <c r="W61" s="1759">
        <f t="shared" si="41"/>
        <v>0</v>
      </c>
      <c r="X61" s="1758">
        <f>'[3]Feb midyear Northshore Charter'!E60</f>
        <v>0</v>
      </c>
      <c r="Y61" s="1759">
        <f t="shared" si="42"/>
        <v>0</v>
      </c>
      <c r="Z61" s="1653">
        <f t="shared" si="43"/>
        <v>0</v>
      </c>
      <c r="AA61" s="1486">
        <f t="shared" si="44"/>
        <v>0</v>
      </c>
      <c r="AB61" s="937">
        <f t="shared" si="45"/>
        <v>0</v>
      </c>
      <c r="AC61" s="899">
        <f t="shared" si="46"/>
        <v>0</v>
      </c>
      <c r="AD61" s="1830">
        <v>0</v>
      </c>
      <c r="AE61" s="899">
        <f t="shared" si="47"/>
        <v>0</v>
      </c>
      <c r="AF61" s="1829">
        <f>'[4]Table 5C1L-Northshore Charter'!T60+'[27]Table 5C1L-Northshore Charter'!AF60+('[26]Table 5C1L-Northshore Charter'!AF60*6)</f>
        <v>0</v>
      </c>
      <c r="AG61" s="1834">
        <f t="shared" si="48"/>
        <v>0</v>
      </c>
      <c r="AH61" s="1521">
        <f t="shared" si="49"/>
        <v>0</v>
      </c>
      <c r="AI61" s="900">
        <f t="shared" si="54"/>
        <v>0</v>
      </c>
      <c r="AJ61" s="900">
        <f t="shared" si="50"/>
        <v>0</v>
      </c>
      <c r="AL61" s="2034">
        <f>-'[4]Table 5C1L-Northshore Charter'!P60</f>
        <v>0</v>
      </c>
      <c r="AM61" s="2034">
        <f t="shared" si="55"/>
        <v>0</v>
      </c>
      <c r="AN61" s="2034">
        <f t="shared" si="51"/>
        <v>0</v>
      </c>
    </row>
    <row r="62" spans="1:40">
      <c r="A62" s="879">
        <v>55</v>
      </c>
      <c r="B62" s="880" t="s">
        <v>145</v>
      </c>
      <c r="C62" s="973">
        <v>0</v>
      </c>
      <c r="D62" s="883">
        <f>'Table 3 Levels 1&amp;2'!AL62</f>
        <v>4171.0434735233157</v>
      </c>
      <c r="E62" s="922">
        <f t="shared" si="31"/>
        <v>0</v>
      </c>
      <c r="F62" s="922">
        <f>'Table 4 Level 3'!P60</f>
        <v>795.14</v>
      </c>
      <c r="G62" s="922">
        <f t="shared" si="32"/>
        <v>0</v>
      </c>
      <c r="H62" s="906">
        <f t="shared" si="33"/>
        <v>0</v>
      </c>
      <c r="I62" s="1735">
        <f>+'[3]Oct midyear Northshore Charter'!K61</f>
        <v>0</v>
      </c>
      <c r="J62" s="1735">
        <f>'[3]Feb midyear Northshore Charter'!K61</f>
        <v>0</v>
      </c>
      <c r="K62" s="1546">
        <f t="shared" si="34"/>
        <v>0</v>
      </c>
      <c r="L62" s="1490">
        <f t="shared" si="52"/>
        <v>0</v>
      </c>
      <c r="M62" s="932">
        <f t="shared" si="36"/>
        <v>0</v>
      </c>
      <c r="N62" s="906">
        <f t="shared" si="37"/>
        <v>0</v>
      </c>
      <c r="O62" s="883">
        <v>0</v>
      </c>
      <c r="P62" s="1553">
        <f t="shared" si="38"/>
        <v>0</v>
      </c>
      <c r="Q62" s="1804">
        <f>'[4]Table 5C1L-Northshore Charter'!M61+'[27]Table 5C1L-Northshore Charter'!T61+('[26]Table 5C1L-Northshore Charter'!T61*6)</f>
        <v>0</v>
      </c>
      <c r="R62" s="1735">
        <f t="shared" si="39"/>
        <v>0</v>
      </c>
      <c r="S62" s="1806">
        <f t="shared" si="40"/>
        <v>0</v>
      </c>
      <c r="T62" s="1807">
        <f>'Table 5C1A-Madison Prep'!T62</f>
        <v>3359</v>
      </c>
      <c r="U62" s="1556">
        <f t="shared" si="53"/>
        <v>0</v>
      </c>
      <c r="V62" s="1762">
        <f>+'[3]Oct midyear Northshore Charter'!E61</f>
        <v>0</v>
      </c>
      <c r="W62" s="1763">
        <f t="shared" si="41"/>
        <v>0</v>
      </c>
      <c r="X62" s="1762">
        <f>'[3]Feb midyear Northshore Charter'!E61</f>
        <v>0</v>
      </c>
      <c r="Y62" s="1763">
        <f t="shared" si="42"/>
        <v>0</v>
      </c>
      <c r="Z62" s="1654">
        <f t="shared" si="43"/>
        <v>0</v>
      </c>
      <c r="AA62" s="1488">
        <f t="shared" si="44"/>
        <v>0</v>
      </c>
      <c r="AB62" s="938">
        <f t="shared" si="45"/>
        <v>0</v>
      </c>
      <c r="AC62" s="903">
        <f t="shared" si="46"/>
        <v>0</v>
      </c>
      <c r="AD62" s="1831">
        <v>0</v>
      </c>
      <c r="AE62" s="903">
        <f t="shared" si="47"/>
        <v>0</v>
      </c>
      <c r="AF62" s="1837">
        <f>'[4]Table 5C1L-Northshore Charter'!T61+'[27]Table 5C1L-Northshore Charter'!AF61+('[26]Table 5C1L-Northshore Charter'!AF61*6)</f>
        <v>0</v>
      </c>
      <c r="AG62" s="1835">
        <f t="shared" si="48"/>
        <v>0</v>
      </c>
      <c r="AH62" s="1530">
        <f t="shared" si="49"/>
        <v>0</v>
      </c>
      <c r="AI62" s="904">
        <f t="shared" si="54"/>
        <v>0</v>
      </c>
      <c r="AJ62" s="904">
        <f t="shared" si="50"/>
        <v>0</v>
      </c>
      <c r="AL62" s="2034">
        <f>-'[4]Table 5C1L-Northshore Charter'!P61</f>
        <v>0</v>
      </c>
      <c r="AM62" s="2034">
        <f t="shared" si="55"/>
        <v>0</v>
      </c>
      <c r="AN62" s="2034">
        <f t="shared" si="51"/>
        <v>0</v>
      </c>
    </row>
    <row r="63" spans="1:40">
      <c r="A63" s="870">
        <v>56</v>
      </c>
      <c r="B63" s="871" t="s">
        <v>146</v>
      </c>
      <c r="C63" s="974">
        <v>0</v>
      </c>
      <c r="D63" s="884">
        <f>'Table 3 Levels 1&amp;2'!AL63</f>
        <v>4968.593189672727</v>
      </c>
      <c r="E63" s="923">
        <f t="shared" si="31"/>
        <v>0</v>
      </c>
      <c r="F63" s="923">
        <f>'Table 4 Level 3'!P61</f>
        <v>614.66000000000008</v>
      </c>
      <c r="G63" s="923">
        <f t="shared" si="32"/>
        <v>0</v>
      </c>
      <c r="H63" s="907">
        <f t="shared" si="33"/>
        <v>0</v>
      </c>
      <c r="I63" s="1723">
        <f>+'[3]Oct midyear Northshore Charter'!K62</f>
        <v>0</v>
      </c>
      <c r="J63" s="1723">
        <f>'[3]Feb midyear Northshore Charter'!K62</f>
        <v>0</v>
      </c>
      <c r="K63" s="1547">
        <f t="shared" si="34"/>
        <v>0</v>
      </c>
      <c r="L63" s="1491">
        <f t="shared" si="52"/>
        <v>0</v>
      </c>
      <c r="M63" s="933">
        <f t="shared" si="36"/>
        <v>0</v>
      </c>
      <c r="N63" s="907">
        <f t="shared" si="37"/>
        <v>0</v>
      </c>
      <c r="O63" s="884">
        <v>0</v>
      </c>
      <c r="P63" s="996">
        <f t="shared" si="38"/>
        <v>0</v>
      </c>
      <c r="Q63" s="1718">
        <f>'[4]Table 5C1L-Northshore Charter'!M62+'[27]Table 5C1L-Northshore Charter'!T62+('[26]Table 5C1L-Northshore Charter'!T62*6)</f>
        <v>0</v>
      </c>
      <c r="R63" s="1723">
        <f t="shared" si="39"/>
        <v>0</v>
      </c>
      <c r="S63" s="998">
        <f t="shared" si="40"/>
        <v>0</v>
      </c>
      <c r="T63" s="1802">
        <f>'Table 5C1A-Madison Prep'!T63</f>
        <v>2853</v>
      </c>
      <c r="U63" s="999">
        <f t="shared" si="53"/>
        <v>0</v>
      </c>
      <c r="V63" s="1754">
        <f>+'[3]Oct midyear Northshore Charter'!E62</f>
        <v>0</v>
      </c>
      <c r="W63" s="1755">
        <f t="shared" si="41"/>
        <v>0</v>
      </c>
      <c r="X63" s="1754">
        <f>'[3]Feb midyear Northshore Charter'!E62</f>
        <v>0</v>
      </c>
      <c r="Y63" s="1755">
        <f t="shared" si="42"/>
        <v>0</v>
      </c>
      <c r="Z63" s="1652">
        <f t="shared" si="43"/>
        <v>0</v>
      </c>
      <c r="AA63" s="1481">
        <f t="shared" si="44"/>
        <v>0</v>
      </c>
      <c r="AB63" s="936">
        <f t="shared" si="45"/>
        <v>0</v>
      </c>
      <c r="AC63" s="874">
        <f t="shared" si="46"/>
        <v>0</v>
      </c>
      <c r="AD63" s="1829">
        <v>0</v>
      </c>
      <c r="AE63" s="874">
        <f t="shared" si="47"/>
        <v>0</v>
      </c>
      <c r="AF63" s="1829">
        <f>'[4]Table 5C1L-Northshore Charter'!T62+'[27]Table 5C1L-Northshore Charter'!AF62+('[26]Table 5C1L-Northshore Charter'!AF62*6)</f>
        <v>0</v>
      </c>
      <c r="AG63" s="1829">
        <f t="shared" si="48"/>
        <v>0</v>
      </c>
      <c r="AH63" s="1521">
        <f t="shared" si="49"/>
        <v>0</v>
      </c>
      <c r="AI63" s="875">
        <f t="shared" si="54"/>
        <v>0</v>
      </c>
      <c r="AJ63" s="875">
        <f t="shared" si="50"/>
        <v>0</v>
      </c>
      <c r="AL63" s="2034">
        <f>-'[4]Table 5C1L-Northshore Charter'!P62</f>
        <v>0</v>
      </c>
      <c r="AM63" s="2034">
        <f t="shared" si="55"/>
        <v>0</v>
      </c>
      <c r="AN63" s="2034">
        <f t="shared" si="51"/>
        <v>0</v>
      </c>
    </row>
    <row r="64" spans="1:40">
      <c r="A64" s="876">
        <v>57</v>
      </c>
      <c r="B64" s="877" t="s">
        <v>147</v>
      </c>
      <c r="C64" s="972">
        <v>0</v>
      </c>
      <c r="D64" s="882">
        <f>'Table 3 Levels 1&amp;2'!AL64</f>
        <v>4485.7073020218859</v>
      </c>
      <c r="E64" s="921">
        <f t="shared" si="31"/>
        <v>0</v>
      </c>
      <c r="F64" s="921">
        <f>'Table 4 Level 3'!P62</f>
        <v>764.51</v>
      </c>
      <c r="G64" s="921">
        <f t="shared" si="32"/>
        <v>0</v>
      </c>
      <c r="H64" s="905">
        <f t="shared" si="33"/>
        <v>0</v>
      </c>
      <c r="I64" s="1734">
        <f>+'[3]Oct midyear Northshore Charter'!K63</f>
        <v>0</v>
      </c>
      <c r="J64" s="1734">
        <f>'[3]Feb midyear Northshore Charter'!K63</f>
        <v>0</v>
      </c>
      <c r="K64" s="1545">
        <f t="shared" si="34"/>
        <v>0</v>
      </c>
      <c r="L64" s="1489">
        <f t="shared" si="52"/>
        <v>0</v>
      </c>
      <c r="M64" s="931">
        <f t="shared" si="36"/>
        <v>0</v>
      </c>
      <c r="N64" s="905">
        <f t="shared" si="37"/>
        <v>0</v>
      </c>
      <c r="O64" s="882">
        <v>0</v>
      </c>
      <c r="P64" s="1552">
        <f t="shared" si="38"/>
        <v>0</v>
      </c>
      <c r="Q64" s="1718">
        <f>'[4]Table 5C1L-Northshore Charter'!M63+'[27]Table 5C1L-Northshore Charter'!T63+('[26]Table 5C1L-Northshore Charter'!T63*6)</f>
        <v>0</v>
      </c>
      <c r="R64" s="1734">
        <f t="shared" si="39"/>
        <v>0</v>
      </c>
      <c r="S64" s="998">
        <f t="shared" si="40"/>
        <v>0</v>
      </c>
      <c r="T64" s="1802">
        <f>'Table 5C1A-Madison Prep'!T64</f>
        <v>3178</v>
      </c>
      <c r="U64" s="1555">
        <f t="shared" si="53"/>
        <v>0</v>
      </c>
      <c r="V64" s="1758">
        <f>+'[3]Oct midyear Northshore Charter'!E63</f>
        <v>0</v>
      </c>
      <c r="W64" s="1759">
        <f t="shared" si="41"/>
        <v>0</v>
      </c>
      <c r="X64" s="1758">
        <f>'[3]Feb midyear Northshore Charter'!E63</f>
        <v>0</v>
      </c>
      <c r="Y64" s="1759">
        <f t="shared" si="42"/>
        <v>0</v>
      </c>
      <c r="Z64" s="1653">
        <f t="shared" si="43"/>
        <v>0</v>
      </c>
      <c r="AA64" s="1486">
        <f t="shared" si="44"/>
        <v>0</v>
      </c>
      <c r="AB64" s="937">
        <f t="shared" si="45"/>
        <v>0</v>
      </c>
      <c r="AC64" s="899">
        <f t="shared" si="46"/>
        <v>0</v>
      </c>
      <c r="AD64" s="1830">
        <v>0</v>
      </c>
      <c r="AE64" s="899">
        <f t="shared" si="47"/>
        <v>0</v>
      </c>
      <c r="AF64" s="1829">
        <f>'[4]Table 5C1L-Northshore Charter'!T63+'[27]Table 5C1L-Northshore Charter'!AF63+('[26]Table 5C1L-Northshore Charter'!AF63*6)</f>
        <v>0</v>
      </c>
      <c r="AG64" s="1834">
        <f t="shared" si="48"/>
        <v>0</v>
      </c>
      <c r="AH64" s="1521">
        <f t="shared" si="49"/>
        <v>0</v>
      </c>
      <c r="AI64" s="900">
        <f t="shared" si="54"/>
        <v>0</v>
      </c>
      <c r="AJ64" s="900">
        <f t="shared" si="50"/>
        <v>0</v>
      </c>
      <c r="AL64" s="2034">
        <f>-'[4]Table 5C1L-Northshore Charter'!P63</f>
        <v>0</v>
      </c>
      <c r="AM64" s="2034">
        <f t="shared" si="55"/>
        <v>0</v>
      </c>
      <c r="AN64" s="2034">
        <f t="shared" si="51"/>
        <v>0</v>
      </c>
    </row>
    <row r="65" spans="1:40">
      <c r="A65" s="876">
        <v>58</v>
      </c>
      <c r="B65" s="877" t="s">
        <v>148</v>
      </c>
      <c r="C65" s="972">
        <v>0</v>
      </c>
      <c r="D65" s="882">
        <f>'Table 3 Levels 1&amp;2'!AL65</f>
        <v>5457.8662803476354</v>
      </c>
      <c r="E65" s="921">
        <f t="shared" si="31"/>
        <v>0</v>
      </c>
      <c r="F65" s="921">
        <f>'Table 4 Level 3'!P63</f>
        <v>697.04</v>
      </c>
      <c r="G65" s="921">
        <f t="shared" si="32"/>
        <v>0</v>
      </c>
      <c r="H65" s="905">
        <f t="shared" si="33"/>
        <v>0</v>
      </c>
      <c r="I65" s="1734">
        <f>+'[3]Oct midyear Northshore Charter'!K64</f>
        <v>0</v>
      </c>
      <c r="J65" s="1734">
        <f>'[3]Feb midyear Northshore Charter'!K64</f>
        <v>0</v>
      </c>
      <c r="K65" s="1545">
        <f t="shared" si="34"/>
        <v>0</v>
      </c>
      <c r="L65" s="1489">
        <f t="shared" si="52"/>
        <v>0</v>
      </c>
      <c r="M65" s="931">
        <f t="shared" si="36"/>
        <v>0</v>
      </c>
      <c r="N65" s="905">
        <f t="shared" si="37"/>
        <v>0</v>
      </c>
      <c r="O65" s="882">
        <v>0</v>
      </c>
      <c r="P65" s="1552">
        <f t="shared" si="38"/>
        <v>0</v>
      </c>
      <c r="Q65" s="1718">
        <f>'[4]Table 5C1L-Northshore Charter'!M64+'[27]Table 5C1L-Northshore Charter'!T64+('[26]Table 5C1L-Northshore Charter'!T64*6)</f>
        <v>0</v>
      </c>
      <c r="R65" s="1734">
        <f t="shared" si="39"/>
        <v>0</v>
      </c>
      <c r="S65" s="998">
        <f t="shared" si="40"/>
        <v>0</v>
      </c>
      <c r="T65" s="1802">
        <f>'Table 5C1A-Madison Prep'!T65</f>
        <v>2127</v>
      </c>
      <c r="U65" s="1555">
        <f t="shared" si="53"/>
        <v>0</v>
      </c>
      <c r="V65" s="1758">
        <f>+'[3]Oct midyear Northshore Charter'!E64</f>
        <v>0</v>
      </c>
      <c r="W65" s="1759">
        <f t="shared" si="41"/>
        <v>0</v>
      </c>
      <c r="X65" s="1758">
        <f>'[3]Feb midyear Northshore Charter'!E64</f>
        <v>0</v>
      </c>
      <c r="Y65" s="1759">
        <f t="shared" si="42"/>
        <v>0</v>
      </c>
      <c r="Z65" s="1653">
        <f t="shared" si="43"/>
        <v>0</v>
      </c>
      <c r="AA65" s="1486">
        <f t="shared" si="44"/>
        <v>0</v>
      </c>
      <c r="AB65" s="937">
        <f t="shared" si="45"/>
        <v>0</v>
      </c>
      <c r="AC65" s="899">
        <f t="shared" si="46"/>
        <v>0</v>
      </c>
      <c r="AD65" s="1830">
        <v>0</v>
      </c>
      <c r="AE65" s="899">
        <f t="shared" si="47"/>
        <v>0</v>
      </c>
      <c r="AF65" s="1829">
        <f>'[4]Table 5C1L-Northshore Charter'!T64+'[27]Table 5C1L-Northshore Charter'!AF64+('[26]Table 5C1L-Northshore Charter'!AF64*6)</f>
        <v>0</v>
      </c>
      <c r="AG65" s="1834">
        <f t="shared" si="48"/>
        <v>0</v>
      </c>
      <c r="AH65" s="1521">
        <f t="shared" si="49"/>
        <v>0</v>
      </c>
      <c r="AI65" s="900">
        <f t="shared" si="54"/>
        <v>0</v>
      </c>
      <c r="AJ65" s="900">
        <f t="shared" si="50"/>
        <v>0</v>
      </c>
      <c r="AL65" s="2034">
        <f>-'[4]Table 5C1L-Northshore Charter'!P64</f>
        <v>0</v>
      </c>
      <c r="AM65" s="2034">
        <f t="shared" si="55"/>
        <v>0</v>
      </c>
      <c r="AN65" s="2034">
        <f t="shared" si="51"/>
        <v>0</v>
      </c>
    </row>
    <row r="66" spans="1:40">
      <c r="A66" s="876">
        <v>59</v>
      </c>
      <c r="B66" s="877" t="s">
        <v>149</v>
      </c>
      <c r="C66" s="972">
        <v>115</v>
      </c>
      <c r="D66" s="882">
        <f>'Table 3 Levels 1&amp;2'!AL66</f>
        <v>6274.2786338006481</v>
      </c>
      <c r="E66" s="921">
        <f t="shared" si="31"/>
        <v>721542.04288707452</v>
      </c>
      <c r="F66" s="921">
        <f>'Table 4 Level 3'!P64</f>
        <v>689.52</v>
      </c>
      <c r="G66" s="921">
        <f t="shared" si="32"/>
        <v>79294.8</v>
      </c>
      <c r="H66" s="905">
        <f t="shared" si="33"/>
        <v>800836.84288707457</v>
      </c>
      <c r="I66" s="1734">
        <f>+'[3]Oct midyear Northshore Charter'!K65</f>
        <v>-772981.64835187199</v>
      </c>
      <c r="J66" s="1734">
        <f>'[3]Feb midyear Northshore Charter'!K65</f>
        <v>27855.194535202594</v>
      </c>
      <c r="K66" s="1545">
        <f t="shared" si="34"/>
        <v>-745126.45381666941</v>
      </c>
      <c r="L66" s="1489">
        <f t="shared" si="52"/>
        <v>55710.389070405159</v>
      </c>
      <c r="M66" s="931">
        <f t="shared" si="36"/>
        <v>-139.27597267601291</v>
      </c>
      <c r="N66" s="905">
        <f t="shared" si="37"/>
        <v>55571.113097729147</v>
      </c>
      <c r="O66" s="882">
        <v>0</v>
      </c>
      <c r="P66" s="1552">
        <f t="shared" si="38"/>
        <v>55571.113097729147</v>
      </c>
      <c r="Q66" s="1718">
        <f>'[4]Table 5C1L-Northshore Charter'!M65+'[27]Table 5C1L-Northshore Charter'!T65+('[26]Table 5C1L-Northshore Charter'!T65*6)</f>
        <v>93165.813094905083</v>
      </c>
      <c r="R66" s="1734">
        <f t="shared" si="39"/>
        <v>-37594.699997175936</v>
      </c>
      <c r="S66" s="998">
        <f t="shared" si="40"/>
        <v>-9399</v>
      </c>
      <c r="T66" s="1802">
        <f>'Table 5C1A-Madison Prep'!T66</f>
        <v>1729</v>
      </c>
      <c r="U66" s="1555">
        <f t="shared" si="53"/>
        <v>198835</v>
      </c>
      <c r="V66" s="1758">
        <f>+'[3]Oct midyear Northshore Charter'!E65</f>
        <v>-111</v>
      </c>
      <c r="W66" s="1759">
        <f t="shared" si="41"/>
        <v>-191919</v>
      </c>
      <c r="X66" s="1758">
        <f>'[3]Feb midyear Northshore Charter'!E65</f>
        <v>8</v>
      </c>
      <c r="Y66" s="1759">
        <f t="shared" si="42"/>
        <v>6916</v>
      </c>
      <c r="Z66" s="1653">
        <f t="shared" si="43"/>
        <v>-185003</v>
      </c>
      <c r="AA66" s="1486">
        <f t="shared" si="44"/>
        <v>13832</v>
      </c>
      <c r="AB66" s="937">
        <f t="shared" si="45"/>
        <v>-34.58</v>
      </c>
      <c r="AC66" s="899">
        <f t="shared" si="46"/>
        <v>13797.42</v>
      </c>
      <c r="AD66" s="1830">
        <v>0</v>
      </c>
      <c r="AE66" s="899">
        <f t="shared" si="47"/>
        <v>13797.42</v>
      </c>
      <c r="AF66" s="1829">
        <f>'[4]Table 5C1L-Northshore Charter'!T65+'[27]Table 5C1L-Northshore Charter'!AF65+('[26]Table 5C1L-Northshore Charter'!AF65*6)</f>
        <v>20201.672272727272</v>
      </c>
      <c r="AG66" s="1834">
        <f t="shared" si="48"/>
        <v>-6404.2522727272717</v>
      </c>
      <c r="AH66" s="1521">
        <f t="shared" si="49"/>
        <v>-1601</v>
      </c>
      <c r="AI66" s="900">
        <f t="shared" si="54"/>
        <v>69368.533097729145</v>
      </c>
      <c r="AJ66" s="900">
        <f t="shared" si="50"/>
        <v>-11000</v>
      </c>
      <c r="AL66" s="2034">
        <f>-'[4]Table 5C1L-Northshore Charter'!P65</f>
        <v>434.125</v>
      </c>
      <c r="AM66" s="2034">
        <f t="shared" si="55"/>
        <v>-34.58</v>
      </c>
      <c r="AN66" s="2034">
        <f t="shared" si="51"/>
        <v>399.54500000000002</v>
      </c>
    </row>
    <row r="67" spans="1:40">
      <c r="A67" s="879">
        <v>60</v>
      </c>
      <c r="B67" s="880" t="s">
        <v>150</v>
      </c>
      <c r="C67" s="973">
        <v>0</v>
      </c>
      <c r="D67" s="883">
        <f>'Table 3 Levels 1&amp;2'!AL67</f>
        <v>4940.9166775610411</v>
      </c>
      <c r="E67" s="922">
        <f t="shared" si="31"/>
        <v>0</v>
      </c>
      <c r="F67" s="922">
        <f>'Table 4 Level 3'!P65</f>
        <v>594.04</v>
      </c>
      <c r="G67" s="922">
        <f t="shared" si="32"/>
        <v>0</v>
      </c>
      <c r="H67" s="906">
        <f t="shared" si="33"/>
        <v>0</v>
      </c>
      <c r="I67" s="1735">
        <f>+'[3]Oct midyear Northshore Charter'!K66</f>
        <v>0</v>
      </c>
      <c r="J67" s="1735">
        <f>'[3]Feb midyear Northshore Charter'!K66</f>
        <v>0</v>
      </c>
      <c r="K67" s="1546">
        <f t="shared" si="34"/>
        <v>0</v>
      </c>
      <c r="L67" s="1490">
        <f t="shared" si="52"/>
        <v>0</v>
      </c>
      <c r="M67" s="932">
        <f t="shared" si="36"/>
        <v>0</v>
      </c>
      <c r="N67" s="906">
        <f t="shared" si="37"/>
        <v>0</v>
      </c>
      <c r="O67" s="883">
        <v>0</v>
      </c>
      <c r="P67" s="1553">
        <f t="shared" si="38"/>
        <v>0</v>
      </c>
      <c r="Q67" s="1804">
        <f>'[4]Table 5C1L-Northshore Charter'!M66+'[27]Table 5C1L-Northshore Charter'!T66+('[26]Table 5C1L-Northshore Charter'!T66*6)</f>
        <v>0</v>
      </c>
      <c r="R67" s="1735">
        <f t="shared" si="39"/>
        <v>0</v>
      </c>
      <c r="S67" s="1806">
        <f t="shared" si="40"/>
        <v>0</v>
      </c>
      <c r="T67" s="1807">
        <f>'Table 5C1A-Madison Prep'!T67</f>
        <v>3801</v>
      </c>
      <c r="U67" s="1556">
        <f t="shared" si="53"/>
        <v>0</v>
      </c>
      <c r="V67" s="1762">
        <f>+'[3]Oct midyear Northshore Charter'!E66</f>
        <v>0</v>
      </c>
      <c r="W67" s="1763">
        <f t="shared" si="41"/>
        <v>0</v>
      </c>
      <c r="X67" s="1762">
        <f>'[3]Feb midyear Northshore Charter'!E66</f>
        <v>0</v>
      </c>
      <c r="Y67" s="1763">
        <f t="shared" si="42"/>
        <v>0</v>
      </c>
      <c r="Z67" s="1654">
        <f t="shared" si="43"/>
        <v>0</v>
      </c>
      <c r="AA67" s="1488">
        <f t="shared" si="44"/>
        <v>0</v>
      </c>
      <c r="AB67" s="938">
        <f t="shared" si="45"/>
        <v>0</v>
      </c>
      <c r="AC67" s="903">
        <f t="shared" si="46"/>
        <v>0</v>
      </c>
      <c r="AD67" s="1831">
        <v>0</v>
      </c>
      <c r="AE67" s="903">
        <f t="shared" si="47"/>
        <v>0</v>
      </c>
      <c r="AF67" s="1837">
        <f>'[4]Table 5C1L-Northshore Charter'!T66+'[27]Table 5C1L-Northshore Charter'!AF66+('[26]Table 5C1L-Northshore Charter'!AF66*6)</f>
        <v>0</v>
      </c>
      <c r="AG67" s="1835">
        <f t="shared" si="48"/>
        <v>0</v>
      </c>
      <c r="AH67" s="1530">
        <f t="shared" si="49"/>
        <v>0</v>
      </c>
      <c r="AI67" s="904">
        <f t="shared" si="54"/>
        <v>0</v>
      </c>
      <c r="AJ67" s="904">
        <f t="shared" si="50"/>
        <v>0</v>
      </c>
      <c r="AL67" s="2034">
        <f>-'[4]Table 5C1L-Northshore Charter'!P66</f>
        <v>0</v>
      </c>
      <c r="AM67" s="2034">
        <f t="shared" si="55"/>
        <v>0</v>
      </c>
      <c r="AN67" s="2034">
        <f t="shared" si="51"/>
        <v>0</v>
      </c>
    </row>
    <row r="68" spans="1:40">
      <c r="A68" s="870">
        <v>61</v>
      </c>
      <c r="B68" s="871" t="s">
        <v>151</v>
      </c>
      <c r="C68" s="974">
        <v>0</v>
      </c>
      <c r="D68" s="884">
        <f>'Table 3 Levels 1&amp;2'!AL68</f>
        <v>2908.0344869339228</v>
      </c>
      <c r="E68" s="923">
        <f t="shared" si="31"/>
        <v>0</v>
      </c>
      <c r="F68" s="923">
        <f>'Table 4 Level 3'!P66</f>
        <v>833.70999999999992</v>
      </c>
      <c r="G68" s="923">
        <f t="shared" si="32"/>
        <v>0</v>
      </c>
      <c r="H68" s="907">
        <f t="shared" si="33"/>
        <v>0</v>
      </c>
      <c r="I68" s="1723">
        <f>+'[3]Oct midyear Northshore Charter'!K67</f>
        <v>0</v>
      </c>
      <c r="J68" s="1723">
        <f>'[3]Feb midyear Northshore Charter'!K67</f>
        <v>0</v>
      </c>
      <c r="K68" s="1547">
        <f t="shared" si="34"/>
        <v>0</v>
      </c>
      <c r="L68" s="1491">
        <f t="shared" si="52"/>
        <v>0</v>
      </c>
      <c r="M68" s="933">
        <f t="shared" si="36"/>
        <v>0</v>
      </c>
      <c r="N68" s="907">
        <f t="shared" si="37"/>
        <v>0</v>
      </c>
      <c r="O68" s="884">
        <v>0</v>
      </c>
      <c r="P68" s="996">
        <f t="shared" si="38"/>
        <v>0</v>
      </c>
      <c r="Q68" s="1718">
        <f>'[4]Table 5C1L-Northshore Charter'!M67+'[27]Table 5C1L-Northshore Charter'!T67+('[26]Table 5C1L-Northshore Charter'!T67*6)</f>
        <v>0</v>
      </c>
      <c r="R68" s="1723">
        <f t="shared" si="39"/>
        <v>0</v>
      </c>
      <c r="S68" s="998">
        <f t="shared" si="40"/>
        <v>0</v>
      </c>
      <c r="T68" s="1802">
        <f>'Table 5C1A-Madison Prep'!T68</f>
        <v>6597</v>
      </c>
      <c r="U68" s="999">
        <f t="shared" si="53"/>
        <v>0</v>
      </c>
      <c r="V68" s="1754">
        <f>+'[3]Oct midyear Northshore Charter'!E67</f>
        <v>0</v>
      </c>
      <c r="W68" s="1755">
        <f t="shared" si="41"/>
        <v>0</v>
      </c>
      <c r="X68" s="1754">
        <f>'[3]Feb midyear Northshore Charter'!E67</f>
        <v>0</v>
      </c>
      <c r="Y68" s="1755">
        <f t="shared" si="42"/>
        <v>0</v>
      </c>
      <c r="Z68" s="1652">
        <f t="shared" si="43"/>
        <v>0</v>
      </c>
      <c r="AA68" s="1481">
        <f t="shared" si="44"/>
        <v>0</v>
      </c>
      <c r="AB68" s="936">
        <f t="shared" si="45"/>
        <v>0</v>
      </c>
      <c r="AC68" s="874">
        <f t="shared" si="46"/>
        <v>0</v>
      </c>
      <c r="AD68" s="1829">
        <v>0</v>
      </c>
      <c r="AE68" s="874">
        <f t="shared" si="47"/>
        <v>0</v>
      </c>
      <c r="AF68" s="1829">
        <f>'[4]Table 5C1L-Northshore Charter'!T67+'[27]Table 5C1L-Northshore Charter'!AF67+('[26]Table 5C1L-Northshore Charter'!AF67*6)</f>
        <v>0</v>
      </c>
      <c r="AG68" s="1829">
        <f t="shared" si="48"/>
        <v>0</v>
      </c>
      <c r="AH68" s="1521">
        <f t="shared" si="49"/>
        <v>0</v>
      </c>
      <c r="AI68" s="875">
        <f t="shared" si="54"/>
        <v>0</v>
      </c>
      <c r="AJ68" s="875">
        <f t="shared" si="50"/>
        <v>0</v>
      </c>
      <c r="AL68" s="2034">
        <f>-'[4]Table 5C1L-Northshore Charter'!P67</f>
        <v>0</v>
      </c>
      <c r="AM68" s="2034">
        <f t="shared" si="55"/>
        <v>0</v>
      </c>
      <c r="AN68" s="2034">
        <f t="shared" si="51"/>
        <v>0</v>
      </c>
    </row>
    <row r="69" spans="1:40">
      <c r="A69" s="876">
        <v>62</v>
      </c>
      <c r="B69" s="877" t="s">
        <v>152</v>
      </c>
      <c r="C69" s="972">
        <v>0</v>
      </c>
      <c r="D69" s="882">
        <f>'Table 3 Levels 1&amp;2'!AL69</f>
        <v>5652.1730736722093</v>
      </c>
      <c r="E69" s="921">
        <f t="shared" si="31"/>
        <v>0</v>
      </c>
      <c r="F69" s="921">
        <f>'Table 4 Level 3'!P67</f>
        <v>516.08000000000004</v>
      </c>
      <c r="G69" s="921">
        <f t="shared" si="32"/>
        <v>0</v>
      </c>
      <c r="H69" s="905">
        <f t="shared" si="33"/>
        <v>0</v>
      </c>
      <c r="I69" s="1734">
        <f>+'[3]Oct midyear Northshore Charter'!K68</f>
        <v>0</v>
      </c>
      <c r="J69" s="1734">
        <f>'[3]Feb midyear Northshore Charter'!K68</f>
        <v>0</v>
      </c>
      <c r="K69" s="1545">
        <f t="shared" si="34"/>
        <v>0</v>
      </c>
      <c r="L69" s="1489">
        <f t="shared" si="52"/>
        <v>0</v>
      </c>
      <c r="M69" s="931">
        <f t="shared" si="36"/>
        <v>0</v>
      </c>
      <c r="N69" s="905">
        <f t="shared" si="37"/>
        <v>0</v>
      </c>
      <c r="O69" s="882">
        <v>0</v>
      </c>
      <c r="P69" s="1552">
        <f t="shared" si="38"/>
        <v>0</v>
      </c>
      <c r="Q69" s="1718">
        <f>'[4]Table 5C1L-Northshore Charter'!M68+'[27]Table 5C1L-Northshore Charter'!T68+('[26]Table 5C1L-Northshore Charter'!T68*6)</f>
        <v>0</v>
      </c>
      <c r="R69" s="1734">
        <f t="shared" si="39"/>
        <v>0</v>
      </c>
      <c r="S69" s="998">
        <f t="shared" si="40"/>
        <v>0</v>
      </c>
      <c r="T69" s="1802">
        <f>'Table 5C1A-Madison Prep'!T69</f>
        <v>1998</v>
      </c>
      <c r="U69" s="1555">
        <f t="shared" si="53"/>
        <v>0</v>
      </c>
      <c r="V69" s="1758">
        <f>+'[3]Oct midyear Northshore Charter'!E68</f>
        <v>0</v>
      </c>
      <c r="W69" s="1759">
        <f t="shared" si="41"/>
        <v>0</v>
      </c>
      <c r="X69" s="1758">
        <f>'[3]Feb midyear Northshore Charter'!E68</f>
        <v>0</v>
      </c>
      <c r="Y69" s="1759">
        <f t="shared" si="42"/>
        <v>0</v>
      </c>
      <c r="Z69" s="1653">
        <f t="shared" si="43"/>
        <v>0</v>
      </c>
      <c r="AA69" s="1486">
        <f t="shared" si="44"/>
        <v>0</v>
      </c>
      <c r="AB69" s="937">
        <f t="shared" si="45"/>
        <v>0</v>
      </c>
      <c r="AC69" s="899">
        <f t="shared" si="46"/>
        <v>0</v>
      </c>
      <c r="AD69" s="1830">
        <v>0</v>
      </c>
      <c r="AE69" s="899">
        <f t="shared" si="47"/>
        <v>0</v>
      </c>
      <c r="AF69" s="1829">
        <f>'[4]Table 5C1L-Northshore Charter'!T68+'[27]Table 5C1L-Northshore Charter'!AF68+('[26]Table 5C1L-Northshore Charter'!AF68*6)</f>
        <v>0</v>
      </c>
      <c r="AG69" s="1834">
        <f t="shared" si="48"/>
        <v>0</v>
      </c>
      <c r="AH69" s="1521">
        <f t="shared" si="49"/>
        <v>0</v>
      </c>
      <c r="AI69" s="900">
        <f t="shared" si="54"/>
        <v>0</v>
      </c>
      <c r="AJ69" s="900">
        <f t="shared" si="50"/>
        <v>0</v>
      </c>
      <c r="AL69" s="2034">
        <f>-'[4]Table 5C1L-Northshore Charter'!P68</f>
        <v>0</v>
      </c>
      <c r="AM69" s="2034">
        <f t="shared" si="55"/>
        <v>0</v>
      </c>
      <c r="AN69" s="2034">
        <f t="shared" si="51"/>
        <v>0</v>
      </c>
    </row>
    <row r="70" spans="1:40">
      <c r="A70" s="876">
        <v>63</v>
      </c>
      <c r="B70" s="877" t="s">
        <v>153</v>
      </c>
      <c r="C70" s="972">
        <v>0</v>
      </c>
      <c r="D70" s="882">
        <f>'Table 3 Levels 1&amp;2'!AL70</f>
        <v>4362.300753810403</v>
      </c>
      <c r="E70" s="921">
        <f t="shared" si="31"/>
        <v>0</v>
      </c>
      <c r="F70" s="921">
        <f>'Table 4 Level 3'!P68</f>
        <v>756.79</v>
      </c>
      <c r="G70" s="921">
        <f t="shared" si="32"/>
        <v>0</v>
      </c>
      <c r="H70" s="905">
        <f t="shared" si="33"/>
        <v>0</v>
      </c>
      <c r="I70" s="1734">
        <f>+'[3]Oct midyear Northshore Charter'!K69</f>
        <v>0</v>
      </c>
      <c r="J70" s="1734">
        <f>'[3]Feb midyear Northshore Charter'!K69</f>
        <v>0</v>
      </c>
      <c r="K70" s="1545">
        <f t="shared" si="34"/>
        <v>0</v>
      </c>
      <c r="L70" s="1489">
        <f t="shared" si="52"/>
        <v>0</v>
      </c>
      <c r="M70" s="931">
        <f t="shared" si="36"/>
        <v>0</v>
      </c>
      <c r="N70" s="905">
        <f t="shared" si="37"/>
        <v>0</v>
      </c>
      <c r="O70" s="882">
        <v>0</v>
      </c>
      <c r="P70" s="1552">
        <f t="shared" si="38"/>
        <v>0</v>
      </c>
      <c r="Q70" s="1718">
        <f>'[4]Table 5C1L-Northshore Charter'!M69+'[27]Table 5C1L-Northshore Charter'!T69+('[26]Table 5C1L-Northshore Charter'!T69*6)</f>
        <v>0</v>
      </c>
      <c r="R70" s="1734">
        <f t="shared" si="39"/>
        <v>0</v>
      </c>
      <c r="S70" s="998">
        <f t="shared" si="40"/>
        <v>0</v>
      </c>
      <c r="T70" s="1802">
        <f>'Table 5C1A-Madison Prep'!T70</f>
        <v>7391</v>
      </c>
      <c r="U70" s="1555">
        <f t="shared" si="53"/>
        <v>0</v>
      </c>
      <c r="V70" s="1758">
        <f>+'[3]Oct midyear Northshore Charter'!E69</f>
        <v>0</v>
      </c>
      <c r="W70" s="1759">
        <f t="shared" si="41"/>
        <v>0</v>
      </c>
      <c r="X70" s="1758">
        <f>'[3]Feb midyear Northshore Charter'!E69</f>
        <v>0</v>
      </c>
      <c r="Y70" s="1759">
        <f t="shared" si="42"/>
        <v>0</v>
      </c>
      <c r="Z70" s="1653">
        <f t="shared" si="43"/>
        <v>0</v>
      </c>
      <c r="AA70" s="1486">
        <f t="shared" si="44"/>
        <v>0</v>
      </c>
      <c r="AB70" s="937">
        <f t="shared" si="45"/>
        <v>0</v>
      </c>
      <c r="AC70" s="899">
        <f t="shared" si="46"/>
        <v>0</v>
      </c>
      <c r="AD70" s="1830">
        <v>0</v>
      </c>
      <c r="AE70" s="899">
        <f t="shared" si="47"/>
        <v>0</v>
      </c>
      <c r="AF70" s="1829">
        <f>'[4]Table 5C1L-Northshore Charter'!T69+'[27]Table 5C1L-Northshore Charter'!AF69+('[26]Table 5C1L-Northshore Charter'!AF69*6)</f>
        <v>0</v>
      </c>
      <c r="AG70" s="1834">
        <f t="shared" si="48"/>
        <v>0</v>
      </c>
      <c r="AH70" s="1521">
        <f t="shared" si="49"/>
        <v>0</v>
      </c>
      <c r="AI70" s="900">
        <f t="shared" si="54"/>
        <v>0</v>
      </c>
      <c r="AJ70" s="900">
        <f t="shared" si="50"/>
        <v>0</v>
      </c>
      <c r="AL70" s="2034">
        <f>-'[4]Table 5C1L-Northshore Charter'!P69</f>
        <v>0</v>
      </c>
      <c r="AM70" s="2034">
        <f t="shared" si="55"/>
        <v>0</v>
      </c>
      <c r="AN70" s="2034">
        <f t="shared" si="51"/>
        <v>0</v>
      </c>
    </row>
    <row r="71" spans="1:40">
      <c r="A71" s="876">
        <v>64</v>
      </c>
      <c r="B71" s="877" t="s">
        <v>154</v>
      </c>
      <c r="C71" s="972">
        <v>0</v>
      </c>
      <c r="D71" s="882">
        <f>'Table 3 Levels 1&amp;2'!AL71</f>
        <v>5960.2049072003338</v>
      </c>
      <c r="E71" s="921">
        <f t="shared" si="31"/>
        <v>0</v>
      </c>
      <c r="F71" s="921">
        <f>'Table 4 Level 3'!P69</f>
        <v>592.66</v>
      </c>
      <c r="G71" s="921">
        <f t="shared" si="32"/>
        <v>0</v>
      </c>
      <c r="H71" s="905">
        <f t="shared" si="33"/>
        <v>0</v>
      </c>
      <c r="I71" s="1734">
        <f>+'[3]Oct midyear Northshore Charter'!K70</f>
        <v>0</v>
      </c>
      <c r="J71" s="1734">
        <f>'[3]Feb midyear Northshore Charter'!K70</f>
        <v>0</v>
      </c>
      <c r="K71" s="1545">
        <f t="shared" si="34"/>
        <v>0</v>
      </c>
      <c r="L71" s="1489">
        <f t="shared" si="52"/>
        <v>0</v>
      </c>
      <c r="M71" s="931">
        <f t="shared" si="36"/>
        <v>0</v>
      </c>
      <c r="N71" s="905">
        <f t="shared" si="37"/>
        <v>0</v>
      </c>
      <c r="O71" s="882">
        <v>0</v>
      </c>
      <c r="P71" s="1552">
        <f t="shared" si="38"/>
        <v>0</v>
      </c>
      <c r="Q71" s="1718">
        <f>'[4]Table 5C1L-Northshore Charter'!M70+'[27]Table 5C1L-Northshore Charter'!T70+('[26]Table 5C1L-Northshore Charter'!T70*6)</f>
        <v>0</v>
      </c>
      <c r="R71" s="1734">
        <f t="shared" si="39"/>
        <v>0</v>
      </c>
      <c r="S71" s="998">
        <f t="shared" si="40"/>
        <v>0</v>
      </c>
      <c r="T71" s="1802">
        <f>'Table 5C1A-Madison Prep'!T71</f>
        <v>2902</v>
      </c>
      <c r="U71" s="1555">
        <f t="shared" si="53"/>
        <v>0</v>
      </c>
      <c r="V71" s="1758">
        <f>+'[3]Oct midyear Northshore Charter'!E70</f>
        <v>0</v>
      </c>
      <c r="W71" s="1759">
        <f t="shared" si="41"/>
        <v>0</v>
      </c>
      <c r="X71" s="1758">
        <f>'[3]Feb midyear Northshore Charter'!E70</f>
        <v>0</v>
      </c>
      <c r="Y71" s="1759">
        <f t="shared" si="42"/>
        <v>0</v>
      </c>
      <c r="Z71" s="1653">
        <f t="shared" si="43"/>
        <v>0</v>
      </c>
      <c r="AA71" s="1486">
        <f t="shared" si="44"/>
        <v>0</v>
      </c>
      <c r="AB71" s="937">
        <f t="shared" si="45"/>
        <v>0</v>
      </c>
      <c r="AC71" s="899">
        <f t="shared" si="46"/>
        <v>0</v>
      </c>
      <c r="AD71" s="1830">
        <v>0</v>
      </c>
      <c r="AE71" s="899">
        <f t="shared" si="47"/>
        <v>0</v>
      </c>
      <c r="AF71" s="1829">
        <f>'[4]Table 5C1L-Northshore Charter'!T70+'[27]Table 5C1L-Northshore Charter'!AF70+('[26]Table 5C1L-Northshore Charter'!AF70*6)</f>
        <v>0</v>
      </c>
      <c r="AG71" s="1834">
        <f t="shared" si="48"/>
        <v>0</v>
      </c>
      <c r="AH71" s="1521">
        <f t="shared" si="49"/>
        <v>0</v>
      </c>
      <c r="AI71" s="900">
        <f t="shared" si="54"/>
        <v>0</v>
      </c>
      <c r="AJ71" s="900">
        <f t="shared" si="50"/>
        <v>0</v>
      </c>
      <c r="AL71" s="2034">
        <f>-'[4]Table 5C1L-Northshore Charter'!P70</f>
        <v>0</v>
      </c>
      <c r="AM71" s="2034">
        <f t="shared" si="55"/>
        <v>0</v>
      </c>
      <c r="AN71" s="2034">
        <f t="shared" si="51"/>
        <v>0</v>
      </c>
    </row>
    <row r="72" spans="1:40">
      <c r="A72" s="879">
        <v>65</v>
      </c>
      <c r="B72" s="880" t="s">
        <v>155</v>
      </c>
      <c r="C72" s="973">
        <v>0</v>
      </c>
      <c r="D72" s="883">
        <f>'Table 3 Levels 1&amp;2'!AL72</f>
        <v>4579.2772303106676</v>
      </c>
      <c r="E72" s="922">
        <f t="shared" si="31"/>
        <v>0</v>
      </c>
      <c r="F72" s="922">
        <f>'Table 4 Level 3'!P70</f>
        <v>829.12</v>
      </c>
      <c r="G72" s="922">
        <f t="shared" si="32"/>
        <v>0</v>
      </c>
      <c r="H72" s="906">
        <f t="shared" si="33"/>
        <v>0</v>
      </c>
      <c r="I72" s="1735">
        <f>+'[3]Oct midyear Northshore Charter'!K71</f>
        <v>0</v>
      </c>
      <c r="J72" s="1735">
        <f>'[3]Feb midyear Northshore Charter'!K71</f>
        <v>0</v>
      </c>
      <c r="K72" s="1546">
        <f t="shared" si="34"/>
        <v>0</v>
      </c>
      <c r="L72" s="1490">
        <f t="shared" ref="L72:L76" si="56">H72+K72</f>
        <v>0</v>
      </c>
      <c r="M72" s="932">
        <f t="shared" si="36"/>
        <v>0</v>
      </c>
      <c r="N72" s="906">
        <f t="shared" si="37"/>
        <v>0</v>
      </c>
      <c r="O72" s="883">
        <v>0</v>
      </c>
      <c r="P72" s="1553">
        <f t="shared" si="38"/>
        <v>0</v>
      </c>
      <c r="Q72" s="1804">
        <f>'[4]Table 5C1L-Northshore Charter'!M71+'[27]Table 5C1L-Northshore Charter'!T71+('[26]Table 5C1L-Northshore Charter'!T71*6)</f>
        <v>0</v>
      </c>
      <c r="R72" s="1735">
        <f t="shared" si="39"/>
        <v>0</v>
      </c>
      <c r="S72" s="1806">
        <f t="shared" si="40"/>
        <v>0</v>
      </c>
      <c r="T72" s="1807">
        <f>'Table 5C1A-Madison Prep'!T72</f>
        <v>4823</v>
      </c>
      <c r="U72" s="1556">
        <f t="shared" ref="U72:U76" si="57">C72*T72</f>
        <v>0</v>
      </c>
      <c r="V72" s="1762">
        <f>+'[3]Oct midyear Northshore Charter'!E71</f>
        <v>0</v>
      </c>
      <c r="W72" s="1763">
        <f t="shared" si="41"/>
        <v>0</v>
      </c>
      <c r="X72" s="1762">
        <f>'[3]Feb midyear Northshore Charter'!E71</f>
        <v>0</v>
      </c>
      <c r="Y72" s="1763">
        <f t="shared" si="42"/>
        <v>0</v>
      </c>
      <c r="Z72" s="1654">
        <f t="shared" si="43"/>
        <v>0</v>
      </c>
      <c r="AA72" s="1488">
        <f t="shared" si="44"/>
        <v>0</v>
      </c>
      <c r="AB72" s="938">
        <f t="shared" si="45"/>
        <v>0</v>
      </c>
      <c r="AC72" s="903">
        <f t="shared" si="46"/>
        <v>0</v>
      </c>
      <c r="AD72" s="1831">
        <v>0</v>
      </c>
      <c r="AE72" s="903">
        <f t="shared" si="47"/>
        <v>0</v>
      </c>
      <c r="AF72" s="1837">
        <f>'[4]Table 5C1L-Northshore Charter'!T71+'[27]Table 5C1L-Northshore Charter'!AF71+('[26]Table 5C1L-Northshore Charter'!AF71*6)</f>
        <v>0</v>
      </c>
      <c r="AG72" s="1835">
        <f t="shared" si="48"/>
        <v>0</v>
      </c>
      <c r="AH72" s="1530">
        <f t="shared" si="49"/>
        <v>0</v>
      </c>
      <c r="AI72" s="904">
        <f t="shared" si="54"/>
        <v>0</v>
      </c>
      <c r="AJ72" s="904">
        <f t="shared" si="50"/>
        <v>0</v>
      </c>
      <c r="AL72" s="2034">
        <f>-'[4]Table 5C1L-Northshore Charter'!P71</f>
        <v>0</v>
      </c>
      <c r="AM72" s="2034">
        <f t="shared" si="55"/>
        <v>0</v>
      </c>
      <c r="AN72" s="2034">
        <f t="shared" si="51"/>
        <v>0</v>
      </c>
    </row>
    <row r="73" spans="1:40">
      <c r="A73" s="870">
        <v>66</v>
      </c>
      <c r="B73" s="871" t="s">
        <v>156</v>
      </c>
      <c r="C73" s="974">
        <v>115</v>
      </c>
      <c r="D73" s="884">
        <f>'Table 3 Levels 1&amp;2'!AL73</f>
        <v>6370.8108195713585</v>
      </c>
      <c r="E73" s="923">
        <f t="shared" ref="E73:E76" si="58">C73*D73</f>
        <v>732643.24425070628</v>
      </c>
      <c r="F73" s="923">
        <f>'Table 4 Level 3'!P71</f>
        <v>730.06</v>
      </c>
      <c r="G73" s="923">
        <f t="shared" ref="G73:G76" si="59">C73*F73</f>
        <v>83956.9</v>
      </c>
      <c r="H73" s="907">
        <f t="shared" ref="H73:H76" si="60">E73+G73</f>
        <v>816600.1442507063</v>
      </c>
      <c r="I73" s="1723">
        <f>+'[3]Oct midyear Northshore Charter'!K72</f>
        <v>305337.44524156844</v>
      </c>
      <c r="J73" s="1723">
        <f>'[3]Feb midyear Northshore Charter'!K72</f>
        <v>0</v>
      </c>
      <c r="K73" s="1547">
        <f t="shared" ref="K73:K76" si="61">+I73+J73</f>
        <v>305337.44524156844</v>
      </c>
      <c r="L73" s="1491">
        <f t="shared" si="56"/>
        <v>1121937.5894922747</v>
      </c>
      <c r="M73" s="933">
        <f t="shared" ref="M73:M76" si="62">-(0.25%*L73)</f>
        <v>-2804.8439737306867</v>
      </c>
      <c r="N73" s="907">
        <f t="shared" ref="N73:N76" si="63">SUM(L73:M73)</f>
        <v>1119132.745518544</v>
      </c>
      <c r="O73" s="884">
        <v>0</v>
      </c>
      <c r="P73" s="996">
        <f t="shared" ref="P73:P76" si="64">SUM(N73:O73)</f>
        <v>1119132.745518544</v>
      </c>
      <c r="Q73" s="1718">
        <f>'[4]Table 5C1L-Northshore Charter'!M72+'[27]Table 5C1L-Northshore Charter'!T72+('[26]Table 5C1L-Northshore Charter'!T72*6)</f>
        <v>723207.87739742664</v>
      </c>
      <c r="R73" s="1723">
        <f t="shared" ref="R73:R76" si="65">P73-Q73</f>
        <v>395924.86812111735</v>
      </c>
      <c r="S73" s="998">
        <f t="shared" ref="S73:S76" si="66">ROUND(R73/4,0)</f>
        <v>98981</v>
      </c>
      <c r="T73" s="1802">
        <f>'Table 5C1A-Madison Prep'!T73</f>
        <v>3524</v>
      </c>
      <c r="U73" s="999">
        <f t="shared" si="57"/>
        <v>405260</v>
      </c>
      <c r="V73" s="1754">
        <f>+'[3]Oct midyear Northshore Charter'!E72</f>
        <v>43</v>
      </c>
      <c r="W73" s="1755">
        <f t="shared" ref="W73:W76" si="67">V73*T73</f>
        <v>151532</v>
      </c>
      <c r="X73" s="1754">
        <f>'[3]Feb midyear Northshore Charter'!E72</f>
        <v>0</v>
      </c>
      <c r="Y73" s="1755">
        <f t="shared" ref="Y73:Y76" si="68">(T73*X73)*0.5</f>
        <v>0</v>
      </c>
      <c r="Z73" s="1652">
        <f t="shared" ref="Z73:Z76" si="69">+W73+Y73</f>
        <v>151532</v>
      </c>
      <c r="AA73" s="1481">
        <f t="shared" ref="AA73:AA76" si="70">Z73+U73</f>
        <v>556792</v>
      </c>
      <c r="AB73" s="936">
        <f t="shared" ref="AB73:AB76" si="71">-(0.25%*AA73)</f>
        <v>-1391.98</v>
      </c>
      <c r="AC73" s="874">
        <f t="shared" ref="AC73:AC76" si="72">SUM(AA73:AB73)</f>
        <v>555400.02</v>
      </c>
      <c r="AD73" s="1829">
        <v>0</v>
      </c>
      <c r="AE73" s="874">
        <f t="shared" ref="AE73:AE76" si="73">SUM(AC73:AD73)</f>
        <v>555400.02</v>
      </c>
      <c r="AF73" s="1829">
        <f>'[4]Table 5C1L-Northshore Charter'!T72+'[27]Table 5C1L-Northshore Charter'!AF72+('[26]Table 5C1L-Northshore Charter'!AF72*6)</f>
        <v>347810.14386363636</v>
      </c>
      <c r="AG73" s="1829">
        <f t="shared" ref="AG73:AG76" si="74">AE73-AF73</f>
        <v>207589.87613636366</v>
      </c>
      <c r="AH73" s="1521">
        <f t="shared" ref="AH73:AH76" si="75">ROUND(AG73/4,0)</f>
        <v>51897</v>
      </c>
      <c r="AI73" s="875">
        <f t="shared" si="54"/>
        <v>1674532.765518544</v>
      </c>
      <c r="AJ73" s="875">
        <f t="shared" ref="AJ73:AJ76" si="76">S73+AH73</f>
        <v>150878</v>
      </c>
      <c r="AL73" s="2034">
        <f>-'[4]Table 5C1L-Northshore Charter'!P72</f>
        <v>981.8125</v>
      </c>
      <c r="AM73" s="2034">
        <f t="shared" si="55"/>
        <v>-1391.98</v>
      </c>
      <c r="AN73" s="2034">
        <f t="shared" ref="AN73:AN76" si="77">SUM(AL73:AM73)</f>
        <v>-410.16750000000002</v>
      </c>
    </row>
    <row r="74" spans="1:40">
      <c r="A74" s="876">
        <v>67</v>
      </c>
      <c r="B74" s="877" t="s">
        <v>32</v>
      </c>
      <c r="C74" s="972">
        <v>0</v>
      </c>
      <c r="D74" s="882">
        <f>'Table 3 Levels 1&amp;2'!AL74</f>
        <v>4951.6009932106244</v>
      </c>
      <c r="E74" s="921">
        <f t="shared" si="58"/>
        <v>0</v>
      </c>
      <c r="F74" s="921">
        <f>'Table 4 Level 3'!P72</f>
        <v>715.61</v>
      </c>
      <c r="G74" s="921">
        <f t="shared" si="59"/>
        <v>0</v>
      </c>
      <c r="H74" s="905">
        <f t="shared" si="60"/>
        <v>0</v>
      </c>
      <c r="I74" s="1734">
        <f>+'[3]Oct midyear Northshore Charter'!K73</f>
        <v>0</v>
      </c>
      <c r="J74" s="1734">
        <f>'[3]Feb midyear Northshore Charter'!K73</f>
        <v>0</v>
      </c>
      <c r="K74" s="1545">
        <f t="shared" si="61"/>
        <v>0</v>
      </c>
      <c r="L74" s="1489">
        <f t="shared" si="56"/>
        <v>0</v>
      </c>
      <c r="M74" s="931">
        <f t="shared" si="62"/>
        <v>0</v>
      </c>
      <c r="N74" s="905">
        <f t="shared" si="63"/>
        <v>0</v>
      </c>
      <c r="O74" s="882">
        <v>0</v>
      </c>
      <c r="P74" s="1552">
        <f t="shared" si="64"/>
        <v>0</v>
      </c>
      <c r="Q74" s="1718">
        <f>'[4]Table 5C1L-Northshore Charter'!M73+'[27]Table 5C1L-Northshore Charter'!T73+('[26]Table 5C1L-Northshore Charter'!T73*6)</f>
        <v>0</v>
      </c>
      <c r="R74" s="1734">
        <f t="shared" si="65"/>
        <v>0</v>
      </c>
      <c r="S74" s="998">
        <f t="shared" si="66"/>
        <v>0</v>
      </c>
      <c r="T74" s="1802">
        <f>'Table 5C1A-Madison Prep'!T74</f>
        <v>5007</v>
      </c>
      <c r="U74" s="1555">
        <f t="shared" si="57"/>
        <v>0</v>
      </c>
      <c r="V74" s="1758">
        <f>+'[3]Oct midyear Northshore Charter'!E73</f>
        <v>0</v>
      </c>
      <c r="W74" s="1759">
        <f t="shared" si="67"/>
        <v>0</v>
      </c>
      <c r="X74" s="1758">
        <f>'[3]Feb midyear Northshore Charter'!E73</f>
        <v>0</v>
      </c>
      <c r="Y74" s="1759">
        <f t="shared" si="68"/>
        <v>0</v>
      </c>
      <c r="Z74" s="1653">
        <f t="shared" si="69"/>
        <v>0</v>
      </c>
      <c r="AA74" s="1486">
        <f t="shared" si="70"/>
        <v>0</v>
      </c>
      <c r="AB74" s="937">
        <f t="shared" si="71"/>
        <v>0</v>
      </c>
      <c r="AC74" s="899">
        <f t="shared" si="72"/>
        <v>0</v>
      </c>
      <c r="AD74" s="1830">
        <v>0</v>
      </c>
      <c r="AE74" s="899">
        <f t="shared" si="73"/>
        <v>0</v>
      </c>
      <c r="AF74" s="1829">
        <f>'[4]Table 5C1L-Northshore Charter'!T73+'[27]Table 5C1L-Northshore Charter'!AF73+('[26]Table 5C1L-Northshore Charter'!AF73*6)</f>
        <v>0</v>
      </c>
      <c r="AG74" s="1834">
        <f t="shared" si="74"/>
        <v>0</v>
      </c>
      <c r="AH74" s="1521">
        <f t="shared" si="75"/>
        <v>0</v>
      </c>
      <c r="AI74" s="900">
        <f t="shared" si="54"/>
        <v>0</v>
      </c>
      <c r="AJ74" s="900">
        <f t="shared" si="76"/>
        <v>0</v>
      </c>
      <c r="AL74" s="2034">
        <f>-'[4]Table 5C1L-Northshore Charter'!P73</f>
        <v>0</v>
      </c>
      <c r="AM74" s="2034">
        <f t="shared" si="55"/>
        <v>0</v>
      </c>
      <c r="AN74" s="2034">
        <f t="shared" si="77"/>
        <v>0</v>
      </c>
    </row>
    <row r="75" spans="1:40">
      <c r="A75" s="876">
        <v>68</v>
      </c>
      <c r="B75" s="877" t="s">
        <v>30</v>
      </c>
      <c r="C75" s="972">
        <v>0</v>
      </c>
      <c r="D75" s="882">
        <f>'Table 3 Levels 1&amp;2'!AL75</f>
        <v>6077.2398733698947</v>
      </c>
      <c r="E75" s="921">
        <f t="shared" si="58"/>
        <v>0</v>
      </c>
      <c r="F75" s="921">
        <f>'Table 4 Level 3'!P73</f>
        <v>798.7</v>
      </c>
      <c r="G75" s="921">
        <f t="shared" si="59"/>
        <v>0</v>
      </c>
      <c r="H75" s="905">
        <f t="shared" si="60"/>
        <v>0</v>
      </c>
      <c r="I75" s="1734">
        <f>+'[3]Oct midyear Northshore Charter'!K74</f>
        <v>0</v>
      </c>
      <c r="J75" s="1734">
        <f>'[3]Feb midyear Northshore Charter'!K74</f>
        <v>0</v>
      </c>
      <c r="K75" s="1545">
        <f t="shared" si="61"/>
        <v>0</v>
      </c>
      <c r="L75" s="1489">
        <f t="shared" si="56"/>
        <v>0</v>
      </c>
      <c r="M75" s="931">
        <f t="shared" si="62"/>
        <v>0</v>
      </c>
      <c r="N75" s="905">
        <f t="shared" si="63"/>
        <v>0</v>
      </c>
      <c r="O75" s="882">
        <v>0</v>
      </c>
      <c r="P75" s="1552">
        <f t="shared" si="64"/>
        <v>0</v>
      </c>
      <c r="Q75" s="1718">
        <f>'[4]Table 5C1L-Northshore Charter'!M74+'[27]Table 5C1L-Northshore Charter'!T74+('[26]Table 5C1L-Northshore Charter'!T74*6)</f>
        <v>0</v>
      </c>
      <c r="R75" s="1734">
        <f t="shared" si="65"/>
        <v>0</v>
      </c>
      <c r="S75" s="998">
        <f t="shared" si="66"/>
        <v>0</v>
      </c>
      <c r="T75" s="1802">
        <f>'Table 5C1A-Madison Prep'!T75</f>
        <v>2927</v>
      </c>
      <c r="U75" s="1555">
        <f t="shared" si="57"/>
        <v>0</v>
      </c>
      <c r="V75" s="1758">
        <f>+'[3]Oct midyear Northshore Charter'!E74</f>
        <v>0</v>
      </c>
      <c r="W75" s="1759">
        <f t="shared" si="67"/>
        <v>0</v>
      </c>
      <c r="X75" s="1758">
        <f>'[3]Feb midyear Northshore Charter'!E74</f>
        <v>0</v>
      </c>
      <c r="Y75" s="1759">
        <f t="shared" si="68"/>
        <v>0</v>
      </c>
      <c r="Z75" s="1653">
        <f t="shared" si="69"/>
        <v>0</v>
      </c>
      <c r="AA75" s="1486">
        <f t="shared" si="70"/>
        <v>0</v>
      </c>
      <c r="AB75" s="937">
        <f t="shared" si="71"/>
        <v>0</v>
      </c>
      <c r="AC75" s="899">
        <f t="shared" si="72"/>
        <v>0</v>
      </c>
      <c r="AD75" s="1830">
        <v>0</v>
      </c>
      <c r="AE75" s="899">
        <f t="shared" si="73"/>
        <v>0</v>
      </c>
      <c r="AF75" s="1829">
        <f>'[4]Table 5C1L-Northshore Charter'!T74+'[27]Table 5C1L-Northshore Charter'!AF74+('[26]Table 5C1L-Northshore Charter'!AF74*6)</f>
        <v>0</v>
      </c>
      <c r="AG75" s="1834">
        <f t="shared" si="74"/>
        <v>0</v>
      </c>
      <c r="AH75" s="1521">
        <f t="shared" si="75"/>
        <v>0</v>
      </c>
      <c r="AI75" s="900">
        <f t="shared" si="54"/>
        <v>0</v>
      </c>
      <c r="AJ75" s="900">
        <f t="shared" si="76"/>
        <v>0</v>
      </c>
      <c r="AL75" s="2034">
        <f>-'[4]Table 5C1L-Northshore Charter'!P74</f>
        <v>0</v>
      </c>
      <c r="AM75" s="2034">
        <f t="shared" si="55"/>
        <v>0</v>
      </c>
      <c r="AN75" s="2034">
        <f t="shared" si="77"/>
        <v>0</v>
      </c>
    </row>
    <row r="76" spans="1:40">
      <c r="A76" s="885">
        <v>69</v>
      </c>
      <c r="B76" s="886" t="s">
        <v>205</v>
      </c>
      <c r="C76" s="975">
        <v>0</v>
      </c>
      <c r="D76" s="887">
        <f>'Table 3 Levels 1&amp;2'!AL76</f>
        <v>5585.8253106686579</v>
      </c>
      <c r="E76" s="924">
        <f t="shared" si="58"/>
        <v>0</v>
      </c>
      <c r="F76" s="924">
        <f>'Table 4 Level 3'!P74</f>
        <v>705.67</v>
      </c>
      <c r="G76" s="924">
        <f t="shared" si="59"/>
        <v>0</v>
      </c>
      <c r="H76" s="908">
        <f t="shared" si="60"/>
        <v>0</v>
      </c>
      <c r="I76" s="1736">
        <f>+'[3]Oct midyear Northshore Charter'!K75</f>
        <v>0</v>
      </c>
      <c r="J76" s="1736">
        <f>'[3]Feb midyear Northshore Charter'!K75</f>
        <v>0</v>
      </c>
      <c r="K76" s="1548">
        <f t="shared" si="61"/>
        <v>0</v>
      </c>
      <c r="L76" s="1492">
        <f t="shared" si="56"/>
        <v>0</v>
      </c>
      <c r="M76" s="934">
        <f t="shared" si="62"/>
        <v>0</v>
      </c>
      <c r="N76" s="908">
        <f t="shared" si="63"/>
        <v>0</v>
      </c>
      <c r="O76" s="887">
        <v>0</v>
      </c>
      <c r="P76" s="1554">
        <f t="shared" si="64"/>
        <v>0</v>
      </c>
      <c r="Q76" s="1718">
        <f>'[4]Table 5C1L-Northshore Charter'!M75+'[27]Table 5C1L-Northshore Charter'!T75+('[26]Table 5C1L-Northshore Charter'!T75*6)</f>
        <v>0</v>
      </c>
      <c r="R76" s="1736">
        <f t="shared" si="65"/>
        <v>0</v>
      </c>
      <c r="S76" s="998">
        <f t="shared" si="66"/>
        <v>0</v>
      </c>
      <c r="T76" s="1802">
        <f>'Table 5C1A-Madison Prep'!T76</f>
        <v>3404</v>
      </c>
      <c r="U76" s="1557">
        <f t="shared" si="57"/>
        <v>0</v>
      </c>
      <c r="V76" s="1766">
        <f>+'[3]Oct midyear Northshore Charter'!E75</f>
        <v>0</v>
      </c>
      <c r="W76" s="1767">
        <f t="shared" si="67"/>
        <v>0</v>
      </c>
      <c r="X76" s="1766">
        <f>'[3]Feb midyear Northshore Charter'!E75</f>
        <v>0</v>
      </c>
      <c r="Y76" s="1767">
        <f t="shared" si="68"/>
        <v>0</v>
      </c>
      <c r="Z76" s="1655">
        <f t="shared" si="69"/>
        <v>0</v>
      </c>
      <c r="AA76" s="1493">
        <f t="shared" si="70"/>
        <v>0</v>
      </c>
      <c r="AB76" s="939">
        <f t="shared" si="71"/>
        <v>0</v>
      </c>
      <c r="AC76" s="909">
        <f t="shared" si="72"/>
        <v>0</v>
      </c>
      <c r="AD76" s="1832">
        <v>0</v>
      </c>
      <c r="AE76" s="909">
        <f t="shared" si="73"/>
        <v>0</v>
      </c>
      <c r="AF76" s="1829">
        <f>'[4]Table 5C1L-Northshore Charter'!T75+'[27]Table 5C1L-Northshore Charter'!AF75+('[26]Table 5C1L-Northshore Charter'!AF75*6)</f>
        <v>0</v>
      </c>
      <c r="AG76" s="1836">
        <f t="shared" si="74"/>
        <v>0</v>
      </c>
      <c r="AH76" s="1521">
        <f t="shared" si="75"/>
        <v>0</v>
      </c>
      <c r="AI76" s="910">
        <f t="shared" si="54"/>
        <v>0</v>
      </c>
      <c r="AJ76" s="910">
        <f t="shared" si="76"/>
        <v>0</v>
      </c>
      <c r="AL76" s="2034">
        <f>-'[4]Table 5C1L-Northshore Charter'!P75</f>
        <v>0</v>
      </c>
      <c r="AM76" s="2034">
        <f t="shared" si="55"/>
        <v>0</v>
      </c>
      <c r="AN76" s="2034">
        <f t="shared" si="77"/>
        <v>0</v>
      </c>
    </row>
    <row r="77" spans="1:40" ht="13.5" thickBot="1">
      <c r="A77" s="888"/>
      <c r="B77" s="889" t="s">
        <v>157</v>
      </c>
      <c r="C77" s="890">
        <f>SUM(C8:C76)</f>
        <v>230</v>
      </c>
      <c r="D77" s="891"/>
      <c r="E77" s="925">
        <f>SUM(E8:E76)</f>
        <v>1454185.2871377808</v>
      </c>
      <c r="F77" s="925">
        <f>'[33]Table 4 Level 3'!P75</f>
        <v>703.90028204588873</v>
      </c>
      <c r="G77" s="925">
        <f t="shared" ref="G77:R77" si="78">SUM(G8:G76)</f>
        <v>163251.70000000001</v>
      </c>
      <c r="H77" s="892">
        <f t="shared" si="78"/>
        <v>1617436.987137781</v>
      </c>
      <c r="I77" s="1737">
        <f t="shared" si="78"/>
        <v>-467644.20311030356</v>
      </c>
      <c r="J77" s="1737">
        <f t="shared" si="78"/>
        <v>27855.194535202594</v>
      </c>
      <c r="K77" s="1549">
        <f t="shared" si="78"/>
        <v>-439789.00857510098</v>
      </c>
      <c r="L77" s="1482">
        <f t="shared" si="78"/>
        <v>1177647.9785626798</v>
      </c>
      <c r="M77" s="935">
        <f t="shared" si="78"/>
        <v>-2944.1199464066995</v>
      </c>
      <c r="N77" s="892">
        <f t="shared" si="78"/>
        <v>1174703.8586162732</v>
      </c>
      <c r="O77" s="891">
        <f t="shared" si="78"/>
        <v>0</v>
      </c>
      <c r="P77" s="997">
        <f t="shared" si="78"/>
        <v>1174703.8586162732</v>
      </c>
      <c r="Q77" s="1725">
        <f t="shared" si="78"/>
        <v>816373.69049233175</v>
      </c>
      <c r="R77" s="1725">
        <f t="shared" si="78"/>
        <v>358330.1681239414</v>
      </c>
      <c r="S77" s="997">
        <f>SUM(S8:S76)</f>
        <v>89582</v>
      </c>
      <c r="T77" s="1812">
        <f>'Table 5C1A-Madison Prep'!T77</f>
        <v>4626</v>
      </c>
      <c r="U77" s="1000">
        <f t="shared" ref="U77:AJ77" si="79">SUM(U8:U76)</f>
        <v>604095</v>
      </c>
      <c r="V77" s="1770">
        <f t="shared" si="79"/>
        <v>-68</v>
      </c>
      <c r="W77" s="1771">
        <f t="shared" si="79"/>
        <v>-40387</v>
      </c>
      <c r="X77" s="1770">
        <f t="shared" si="79"/>
        <v>8</v>
      </c>
      <c r="Y77" s="1771">
        <f t="shared" si="79"/>
        <v>6916</v>
      </c>
      <c r="Z77" s="1665">
        <f t="shared" si="79"/>
        <v>-33471</v>
      </c>
      <c r="AA77" s="1717">
        <f t="shared" si="79"/>
        <v>570624</v>
      </c>
      <c r="AB77" s="940">
        <f t="shared" si="79"/>
        <v>-1426.56</v>
      </c>
      <c r="AC77" s="1000">
        <f t="shared" si="79"/>
        <v>569197.44000000006</v>
      </c>
      <c r="AD77" s="1828">
        <f t="shared" si="79"/>
        <v>0</v>
      </c>
      <c r="AE77" s="1000">
        <f t="shared" si="79"/>
        <v>569197.44000000006</v>
      </c>
      <c r="AF77" s="1828">
        <f t="shared" si="79"/>
        <v>368011.81613636366</v>
      </c>
      <c r="AG77" s="1828">
        <f t="shared" si="79"/>
        <v>201185.6238636364</v>
      </c>
      <c r="AH77" s="1000">
        <f t="shared" si="79"/>
        <v>50296</v>
      </c>
      <c r="AI77" s="894">
        <f t="shared" si="79"/>
        <v>1743901.2986162731</v>
      </c>
      <c r="AJ77" s="894">
        <f t="shared" si="79"/>
        <v>139878</v>
      </c>
      <c r="AL77" s="2034">
        <f>SUM(AL8:AL76)</f>
        <v>1415.9375</v>
      </c>
      <c r="AM77" s="2034">
        <f>SUM(AM8:AM76)</f>
        <v>-1426.56</v>
      </c>
      <c r="AN77" s="2034">
        <f>SUM(AN8:AN76)</f>
        <v>-10.622500000000002</v>
      </c>
    </row>
    <row r="78" spans="1:40" ht="12" customHeight="1" thickTop="1"/>
    <row r="79" spans="1:40" hidden="1"/>
    <row r="80" spans="1:40" hidden="1">
      <c r="M80" s="1464" t="s">
        <v>951</v>
      </c>
      <c r="N80" s="2034">
        <f>-'[4]Table 5C1L-Northshore Charter'!$I$76</f>
        <v>4043.5924678444521</v>
      </c>
    </row>
    <row r="81" spans="13:14" hidden="1">
      <c r="M81" s="1464" t="s">
        <v>952</v>
      </c>
      <c r="N81" s="2034">
        <f>M77</f>
        <v>-2944.1199464066995</v>
      </c>
    </row>
    <row r="82" spans="13:14" hidden="1">
      <c r="M82" s="1464" t="s">
        <v>953</v>
      </c>
      <c r="N82" s="2034">
        <f>SUM(N80:N81)</f>
        <v>1099.4725214377527</v>
      </c>
    </row>
  </sheetData>
  <mergeCells count="30">
    <mergeCell ref="AI2:AI5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I4:I5"/>
    <mergeCell ref="J4:J5"/>
    <mergeCell ref="K4:K5"/>
    <mergeCell ref="I3:K3"/>
    <mergeCell ref="X4:X5"/>
    <mergeCell ref="Y4:Y5"/>
    <mergeCell ref="V3:Z3"/>
    <mergeCell ref="A2:B5"/>
    <mergeCell ref="C2:S2"/>
    <mergeCell ref="T2:AH2"/>
    <mergeCell ref="L4:L5"/>
    <mergeCell ref="V4:V5"/>
    <mergeCell ref="W4:W5"/>
    <mergeCell ref="AA4:AA5"/>
    <mergeCell ref="P4:P5"/>
    <mergeCell ref="S4:S5"/>
    <mergeCell ref="T4:T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5C1-L: FY2013-14 MFP Budget Letter (March 2014) 
Northshore Charter School</oddHeader>
    <oddFooter>&amp;R&amp;P</oddFooter>
  </headerFooter>
  <colBreaks count="3" manualBreakCount="3">
    <brk id="12" max="1048575" man="1"/>
    <brk id="19" max="1048575" man="1"/>
    <brk id="31" min="1" max="8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3"/>
  <sheetViews>
    <sheetView view="pageBreakPreview" zoomScale="90" zoomScaleNormal="100" zoomScaleSheetLayoutView="90" workbookViewId="0">
      <pane xSplit="2" ySplit="7" topLeftCell="C8" activePane="bottomRight" state="frozen"/>
      <selection activeCell="AN13" sqref="AN8:AN77"/>
      <selection pane="topRight" activeCell="AN13" sqref="AN8:AN77"/>
      <selection pane="bottomLeft" activeCell="AN13" sqref="AN8:AN77"/>
      <selection pane="bottomRight"/>
    </sheetView>
  </sheetViews>
  <sheetFormatPr defaultColWidth="8.85546875" defaultRowHeight="12.75"/>
  <cols>
    <col min="1" max="1" width="4.28515625" style="968" customWidth="1"/>
    <col min="2" max="2" width="17.85546875" style="968" customWidth="1"/>
    <col min="3" max="3" width="13.7109375" style="968" customWidth="1"/>
    <col min="4" max="4" width="14" style="968" customWidth="1"/>
    <col min="5" max="5" width="10.7109375" style="968" customWidth="1"/>
    <col min="6" max="6" width="13" style="968" customWidth="1"/>
    <col min="7" max="7" width="13.42578125" style="968" customWidth="1"/>
    <col min="8" max="8" width="12.85546875" style="968" customWidth="1"/>
    <col min="9" max="9" width="12.5703125" style="1509" customWidth="1"/>
    <col min="10" max="10" width="13.28515625" style="1509" bestFit="1" customWidth="1"/>
    <col min="11" max="11" width="12.5703125" style="1509" customWidth="1"/>
    <col min="12" max="12" width="15.140625" style="1509" customWidth="1"/>
    <col min="13" max="13" width="12.140625" style="968" customWidth="1"/>
    <col min="14" max="14" width="13.140625" style="968" customWidth="1"/>
    <col min="15" max="15" width="13.42578125" style="968" bestFit="1" customWidth="1"/>
    <col min="16" max="16" width="14.7109375" style="968" customWidth="1"/>
    <col min="17" max="18" width="14" style="1509" customWidth="1"/>
    <col min="19" max="19" width="10.7109375" style="968" customWidth="1"/>
    <col min="20" max="20" width="11.5703125" style="968" customWidth="1"/>
    <col min="21" max="21" width="10.7109375" style="968" customWidth="1"/>
    <col min="22" max="26" width="12" style="1509" customWidth="1"/>
    <col min="27" max="27" width="13" style="1509" customWidth="1"/>
    <col min="28" max="28" width="12.5703125" style="968" customWidth="1"/>
    <col min="29" max="29" width="13" style="968" customWidth="1"/>
    <col min="30" max="30" width="13.28515625" style="968" customWidth="1"/>
    <col min="31" max="31" width="13" style="968" customWidth="1"/>
    <col min="32" max="33" width="13.140625" style="1509" customWidth="1"/>
    <col min="34" max="34" width="12" style="968" customWidth="1"/>
    <col min="35" max="35" width="11" style="968" customWidth="1"/>
    <col min="36" max="36" width="12.140625" style="968" customWidth="1"/>
    <col min="37" max="37" width="1.5703125" style="968" customWidth="1"/>
    <col min="38" max="38" width="8.85546875" style="2034" hidden="1" customWidth="1"/>
    <col min="39" max="39" width="10.85546875" style="968" hidden="1" customWidth="1"/>
    <col min="40" max="40" width="8.85546875" style="968" hidden="1" customWidth="1"/>
    <col min="41" max="16384" width="8.85546875" style="968"/>
  </cols>
  <sheetData>
    <row r="1" spans="1:40"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05"/>
      <c r="O1" s="1105"/>
      <c r="P1" s="1105"/>
      <c r="Q1" s="1105"/>
      <c r="R1" s="1105"/>
      <c r="S1" s="1105"/>
    </row>
    <row r="2" spans="1:40" ht="45" customHeight="1">
      <c r="A2" s="2384" t="s">
        <v>766</v>
      </c>
      <c r="B2" s="2385"/>
      <c r="C2" s="2343" t="s">
        <v>543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20"/>
      <c r="W2" s="2320"/>
      <c r="X2" s="2320"/>
      <c r="Y2" s="2320"/>
      <c r="Z2" s="2320"/>
      <c r="AA2" s="2320"/>
      <c r="AB2" s="2318"/>
      <c r="AC2" s="2318"/>
      <c r="AD2" s="2318"/>
      <c r="AE2" s="2318"/>
      <c r="AF2" s="2320"/>
      <c r="AG2" s="2320"/>
      <c r="AH2" s="2321"/>
      <c r="AI2" s="2307" t="s">
        <v>545</v>
      </c>
      <c r="AJ2" s="2307" t="s">
        <v>527</v>
      </c>
    </row>
    <row r="3" spans="1:40" s="1509" customFormat="1" ht="22.15" customHeight="1">
      <c r="A3" s="2386"/>
      <c r="B3" s="2387"/>
      <c r="C3" s="1585"/>
      <c r="D3" s="1593"/>
      <c r="E3" s="1593"/>
      <c r="F3" s="1593"/>
      <c r="G3" s="1593"/>
      <c r="H3" s="1593"/>
      <c r="I3" s="2373" t="s">
        <v>772</v>
      </c>
      <c r="J3" s="2374"/>
      <c r="K3" s="2375"/>
      <c r="L3" s="1593"/>
      <c r="M3" s="1593"/>
      <c r="N3" s="1593"/>
      <c r="O3" s="1593"/>
      <c r="P3" s="1593"/>
      <c r="Q3" s="1593"/>
      <c r="R3" s="1593"/>
      <c r="S3" s="1594"/>
      <c r="T3" s="1584"/>
      <c r="U3" s="1582"/>
      <c r="V3" s="2376" t="s">
        <v>772</v>
      </c>
      <c r="W3" s="2377"/>
      <c r="X3" s="2377"/>
      <c r="Y3" s="2377"/>
      <c r="Z3" s="2378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  <c r="AL3" s="2034"/>
    </row>
    <row r="4" spans="1:40" ht="135.6" customHeight="1">
      <c r="A4" s="2388"/>
      <c r="B4" s="2387"/>
      <c r="C4" s="2391" t="s">
        <v>834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35" t="s">
        <v>784</v>
      </c>
      <c r="J4" s="2335" t="s">
        <v>785</v>
      </c>
      <c r="K4" s="2335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89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89" t="s">
        <v>808</v>
      </c>
      <c r="AC4" s="2314" t="s">
        <v>805</v>
      </c>
      <c r="AD4" s="2314" t="s">
        <v>794</v>
      </c>
      <c r="AE4" s="2314" t="s">
        <v>806</v>
      </c>
      <c r="AF4" s="1592" t="s">
        <v>807</v>
      </c>
      <c r="AG4" s="1592" t="s">
        <v>795</v>
      </c>
      <c r="AH4" s="1589" t="s">
        <v>540</v>
      </c>
      <c r="AI4" s="2309"/>
      <c r="AJ4" s="2309"/>
    </row>
    <row r="5" spans="1:40" ht="22.15" customHeight="1">
      <c r="A5" s="2389"/>
      <c r="B5" s="2390"/>
      <c r="C5" s="239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90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590"/>
      <c r="AG5" s="1590"/>
      <c r="AH5" s="1590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AJ6" si="1">E6+1</f>
        <v>4</v>
      </c>
      <c r="G6" s="869">
        <f t="shared" si="1"/>
        <v>5</v>
      </c>
      <c r="H6" s="869">
        <f t="shared" si="1"/>
        <v>6</v>
      </c>
      <c r="I6" s="869">
        <f t="shared" si="1"/>
        <v>7</v>
      </c>
      <c r="J6" s="869">
        <f t="shared" ref="J6" si="2">I6+1</f>
        <v>8</v>
      </c>
      <c r="K6" s="869">
        <f t="shared" ref="K6" si="3">J6+1</f>
        <v>9</v>
      </c>
      <c r="L6" s="869">
        <f t="shared" ref="L6" si="4">K6+1</f>
        <v>10</v>
      </c>
      <c r="M6" s="869">
        <f t="shared" ref="M6" si="5">L6+1</f>
        <v>11</v>
      </c>
      <c r="N6" s="869">
        <f t="shared" si="1"/>
        <v>12</v>
      </c>
      <c r="O6" s="869">
        <f t="shared" si="1"/>
        <v>13</v>
      </c>
      <c r="P6" s="869">
        <f t="shared" si="1"/>
        <v>14</v>
      </c>
      <c r="Q6" s="869">
        <f t="shared" ref="Q6" si="6">P6+1</f>
        <v>15</v>
      </c>
      <c r="R6" s="869">
        <f t="shared" ref="R6" si="7">Q6+1</f>
        <v>16</v>
      </c>
      <c r="S6" s="869">
        <f t="shared" ref="S6" si="8">R6+1</f>
        <v>17</v>
      </c>
      <c r="T6" s="869">
        <f>S6+1</f>
        <v>18</v>
      </c>
      <c r="U6" s="869">
        <f t="shared" si="1"/>
        <v>19</v>
      </c>
      <c r="V6" s="869">
        <f t="shared" ref="V6" si="9">U6+1</f>
        <v>20</v>
      </c>
      <c r="W6" s="869">
        <f t="shared" ref="W6" si="10">V6+1</f>
        <v>21</v>
      </c>
      <c r="X6" s="869">
        <f t="shared" ref="X6" si="11">W6+1</f>
        <v>22</v>
      </c>
      <c r="Y6" s="869">
        <f t="shared" ref="Y6" si="12">X6+1</f>
        <v>23</v>
      </c>
      <c r="Z6" s="869">
        <f t="shared" ref="Z6:AA6" si="13">Y6+1</f>
        <v>24</v>
      </c>
      <c r="AA6" s="869">
        <f t="shared" si="13"/>
        <v>25</v>
      </c>
      <c r="AB6" s="869">
        <f t="shared" ref="AB6" si="14">AA6+1</f>
        <v>26</v>
      </c>
      <c r="AC6" s="869">
        <f t="shared" si="1"/>
        <v>27</v>
      </c>
      <c r="AD6" s="869">
        <f t="shared" si="1"/>
        <v>28</v>
      </c>
      <c r="AE6" s="869">
        <f t="shared" si="1"/>
        <v>29</v>
      </c>
      <c r="AF6" s="869">
        <f t="shared" ref="AF6" si="15">AE6+1</f>
        <v>30</v>
      </c>
      <c r="AG6" s="869">
        <f t="shared" ref="AG6" si="16">AF6+1</f>
        <v>31</v>
      </c>
      <c r="AH6" s="869">
        <f t="shared" ref="AH6" si="17">AG6+1</f>
        <v>32</v>
      </c>
      <c r="AI6" s="869">
        <f t="shared" si="1"/>
        <v>33</v>
      </c>
      <c r="AJ6" s="869">
        <f t="shared" si="1"/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535"/>
      <c r="J7" s="1535"/>
      <c r="K7" s="1535"/>
      <c r="L7" s="1535"/>
      <c r="M7" s="896"/>
      <c r="N7" s="896"/>
      <c r="O7" s="896"/>
      <c r="P7" s="896"/>
      <c r="Q7" s="1535"/>
      <c r="R7" s="1535"/>
      <c r="S7" s="896"/>
      <c r="T7" s="896"/>
      <c r="U7" s="896"/>
      <c r="V7" s="1535"/>
      <c r="W7" s="1535"/>
      <c r="X7" s="1535"/>
      <c r="Y7" s="1535"/>
      <c r="Z7" s="1535"/>
      <c r="AA7" s="1535"/>
      <c r="AB7" s="896"/>
      <c r="AC7" s="896"/>
      <c r="AD7" s="896"/>
      <c r="AE7" s="896"/>
      <c r="AF7" s="1535"/>
      <c r="AG7" s="1535"/>
      <c r="AH7" s="896"/>
      <c r="AI7" s="896"/>
      <c r="AJ7" s="896"/>
      <c r="AL7" s="2041" t="s">
        <v>945</v>
      </c>
      <c r="AM7" s="2035" t="s">
        <v>948</v>
      </c>
      <c r="AN7" s="2035" t="s">
        <v>947</v>
      </c>
    </row>
    <row r="8" spans="1:40">
      <c r="A8" s="870">
        <v>1</v>
      </c>
      <c r="B8" s="871" t="s">
        <v>92</v>
      </c>
      <c r="C8" s="971"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B.R. Charter'!K7</f>
        <v>0</v>
      </c>
      <c r="J8" s="1718">
        <f>'[3]Feb midyear B.R. Charter'!K7</f>
        <v>0</v>
      </c>
      <c r="K8" s="1542">
        <f>I8+J8</f>
        <v>0</v>
      </c>
      <c r="L8" s="998">
        <f t="shared" ref="L8:L39" si="18">H8+K8</f>
        <v>0</v>
      </c>
      <c r="M8" s="928">
        <f>-(0.25%*L8)</f>
        <v>0</v>
      </c>
      <c r="N8" s="998">
        <f>SUM(L8:M8)</f>
        <v>0</v>
      </c>
      <c r="O8" s="1718">
        <v>0</v>
      </c>
      <c r="P8" s="998">
        <f t="shared" ref="P8:P72" si="19">SUM(N8:O8)</f>
        <v>0</v>
      </c>
      <c r="Q8" s="1718">
        <f>'[26]Table 5C1M-B.R. Charter'!M7*5+('[5]Table 5C1M-B.R. Charter'!T7*3)</f>
        <v>0</v>
      </c>
      <c r="R8" s="1718">
        <f>P8-Q8</f>
        <v>0</v>
      </c>
      <c r="S8" s="998">
        <f>ROUND(R8/4,0)</f>
        <v>0</v>
      </c>
      <c r="T8" s="1802">
        <f>'Table 5C1A-Madison Prep'!T8</f>
        <v>2180</v>
      </c>
      <c r="U8" s="999">
        <f t="shared" ref="U8:U39" si="20">C8*T8</f>
        <v>0</v>
      </c>
      <c r="V8" s="1772">
        <f>+'[3]Oct midyear B.R. Charter'!E7</f>
        <v>0</v>
      </c>
      <c r="W8" s="1755">
        <f>V8*T8</f>
        <v>0</v>
      </c>
      <c r="X8" s="1754">
        <f>'[3]Feb midyear B.R. Charter'!E7</f>
        <v>0</v>
      </c>
      <c r="Y8" s="1755">
        <f>(T8*X8)*0.5</f>
        <v>0</v>
      </c>
      <c r="Z8" s="1652">
        <f>+W8+Y8</f>
        <v>0</v>
      </c>
      <c r="AA8" s="1521">
        <f>U8+Z8</f>
        <v>0</v>
      </c>
      <c r="AB8" s="936">
        <f>-(0.25%*AA8)</f>
        <v>0</v>
      </c>
      <c r="AC8" s="874">
        <f>SUM(AA8:AB8)</f>
        <v>0</v>
      </c>
      <c r="AD8" s="1755">
        <v>0</v>
      </c>
      <c r="AE8" s="999">
        <f>SUM(AC8:AD8)</f>
        <v>0</v>
      </c>
      <c r="AF8" s="1755">
        <f>'[4]Table 5C1M-B.R. Charter'!T7*5+'[5]Table 5C1M-B.R. Charter'!AF7*3</f>
        <v>0</v>
      </c>
      <c r="AG8" s="1755">
        <f>AE8-AF8</f>
        <v>0</v>
      </c>
      <c r="AH8" s="999">
        <f>ROUND(AG8/4,0)</f>
        <v>0</v>
      </c>
      <c r="AI8" s="875">
        <f t="shared" ref="AI8:AI39" si="21">P8+AE8</f>
        <v>0</v>
      </c>
      <c r="AJ8" s="875">
        <f t="shared" ref="AJ8:AJ39" si="22">S8+AH8</f>
        <v>0</v>
      </c>
      <c r="AL8" s="2034">
        <f>-'[4]Table 5C1M-B.R. Charter'!P7</f>
        <v>0</v>
      </c>
      <c r="AM8" s="2034">
        <f>AB8</f>
        <v>0</v>
      </c>
      <c r="AN8" s="2034">
        <f>SUM(AL8:AM8)</f>
        <v>0</v>
      </c>
    </row>
    <row r="9" spans="1:40">
      <c r="A9" s="876">
        <v>2</v>
      </c>
      <c r="B9" s="877" t="s">
        <v>93</v>
      </c>
      <c r="C9" s="969">
        <v>0</v>
      </c>
      <c r="D9" s="878">
        <f>'Table 3 Levels 1&amp;2'!AL9</f>
        <v>6182.4313545138375</v>
      </c>
      <c r="E9" s="919">
        <f t="shared" ref="E9:E72" si="23">C9*D9</f>
        <v>0</v>
      </c>
      <c r="F9" s="919">
        <f>'Table 4 Level 3'!P7</f>
        <v>842.32</v>
      </c>
      <c r="G9" s="919">
        <f t="shared" ref="G9:G72" si="24">C9*F9</f>
        <v>0</v>
      </c>
      <c r="H9" s="898">
        <f t="shared" ref="H9:H72" si="25">E9+G9</f>
        <v>0</v>
      </c>
      <c r="I9" s="1732">
        <f>+'[3]Oct midyear B.R. Charter'!K8</f>
        <v>0</v>
      </c>
      <c r="J9" s="1732">
        <f>'[3]Feb midyear B.R. Charter'!K8</f>
        <v>0</v>
      </c>
      <c r="K9" s="1543">
        <f t="shared" ref="K9:K72" si="26">I9+J9</f>
        <v>0</v>
      </c>
      <c r="L9" s="1536">
        <f t="shared" si="18"/>
        <v>0</v>
      </c>
      <c r="M9" s="929">
        <f t="shared" ref="M9:M72" si="27">-(0.25%*L9)</f>
        <v>0</v>
      </c>
      <c r="N9" s="1550">
        <f t="shared" ref="N9:N72" si="28">SUM(L9:M9)</f>
        <v>0</v>
      </c>
      <c r="O9" s="1719">
        <v>0</v>
      </c>
      <c r="P9" s="1550">
        <f t="shared" si="19"/>
        <v>0</v>
      </c>
      <c r="Q9" s="1732">
        <f>'[26]Table 5C1M-B.R. Charter'!M8*5+('[5]Table 5C1M-B.R. Charter'!T8*3)</f>
        <v>0</v>
      </c>
      <c r="R9" s="1732">
        <f t="shared" ref="R9:R72" si="29">P9-Q9</f>
        <v>0</v>
      </c>
      <c r="S9" s="1550">
        <f t="shared" ref="S9:S72" si="30">ROUND(R9/4,0)</f>
        <v>0</v>
      </c>
      <c r="T9" s="1802">
        <f>'Table 5C1A-Madison Prep'!T9</f>
        <v>2759</v>
      </c>
      <c r="U9" s="1555">
        <f t="shared" si="20"/>
        <v>0</v>
      </c>
      <c r="V9" s="1773">
        <f>+'[3]Oct midyear B.R. Charter'!E8</f>
        <v>0</v>
      </c>
      <c r="W9" s="1759">
        <f t="shared" ref="W9:W72" si="31">V9*T9</f>
        <v>0</v>
      </c>
      <c r="X9" s="1758">
        <f>'[3]Feb midyear B.R. Charter'!E8</f>
        <v>0</v>
      </c>
      <c r="Y9" s="1759">
        <f t="shared" ref="Y9:Y72" si="32">(T9*X9)*0.5</f>
        <v>0</v>
      </c>
      <c r="Z9" s="1653">
        <f t="shared" ref="Z9:Z72" si="33">+W9+Y9</f>
        <v>0</v>
      </c>
      <c r="AA9" s="1486">
        <f t="shared" ref="AA9:AA72" si="34">U9+Z9</f>
        <v>0</v>
      </c>
      <c r="AB9" s="937">
        <f t="shared" ref="AB9:AB72" si="35">-(0.25%*AA9)</f>
        <v>0</v>
      </c>
      <c r="AC9" s="899">
        <f t="shared" ref="AC9:AC72" si="36">SUM(AA9:AB9)</f>
        <v>0</v>
      </c>
      <c r="AD9" s="1825">
        <v>0</v>
      </c>
      <c r="AE9" s="1555">
        <f t="shared" ref="AE9:AE72" si="37">SUM(AC9:AD9)</f>
        <v>0</v>
      </c>
      <c r="AF9" s="1759">
        <f>'[4]Table 5C1M-B.R. Charter'!T8*5+'[5]Table 5C1M-B.R. Charter'!AF8*3</f>
        <v>0</v>
      </c>
      <c r="AG9" s="1759">
        <f t="shared" ref="AG9:AG72" si="38">AE9-AF9</f>
        <v>0</v>
      </c>
      <c r="AH9" s="1555">
        <f t="shared" ref="AH9:AH72" si="39">ROUND(AG9/4,0)</f>
        <v>0</v>
      </c>
      <c r="AI9" s="900">
        <f t="shared" si="21"/>
        <v>0</v>
      </c>
      <c r="AJ9" s="900">
        <f t="shared" si="22"/>
        <v>0</v>
      </c>
      <c r="AL9" s="2034">
        <f>-'[4]Table 5C1M-B.R. Charter'!P8</f>
        <v>0</v>
      </c>
      <c r="AM9" s="2034">
        <f t="shared" ref="AM9:AM72" si="40">AB9</f>
        <v>0</v>
      </c>
      <c r="AN9" s="2034">
        <f t="shared" ref="AN9:AN72" si="41">SUM(AL9:AM9)</f>
        <v>0</v>
      </c>
    </row>
    <row r="10" spans="1:40">
      <c r="A10" s="876">
        <v>3</v>
      </c>
      <c r="B10" s="877" t="s">
        <v>94</v>
      </c>
      <c r="C10" s="969">
        <v>0</v>
      </c>
      <c r="D10" s="878">
        <f>'Table 3 Levels 1&amp;2'!AL10</f>
        <v>4206.710737685361</v>
      </c>
      <c r="E10" s="919">
        <f t="shared" si="23"/>
        <v>0</v>
      </c>
      <c r="F10" s="919">
        <f>'Table 4 Level 3'!P8</f>
        <v>596.84</v>
      </c>
      <c r="G10" s="919">
        <f t="shared" si="24"/>
        <v>0</v>
      </c>
      <c r="H10" s="898">
        <f t="shared" si="25"/>
        <v>0</v>
      </c>
      <c r="I10" s="1732">
        <f>+'[3]Oct midyear B.R. Charter'!K9</f>
        <v>0</v>
      </c>
      <c r="J10" s="1732">
        <f>'[3]Feb midyear B.R. Charter'!K9</f>
        <v>2401.7753688426806</v>
      </c>
      <c r="K10" s="1543">
        <f t="shared" si="26"/>
        <v>2401.7753688426806</v>
      </c>
      <c r="L10" s="1536">
        <f t="shared" si="18"/>
        <v>2401.7753688426806</v>
      </c>
      <c r="M10" s="929">
        <f t="shared" si="27"/>
        <v>-6.004438422106702</v>
      </c>
      <c r="N10" s="1550">
        <f t="shared" si="28"/>
        <v>2395.7709304205737</v>
      </c>
      <c r="O10" s="1719">
        <v>0</v>
      </c>
      <c r="P10" s="1550">
        <f t="shared" si="19"/>
        <v>2395.7709304205737</v>
      </c>
      <c r="Q10" s="1732">
        <f>'[26]Table 5C1M-B.R. Charter'!M9*5+('[5]Table 5C1M-B.R. Charter'!T9*3)</f>
        <v>0</v>
      </c>
      <c r="R10" s="1732">
        <f t="shared" si="29"/>
        <v>2395.7709304205737</v>
      </c>
      <c r="S10" s="1550">
        <f t="shared" si="30"/>
        <v>599</v>
      </c>
      <c r="T10" s="1802">
        <f>'Table 5C1A-Madison Prep'!T10</f>
        <v>5538</v>
      </c>
      <c r="U10" s="1555">
        <f t="shared" si="20"/>
        <v>0</v>
      </c>
      <c r="V10" s="1773">
        <f>+'[3]Oct midyear B.R. Charter'!E9</f>
        <v>0</v>
      </c>
      <c r="W10" s="1759">
        <f t="shared" si="31"/>
        <v>0</v>
      </c>
      <c r="X10" s="1758">
        <f>'[3]Feb midyear B.R. Charter'!E9</f>
        <v>1</v>
      </c>
      <c r="Y10" s="1759">
        <f t="shared" si="32"/>
        <v>2769</v>
      </c>
      <c r="Z10" s="1653">
        <f t="shared" si="33"/>
        <v>2769</v>
      </c>
      <c r="AA10" s="1486">
        <f t="shared" si="34"/>
        <v>2769</v>
      </c>
      <c r="AB10" s="937">
        <f t="shared" si="35"/>
        <v>-6.9225000000000003</v>
      </c>
      <c r="AC10" s="899">
        <f t="shared" si="36"/>
        <v>2762.0774999999999</v>
      </c>
      <c r="AD10" s="1825">
        <v>0</v>
      </c>
      <c r="AE10" s="1555">
        <f t="shared" si="37"/>
        <v>2762.0774999999999</v>
      </c>
      <c r="AF10" s="1759">
        <f>'[4]Table 5C1M-B.R. Charter'!T9*5+'[5]Table 5C1M-B.R. Charter'!AF9*3</f>
        <v>0</v>
      </c>
      <c r="AG10" s="1759">
        <f t="shared" si="38"/>
        <v>2762.0774999999999</v>
      </c>
      <c r="AH10" s="1555">
        <f t="shared" si="39"/>
        <v>691</v>
      </c>
      <c r="AI10" s="900">
        <f t="shared" si="21"/>
        <v>5157.848430420574</v>
      </c>
      <c r="AJ10" s="900">
        <f t="shared" si="22"/>
        <v>1290</v>
      </c>
      <c r="AL10" s="2034">
        <f>-'[4]Table 5C1M-B.R. Charter'!P9</f>
        <v>0</v>
      </c>
      <c r="AM10" s="2034">
        <f t="shared" si="40"/>
        <v>-6.9225000000000003</v>
      </c>
      <c r="AN10" s="2034">
        <f t="shared" si="41"/>
        <v>-6.9225000000000003</v>
      </c>
    </row>
    <row r="11" spans="1:40">
      <c r="A11" s="876">
        <v>4</v>
      </c>
      <c r="B11" s="877" t="s">
        <v>95</v>
      </c>
      <c r="C11" s="969">
        <v>0</v>
      </c>
      <c r="D11" s="878">
        <f>'Table 3 Levels 1&amp;2'!AL11</f>
        <v>5987.4993535453223</v>
      </c>
      <c r="E11" s="919">
        <f t="shared" si="23"/>
        <v>0</v>
      </c>
      <c r="F11" s="919">
        <f>'Table 4 Level 3'!P9</f>
        <v>585.76</v>
      </c>
      <c r="G11" s="919">
        <f t="shared" si="24"/>
        <v>0</v>
      </c>
      <c r="H11" s="898">
        <f t="shared" si="25"/>
        <v>0</v>
      </c>
      <c r="I11" s="1732">
        <f>+'[3]Oct midyear B.R. Charter'!K10</f>
        <v>0</v>
      </c>
      <c r="J11" s="1732">
        <f>'[3]Feb midyear B.R. Charter'!K10</f>
        <v>0</v>
      </c>
      <c r="K11" s="1543">
        <f t="shared" si="26"/>
        <v>0</v>
      </c>
      <c r="L11" s="1536">
        <f t="shared" si="18"/>
        <v>0</v>
      </c>
      <c r="M11" s="929">
        <f t="shared" si="27"/>
        <v>0</v>
      </c>
      <c r="N11" s="1550">
        <f t="shared" si="28"/>
        <v>0</v>
      </c>
      <c r="O11" s="1719">
        <v>0</v>
      </c>
      <c r="P11" s="1550">
        <f t="shared" si="19"/>
        <v>0</v>
      </c>
      <c r="Q11" s="1732">
        <f>'[26]Table 5C1M-B.R. Charter'!M10*5+('[5]Table 5C1M-B.R. Charter'!T10*3)</f>
        <v>0</v>
      </c>
      <c r="R11" s="1732">
        <f t="shared" si="29"/>
        <v>0</v>
      </c>
      <c r="S11" s="1550">
        <f t="shared" si="30"/>
        <v>0</v>
      </c>
      <c r="T11" s="1802">
        <f>'Table 5C1A-Madison Prep'!T11</f>
        <v>3507</v>
      </c>
      <c r="U11" s="1555">
        <f t="shared" si="20"/>
        <v>0</v>
      </c>
      <c r="V11" s="1773">
        <f>+'[3]Oct midyear B.R. Charter'!E10</f>
        <v>0</v>
      </c>
      <c r="W11" s="1759">
        <f t="shared" si="31"/>
        <v>0</v>
      </c>
      <c r="X11" s="1758">
        <f>'[3]Feb midyear B.R. Charter'!E10</f>
        <v>0</v>
      </c>
      <c r="Y11" s="1759">
        <f t="shared" si="32"/>
        <v>0</v>
      </c>
      <c r="Z11" s="1653">
        <f t="shared" si="33"/>
        <v>0</v>
      </c>
      <c r="AA11" s="1486">
        <f t="shared" si="34"/>
        <v>0</v>
      </c>
      <c r="AB11" s="937">
        <f t="shared" si="35"/>
        <v>0</v>
      </c>
      <c r="AC11" s="899">
        <f t="shared" si="36"/>
        <v>0</v>
      </c>
      <c r="AD11" s="1825">
        <v>0</v>
      </c>
      <c r="AE11" s="1555">
        <f t="shared" si="37"/>
        <v>0</v>
      </c>
      <c r="AF11" s="1759">
        <f>'[4]Table 5C1M-B.R. Charter'!T10*5+'[5]Table 5C1M-B.R. Charter'!AF10*3</f>
        <v>0</v>
      </c>
      <c r="AG11" s="1759">
        <f t="shared" si="38"/>
        <v>0</v>
      </c>
      <c r="AH11" s="1555">
        <f t="shared" si="39"/>
        <v>0</v>
      </c>
      <c r="AI11" s="900">
        <f t="shared" si="21"/>
        <v>0</v>
      </c>
      <c r="AJ11" s="900">
        <f t="shared" si="22"/>
        <v>0</v>
      </c>
      <c r="AL11" s="2034">
        <f>-'[4]Table 5C1M-B.R. Charter'!P10</f>
        <v>0</v>
      </c>
      <c r="AM11" s="2034">
        <f t="shared" si="40"/>
        <v>0</v>
      </c>
      <c r="AN11" s="2034">
        <f t="shared" si="41"/>
        <v>0</v>
      </c>
    </row>
    <row r="12" spans="1:40">
      <c r="A12" s="879">
        <v>5</v>
      </c>
      <c r="B12" s="880" t="s">
        <v>96</v>
      </c>
      <c r="C12" s="970">
        <v>0</v>
      </c>
      <c r="D12" s="881">
        <f>'Table 3 Levels 1&amp;2'!AL12</f>
        <v>4986.8166927080074</v>
      </c>
      <c r="E12" s="920">
        <f t="shared" si="23"/>
        <v>0</v>
      </c>
      <c r="F12" s="920">
        <f>'Table 4 Level 3'!P10</f>
        <v>555.91</v>
      </c>
      <c r="G12" s="920">
        <f t="shared" si="24"/>
        <v>0</v>
      </c>
      <c r="H12" s="901">
        <f t="shared" si="25"/>
        <v>0</v>
      </c>
      <c r="I12" s="1733">
        <f>+'[3]Oct midyear B.R. Charter'!K11</f>
        <v>0</v>
      </c>
      <c r="J12" s="1733">
        <f>'[3]Feb midyear B.R. Charter'!K11</f>
        <v>0</v>
      </c>
      <c r="K12" s="1544">
        <f t="shared" si="26"/>
        <v>0</v>
      </c>
      <c r="L12" s="1537">
        <f t="shared" si="18"/>
        <v>0</v>
      </c>
      <c r="M12" s="930">
        <f t="shared" si="27"/>
        <v>0</v>
      </c>
      <c r="N12" s="1551">
        <f t="shared" si="28"/>
        <v>0</v>
      </c>
      <c r="O12" s="1720">
        <v>0</v>
      </c>
      <c r="P12" s="1551">
        <f t="shared" si="19"/>
        <v>0</v>
      </c>
      <c r="Q12" s="1733">
        <f>'[26]Table 5C1M-B.R. Charter'!M11*5+('[5]Table 5C1M-B.R. Charter'!T11*3)</f>
        <v>0</v>
      </c>
      <c r="R12" s="1733">
        <f t="shared" si="29"/>
        <v>0</v>
      </c>
      <c r="S12" s="1551">
        <f t="shared" si="30"/>
        <v>0</v>
      </c>
      <c r="T12" s="1807">
        <f>'Table 5C1A-Madison Prep'!T12</f>
        <v>2086</v>
      </c>
      <c r="U12" s="1556">
        <f t="shared" si="20"/>
        <v>0</v>
      </c>
      <c r="V12" s="1774">
        <f>+'[3]Oct midyear B.R. Charter'!E11</f>
        <v>0</v>
      </c>
      <c r="W12" s="1763">
        <f t="shared" si="31"/>
        <v>0</v>
      </c>
      <c r="X12" s="1762">
        <f>'[3]Feb midyear B.R. Charter'!E11</f>
        <v>0</v>
      </c>
      <c r="Y12" s="1763">
        <f t="shared" si="32"/>
        <v>0</v>
      </c>
      <c r="Z12" s="1654">
        <f t="shared" si="33"/>
        <v>0</v>
      </c>
      <c r="AA12" s="1488">
        <f t="shared" si="34"/>
        <v>0</v>
      </c>
      <c r="AB12" s="938">
        <f t="shared" si="35"/>
        <v>0</v>
      </c>
      <c r="AC12" s="903">
        <f t="shared" si="36"/>
        <v>0</v>
      </c>
      <c r="AD12" s="1826">
        <v>0</v>
      </c>
      <c r="AE12" s="1556">
        <f t="shared" si="37"/>
        <v>0</v>
      </c>
      <c r="AF12" s="1763">
        <f>'[4]Table 5C1M-B.R. Charter'!T11*5+'[5]Table 5C1M-B.R. Charter'!AF11*3</f>
        <v>0</v>
      </c>
      <c r="AG12" s="1763">
        <f t="shared" si="38"/>
        <v>0</v>
      </c>
      <c r="AH12" s="1556">
        <f t="shared" si="39"/>
        <v>0</v>
      </c>
      <c r="AI12" s="904">
        <f t="shared" si="21"/>
        <v>0</v>
      </c>
      <c r="AJ12" s="904">
        <f t="shared" si="22"/>
        <v>0</v>
      </c>
      <c r="AL12" s="2034">
        <f>-'[4]Table 5C1M-B.R. Charter'!P11</f>
        <v>0</v>
      </c>
      <c r="AM12" s="2034">
        <f t="shared" si="40"/>
        <v>0</v>
      </c>
      <c r="AN12" s="2034">
        <f t="shared" si="41"/>
        <v>0</v>
      </c>
    </row>
    <row r="13" spans="1:40">
      <c r="A13" s="870">
        <v>6</v>
      </c>
      <c r="B13" s="871" t="s">
        <v>97</v>
      </c>
      <c r="C13" s="971">
        <v>0</v>
      </c>
      <c r="D13" s="872">
        <f>'Table 3 Levels 1&amp;2'!AL13</f>
        <v>5412.7883404260592</v>
      </c>
      <c r="E13" s="918">
        <f t="shared" si="23"/>
        <v>0</v>
      </c>
      <c r="F13" s="918">
        <f>'Table 4 Level 3'!P11</f>
        <v>545.4799999999999</v>
      </c>
      <c r="G13" s="918">
        <f t="shared" si="24"/>
        <v>0</v>
      </c>
      <c r="H13" s="873">
        <f t="shared" si="25"/>
        <v>0</v>
      </c>
      <c r="I13" s="1718">
        <f>+'[3]Oct midyear B.R. Charter'!K12</f>
        <v>0</v>
      </c>
      <c r="J13" s="1718">
        <f>'[3]Feb midyear B.R. Charter'!K12</f>
        <v>0</v>
      </c>
      <c r="K13" s="1542">
        <f t="shared" si="26"/>
        <v>0</v>
      </c>
      <c r="L13" s="998">
        <f t="shared" si="18"/>
        <v>0</v>
      </c>
      <c r="M13" s="928">
        <f t="shared" si="27"/>
        <v>0</v>
      </c>
      <c r="N13" s="998">
        <f t="shared" si="28"/>
        <v>0</v>
      </c>
      <c r="O13" s="1718">
        <v>0</v>
      </c>
      <c r="P13" s="998">
        <f t="shared" si="19"/>
        <v>0</v>
      </c>
      <c r="Q13" s="1718">
        <f>'[26]Table 5C1M-B.R. Charter'!M12*5+('[5]Table 5C1M-B.R. Charter'!T12*3)</f>
        <v>0</v>
      </c>
      <c r="R13" s="1718">
        <f t="shared" si="29"/>
        <v>0</v>
      </c>
      <c r="S13" s="998">
        <f t="shared" si="30"/>
        <v>0</v>
      </c>
      <c r="T13" s="1802">
        <f>'Table 5C1A-Madison Prep'!T13</f>
        <v>3683</v>
      </c>
      <c r="U13" s="999">
        <f t="shared" si="20"/>
        <v>0</v>
      </c>
      <c r="V13" s="1772">
        <f>+'[3]Oct midyear B.R. Charter'!E12</f>
        <v>0</v>
      </c>
      <c r="W13" s="1755">
        <f t="shared" si="31"/>
        <v>0</v>
      </c>
      <c r="X13" s="1754">
        <f>'[3]Feb midyear B.R. Charter'!E12</f>
        <v>0</v>
      </c>
      <c r="Y13" s="1755">
        <f t="shared" si="32"/>
        <v>0</v>
      </c>
      <c r="Z13" s="1652">
        <f t="shared" si="33"/>
        <v>0</v>
      </c>
      <c r="AA13" s="1521">
        <f t="shared" si="34"/>
        <v>0</v>
      </c>
      <c r="AB13" s="936">
        <f t="shared" si="35"/>
        <v>0</v>
      </c>
      <c r="AC13" s="874">
        <f t="shared" si="36"/>
        <v>0</v>
      </c>
      <c r="AD13" s="1755">
        <v>0</v>
      </c>
      <c r="AE13" s="999">
        <f t="shared" si="37"/>
        <v>0</v>
      </c>
      <c r="AF13" s="1755">
        <f>'[4]Table 5C1M-B.R. Charter'!T12*5+'[5]Table 5C1M-B.R. Charter'!AF12*3</f>
        <v>0</v>
      </c>
      <c r="AG13" s="1755">
        <f t="shared" si="38"/>
        <v>0</v>
      </c>
      <c r="AH13" s="999">
        <f t="shared" si="39"/>
        <v>0</v>
      </c>
      <c r="AI13" s="875">
        <f t="shared" si="21"/>
        <v>0</v>
      </c>
      <c r="AJ13" s="875">
        <f t="shared" si="22"/>
        <v>0</v>
      </c>
      <c r="AL13" s="2034">
        <f>-'[4]Table 5C1M-B.R. Charter'!P12</f>
        <v>0</v>
      </c>
      <c r="AM13" s="2034">
        <f t="shared" si="40"/>
        <v>0</v>
      </c>
      <c r="AN13" s="2034">
        <f t="shared" si="41"/>
        <v>0</v>
      </c>
    </row>
    <row r="14" spans="1:40">
      <c r="A14" s="876">
        <v>7</v>
      </c>
      <c r="B14" s="877" t="s">
        <v>98</v>
      </c>
      <c r="C14" s="969">
        <v>0</v>
      </c>
      <c r="D14" s="878">
        <f>'Table 3 Levels 1&amp;2'!AL14</f>
        <v>1766.1023604176123</v>
      </c>
      <c r="E14" s="919">
        <f t="shared" si="23"/>
        <v>0</v>
      </c>
      <c r="F14" s="919">
        <f>'Table 4 Level 3'!P12</f>
        <v>756.91999999999985</v>
      </c>
      <c r="G14" s="919">
        <f t="shared" si="24"/>
        <v>0</v>
      </c>
      <c r="H14" s="898">
        <f t="shared" si="25"/>
        <v>0</v>
      </c>
      <c r="I14" s="1732">
        <f>+'[3]Oct midyear B.R. Charter'!K13</f>
        <v>0</v>
      </c>
      <c r="J14" s="1732">
        <f>'[3]Feb midyear B.R. Charter'!K13</f>
        <v>0</v>
      </c>
      <c r="K14" s="1543">
        <f t="shared" si="26"/>
        <v>0</v>
      </c>
      <c r="L14" s="1536">
        <f t="shared" si="18"/>
        <v>0</v>
      </c>
      <c r="M14" s="929">
        <f t="shared" si="27"/>
        <v>0</v>
      </c>
      <c r="N14" s="1550">
        <f t="shared" si="28"/>
        <v>0</v>
      </c>
      <c r="O14" s="1719">
        <v>0</v>
      </c>
      <c r="P14" s="1550">
        <f t="shared" si="19"/>
        <v>0</v>
      </c>
      <c r="Q14" s="1732">
        <f>'[26]Table 5C1M-B.R. Charter'!M13*5+('[5]Table 5C1M-B.R. Charter'!T13*3)</f>
        <v>0</v>
      </c>
      <c r="R14" s="1732">
        <f t="shared" si="29"/>
        <v>0</v>
      </c>
      <c r="S14" s="1550">
        <f t="shared" si="30"/>
        <v>0</v>
      </c>
      <c r="T14" s="1802">
        <f>'Table 5C1A-Madison Prep'!T14</f>
        <v>11801</v>
      </c>
      <c r="U14" s="1555">
        <f t="shared" si="20"/>
        <v>0</v>
      </c>
      <c r="V14" s="1773">
        <f>+'[3]Oct midyear B.R. Charter'!E13</f>
        <v>0</v>
      </c>
      <c r="W14" s="1759">
        <f t="shared" si="31"/>
        <v>0</v>
      </c>
      <c r="X14" s="1758">
        <f>'[3]Feb midyear B.R. Charter'!E13</f>
        <v>0</v>
      </c>
      <c r="Y14" s="1759">
        <f t="shared" si="32"/>
        <v>0</v>
      </c>
      <c r="Z14" s="1653">
        <f t="shared" si="33"/>
        <v>0</v>
      </c>
      <c r="AA14" s="1486">
        <f t="shared" si="34"/>
        <v>0</v>
      </c>
      <c r="AB14" s="937">
        <f t="shared" si="35"/>
        <v>0</v>
      </c>
      <c r="AC14" s="899">
        <f t="shared" si="36"/>
        <v>0</v>
      </c>
      <c r="AD14" s="1825">
        <v>0</v>
      </c>
      <c r="AE14" s="1555">
        <f t="shared" si="37"/>
        <v>0</v>
      </c>
      <c r="AF14" s="1759">
        <f>'[4]Table 5C1M-B.R. Charter'!T13*5+'[5]Table 5C1M-B.R. Charter'!AF13*3</f>
        <v>0</v>
      </c>
      <c r="AG14" s="1759">
        <f t="shared" si="38"/>
        <v>0</v>
      </c>
      <c r="AH14" s="1555">
        <f t="shared" si="39"/>
        <v>0</v>
      </c>
      <c r="AI14" s="900">
        <f t="shared" si="21"/>
        <v>0</v>
      </c>
      <c r="AJ14" s="900">
        <f t="shared" si="22"/>
        <v>0</v>
      </c>
      <c r="AL14" s="2034">
        <f>-'[4]Table 5C1M-B.R. Charter'!P13</f>
        <v>0</v>
      </c>
      <c r="AM14" s="2034">
        <f t="shared" si="40"/>
        <v>0</v>
      </c>
      <c r="AN14" s="2034">
        <f t="shared" si="41"/>
        <v>0</v>
      </c>
    </row>
    <row r="15" spans="1:40">
      <c r="A15" s="876">
        <v>8</v>
      </c>
      <c r="B15" s="877" t="s">
        <v>99</v>
      </c>
      <c r="C15" s="969">
        <v>0</v>
      </c>
      <c r="D15" s="878">
        <f>'Table 3 Levels 1&amp;2'!AL15</f>
        <v>4289.5073606712331</v>
      </c>
      <c r="E15" s="919">
        <f t="shared" si="23"/>
        <v>0</v>
      </c>
      <c r="F15" s="919">
        <f>'Table 4 Level 3'!P13</f>
        <v>725.76</v>
      </c>
      <c r="G15" s="919">
        <f t="shared" si="24"/>
        <v>0</v>
      </c>
      <c r="H15" s="898">
        <f t="shared" si="25"/>
        <v>0</v>
      </c>
      <c r="I15" s="1732">
        <f>+'[3]Oct midyear B.R. Charter'!K14</f>
        <v>0</v>
      </c>
      <c r="J15" s="1732">
        <f>'[3]Feb midyear B.R. Charter'!K14</f>
        <v>0</v>
      </c>
      <c r="K15" s="1543">
        <f t="shared" si="26"/>
        <v>0</v>
      </c>
      <c r="L15" s="1536">
        <f t="shared" si="18"/>
        <v>0</v>
      </c>
      <c r="M15" s="929">
        <f t="shared" si="27"/>
        <v>0</v>
      </c>
      <c r="N15" s="1550">
        <f t="shared" si="28"/>
        <v>0</v>
      </c>
      <c r="O15" s="1719">
        <v>0</v>
      </c>
      <c r="P15" s="1550">
        <f t="shared" si="19"/>
        <v>0</v>
      </c>
      <c r="Q15" s="1732">
        <f>'[26]Table 5C1M-B.R. Charter'!M14*5+('[5]Table 5C1M-B.R. Charter'!T14*3)</f>
        <v>0</v>
      </c>
      <c r="R15" s="1732">
        <f t="shared" si="29"/>
        <v>0</v>
      </c>
      <c r="S15" s="1550">
        <f t="shared" si="30"/>
        <v>0</v>
      </c>
      <c r="T15" s="1802">
        <f>'Table 5C1A-Madison Prep'!T15</f>
        <v>3988</v>
      </c>
      <c r="U15" s="1555">
        <f t="shared" si="20"/>
        <v>0</v>
      </c>
      <c r="V15" s="1773">
        <f>+'[3]Oct midyear B.R. Charter'!E14</f>
        <v>0</v>
      </c>
      <c r="W15" s="1759">
        <f t="shared" si="31"/>
        <v>0</v>
      </c>
      <c r="X15" s="1758">
        <f>'[3]Feb midyear B.R. Charter'!E14</f>
        <v>0</v>
      </c>
      <c r="Y15" s="1759">
        <f t="shared" si="32"/>
        <v>0</v>
      </c>
      <c r="Z15" s="1653">
        <f t="shared" si="33"/>
        <v>0</v>
      </c>
      <c r="AA15" s="1486">
        <f t="shared" si="34"/>
        <v>0</v>
      </c>
      <c r="AB15" s="937">
        <f t="shared" si="35"/>
        <v>0</v>
      </c>
      <c r="AC15" s="899">
        <f t="shared" si="36"/>
        <v>0</v>
      </c>
      <c r="AD15" s="1825">
        <v>0</v>
      </c>
      <c r="AE15" s="1555">
        <f t="shared" si="37"/>
        <v>0</v>
      </c>
      <c r="AF15" s="1759">
        <f>'[4]Table 5C1M-B.R. Charter'!T14*5+'[5]Table 5C1M-B.R. Charter'!AF14*3</f>
        <v>0</v>
      </c>
      <c r="AG15" s="1759">
        <f t="shared" si="38"/>
        <v>0</v>
      </c>
      <c r="AH15" s="1555">
        <f t="shared" si="39"/>
        <v>0</v>
      </c>
      <c r="AI15" s="900">
        <f t="shared" si="21"/>
        <v>0</v>
      </c>
      <c r="AJ15" s="900">
        <f t="shared" si="22"/>
        <v>0</v>
      </c>
      <c r="AL15" s="2034">
        <f>-'[4]Table 5C1M-B.R. Charter'!P14</f>
        <v>0</v>
      </c>
      <c r="AM15" s="2034">
        <f t="shared" si="40"/>
        <v>0</v>
      </c>
      <c r="AN15" s="2034">
        <f t="shared" si="41"/>
        <v>0</v>
      </c>
    </row>
    <row r="16" spans="1:40">
      <c r="A16" s="876">
        <v>9</v>
      </c>
      <c r="B16" s="877" t="s">
        <v>100</v>
      </c>
      <c r="C16" s="969">
        <v>0</v>
      </c>
      <c r="D16" s="878">
        <f>'Table 3 Levels 1&amp;2'!AL16</f>
        <v>4395.6154516889328</v>
      </c>
      <c r="E16" s="919">
        <f t="shared" si="23"/>
        <v>0</v>
      </c>
      <c r="F16" s="919">
        <f>'Table 4 Level 3'!P14</f>
        <v>744.76</v>
      </c>
      <c r="G16" s="919">
        <f t="shared" si="24"/>
        <v>0</v>
      </c>
      <c r="H16" s="898">
        <f t="shared" si="25"/>
        <v>0</v>
      </c>
      <c r="I16" s="1732">
        <f>+'[3]Oct midyear B.R. Charter'!K15</f>
        <v>0</v>
      </c>
      <c r="J16" s="1732">
        <f>'[3]Feb midyear B.R. Charter'!K15</f>
        <v>0</v>
      </c>
      <c r="K16" s="1543">
        <f t="shared" si="26"/>
        <v>0</v>
      </c>
      <c r="L16" s="1536">
        <f t="shared" si="18"/>
        <v>0</v>
      </c>
      <c r="M16" s="929">
        <f t="shared" si="27"/>
        <v>0</v>
      </c>
      <c r="N16" s="1550">
        <f t="shared" si="28"/>
        <v>0</v>
      </c>
      <c r="O16" s="1719">
        <v>0</v>
      </c>
      <c r="P16" s="1550">
        <f t="shared" si="19"/>
        <v>0</v>
      </c>
      <c r="Q16" s="1732">
        <f>'[26]Table 5C1M-B.R. Charter'!M15*5+('[5]Table 5C1M-B.R. Charter'!T15*3)</f>
        <v>0</v>
      </c>
      <c r="R16" s="1732">
        <f t="shared" si="29"/>
        <v>0</v>
      </c>
      <c r="S16" s="1550">
        <f t="shared" si="30"/>
        <v>0</v>
      </c>
      <c r="T16" s="1802">
        <f>'Table 5C1A-Madison Prep'!T16</f>
        <v>4677</v>
      </c>
      <c r="U16" s="1555">
        <f t="shared" si="20"/>
        <v>0</v>
      </c>
      <c r="V16" s="1773">
        <f>+'[3]Oct midyear B.R. Charter'!E15</f>
        <v>0</v>
      </c>
      <c r="W16" s="1759">
        <f t="shared" si="31"/>
        <v>0</v>
      </c>
      <c r="X16" s="1758">
        <f>'[3]Feb midyear B.R. Charter'!E15</f>
        <v>0</v>
      </c>
      <c r="Y16" s="1759">
        <f t="shared" si="32"/>
        <v>0</v>
      </c>
      <c r="Z16" s="1653">
        <f t="shared" si="33"/>
        <v>0</v>
      </c>
      <c r="AA16" s="1486">
        <f t="shared" si="34"/>
        <v>0</v>
      </c>
      <c r="AB16" s="937">
        <f t="shared" si="35"/>
        <v>0</v>
      </c>
      <c r="AC16" s="899">
        <f t="shared" si="36"/>
        <v>0</v>
      </c>
      <c r="AD16" s="1825">
        <v>0</v>
      </c>
      <c r="AE16" s="1555">
        <f t="shared" si="37"/>
        <v>0</v>
      </c>
      <c r="AF16" s="1759">
        <f>'[4]Table 5C1M-B.R. Charter'!T15*5+'[5]Table 5C1M-B.R. Charter'!AF15*3</f>
        <v>0</v>
      </c>
      <c r="AG16" s="1759">
        <f t="shared" si="38"/>
        <v>0</v>
      </c>
      <c r="AH16" s="1555">
        <f t="shared" si="39"/>
        <v>0</v>
      </c>
      <c r="AI16" s="900">
        <f t="shared" si="21"/>
        <v>0</v>
      </c>
      <c r="AJ16" s="900">
        <f t="shared" si="22"/>
        <v>0</v>
      </c>
      <c r="AL16" s="2034">
        <f>-'[4]Table 5C1M-B.R. Charter'!P15</f>
        <v>0</v>
      </c>
      <c r="AM16" s="2034">
        <f t="shared" si="40"/>
        <v>0</v>
      </c>
      <c r="AN16" s="2034">
        <f t="shared" si="41"/>
        <v>0</v>
      </c>
    </row>
    <row r="17" spans="1:40">
      <c r="A17" s="879">
        <v>10</v>
      </c>
      <c r="B17" s="880" t="s">
        <v>101</v>
      </c>
      <c r="C17" s="970">
        <v>0</v>
      </c>
      <c r="D17" s="881">
        <f>'Table 3 Levels 1&amp;2'!AL17</f>
        <v>4253.5980618992444</v>
      </c>
      <c r="E17" s="920">
        <f t="shared" si="23"/>
        <v>0</v>
      </c>
      <c r="F17" s="920">
        <f>'Table 4 Level 3'!P15</f>
        <v>608.04000000000008</v>
      </c>
      <c r="G17" s="920">
        <f t="shared" si="24"/>
        <v>0</v>
      </c>
      <c r="H17" s="901">
        <f t="shared" si="25"/>
        <v>0</v>
      </c>
      <c r="I17" s="1733">
        <f>+'[3]Oct midyear B.R. Charter'!K16</f>
        <v>0</v>
      </c>
      <c r="J17" s="1733">
        <f>'[3]Feb midyear B.R. Charter'!K16</f>
        <v>0</v>
      </c>
      <c r="K17" s="1544">
        <f t="shared" si="26"/>
        <v>0</v>
      </c>
      <c r="L17" s="1537">
        <f t="shared" si="18"/>
        <v>0</v>
      </c>
      <c r="M17" s="930">
        <f t="shared" si="27"/>
        <v>0</v>
      </c>
      <c r="N17" s="1551">
        <f t="shared" si="28"/>
        <v>0</v>
      </c>
      <c r="O17" s="1720">
        <v>0</v>
      </c>
      <c r="P17" s="1551">
        <f t="shared" si="19"/>
        <v>0</v>
      </c>
      <c r="Q17" s="1733">
        <f>'[26]Table 5C1M-B.R. Charter'!M16*5+('[5]Table 5C1M-B.R. Charter'!T16*3)</f>
        <v>0</v>
      </c>
      <c r="R17" s="1733">
        <f t="shared" si="29"/>
        <v>0</v>
      </c>
      <c r="S17" s="1551">
        <f t="shared" si="30"/>
        <v>0</v>
      </c>
      <c r="T17" s="1807">
        <f>'Table 5C1A-Madison Prep'!T17</f>
        <v>4502</v>
      </c>
      <c r="U17" s="1556">
        <f t="shared" si="20"/>
        <v>0</v>
      </c>
      <c r="V17" s="1774">
        <f>+'[3]Oct midyear B.R. Charter'!E16</f>
        <v>0</v>
      </c>
      <c r="W17" s="1763">
        <f t="shared" si="31"/>
        <v>0</v>
      </c>
      <c r="X17" s="1762">
        <f>'[3]Feb midyear B.R. Charter'!E16</f>
        <v>0</v>
      </c>
      <c r="Y17" s="1763">
        <f t="shared" si="32"/>
        <v>0</v>
      </c>
      <c r="Z17" s="1654">
        <f t="shared" si="33"/>
        <v>0</v>
      </c>
      <c r="AA17" s="1488">
        <f t="shared" si="34"/>
        <v>0</v>
      </c>
      <c r="AB17" s="938">
        <f t="shared" si="35"/>
        <v>0</v>
      </c>
      <c r="AC17" s="903">
        <f t="shared" si="36"/>
        <v>0</v>
      </c>
      <c r="AD17" s="1826">
        <v>0</v>
      </c>
      <c r="AE17" s="1556">
        <f t="shared" si="37"/>
        <v>0</v>
      </c>
      <c r="AF17" s="1763">
        <f>'[4]Table 5C1M-B.R. Charter'!T16*5+'[5]Table 5C1M-B.R. Charter'!AF16*3</f>
        <v>0</v>
      </c>
      <c r="AG17" s="1763">
        <f t="shared" si="38"/>
        <v>0</v>
      </c>
      <c r="AH17" s="1556">
        <f t="shared" si="39"/>
        <v>0</v>
      </c>
      <c r="AI17" s="904">
        <f t="shared" si="21"/>
        <v>0</v>
      </c>
      <c r="AJ17" s="904">
        <f t="shared" si="22"/>
        <v>0</v>
      </c>
      <c r="AL17" s="2034">
        <f>-'[4]Table 5C1M-B.R. Charter'!P16</f>
        <v>0</v>
      </c>
      <c r="AM17" s="2034">
        <f t="shared" si="40"/>
        <v>0</v>
      </c>
      <c r="AN17" s="2034">
        <f t="shared" si="41"/>
        <v>0</v>
      </c>
    </row>
    <row r="18" spans="1:40">
      <c r="A18" s="870">
        <v>11</v>
      </c>
      <c r="B18" s="871" t="s">
        <v>102</v>
      </c>
      <c r="C18" s="971">
        <v>0</v>
      </c>
      <c r="D18" s="872">
        <f>'Table 3 Levels 1&amp;2'!AL18</f>
        <v>6852.9138435383502</v>
      </c>
      <c r="E18" s="918">
        <f t="shared" si="23"/>
        <v>0</v>
      </c>
      <c r="F18" s="918">
        <f>'Table 4 Level 3'!P16</f>
        <v>706.55</v>
      </c>
      <c r="G18" s="918">
        <f t="shared" si="24"/>
        <v>0</v>
      </c>
      <c r="H18" s="873">
        <f t="shared" si="25"/>
        <v>0</v>
      </c>
      <c r="I18" s="1718">
        <f>+'[3]Oct midyear B.R. Charter'!K17</f>
        <v>0</v>
      </c>
      <c r="J18" s="1718">
        <f>'[3]Feb midyear B.R. Charter'!K17</f>
        <v>0</v>
      </c>
      <c r="K18" s="1542">
        <f t="shared" si="26"/>
        <v>0</v>
      </c>
      <c r="L18" s="998">
        <f t="shared" si="18"/>
        <v>0</v>
      </c>
      <c r="M18" s="928">
        <f t="shared" si="27"/>
        <v>0</v>
      </c>
      <c r="N18" s="998">
        <f t="shared" si="28"/>
        <v>0</v>
      </c>
      <c r="O18" s="1718">
        <v>0</v>
      </c>
      <c r="P18" s="998">
        <f t="shared" si="19"/>
        <v>0</v>
      </c>
      <c r="Q18" s="1718">
        <f>'[26]Table 5C1M-B.R. Charter'!M17*5+('[5]Table 5C1M-B.R. Charter'!T17*3)</f>
        <v>0</v>
      </c>
      <c r="R18" s="1718">
        <f t="shared" si="29"/>
        <v>0</v>
      </c>
      <c r="S18" s="998">
        <f t="shared" si="30"/>
        <v>0</v>
      </c>
      <c r="T18" s="1802">
        <f>'Table 5C1A-Madison Prep'!T18</f>
        <v>3776</v>
      </c>
      <c r="U18" s="999">
        <f t="shared" si="20"/>
        <v>0</v>
      </c>
      <c r="V18" s="1772">
        <f>+'[3]Oct midyear B.R. Charter'!E17</f>
        <v>0</v>
      </c>
      <c r="W18" s="1755">
        <f t="shared" si="31"/>
        <v>0</v>
      </c>
      <c r="X18" s="1754">
        <f>'[3]Feb midyear B.R. Charter'!E17</f>
        <v>0</v>
      </c>
      <c r="Y18" s="1755">
        <f t="shared" si="32"/>
        <v>0</v>
      </c>
      <c r="Z18" s="1652">
        <f t="shared" si="33"/>
        <v>0</v>
      </c>
      <c r="AA18" s="1521">
        <f t="shared" si="34"/>
        <v>0</v>
      </c>
      <c r="AB18" s="936">
        <f t="shared" si="35"/>
        <v>0</v>
      </c>
      <c r="AC18" s="874">
        <f t="shared" si="36"/>
        <v>0</v>
      </c>
      <c r="AD18" s="1755">
        <v>0</v>
      </c>
      <c r="AE18" s="999">
        <f t="shared" si="37"/>
        <v>0</v>
      </c>
      <c r="AF18" s="1755">
        <f>'[4]Table 5C1M-B.R. Charter'!T17*5+'[5]Table 5C1M-B.R. Charter'!AF17*3</f>
        <v>0</v>
      </c>
      <c r="AG18" s="1755">
        <f t="shared" si="38"/>
        <v>0</v>
      </c>
      <c r="AH18" s="999">
        <f t="shared" si="39"/>
        <v>0</v>
      </c>
      <c r="AI18" s="875">
        <f t="shared" si="21"/>
        <v>0</v>
      </c>
      <c r="AJ18" s="875">
        <f t="shared" si="22"/>
        <v>0</v>
      </c>
      <c r="AL18" s="2034">
        <f>-'[4]Table 5C1M-B.R. Charter'!P17</f>
        <v>0</v>
      </c>
      <c r="AM18" s="2034">
        <f t="shared" si="40"/>
        <v>0</v>
      </c>
      <c r="AN18" s="2034">
        <f t="shared" si="41"/>
        <v>0</v>
      </c>
    </row>
    <row r="19" spans="1:40">
      <c r="A19" s="876">
        <v>12</v>
      </c>
      <c r="B19" s="877" t="s">
        <v>103</v>
      </c>
      <c r="C19" s="969">
        <v>0</v>
      </c>
      <c r="D19" s="878">
        <f>'Table 3 Levels 1&amp;2'!AL19</f>
        <v>1733.9056059356967</v>
      </c>
      <c r="E19" s="919">
        <f t="shared" si="23"/>
        <v>0</v>
      </c>
      <c r="F19" s="919">
        <f>'Table 4 Level 3'!P17</f>
        <v>1063.31</v>
      </c>
      <c r="G19" s="919">
        <f t="shared" si="24"/>
        <v>0</v>
      </c>
      <c r="H19" s="898">
        <f t="shared" si="25"/>
        <v>0</v>
      </c>
      <c r="I19" s="1732">
        <f>+'[3]Oct midyear B.R. Charter'!K18</f>
        <v>0</v>
      </c>
      <c r="J19" s="1732">
        <f>'[3]Feb midyear B.R. Charter'!K18</f>
        <v>0</v>
      </c>
      <c r="K19" s="1543">
        <f t="shared" si="26"/>
        <v>0</v>
      </c>
      <c r="L19" s="1536">
        <f t="shared" si="18"/>
        <v>0</v>
      </c>
      <c r="M19" s="929">
        <f t="shared" si="27"/>
        <v>0</v>
      </c>
      <c r="N19" s="1550">
        <f t="shared" si="28"/>
        <v>0</v>
      </c>
      <c r="O19" s="1719">
        <v>0</v>
      </c>
      <c r="P19" s="1550">
        <f t="shared" si="19"/>
        <v>0</v>
      </c>
      <c r="Q19" s="1732">
        <f>'[26]Table 5C1M-B.R. Charter'!M18*5+('[5]Table 5C1M-B.R. Charter'!T18*3)</f>
        <v>0</v>
      </c>
      <c r="R19" s="1732">
        <f t="shared" si="29"/>
        <v>0</v>
      </c>
      <c r="S19" s="1550">
        <f t="shared" si="30"/>
        <v>0</v>
      </c>
      <c r="T19" s="1802">
        <f>'Table 5C1A-Madison Prep'!T19</f>
        <v>13312</v>
      </c>
      <c r="U19" s="1555">
        <f t="shared" si="20"/>
        <v>0</v>
      </c>
      <c r="V19" s="1773">
        <f>+'[3]Oct midyear B.R. Charter'!E18</f>
        <v>0</v>
      </c>
      <c r="W19" s="1759">
        <f t="shared" si="31"/>
        <v>0</v>
      </c>
      <c r="X19" s="1758">
        <f>'[3]Feb midyear B.R. Charter'!E18</f>
        <v>0</v>
      </c>
      <c r="Y19" s="1759">
        <f t="shared" si="32"/>
        <v>0</v>
      </c>
      <c r="Z19" s="1653">
        <f t="shared" si="33"/>
        <v>0</v>
      </c>
      <c r="AA19" s="1486">
        <f t="shared" si="34"/>
        <v>0</v>
      </c>
      <c r="AB19" s="937">
        <f t="shared" si="35"/>
        <v>0</v>
      </c>
      <c r="AC19" s="899">
        <f t="shared" si="36"/>
        <v>0</v>
      </c>
      <c r="AD19" s="1825">
        <v>0</v>
      </c>
      <c r="AE19" s="1555">
        <f t="shared" si="37"/>
        <v>0</v>
      </c>
      <c r="AF19" s="1759">
        <f>'[4]Table 5C1M-B.R. Charter'!T18*5+'[5]Table 5C1M-B.R. Charter'!AF18*3</f>
        <v>0</v>
      </c>
      <c r="AG19" s="1759">
        <f t="shared" si="38"/>
        <v>0</v>
      </c>
      <c r="AH19" s="1555">
        <f t="shared" si="39"/>
        <v>0</v>
      </c>
      <c r="AI19" s="900">
        <f t="shared" si="21"/>
        <v>0</v>
      </c>
      <c r="AJ19" s="900">
        <f t="shared" si="22"/>
        <v>0</v>
      </c>
      <c r="AL19" s="2034">
        <f>-'[4]Table 5C1M-B.R. Charter'!P18</f>
        <v>0</v>
      </c>
      <c r="AM19" s="2034">
        <f t="shared" si="40"/>
        <v>0</v>
      </c>
      <c r="AN19" s="2034">
        <f t="shared" si="41"/>
        <v>0</v>
      </c>
    </row>
    <row r="20" spans="1:40">
      <c r="A20" s="876">
        <v>13</v>
      </c>
      <c r="B20" s="877" t="s">
        <v>104</v>
      </c>
      <c r="C20" s="969">
        <v>0</v>
      </c>
      <c r="D20" s="878">
        <f>'Table 3 Levels 1&amp;2'!AL20</f>
        <v>6254.1238637730876</v>
      </c>
      <c r="E20" s="919">
        <f t="shared" si="23"/>
        <v>0</v>
      </c>
      <c r="F20" s="919">
        <f>'Table 4 Level 3'!P18</f>
        <v>749.43000000000006</v>
      </c>
      <c r="G20" s="919">
        <f t="shared" si="24"/>
        <v>0</v>
      </c>
      <c r="H20" s="898">
        <f t="shared" si="25"/>
        <v>0</v>
      </c>
      <c r="I20" s="1732">
        <f>+'[3]Oct midyear B.R. Charter'!K19</f>
        <v>0</v>
      </c>
      <c r="J20" s="1732">
        <f>'[3]Feb midyear B.R. Charter'!K19</f>
        <v>0</v>
      </c>
      <c r="K20" s="1543">
        <f t="shared" si="26"/>
        <v>0</v>
      </c>
      <c r="L20" s="1536">
        <f t="shared" si="18"/>
        <v>0</v>
      </c>
      <c r="M20" s="929">
        <f t="shared" si="27"/>
        <v>0</v>
      </c>
      <c r="N20" s="1550">
        <f t="shared" si="28"/>
        <v>0</v>
      </c>
      <c r="O20" s="1719">
        <v>0</v>
      </c>
      <c r="P20" s="1550">
        <f t="shared" si="19"/>
        <v>0</v>
      </c>
      <c r="Q20" s="1732">
        <f>'[26]Table 5C1M-B.R. Charter'!M19*5+('[5]Table 5C1M-B.R. Charter'!T19*3)</f>
        <v>0</v>
      </c>
      <c r="R20" s="1732">
        <f t="shared" si="29"/>
        <v>0</v>
      </c>
      <c r="S20" s="1550">
        <f t="shared" si="30"/>
        <v>0</v>
      </c>
      <c r="T20" s="1802">
        <f>'Table 5C1A-Madison Prep'!T20</f>
        <v>2671</v>
      </c>
      <c r="U20" s="1555">
        <f t="shared" si="20"/>
        <v>0</v>
      </c>
      <c r="V20" s="1773">
        <f>+'[3]Oct midyear B.R. Charter'!E19</f>
        <v>0</v>
      </c>
      <c r="W20" s="1759">
        <f t="shared" si="31"/>
        <v>0</v>
      </c>
      <c r="X20" s="1758">
        <f>'[3]Feb midyear B.R. Charter'!E19</f>
        <v>0</v>
      </c>
      <c r="Y20" s="1759">
        <f t="shared" si="32"/>
        <v>0</v>
      </c>
      <c r="Z20" s="1653">
        <f t="shared" si="33"/>
        <v>0</v>
      </c>
      <c r="AA20" s="1486">
        <f t="shared" si="34"/>
        <v>0</v>
      </c>
      <c r="AB20" s="937">
        <f t="shared" si="35"/>
        <v>0</v>
      </c>
      <c r="AC20" s="899">
        <f t="shared" si="36"/>
        <v>0</v>
      </c>
      <c r="AD20" s="1825">
        <v>0</v>
      </c>
      <c r="AE20" s="1555">
        <f t="shared" si="37"/>
        <v>0</v>
      </c>
      <c r="AF20" s="1759">
        <f>'[4]Table 5C1M-B.R. Charter'!T19*5+'[5]Table 5C1M-B.R. Charter'!AF19*3</f>
        <v>0</v>
      </c>
      <c r="AG20" s="1759">
        <f t="shared" si="38"/>
        <v>0</v>
      </c>
      <c r="AH20" s="1555">
        <f t="shared" si="39"/>
        <v>0</v>
      </c>
      <c r="AI20" s="900">
        <f t="shared" si="21"/>
        <v>0</v>
      </c>
      <c r="AJ20" s="900">
        <f t="shared" si="22"/>
        <v>0</v>
      </c>
      <c r="AL20" s="2034">
        <f>-'[4]Table 5C1M-B.R. Charter'!P19</f>
        <v>0</v>
      </c>
      <c r="AM20" s="2034">
        <f t="shared" si="40"/>
        <v>0</v>
      </c>
      <c r="AN20" s="2034">
        <f t="shared" si="41"/>
        <v>0</v>
      </c>
    </row>
    <row r="21" spans="1:40">
      <c r="A21" s="876">
        <v>14</v>
      </c>
      <c r="B21" s="877" t="s">
        <v>105</v>
      </c>
      <c r="C21" s="969">
        <v>0</v>
      </c>
      <c r="D21" s="878">
        <f>'Table 3 Levels 1&amp;2'!AL21</f>
        <v>5377.9187438545459</v>
      </c>
      <c r="E21" s="919">
        <f t="shared" si="23"/>
        <v>0</v>
      </c>
      <c r="F21" s="919">
        <f>'Table 4 Level 3'!P19</f>
        <v>809.9799999999999</v>
      </c>
      <c r="G21" s="919">
        <f t="shared" si="24"/>
        <v>0</v>
      </c>
      <c r="H21" s="898">
        <f t="shared" si="25"/>
        <v>0</v>
      </c>
      <c r="I21" s="1732">
        <f>+'[3]Oct midyear B.R. Charter'!K20</f>
        <v>0</v>
      </c>
      <c r="J21" s="1732">
        <f>'[3]Feb midyear B.R. Charter'!K20</f>
        <v>0</v>
      </c>
      <c r="K21" s="1543">
        <f t="shared" si="26"/>
        <v>0</v>
      </c>
      <c r="L21" s="1536">
        <f t="shared" si="18"/>
        <v>0</v>
      </c>
      <c r="M21" s="929">
        <f t="shared" si="27"/>
        <v>0</v>
      </c>
      <c r="N21" s="1550">
        <f t="shared" si="28"/>
        <v>0</v>
      </c>
      <c r="O21" s="1719">
        <v>0</v>
      </c>
      <c r="P21" s="1550">
        <f t="shared" si="19"/>
        <v>0</v>
      </c>
      <c r="Q21" s="1732">
        <f>'[26]Table 5C1M-B.R. Charter'!M20*5+('[5]Table 5C1M-B.R. Charter'!T20*3)</f>
        <v>0</v>
      </c>
      <c r="R21" s="1732">
        <f t="shared" si="29"/>
        <v>0</v>
      </c>
      <c r="S21" s="1550">
        <f t="shared" si="30"/>
        <v>0</v>
      </c>
      <c r="T21" s="1802">
        <f>'Table 5C1A-Madison Prep'!T21</f>
        <v>4439</v>
      </c>
      <c r="U21" s="1555">
        <f t="shared" si="20"/>
        <v>0</v>
      </c>
      <c r="V21" s="1773">
        <f>+'[3]Oct midyear B.R. Charter'!E20</f>
        <v>0</v>
      </c>
      <c r="W21" s="1759">
        <f t="shared" si="31"/>
        <v>0</v>
      </c>
      <c r="X21" s="1758">
        <f>'[3]Feb midyear B.R. Charter'!E20</f>
        <v>0</v>
      </c>
      <c r="Y21" s="1759">
        <f t="shared" si="32"/>
        <v>0</v>
      </c>
      <c r="Z21" s="1653">
        <f t="shared" si="33"/>
        <v>0</v>
      </c>
      <c r="AA21" s="1486">
        <f t="shared" si="34"/>
        <v>0</v>
      </c>
      <c r="AB21" s="937">
        <f t="shared" si="35"/>
        <v>0</v>
      </c>
      <c r="AC21" s="899">
        <f t="shared" si="36"/>
        <v>0</v>
      </c>
      <c r="AD21" s="1825">
        <v>0</v>
      </c>
      <c r="AE21" s="1555">
        <f t="shared" si="37"/>
        <v>0</v>
      </c>
      <c r="AF21" s="1759">
        <f>'[4]Table 5C1M-B.R. Charter'!T20*5+'[5]Table 5C1M-B.R. Charter'!AF20*3</f>
        <v>0</v>
      </c>
      <c r="AG21" s="1759">
        <f t="shared" si="38"/>
        <v>0</v>
      </c>
      <c r="AH21" s="1555">
        <f t="shared" si="39"/>
        <v>0</v>
      </c>
      <c r="AI21" s="900">
        <f t="shared" si="21"/>
        <v>0</v>
      </c>
      <c r="AJ21" s="900">
        <f t="shared" si="22"/>
        <v>0</v>
      </c>
      <c r="AL21" s="2034">
        <f>-'[4]Table 5C1M-B.R. Charter'!P20</f>
        <v>0</v>
      </c>
      <c r="AM21" s="2034">
        <f t="shared" si="40"/>
        <v>0</v>
      </c>
      <c r="AN21" s="2034">
        <f t="shared" si="41"/>
        <v>0</v>
      </c>
    </row>
    <row r="22" spans="1:40">
      <c r="A22" s="879">
        <v>15</v>
      </c>
      <c r="B22" s="880" t="s">
        <v>106</v>
      </c>
      <c r="C22" s="970">
        <v>0</v>
      </c>
      <c r="D22" s="881">
        <f>'Table 3 Levels 1&amp;2'!AL22</f>
        <v>5527.7651197617861</v>
      </c>
      <c r="E22" s="920">
        <f t="shared" si="23"/>
        <v>0</v>
      </c>
      <c r="F22" s="920">
        <f>'Table 4 Level 3'!P20</f>
        <v>553.79999999999995</v>
      </c>
      <c r="G22" s="920">
        <f t="shared" si="24"/>
        <v>0</v>
      </c>
      <c r="H22" s="901">
        <f t="shared" si="25"/>
        <v>0</v>
      </c>
      <c r="I22" s="1733">
        <f>+'[3]Oct midyear B.R. Charter'!K21</f>
        <v>0</v>
      </c>
      <c r="J22" s="1733">
        <f>'[3]Feb midyear B.R. Charter'!K21</f>
        <v>0</v>
      </c>
      <c r="K22" s="1544">
        <f t="shared" si="26"/>
        <v>0</v>
      </c>
      <c r="L22" s="1537">
        <f t="shared" si="18"/>
        <v>0</v>
      </c>
      <c r="M22" s="930">
        <f t="shared" si="27"/>
        <v>0</v>
      </c>
      <c r="N22" s="1551">
        <f t="shared" si="28"/>
        <v>0</v>
      </c>
      <c r="O22" s="1720">
        <v>0</v>
      </c>
      <c r="P22" s="1551">
        <f t="shared" si="19"/>
        <v>0</v>
      </c>
      <c r="Q22" s="1733">
        <f>'[26]Table 5C1M-B.R. Charter'!M21*5+('[5]Table 5C1M-B.R. Charter'!T21*3)</f>
        <v>0</v>
      </c>
      <c r="R22" s="1733">
        <f t="shared" si="29"/>
        <v>0</v>
      </c>
      <c r="S22" s="1551">
        <f t="shared" si="30"/>
        <v>0</v>
      </c>
      <c r="T22" s="1807">
        <f>'Table 5C1A-Madison Prep'!T22</f>
        <v>2800</v>
      </c>
      <c r="U22" s="1556">
        <f t="shared" si="20"/>
        <v>0</v>
      </c>
      <c r="V22" s="1774">
        <f>+'[3]Oct midyear B.R. Charter'!E21</f>
        <v>0</v>
      </c>
      <c r="W22" s="1763">
        <f t="shared" si="31"/>
        <v>0</v>
      </c>
      <c r="X22" s="1762">
        <f>'[3]Feb midyear B.R. Charter'!E21</f>
        <v>0</v>
      </c>
      <c r="Y22" s="1763">
        <f t="shared" si="32"/>
        <v>0</v>
      </c>
      <c r="Z22" s="1654">
        <f t="shared" si="33"/>
        <v>0</v>
      </c>
      <c r="AA22" s="1488">
        <f t="shared" si="34"/>
        <v>0</v>
      </c>
      <c r="AB22" s="938">
        <f t="shared" si="35"/>
        <v>0</v>
      </c>
      <c r="AC22" s="903">
        <f t="shared" si="36"/>
        <v>0</v>
      </c>
      <c r="AD22" s="1826">
        <v>0</v>
      </c>
      <c r="AE22" s="1556">
        <f t="shared" si="37"/>
        <v>0</v>
      </c>
      <c r="AF22" s="1763">
        <f>'[4]Table 5C1M-B.R. Charter'!T21*5+'[5]Table 5C1M-B.R. Charter'!AF21*3</f>
        <v>0</v>
      </c>
      <c r="AG22" s="1763">
        <f t="shared" si="38"/>
        <v>0</v>
      </c>
      <c r="AH22" s="1556">
        <f t="shared" si="39"/>
        <v>0</v>
      </c>
      <c r="AI22" s="904">
        <f t="shared" si="21"/>
        <v>0</v>
      </c>
      <c r="AJ22" s="904">
        <f t="shared" si="22"/>
        <v>0</v>
      </c>
      <c r="AL22" s="2034">
        <f>-'[4]Table 5C1M-B.R. Charter'!P21</f>
        <v>0</v>
      </c>
      <c r="AM22" s="2034">
        <f t="shared" si="40"/>
        <v>0</v>
      </c>
      <c r="AN22" s="2034">
        <f t="shared" si="41"/>
        <v>0</v>
      </c>
    </row>
    <row r="23" spans="1:40">
      <c r="A23" s="870">
        <v>16</v>
      </c>
      <c r="B23" s="871" t="s">
        <v>107</v>
      </c>
      <c r="C23" s="971">
        <v>0</v>
      </c>
      <c r="D23" s="872">
        <f>'Table 3 Levels 1&amp;2'!AL23</f>
        <v>1530.3678845377474</v>
      </c>
      <c r="E23" s="918">
        <f t="shared" si="23"/>
        <v>0</v>
      </c>
      <c r="F23" s="918">
        <f>'Table 4 Level 3'!P21</f>
        <v>686.73</v>
      </c>
      <c r="G23" s="918">
        <f t="shared" si="24"/>
        <v>0</v>
      </c>
      <c r="H23" s="873">
        <f t="shared" si="25"/>
        <v>0</v>
      </c>
      <c r="I23" s="1718">
        <f>+'[3]Oct midyear B.R. Charter'!K22</f>
        <v>0</v>
      </c>
      <c r="J23" s="1718">
        <f>'[3]Feb midyear B.R. Charter'!K22</f>
        <v>0</v>
      </c>
      <c r="K23" s="1542">
        <f t="shared" si="26"/>
        <v>0</v>
      </c>
      <c r="L23" s="998">
        <f t="shared" si="18"/>
        <v>0</v>
      </c>
      <c r="M23" s="928">
        <f t="shared" si="27"/>
        <v>0</v>
      </c>
      <c r="N23" s="998">
        <f t="shared" si="28"/>
        <v>0</v>
      </c>
      <c r="O23" s="1718">
        <v>0</v>
      </c>
      <c r="P23" s="998">
        <f t="shared" si="19"/>
        <v>0</v>
      </c>
      <c r="Q23" s="1718">
        <f>'[26]Table 5C1M-B.R. Charter'!M22*5+('[5]Table 5C1M-B.R. Charter'!T22*3)</f>
        <v>0</v>
      </c>
      <c r="R23" s="1718">
        <f t="shared" si="29"/>
        <v>0</v>
      </c>
      <c r="S23" s="998">
        <f t="shared" si="30"/>
        <v>0</v>
      </c>
      <c r="T23" s="1802">
        <f>'Table 5C1A-Madison Prep'!T23</f>
        <v>12312</v>
      </c>
      <c r="U23" s="999">
        <f t="shared" si="20"/>
        <v>0</v>
      </c>
      <c r="V23" s="1772">
        <f>+'[3]Oct midyear B.R. Charter'!E22</f>
        <v>0</v>
      </c>
      <c r="W23" s="1755">
        <f t="shared" si="31"/>
        <v>0</v>
      </c>
      <c r="X23" s="1754">
        <f>'[3]Feb midyear B.R. Charter'!E22</f>
        <v>0</v>
      </c>
      <c r="Y23" s="1755">
        <f t="shared" si="32"/>
        <v>0</v>
      </c>
      <c r="Z23" s="1652">
        <f t="shared" si="33"/>
        <v>0</v>
      </c>
      <c r="AA23" s="1521">
        <f t="shared" si="34"/>
        <v>0</v>
      </c>
      <c r="AB23" s="936">
        <f t="shared" si="35"/>
        <v>0</v>
      </c>
      <c r="AC23" s="874">
        <f t="shared" si="36"/>
        <v>0</v>
      </c>
      <c r="AD23" s="1755">
        <v>0</v>
      </c>
      <c r="AE23" s="999">
        <f t="shared" si="37"/>
        <v>0</v>
      </c>
      <c r="AF23" s="1755">
        <f>'[4]Table 5C1M-B.R. Charter'!T22*5+'[5]Table 5C1M-B.R. Charter'!AF22*3</f>
        <v>0</v>
      </c>
      <c r="AG23" s="1755">
        <f t="shared" si="38"/>
        <v>0</v>
      </c>
      <c r="AH23" s="999">
        <f t="shared" si="39"/>
        <v>0</v>
      </c>
      <c r="AI23" s="875">
        <f t="shared" si="21"/>
        <v>0</v>
      </c>
      <c r="AJ23" s="875">
        <f t="shared" si="22"/>
        <v>0</v>
      </c>
      <c r="AL23" s="2034">
        <f>-'[4]Table 5C1M-B.R. Charter'!P22</f>
        <v>0</v>
      </c>
      <c r="AM23" s="2034">
        <f t="shared" si="40"/>
        <v>0</v>
      </c>
      <c r="AN23" s="2034">
        <f t="shared" si="41"/>
        <v>0</v>
      </c>
    </row>
    <row r="24" spans="1:40">
      <c r="A24" s="876">
        <v>17</v>
      </c>
      <c r="B24" s="877" t="s">
        <v>108</v>
      </c>
      <c r="C24" s="969">
        <f>ROUND(614*99%,0)</f>
        <v>608</v>
      </c>
      <c r="D24" s="878">
        <f>'Table 3 Levels 1&amp;2'!AL24</f>
        <v>3313.0666313017805</v>
      </c>
      <c r="E24" s="919">
        <f t="shared" si="23"/>
        <v>2014344.5118314826</v>
      </c>
      <c r="F24" s="919">
        <f>'Table 4 Level 3'!P22</f>
        <v>801.47762416806802</v>
      </c>
      <c r="G24" s="919">
        <f t="shared" si="24"/>
        <v>487298.39549418533</v>
      </c>
      <c r="H24" s="898">
        <f t="shared" si="25"/>
        <v>2501642.9073256678</v>
      </c>
      <c r="I24" s="1732">
        <f>+'[3]Oct midyear B.R. Charter'!K23</f>
        <v>-427912.60256886424</v>
      </c>
      <c r="J24" s="1732">
        <f>'[3]Feb midyear B.R. Charter'!K23</f>
        <v>-148123.59319691453</v>
      </c>
      <c r="K24" s="1543">
        <f t="shared" si="26"/>
        <v>-576036.19576577877</v>
      </c>
      <c r="L24" s="1536">
        <f>H24+K24</f>
        <v>1925606.7115598889</v>
      </c>
      <c r="M24" s="929">
        <f t="shared" si="27"/>
        <v>-4814.0167788997223</v>
      </c>
      <c r="N24" s="1550">
        <f t="shared" si="28"/>
        <v>1920792.6947809891</v>
      </c>
      <c r="O24" s="1719">
        <v>0</v>
      </c>
      <c r="P24" s="1550">
        <f t="shared" si="19"/>
        <v>1920792.6947809891</v>
      </c>
      <c r="Q24" s="1732">
        <f>'[26]Table 5C1M-B.R. Charter'!M23*5+('[5]Table 5C1M-B.R. Charter'!T23*3)</f>
        <v>1480659.8957733796</v>
      </c>
      <c r="R24" s="1732">
        <f t="shared" si="29"/>
        <v>440132.79900760949</v>
      </c>
      <c r="S24" s="1550">
        <f t="shared" si="30"/>
        <v>110033</v>
      </c>
      <c r="T24" s="1802">
        <f>'Table 5C1A-Madison Prep'!T24</f>
        <v>6866</v>
      </c>
      <c r="U24" s="1555">
        <f t="shared" si="20"/>
        <v>4174528</v>
      </c>
      <c r="V24" s="1773">
        <f>+'[3]Oct midyear B.R. Charter'!E23</f>
        <v>-104</v>
      </c>
      <c r="W24" s="1759">
        <f t="shared" si="31"/>
        <v>-714064</v>
      </c>
      <c r="X24" s="1758">
        <f>'[3]Feb midyear B.R. Charter'!E23</f>
        <v>-72</v>
      </c>
      <c r="Y24" s="1759">
        <f t="shared" si="32"/>
        <v>-247176</v>
      </c>
      <c r="Z24" s="1653">
        <f t="shared" si="33"/>
        <v>-961240</v>
      </c>
      <c r="AA24" s="1486">
        <f t="shared" si="34"/>
        <v>3213288</v>
      </c>
      <c r="AB24" s="937">
        <f t="shared" si="35"/>
        <v>-8033.22</v>
      </c>
      <c r="AC24" s="899">
        <f t="shared" si="36"/>
        <v>3205254.78</v>
      </c>
      <c r="AD24" s="1825">
        <v>0</v>
      </c>
      <c r="AE24" s="1555">
        <f t="shared" si="37"/>
        <v>3205254.78</v>
      </c>
      <c r="AF24" s="1759">
        <f>'[4]Table 5C1M-B.R. Charter'!T23*5+'[5]Table 5C1M-B.R. Charter'!AF23*3</f>
        <v>2433733.1800000002</v>
      </c>
      <c r="AG24" s="1759">
        <f t="shared" si="38"/>
        <v>771521.59999999963</v>
      </c>
      <c r="AH24" s="1555">
        <f t="shared" si="39"/>
        <v>192880</v>
      </c>
      <c r="AI24" s="900">
        <f t="shared" si="21"/>
        <v>5126047.4747809889</v>
      </c>
      <c r="AJ24" s="900">
        <f t="shared" si="22"/>
        <v>302913</v>
      </c>
      <c r="AL24" s="2034">
        <f>-'[4]Table 5C1M-B.R. Charter'!P23</f>
        <v>10279.76</v>
      </c>
      <c r="AM24" s="2034">
        <f t="shared" si="40"/>
        <v>-8033.22</v>
      </c>
      <c r="AN24" s="2034">
        <f t="shared" si="41"/>
        <v>2246.54</v>
      </c>
    </row>
    <row r="25" spans="1:40">
      <c r="A25" s="876">
        <v>18</v>
      </c>
      <c r="B25" s="877" t="s">
        <v>109</v>
      </c>
      <c r="C25" s="969">
        <v>0</v>
      </c>
      <c r="D25" s="878">
        <f>'Table 3 Levels 1&amp;2'!AL25</f>
        <v>5989.1351892854573</v>
      </c>
      <c r="E25" s="919">
        <f t="shared" si="23"/>
        <v>0</v>
      </c>
      <c r="F25" s="919">
        <f>'Table 4 Level 3'!P23</f>
        <v>845.94999999999993</v>
      </c>
      <c r="G25" s="919">
        <f t="shared" si="24"/>
        <v>0</v>
      </c>
      <c r="H25" s="898">
        <f t="shared" si="25"/>
        <v>0</v>
      </c>
      <c r="I25" s="1732">
        <f>+'[3]Oct midyear B.R. Charter'!K24</f>
        <v>0</v>
      </c>
      <c r="J25" s="1732">
        <f>'[3]Feb midyear B.R. Charter'!K24</f>
        <v>0</v>
      </c>
      <c r="K25" s="1543">
        <f t="shared" si="26"/>
        <v>0</v>
      </c>
      <c r="L25" s="1536">
        <f t="shared" si="18"/>
        <v>0</v>
      </c>
      <c r="M25" s="929">
        <f t="shared" si="27"/>
        <v>0</v>
      </c>
      <c r="N25" s="1550">
        <f t="shared" si="28"/>
        <v>0</v>
      </c>
      <c r="O25" s="1719">
        <v>0</v>
      </c>
      <c r="P25" s="1550">
        <f t="shared" si="19"/>
        <v>0</v>
      </c>
      <c r="Q25" s="1732">
        <f>'[26]Table 5C1M-B.R. Charter'!M24*5+('[5]Table 5C1M-B.R. Charter'!T24*3)</f>
        <v>0</v>
      </c>
      <c r="R25" s="1732">
        <f t="shared" si="29"/>
        <v>0</v>
      </c>
      <c r="S25" s="1550">
        <f t="shared" si="30"/>
        <v>0</v>
      </c>
      <c r="T25" s="1802">
        <f>'Table 5C1A-Madison Prep'!T25</f>
        <v>3071</v>
      </c>
      <c r="U25" s="1555">
        <f t="shared" si="20"/>
        <v>0</v>
      </c>
      <c r="V25" s="1773">
        <f>+'[3]Oct midyear B.R. Charter'!E24</f>
        <v>0</v>
      </c>
      <c r="W25" s="1759">
        <f t="shared" si="31"/>
        <v>0</v>
      </c>
      <c r="X25" s="1758">
        <f>'[3]Feb midyear B.R. Charter'!E24</f>
        <v>0</v>
      </c>
      <c r="Y25" s="1759">
        <f t="shared" si="32"/>
        <v>0</v>
      </c>
      <c r="Z25" s="1653">
        <f t="shared" si="33"/>
        <v>0</v>
      </c>
      <c r="AA25" s="1486">
        <f t="shared" si="34"/>
        <v>0</v>
      </c>
      <c r="AB25" s="937">
        <f t="shared" si="35"/>
        <v>0</v>
      </c>
      <c r="AC25" s="899">
        <f t="shared" si="36"/>
        <v>0</v>
      </c>
      <c r="AD25" s="1825">
        <v>0</v>
      </c>
      <c r="AE25" s="1555">
        <f t="shared" si="37"/>
        <v>0</v>
      </c>
      <c r="AF25" s="1759">
        <f>'[4]Table 5C1M-B.R. Charter'!T24*5+'[5]Table 5C1M-B.R. Charter'!AF24*3</f>
        <v>0</v>
      </c>
      <c r="AG25" s="1759">
        <f t="shared" si="38"/>
        <v>0</v>
      </c>
      <c r="AH25" s="1555">
        <f t="shared" si="39"/>
        <v>0</v>
      </c>
      <c r="AI25" s="900">
        <f t="shared" si="21"/>
        <v>0</v>
      </c>
      <c r="AJ25" s="900">
        <f t="shared" si="22"/>
        <v>0</v>
      </c>
      <c r="AL25" s="2034">
        <f>-'[4]Table 5C1M-B.R. Charter'!P24</f>
        <v>0</v>
      </c>
      <c r="AM25" s="2034">
        <f t="shared" si="40"/>
        <v>0</v>
      </c>
      <c r="AN25" s="2034">
        <f t="shared" si="41"/>
        <v>0</v>
      </c>
    </row>
    <row r="26" spans="1:40">
      <c r="A26" s="876">
        <v>19</v>
      </c>
      <c r="B26" s="877" t="s">
        <v>110</v>
      </c>
      <c r="C26" s="969">
        <v>0</v>
      </c>
      <c r="D26" s="878">
        <f>'Table 3 Levels 1&amp;2'!AL26</f>
        <v>5315.8913399708035</v>
      </c>
      <c r="E26" s="919">
        <f t="shared" si="23"/>
        <v>0</v>
      </c>
      <c r="F26" s="919">
        <f>'Table 4 Level 3'!P24</f>
        <v>905.43</v>
      </c>
      <c r="G26" s="919">
        <f t="shared" si="24"/>
        <v>0</v>
      </c>
      <c r="H26" s="898">
        <f t="shared" si="25"/>
        <v>0</v>
      </c>
      <c r="I26" s="1732">
        <f>+'[3]Oct midyear B.R. Charter'!K25</f>
        <v>0</v>
      </c>
      <c r="J26" s="1732">
        <f>'[3]Feb midyear B.R. Charter'!K25</f>
        <v>9331.9820099562057</v>
      </c>
      <c r="K26" s="1543">
        <f t="shared" si="26"/>
        <v>9331.9820099562057</v>
      </c>
      <c r="L26" s="1536">
        <f t="shared" si="18"/>
        <v>9331.9820099562057</v>
      </c>
      <c r="M26" s="929">
        <f t="shared" si="27"/>
        <v>-23.329955024890516</v>
      </c>
      <c r="N26" s="1550">
        <f t="shared" si="28"/>
        <v>9308.6520549313154</v>
      </c>
      <c r="O26" s="1719">
        <v>0</v>
      </c>
      <c r="P26" s="1550">
        <f t="shared" si="19"/>
        <v>9308.6520549313154</v>
      </c>
      <c r="Q26" s="1732">
        <f>'[26]Table 5C1M-B.R. Charter'!M25*5+('[5]Table 5C1M-B.R. Charter'!T25*3)</f>
        <v>0</v>
      </c>
      <c r="R26" s="1732">
        <f t="shared" si="29"/>
        <v>9308.6520549313154</v>
      </c>
      <c r="S26" s="1550">
        <f t="shared" si="30"/>
        <v>2327</v>
      </c>
      <c r="T26" s="1802">
        <f>'Table 5C1A-Madison Prep'!T26</f>
        <v>2566</v>
      </c>
      <c r="U26" s="1555">
        <f t="shared" si="20"/>
        <v>0</v>
      </c>
      <c r="V26" s="1773">
        <f>+'[3]Oct midyear B.R. Charter'!E25</f>
        <v>0</v>
      </c>
      <c r="W26" s="1759">
        <f t="shared" si="31"/>
        <v>0</v>
      </c>
      <c r="X26" s="1758">
        <f>'[3]Feb midyear B.R. Charter'!E25</f>
        <v>3</v>
      </c>
      <c r="Y26" s="1759">
        <f t="shared" si="32"/>
        <v>3849</v>
      </c>
      <c r="Z26" s="1653">
        <f t="shared" si="33"/>
        <v>3849</v>
      </c>
      <c r="AA26" s="1486">
        <f t="shared" si="34"/>
        <v>3849</v>
      </c>
      <c r="AB26" s="937">
        <f t="shared" si="35"/>
        <v>-9.6225000000000005</v>
      </c>
      <c r="AC26" s="899">
        <f t="shared" si="36"/>
        <v>3839.3775000000001</v>
      </c>
      <c r="AD26" s="1825">
        <v>0</v>
      </c>
      <c r="AE26" s="1555">
        <f t="shared" si="37"/>
        <v>3839.3775000000001</v>
      </c>
      <c r="AF26" s="1759">
        <f>'[4]Table 5C1M-B.R. Charter'!T25*5+'[5]Table 5C1M-B.R. Charter'!AF25*3</f>
        <v>0</v>
      </c>
      <c r="AG26" s="1759">
        <f t="shared" si="38"/>
        <v>3839.3775000000001</v>
      </c>
      <c r="AH26" s="1555">
        <f t="shared" si="39"/>
        <v>960</v>
      </c>
      <c r="AI26" s="900">
        <f t="shared" si="21"/>
        <v>13148.029554931316</v>
      </c>
      <c r="AJ26" s="900">
        <f t="shared" si="22"/>
        <v>3287</v>
      </c>
      <c r="AL26" s="2034">
        <f>-'[4]Table 5C1M-B.R. Charter'!P25</f>
        <v>0</v>
      </c>
      <c r="AM26" s="2034">
        <f t="shared" si="40"/>
        <v>-9.6225000000000005</v>
      </c>
      <c r="AN26" s="2034">
        <f t="shared" si="41"/>
        <v>-9.6225000000000005</v>
      </c>
    </row>
    <row r="27" spans="1:40">
      <c r="A27" s="879">
        <v>20</v>
      </c>
      <c r="B27" s="880" t="s">
        <v>111</v>
      </c>
      <c r="C27" s="970">
        <v>0</v>
      </c>
      <c r="D27" s="881">
        <f>'Table 3 Levels 1&amp;2'!AL27</f>
        <v>5420.2042919205833</v>
      </c>
      <c r="E27" s="920">
        <f t="shared" si="23"/>
        <v>0</v>
      </c>
      <c r="F27" s="920">
        <f>'Table 4 Level 3'!P25</f>
        <v>586.16999999999996</v>
      </c>
      <c r="G27" s="920">
        <f t="shared" si="24"/>
        <v>0</v>
      </c>
      <c r="H27" s="901">
        <f t="shared" si="25"/>
        <v>0</v>
      </c>
      <c r="I27" s="1733">
        <f>+'[3]Oct midyear B.R. Charter'!K26</f>
        <v>0</v>
      </c>
      <c r="J27" s="1733">
        <f>'[3]Feb midyear B.R. Charter'!K26</f>
        <v>0</v>
      </c>
      <c r="K27" s="1544">
        <f t="shared" si="26"/>
        <v>0</v>
      </c>
      <c r="L27" s="1537">
        <f t="shared" si="18"/>
        <v>0</v>
      </c>
      <c r="M27" s="930">
        <f t="shared" si="27"/>
        <v>0</v>
      </c>
      <c r="N27" s="1551">
        <f t="shared" si="28"/>
        <v>0</v>
      </c>
      <c r="O27" s="1720">
        <v>0</v>
      </c>
      <c r="P27" s="1551">
        <f t="shared" si="19"/>
        <v>0</v>
      </c>
      <c r="Q27" s="1733">
        <f>'[26]Table 5C1M-B.R. Charter'!M26*5+('[5]Table 5C1M-B.R. Charter'!T26*3)</f>
        <v>0</v>
      </c>
      <c r="R27" s="1733">
        <f t="shared" si="29"/>
        <v>0</v>
      </c>
      <c r="S27" s="1551">
        <f t="shared" si="30"/>
        <v>0</v>
      </c>
      <c r="T27" s="1807">
        <f>'Table 5C1A-Madison Prep'!T27</f>
        <v>2621</v>
      </c>
      <c r="U27" s="1556">
        <f t="shared" si="20"/>
        <v>0</v>
      </c>
      <c r="V27" s="1774">
        <f>+'[3]Oct midyear B.R. Charter'!E26</f>
        <v>0</v>
      </c>
      <c r="W27" s="1763">
        <f t="shared" si="31"/>
        <v>0</v>
      </c>
      <c r="X27" s="1762">
        <f>'[3]Feb midyear B.R. Charter'!E26</f>
        <v>0</v>
      </c>
      <c r="Y27" s="1763">
        <f t="shared" si="32"/>
        <v>0</v>
      </c>
      <c r="Z27" s="1654">
        <f t="shared" si="33"/>
        <v>0</v>
      </c>
      <c r="AA27" s="1488">
        <f t="shared" si="34"/>
        <v>0</v>
      </c>
      <c r="AB27" s="938">
        <f t="shared" si="35"/>
        <v>0</v>
      </c>
      <c r="AC27" s="903">
        <f t="shared" si="36"/>
        <v>0</v>
      </c>
      <c r="AD27" s="1826">
        <v>0</v>
      </c>
      <c r="AE27" s="1556">
        <f t="shared" si="37"/>
        <v>0</v>
      </c>
      <c r="AF27" s="1763">
        <f>'[4]Table 5C1M-B.R. Charter'!T26*5+'[5]Table 5C1M-B.R. Charter'!AF26*3</f>
        <v>0</v>
      </c>
      <c r="AG27" s="1763">
        <f t="shared" si="38"/>
        <v>0</v>
      </c>
      <c r="AH27" s="1556">
        <f t="shared" si="39"/>
        <v>0</v>
      </c>
      <c r="AI27" s="904">
        <f t="shared" si="21"/>
        <v>0</v>
      </c>
      <c r="AJ27" s="904">
        <f t="shared" si="22"/>
        <v>0</v>
      </c>
      <c r="AL27" s="2034">
        <f>-'[4]Table 5C1M-B.R. Charter'!P26</f>
        <v>0</v>
      </c>
      <c r="AM27" s="2034">
        <f t="shared" si="40"/>
        <v>0</v>
      </c>
      <c r="AN27" s="2034">
        <f t="shared" si="41"/>
        <v>0</v>
      </c>
    </row>
    <row r="28" spans="1:40">
      <c r="A28" s="870">
        <v>21</v>
      </c>
      <c r="B28" s="871" t="s">
        <v>112</v>
      </c>
      <c r="C28" s="971">
        <v>0</v>
      </c>
      <c r="D28" s="872">
        <f>'Table 3 Levels 1&amp;2'!AL28</f>
        <v>5724.5404916279067</v>
      </c>
      <c r="E28" s="918">
        <f t="shared" si="23"/>
        <v>0</v>
      </c>
      <c r="F28" s="918">
        <f>'Table 4 Level 3'!P26</f>
        <v>610.35</v>
      </c>
      <c r="G28" s="918">
        <f t="shared" si="24"/>
        <v>0</v>
      </c>
      <c r="H28" s="873">
        <f t="shared" si="25"/>
        <v>0</v>
      </c>
      <c r="I28" s="1718">
        <f>+'[3]Oct midyear B.R. Charter'!K27</f>
        <v>0</v>
      </c>
      <c r="J28" s="1718">
        <f>'[3]Feb midyear B.R. Charter'!K27</f>
        <v>0</v>
      </c>
      <c r="K28" s="1542">
        <f t="shared" si="26"/>
        <v>0</v>
      </c>
      <c r="L28" s="998">
        <f t="shared" si="18"/>
        <v>0</v>
      </c>
      <c r="M28" s="928">
        <f t="shared" si="27"/>
        <v>0</v>
      </c>
      <c r="N28" s="998">
        <f t="shared" si="28"/>
        <v>0</v>
      </c>
      <c r="O28" s="1718">
        <v>0</v>
      </c>
      <c r="P28" s="998">
        <f t="shared" si="19"/>
        <v>0</v>
      </c>
      <c r="Q28" s="1718">
        <f>'[26]Table 5C1M-B.R. Charter'!M27*5+('[5]Table 5C1M-B.R. Charter'!T27*3)</f>
        <v>0</v>
      </c>
      <c r="R28" s="1718">
        <f t="shared" si="29"/>
        <v>0</v>
      </c>
      <c r="S28" s="998">
        <f t="shared" si="30"/>
        <v>0</v>
      </c>
      <c r="T28" s="1802">
        <f>'Table 5C1A-Madison Prep'!T28</f>
        <v>2445</v>
      </c>
      <c r="U28" s="999">
        <f t="shared" si="20"/>
        <v>0</v>
      </c>
      <c r="V28" s="1772">
        <f>+'[3]Oct midyear B.R. Charter'!E27</f>
        <v>0</v>
      </c>
      <c r="W28" s="1755">
        <f t="shared" si="31"/>
        <v>0</v>
      </c>
      <c r="X28" s="1754">
        <f>'[3]Feb midyear B.R. Charter'!E27</f>
        <v>0</v>
      </c>
      <c r="Y28" s="1755">
        <f t="shared" si="32"/>
        <v>0</v>
      </c>
      <c r="Z28" s="1652">
        <f t="shared" si="33"/>
        <v>0</v>
      </c>
      <c r="AA28" s="1521">
        <f t="shared" si="34"/>
        <v>0</v>
      </c>
      <c r="AB28" s="936">
        <f t="shared" si="35"/>
        <v>0</v>
      </c>
      <c r="AC28" s="874">
        <f t="shared" si="36"/>
        <v>0</v>
      </c>
      <c r="AD28" s="1755">
        <v>0</v>
      </c>
      <c r="AE28" s="999">
        <f t="shared" si="37"/>
        <v>0</v>
      </c>
      <c r="AF28" s="1755">
        <f>'[4]Table 5C1M-B.R. Charter'!T27*5+'[5]Table 5C1M-B.R. Charter'!AF27*3</f>
        <v>0</v>
      </c>
      <c r="AG28" s="1755">
        <f t="shared" si="38"/>
        <v>0</v>
      </c>
      <c r="AH28" s="999">
        <f t="shared" si="39"/>
        <v>0</v>
      </c>
      <c r="AI28" s="875">
        <f t="shared" si="21"/>
        <v>0</v>
      </c>
      <c r="AJ28" s="875">
        <f t="shared" si="22"/>
        <v>0</v>
      </c>
      <c r="AL28" s="2034">
        <f>-'[4]Table 5C1M-B.R. Charter'!P27</f>
        <v>0</v>
      </c>
      <c r="AM28" s="2034">
        <f t="shared" si="40"/>
        <v>0</v>
      </c>
      <c r="AN28" s="2034">
        <f t="shared" si="41"/>
        <v>0</v>
      </c>
    </row>
    <row r="29" spans="1:40">
      <c r="A29" s="876">
        <v>22</v>
      </c>
      <c r="B29" s="877" t="s">
        <v>113</v>
      </c>
      <c r="C29" s="969">
        <v>0</v>
      </c>
      <c r="D29" s="878">
        <f>'Table 3 Levels 1&amp;2'!AL29</f>
        <v>6203.2933768722742</v>
      </c>
      <c r="E29" s="919">
        <f t="shared" si="23"/>
        <v>0</v>
      </c>
      <c r="F29" s="919">
        <f>'Table 4 Level 3'!P27</f>
        <v>496.36</v>
      </c>
      <c r="G29" s="919">
        <f t="shared" si="24"/>
        <v>0</v>
      </c>
      <c r="H29" s="898">
        <f t="shared" si="25"/>
        <v>0</v>
      </c>
      <c r="I29" s="1732">
        <f>+'[3]Oct midyear B.R. Charter'!K28</f>
        <v>0</v>
      </c>
      <c r="J29" s="1732">
        <f>'[3]Feb midyear B.R. Charter'!K28</f>
        <v>0</v>
      </c>
      <c r="K29" s="1543">
        <f t="shared" si="26"/>
        <v>0</v>
      </c>
      <c r="L29" s="1536">
        <f t="shared" si="18"/>
        <v>0</v>
      </c>
      <c r="M29" s="929">
        <f t="shared" si="27"/>
        <v>0</v>
      </c>
      <c r="N29" s="1550">
        <f t="shared" si="28"/>
        <v>0</v>
      </c>
      <c r="O29" s="1719">
        <v>0</v>
      </c>
      <c r="P29" s="1550">
        <f t="shared" si="19"/>
        <v>0</v>
      </c>
      <c r="Q29" s="1732">
        <f>'[26]Table 5C1M-B.R. Charter'!M28*5+('[5]Table 5C1M-B.R. Charter'!T28*3)</f>
        <v>0</v>
      </c>
      <c r="R29" s="1732">
        <f t="shared" si="29"/>
        <v>0</v>
      </c>
      <c r="S29" s="1550">
        <f t="shared" si="30"/>
        <v>0</v>
      </c>
      <c r="T29" s="1802">
        <f>'Table 5C1A-Madison Prep'!T29</f>
        <v>1519</v>
      </c>
      <c r="U29" s="1555">
        <f t="shared" si="20"/>
        <v>0</v>
      </c>
      <c r="V29" s="1773">
        <f>+'[3]Oct midyear B.R. Charter'!E28</f>
        <v>0</v>
      </c>
      <c r="W29" s="1759">
        <f t="shared" si="31"/>
        <v>0</v>
      </c>
      <c r="X29" s="1758">
        <f>'[3]Feb midyear B.R. Charter'!E28</f>
        <v>0</v>
      </c>
      <c r="Y29" s="1759">
        <f t="shared" si="32"/>
        <v>0</v>
      </c>
      <c r="Z29" s="1653">
        <f t="shared" si="33"/>
        <v>0</v>
      </c>
      <c r="AA29" s="1486">
        <f t="shared" si="34"/>
        <v>0</v>
      </c>
      <c r="AB29" s="937">
        <f t="shared" si="35"/>
        <v>0</v>
      </c>
      <c r="AC29" s="899">
        <f t="shared" si="36"/>
        <v>0</v>
      </c>
      <c r="AD29" s="1825">
        <v>0</v>
      </c>
      <c r="AE29" s="1555">
        <f t="shared" si="37"/>
        <v>0</v>
      </c>
      <c r="AF29" s="1759">
        <f>'[4]Table 5C1M-B.R. Charter'!T28*5+'[5]Table 5C1M-B.R. Charter'!AF28*3</f>
        <v>0</v>
      </c>
      <c r="AG29" s="1759">
        <f t="shared" si="38"/>
        <v>0</v>
      </c>
      <c r="AH29" s="1555">
        <f t="shared" si="39"/>
        <v>0</v>
      </c>
      <c r="AI29" s="900">
        <f t="shared" si="21"/>
        <v>0</v>
      </c>
      <c r="AJ29" s="900">
        <f t="shared" si="22"/>
        <v>0</v>
      </c>
      <c r="AL29" s="2034">
        <f>-'[4]Table 5C1M-B.R. Charter'!P28</f>
        <v>0</v>
      </c>
      <c r="AM29" s="2034">
        <f t="shared" si="40"/>
        <v>0</v>
      </c>
      <c r="AN29" s="2034">
        <f t="shared" si="41"/>
        <v>0</v>
      </c>
    </row>
    <row r="30" spans="1:40">
      <c r="A30" s="876">
        <v>23</v>
      </c>
      <c r="B30" s="877" t="s">
        <v>114</v>
      </c>
      <c r="C30" s="969">
        <v>0</v>
      </c>
      <c r="D30" s="878">
        <f>'Table 3 Levels 1&amp;2'!AL30</f>
        <v>4846.0802490067681</v>
      </c>
      <c r="E30" s="919">
        <f t="shared" si="23"/>
        <v>0</v>
      </c>
      <c r="F30" s="919">
        <f>'Table 4 Level 3'!P28</f>
        <v>688.58</v>
      </c>
      <c r="G30" s="919">
        <f t="shared" si="24"/>
        <v>0</v>
      </c>
      <c r="H30" s="898">
        <f t="shared" si="25"/>
        <v>0</v>
      </c>
      <c r="I30" s="1732">
        <f>+'[3]Oct midyear B.R. Charter'!K29</f>
        <v>0</v>
      </c>
      <c r="J30" s="1732">
        <f>'[3]Feb midyear B.R. Charter'!K29</f>
        <v>0</v>
      </c>
      <c r="K30" s="1543">
        <f t="shared" si="26"/>
        <v>0</v>
      </c>
      <c r="L30" s="1536">
        <f t="shared" si="18"/>
        <v>0</v>
      </c>
      <c r="M30" s="929">
        <f t="shared" si="27"/>
        <v>0</v>
      </c>
      <c r="N30" s="1550">
        <f t="shared" si="28"/>
        <v>0</v>
      </c>
      <c r="O30" s="1719">
        <v>0</v>
      </c>
      <c r="P30" s="1550">
        <f t="shared" si="19"/>
        <v>0</v>
      </c>
      <c r="Q30" s="1732">
        <f>'[26]Table 5C1M-B.R. Charter'!M29*5+('[5]Table 5C1M-B.R. Charter'!T29*3)</f>
        <v>0</v>
      </c>
      <c r="R30" s="1732">
        <f t="shared" si="29"/>
        <v>0</v>
      </c>
      <c r="S30" s="1550">
        <f t="shared" si="30"/>
        <v>0</v>
      </c>
      <c r="T30" s="1802">
        <f>'Table 5C1A-Madison Prep'!T30</f>
        <v>3365</v>
      </c>
      <c r="U30" s="1555">
        <f t="shared" si="20"/>
        <v>0</v>
      </c>
      <c r="V30" s="1773">
        <f>+'[3]Oct midyear B.R. Charter'!E29</f>
        <v>0</v>
      </c>
      <c r="W30" s="1759">
        <f t="shared" si="31"/>
        <v>0</v>
      </c>
      <c r="X30" s="1758">
        <f>'[3]Feb midyear B.R. Charter'!E29</f>
        <v>0</v>
      </c>
      <c r="Y30" s="1759">
        <f t="shared" si="32"/>
        <v>0</v>
      </c>
      <c r="Z30" s="1653">
        <f t="shared" si="33"/>
        <v>0</v>
      </c>
      <c r="AA30" s="1486">
        <f t="shared" si="34"/>
        <v>0</v>
      </c>
      <c r="AB30" s="937">
        <f t="shared" si="35"/>
        <v>0</v>
      </c>
      <c r="AC30" s="899">
        <f t="shared" si="36"/>
        <v>0</v>
      </c>
      <c r="AD30" s="1825">
        <v>0</v>
      </c>
      <c r="AE30" s="1555">
        <f t="shared" si="37"/>
        <v>0</v>
      </c>
      <c r="AF30" s="1759">
        <f>'[4]Table 5C1M-B.R. Charter'!T29*5+'[5]Table 5C1M-B.R. Charter'!AF29*3</f>
        <v>0</v>
      </c>
      <c r="AG30" s="1759">
        <f t="shared" si="38"/>
        <v>0</v>
      </c>
      <c r="AH30" s="1555">
        <f t="shared" si="39"/>
        <v>0</v>
      </c>
      <c r="AI30" s="900">
        <f t="shared" si="21"/>
        <v>0</v>
      </c>
      <c r="AJ30" s="900">
        <f t="shared" si="22"/>
        <v>0</v>
      </c>
      <c r="AL30" s="2034">
        <f>-'[4]Table 5C1M-B.R. Charter'!P29</f>
        <v>0</v>
      </c>
      <c r="AM30" s="2034">
        <f t="shared" si="40"/>
        <v>0</v>
      </c>
      <c r="AN30" s="2034">
        <f t="shared" si="41"/>
        <v>0</v>
      </c>
    </row>
    <row r="31" spans="1:40">
      <c r="A31" s="876">
        <v>24</v>
      </c>
      <c r="B31" s="877" t="s">
        <v>115</v>
      </c>
      <c r="C31" s="969">
        <v>0</v>
      </c>
      <c r="D31" s="878">
        <f>'Table 3 Levels 1&amp;2'!AL31</f>
        <v>2764.1216755319151</v>
      </c>
      <c r="E31" s="919">
        <f t="shared" si="23"/>
        <v>0</v>
      </c>
      <c r="F31" s="919">
        <f>'Table 4 Level 3'!P29</f>
        <v>854.24999999999989</v>
      </c>
      <c r="G31" s="919">
        <f t="shared" si="24"/>
        <v>0</v>
      </c>
      <c r="H31" s="898">
        <f t="shared" si="25"/>
        <v>0</v>
      </c>
      <c r="I31" s="1732">
        <f>+'[3]Oct midyear B.R. Charter'!K30</f>
        <v>0</v>
      </c>
      <c r="J31" s="1732">
        <f>'[3]Feb midyear B.R. Charter'!K30</f>
        <v>7236.7433510638302</v>
      </c>
      <c r="K31" s="1543">
        <f t="shared" si="26"/>
        <v>7236.7433510638302</v>
      </c>
      <c r="L31" s="1536">
        <f t="shared" si="18"/>
        <v>7236.7433510638302</v>
      </c>
      <c r="M31" s="929">
        <f t="shared" si="27"/>
        <v>-18.091858377659577</v>
      </c>
      <c r="N31" s="1550">
        <f t="shared" si="28"/>
        <v>7218.651492686171</v>
      </c>
      <c r="O31" s="1719">
        <v>0</v>
      </c>
      <c r="P31" s="1550">
        <f t="shared" si="19"/>
        <v>7218.651492686171</v>
      </c>
      <c r="Q31" s="1732">
        <f>'[26]Table 5C1M-B.R. Charter'!M30*5+('[5]Table 5C1M-B.R. Charter'!T30*3)</f>
        <v>0</v>
      </c>
      <c r="R31" s="1732">
        <f t="shared" si="29"/>
        <v>7218.651492686171</v>
      </c>
      <c r="S31" s="1550">
        <f t="shared" si="30"/>
        <v>1805</v>
      </c>
      <c r="T31" s="1802">
        <f>'Table 5C1A-Madison Prep'!T31</f>
        <v>10907</v>
      </c>
      <c r="U31" s="1555">
        <f t="shared" si="20"/>
        <v>0</v>
      </c>
      <c r="V31" s="1773">
        <f>+'[3]Oct midyear B.R. Charter'!E30</f>
        <v>0</v>
      </c>
      <c r="W31" s="1759">
        <f t="shared" si="31"/>
        <v>0</v>
      </c>
      <c r="X31" s="1758">
        <f>'[3]Feb midyear B.R. Charter'!E30</f>
        <v>4</v>
      </c>
      <c r="Y31" s="1759">
        <f t="shared" si="32"/>
        <v>21814</v>
      </c>
      <c r="Z31" s="1653">
        <f t="shared" si="33"/>
        <v>21814</v>
      </c>
      <c r="AA31" s="1486">
        <f t="shared" si="34"/>
        <v>21814</v>
      </c>
      <c r="AB31" s="937">
        <f t="shared" si="35"/>
        <v>-54.535000000000004</v>
      </c>
      <c r="AC31" s="899">
        <f t="shared" si="36"/>
        <v>21759.465</v>
      </c>
      <c r="AD31" s="1825">
        <v>0</v>
      </c>
      <c r="AE31" s="1555">
        <f t="shared" si="37"/>
        <v>21759.465</v>
      </c>
      <c r="AF31" s="1759">
        <f>'[4]Table 5C1M-B.R. Charter'!T30*5+'[5]Table 5C1M-B.R. Charter'!AF30*3</f>
        <v>0</v>
      </c>
      <c r="AG31" s="1759">
        <f t="shared" si="38"/>
        <v>21759.465</v>
      </c>
      <c r="AH31" s="1555">
        <f t="shared" si="39"/>
        <v>5440</v>
      </c>
      <c r="AI31" s="900">
        <f t="shared" si="21"/>
        <v>28978.116492686171</v>
      </c>
      <c r="AJ31" s="900">
        <f t="shared" si="22"/>
        <v>7245</v>
      </c>
      <c r="AL31" s="2034">
        <f>-'[4]Table 5C1M-B.R. Charter'!P30</f>
        <v>0</v>
      </c>
      <c r="AM31" s="2034">
        <f t="shared" si="40"/>
        <v>-54.535000000000004</v>
      </c>
      <c r="AN31" s="2034">
        <f t="shared" si="41"/>
        <v>-54.535000000000004</v>
      </c>
    </row>
    <row r="32" spans="1:40">
      <c r="A32" s="879">
        <v>25</v>
      </c>
      <c r="B32" s="880" t="s">
        <v>116</v>
      </c>
      <c r="C32" s="970">
        <v>0</v>
      </c>
      <c r="D32" s="881">
        <f>'Table 3 Levels 1&amp;2'!AL32</f>
        <v>3867.4480692053257</v>
      </c>
      <c r="E32" s="920">
        <f t="shared" si="23"/>
        <v>0</v>
      </c>
      <c r="F32" s="920">
        <f>'Table 4 Level 3'!P30</f>
        <v>653.73</v>
      </c>
      <c r="G32" s="920">
        <f t="shared" si="24"/>
        <v>0</v>
      </c>
      <c r="H32" s="901">
        <f t="shared" si="25"/>
        <v>0</v>
      </c>
      <c r="I32" s="1733">
        <f>+'[3]Oct midyear B.R. Charter'!K31</f>
        <v>0</v>
      </c>
      <c r="J32" s="1733">
        <f>'[3]Feb midyear B.R. Charter'!K31</f>
        <v>0</v>
      </c>
      <c r="K32" s="1544">
        <f t="shared" si="26"/>
        <v>0</v>
      </c>
      <c r="L32" s="1537">
        <f t="shared" si="18"/>
        <v>0</v>
      </c>
      <c r="M32" s="930">
        <f t="shared" si="27"/>
        <v>0</v>
      </c>
      <c r="N32" s="1551">
        <f t="shared" si="28"/>
        <v>0</v>
      </c>
      <c r="O32" s="1720">
        <v>0</v>
      </c>
      <c r="P32" s="1551">
        <f t="shared" si="19"/>
        <v>0</v>
      </c>
      <c r="Q32" s="1733">
        <f>'[26]Table 5C1M-B.R. Charter'!M31*5+('[5]Table 5C1M-B.R. Charter'!T31*3)</f>
        <v>0</v>
      </c>
      <c r="R32" s="1733">
        <f t="shared" si="29"/>
        <v>0</v>
      </c>
      <c r="S32" s="1551">
        <f t="shared" si="30"/>
        <v>0</v>
      </c>
      <c r="T32" s="1807">
        <f>'Table 5C1A-Madison Prep'!T32</f>
        <v>5156</v>
      </c>
      <c r="U32" s="1556">
        <f t="shared" si="20"/>
        <v>0</v>
      </c>
      <c r="V32" s="1774">
        <f>+'[3]Oct midyear B.R. Charter'!E31</f>
        <v>0</v>
      </c>
      <c r="W32" s="1763">
        <f t="shared" si="31"/>
        <v>0</v>
      </c>
      <c r="X32" s="1762">
        <f>'[3]Feb midyear B.R. Charter'!E31</f>
        <v>0</v>
      </c>
      <c r="Y32" s="1763">
        <f t="shared" si="32"/>
        <v>0</v>
      </c>
      <c r="Z32" s="1654">
        <f t="shared" si="33"/>
        <v>0</v>
      </c>
      <c r="AA32" s="1488">
        <f t="shared" si="34"/>
        <v>0</v>
      </c>
      <c r="AB32" s="938">
        <f t="shared" si="35"/>
        <v>0</v>
      </c>
      <c r="AC32" s="903">
        <f t="shared" si="36"/>
        <v>0</v>
      </c>
      <c r="AD32" s="1826">
        <v>0</v>
      </c>
      <c r="AE32" s="1556">
        <f t="shared" si="37"/>
        <v>0</v>
      </c>
      <c r="AF32" s="1763">
        <f>'[4]Table 5C1M-B.R. Charter'!T31*5+'[5]Table 5C1M-B.R. Charter'!AF31*3</f>
        <v>0</v>
      </c>
      <c r="AG32" s="1763">
        <f t="shared" si="38"/>
        <v>0</v>
      </c>
      <c r="AH32" s="1556">
        <f t="shared" si="39"/>
        <v>0</v>
      </c>
      <c r="AI32" s="904">
        <f t="shared" si="21"/>
        <v>0</v>
      </c>
      <c r="AJ32" s="904">
        <f t="shared" si="22"/>
        <v>0</v>
      </c>
      <c r="AL32" s="2034">
        <f>-'[4]Table 5C1M-B.R. Charter'!P31</f>
        <v>0</v>
      </c>
      <c r="AM32" s="2034">
        <f t="shared" si="40"/>
        <v>0</v>
      </c>
      <c r="AN32" s="2034">
        <f t="shared" si="41"/>
        <v>0</v>
      </c>
    </row>
    <row r="33" spans="1:40">
      <c r="A33" s="870">
        <v>26</v>
      </c>
      <c r="B33" s="871" t="s">
        <v>117</v>
      </c>
      <c r="C33" s="971">
        <v>0</v>
      </c>
      <c r="D33" s="872">
        <f>'Table 3 Levels 1&amp;2'!AL33</f>
        <v>3293.481526790355</v>
      </c>
      <c r="E33" s="918">
        <f t="shared" si="23"/>
        <v>0</v>
      </c>
      <c r="F33" s="918">
        <f>'Table 4 Level 3'!P31</f>
        <v>836.83</v>
      </c>
      <c r="G33" s="918">
        <f t="shared" si="24"/>
        <v>0</v>
      </c>
      <c r="H33" s="873">
        <f t="shared" si="25"/>
        <v>0</v>
      </c>
      <c r="I33" s="1718">
        <f>+'[3]Oct midyear B.R. Charter'!K32</f>
        <v>0</v>
      </c>
      <c r="J33" s="1718">
        <f>'[3]Feb midyear B.R. Charter'!K32</f>
        <v>0</v>
      </c>
      <c r="K33" s="1542">
        <f t="shared" si="26"/>
        <v>0</v>
      </c>
      <c r="L33" s="998">
        <f t="shared" si="18"/>
        <v>0</v>
      </c>
      <c r="M33" s="928">
        <f t="shared" si="27"/>
        <v>0</v>
      </c>
      <c r="N33" s="998">
        <f t="shared" si="28"/>
        <v>0</v>
      </c>
      <c r="O33" s="1718">
        <v>0</v>
      </c>
      <c r="P33" s="998">
        <f t="shared" si="19"/>
        <v>0</v>
      </c>
      <c r="Q33" s="1718">
        <f>'[26]Table 5C1M-B.R. Charter'!M32*5+('[5]Table 5C1M-B.R. Charter'!T32*3)</f>
        <v>0</v>
      </c>
      <c r="R33" s="1718">
        <f t="shared" si="29"/>
        <v>0</v>
      </c>
      <c r="S33" s="998">
        <f t="shared" si="30"/>
        <v>0</v>
      </c>
      <c r="T33" s="1802">
        <f>'Table 5C1A-Madison Prep'!T33</f>
        <v>5344</v>
      </c>
      <c r="U33" s="999">
        <f t="shared" si="20"/>
        <v>0</v>
      </c>
      <c r="V33" s="1772">
        <f>+'[3]Oct midyear B.R. Charter'!E32</f>
        <v>0</v>
      </c>
      <c r="W33" s="1755">
        <f t="shared" si="31"/>
        <v>0</v>
      </c>
      <c r="X33" s="1754">
        <f>'[3]Feb midyear B.R. Charter'!E32</f>
        <v>0</v>
      </c>
      <c r="Y33" s="1755">
        <f t="shared" si="32"/>
        <v>0</v>
      </c>
      <c r="Z33" s="1652">
        <f t="shared" si="33"/>
        <v>0</v>
      </c>
      <c r="AA33" s="1521">
        <f t="shared" si="34"/>
        <v>0</v>
      </c>
      <c r="AB33" s="936">
        <f t="shared" si="35"/>
        <v>0</v>
      </c>
      <c r="AC33" s="874">
        <f t="shared" si="36"/>
        <v>0</v>
      </c>
      <c r="AD33" s="1755">
        <v>0</v>
      </c>
      <c r="AE33" s="999">
        <f t="shared" si="37"/>
        <v>0</v>
      </c>
      <c r="AF33" s="1755">
        <f>'[4]Table 5C1M-B.R. Charter'!T32*5+'[5]Table 5C1M-B.R. Charter'!AF32*3</f>
        <v>0</v>
      </c>
      <c r="AG33" s="1755">
        <f t="shared" si="38"/>
        <v>0</v>
      </c>
      <c r="AH33" s="999">
        <f t="shared" si="39"/>
        <v>0</v>
      </c>
      <c r="AI33" s="875">
        <f t="shared" si="21"/>
        <v>0</v>
      </c>
      <c r="AJ33" s="875">
        <f t="shared" si="22"/>
        <v>0</v>
      </c>
      <c r="AL33" s="2034">
        <f>-'[4]Table 5C1M-B.R. Charter'!P32</f>
        <v>0</v>
      </c>
      <c r="AM33" s="2034">
        <f t="shared" si="40"/>
        <v>0</v>
      </c>
      <c r="AN33" s="2034">
        <f t="shared" si="41"/>
        <v>0</v>
      </c>
    </row>
    <row r="34" spans="1:40">
      <c r="A34" s="876">
        <v>27</v>
      </c>
      <c r="B34" s="877" t="s">
        <v>118</v>
      </c>
      <c r="C34" s="972">
        <v>0</v>
      </c>
      <c r="D34" s="882">
        <f>'Table 3 Levels 1&amp;2'!AL34</f>
        <v>5680.7727517381973</v>
      </c>
      <c r="E34" s="921">
        <f t="shared" si="23"/>
        <v>0</v>
      </c>
      <c r="F34" s="921">
        <f>'Table 4 Level 3'!P32</f>
        <v>693.06</v>
      </c>
      <c r="G34" s="921">
        <f t="shared" si="24"/>
        <v>0</v>
      </c>
      <c r="H34" s="905">
        <f t="shared" si="25"/>
        <v>0</v>
      </c>
      <c r="I34" s="1734">
        <f>+'[3]Oct midyear B.R. Charter'!K33</f>
        <v>0</v>
      </c>
      <c r="J34" s="1734">
        <f>'[3]Feb midyear B.R. Charter'!K33</f>
        <v>0</v>
      </c>
      <c r="K34" s="1545">
        <f t="shared" si="26"/>
        <v>0</v>
      </c>
      <c r="L34" s="1538">
        <f t="shared" si="18"/>
        <v>0</v>
      </c>
      <c r="M34" s="931">
        <f t="shared" si="27"/>
        <v>0</v>
      </c>
      <c r="N34" s="1552">
        <f t="shared" si="28"/>
        <v>0</v>
      </c>
      <c r="O34" s="1721">
        <v>0</v>
      </c>
      <c r="P34" s="1552">
        <f t="shared" si="19"/>
        <v>0</v>
      </c>
      <c r="Q34" s="1734">
        <f>'[26]Table 5C1M-B.R. Charter'!M33*5+('[5]Table 5C1M-B.R. Charter'!T33*3)</f>
        <v>0</v>
      </c>
      <c r="R34" s="1734">
        <f t="shared" si="29"/>
        <v>0</v>
      </c>
      <c r="S34" s="1552">
        <f t="shared" si="30"/>
        <v>0</v>
      </c>
      <c r="T34" s="1802">
        <f>'Table 5C1A-Madison Prep'!T34</f>
        <v>3271</v>
      </c>
      <c r="U34" s="1555">
        <f t="shared" si="20"/>
        <v>0</v>
      </c>
      <c r="V34" s="1773">
        <f>+'[3]Oct midyear B.R. Charter'!E33</f>
        <v>0</v>
      </c>
      <c r="W34" s="1759">
        <f t="shared" si="31"/>
        <v>0</v>
      </c>
      <c r="X34" s="1758">
        <f>'[3]Feb midyear B.R. Charter'!E33</f>
        <v>0</v>
      </c>
      <c r="Y34" s="1759">
        <f t="shared" si="32"/>
        <v>0</v>
      </c>
      <c r="Z34" s="1653">
        <f t="shared" si="33"/>
        <v>0</v>
      </c>
      <c r="AA34" s="1486">
        <f t="shared" si="34"/>
        <v>0</v>
      </c>
      <c r="AB34" s="937">
        <f t="shared" si="35"/>
        <v>0</v>
      </c>
      <c r="AC34" s="899">
        <f t="shared" si="36"/>
        <v>0</v>
      </c>
      <c r="AD34" s="1825">
        <v>0</v>
      </c>
      <c r="AE34" s="1555">
        <f t="shared" si="37"/>
        <v>0</v>
      </c>
      <c r="AF34" s="1759">
        <f>'[4]Table 5C1M-B.R. Charter'!T33*5+'[5]Table 5C1M-B.R. Charter'!AF33*3</f>
        <v>0</v>
      </c>
      <c r="AG34" s="1759">
        <f t="shared" si="38"/>
        <v>0</v>
      </c>
      <c r="AH34" s="1555">
        <f t="shared" si="39"/>
        <v>0</v>
      </c>
      <c r="AI34" s="900">
        <f t="shared" si="21"/>
        <v>0</v>
      </c>
      <c r="AJ34" s="900">
        <f t="shared" si="22"/>
        <v>0</v>
      </c>
      <c r="AL34" s="2034">
        <f>-'[4]Table 5C1M-B.R. Charter'!P33</f>
        <v>0</v>
      </c>
      <c r="AM34" s="2034">
        <f t="shared" si="40"/>
        <v>0</v>
      </c>
      <c r="AN34" s="2034">
        <f t="shared" si="41"/>
        <v>0</v>
      </c>
    </row>
    <row r="35" spans="1:40">
      <c r="A35" s="876">
        <v>28</v>
      </c>
      <c r="B35" s="877" t="s">
        <v>119</v>
      </c>
      <c r="C35" s="972">
        <v>0</v>
      </c>
      <c r="D35" s="882">
        <f>'Table 3 Levels 1&amp;2'!AL35</f>
        <v>3163.1694438483169</v>
      </c>
      <c r="E35" s="921">
        <f t="shared" si="23"/>
        <v>0</v>
      </c>
      <c r="F35" s="921">
        <f>'Table 4 Level 3'!P33</f>
        <v>694.4</v>
      </c>
      <c r="G35" s="921">
        <f t="shared" si="24"/>
        <v>0</v>
      </c>
      <c r="H35" s="905">
        <f t="shared" si="25"/>
        <v>0</v>
      </c>
      <c r="I35" s="1734">
        <f>+'[3]Oct midyear B.R. Charter'!K34</f>
        <v>0</v>
      </c>
      <c r="J35" s="1734">
        <f>'[3]Feb midyear B.R. Charter'!K34</f>
        <v>0</v>
      </c>
      <c r="K35" s="1545">
        <f t="shared" si="26"/>
        <v>0</v>
      </c>
      <c r="L35" s="1538">
        <f t="shared" si="18"/>
        <v>0</v>
      </c>
      <c r="M35" s="931">
        <f t="shared" si="27"/>
        <v>0</v>
      </c>
      <c r="N35" s="1552">
        <f t="shared" si="28"/>
        <v>0</v>
      </c>
      <c r="O35" s="1721">
        <v>0</v>
      </c>
      <c r="P35" s="1552">
        <f t="shared" si="19"/>
        <v>0</v>
      </c>
      <c r="Q35" s="1734">
        <f>'[26]Table 5C1M-B.R. Charter'!M34*5+('[5]Table 5C1M-B.R. Charter'!T34*3)</f>
        <v>0</v>
      </c>
      <c r="R35" s="1734">
        <f t="shared" si="29"/>
        <v>0</v>
      </c>
      <c r="S35" s="1552">
        <f t="shared" si="30"/>
        <v>0</v>
      </c>
      <c r="T35" s="1802">
        <f>'Table 5C1A-Madison Prep'!T35</f>
        <v>5647</v>
      </c>
      <c r="U35" s="1555">
        <f t="shared" si="20"/>
        <v>0</v>
      </c>
      <c r="V35" s="1773">
        <f>+'[3]Oct midyear B.R. Charter'!E34</f>
        <v>0</v>
      </c>
      <c r="W35" s="1759">
        <f t="shared" si="31"/>
        <v>0</v>
      </c>
      <c r="X35" s="1758">
        <f>'[3]Feb midyear B.R. Charter'!E34</f>
        <v>0</v>
      </c>
      <c r="Y35" s="1759">
        <f t="shared" si="32"/>
        <v>0</v>
      </c>
      <c r="Z35" s="1653">
        <f t="shared" si="33"/>
        <v>0</v>
      </c>
      <c r="AA35" s="1486">
        <f t="shared" si="34"/>
        <v>0</v>
      </c>
      <c r="AB35" s="937">
        <f t="shared" si="35"/>
        <v>0</v>
      </c>
      <c r="AC35" s="899">
        <f t="shared" si="36"/>
        <v>0</v>
      </c>
      <c r="AD35" s="1825">
        <v>0</v>
      </c>
      <c r="AE35" s="1555">
        <f t="shared" si="37"/>
        <v>0</v>
      </c>
      <c r="AF35" s="1759">
        <f>'[4]Table 5C1M-B.R. Charter'!T34*5+'[5]Table 5C1M-B.R. Charter'!AF34*3</f>
        <v>0</v>
      </c>
      <c r="AG35" s="1759">
        <f t="shared" si="38"/>
        <v>0</v>
      </c>
      <c r="AH35" s="1555">
        <f t="shared" si="39"/>
        <v>0</v>
      </c>
      <c r="AI35" s="900">
        <f t="shared" si="21"/>
        <v>0</v>
      </c>
      <c r="AJ35" s="900">
        <f t="shared" si="22"/>
        <v>0</v>
      </c>
      <c r="AL35" s="2034">
        <f>-'[4]Table 5C1M-B.R. Charter'!P34</f>
        <v>0</v>
      </c>
      <c r="AM35" s="2034">
        <f t="shared" si="40"/>
        <v>0</v>
      </c>
      <c r="AN35" s="2034">
        <f t="shared" si="41"/>
        <v>0</v>
      </c>
    </row>
    <row r="36" spans="1:40">
      <c r="A36" s="876">
        <v>29</v>
      </c>
      <c r="B36" s="877" t="s">
        <v>120</v>
      </c>
      <c r="C36" s="972">
        <v>0</v>
      </c>
      <c r="D36" s="882">
        <f>'Table 3 Levels 1&amp;2'!AL36</f>
        <v>3952.5586133052648</v>
      </c>
      <c r="E36" s="921">
        <f t="shared" si="23"/>
        <v>0</v>
      </c>
      <c r="F36" s="921">
        <f>'Table 4 Level 3'!P34</f>
        <v>754.94999999999993</v>
      </c>
      <c r="G36" s="921">
        <f t="shared" si="24"/>
        <v>0</v>
      </c>
      <c r="H36" s="905">
        <f t="shared" si="25"/>
        <v>0</v>
      </c>
      <c r="I36" s="1734">
        <f>+'[3]Oct midyear B.R. Charter'!K35</f>
        <v>0</v>
      </c>
      <c r="J36" s="1734">
        <f>'[3]Feb midyear B.R. Charter'!K35</f>
        <v>0</v>
      </c>
      <c r="K36" s="1545">
        <f t="shared" si="26"/>
        <v>0</v>
      </c>
      <c r="L36" s="1538">
        <f t="shared" si="18"/>
        <v>0</v>
      </c>
      <c r="M36" s="931">
        <f t="shared" si="27"/>
        <v>0</v>
      </c>
      <c r="N36" s="1552">
        <f t="shared" si="28"/>
        <v>0</v>
      </c>
      <c r="O36" s="1721">
        <v>0</v>
      </c>
      <c r="P36" s="1552">
        <f t="shared" si="19"/>
        <v>0</v>
      </c>
      <c r="Q36" s="1734">
        <f>'[26]Table 5C1M-B.R. Charter'!M35*5+('[5]Table 5C1M-B.R. Charter'!T35*3)</f>
        <v>0</v>
      </c>
      <c r="R36" s="1734">
        <f t="shared" si="29"/>
        <v>0</v>
      </c>
      <c r="S36" s="1552">
        <f t="shared" si="30"/>
        <v>0</v>
      </c>
      <c r="T36" s="1802">
        <f>'Table 5C1A-Madison Prep'!T36</f>
        <v>4826</v>
      </c>
      <c r="U36" s="1555">
        <f t="shared" si="20"/>
        <v>0</v>
      </c>
      <c r="V36" s="1773">
        <f>+'[3]Oct midyear B.R. Charter'!E35</f>
        <v>0</v>
      </c>
      <c r="W36" s="1759">
        <f t="shared" si="31"/>
        <v>0</v>
      </c>
      <c r="X36" s="1758">
        <f>'[3]Feb midyear B.R. Charter'!E35</f>
        <v>0</v>
      </c>
      <c r="Y36" s="1759">
        <f t="shared" si="32"/>
        <v>0</v>
      </c>
      <c r="Z36" s="1653">
        <f t="shared" si="33"/>
        <v>0</v>
      </c>
      <c r="AA36" s="1486">
        <f t="shared" si="34"/>
        <v>0</v>
      </c>
      <c r="AB36" s="937">
        <f t="shared" si="35"/>
        <v>0</v>
      </c>
      <c r="AC36" s="899">
        <f t="shared" si="36"/>
        <v>0</v>
      </c>
      <c r="AD36" s="1825">
        <v>0</v>
      </c>
      <c r="AE36" s="1555">
        <f t="shared" si="37"/>
        <v>0</v>
      </c>
      <c r="AF36" s="1759">
        <f>'[4]Table 5C1M-B.R. Charter'!T35*5+'[5]Table 5C1M-B.R. Charter'!AF35*3</f>
        <v>0</v>
      </c>
      <c r="AG36" s="1759">
        <f t="shared" si="38"/>
        <v>0</v>
      </c>
      <c r="AH36" s="1555">
        <f t="shared" si="39"/>
        <v>0</v>
      </c>
      <c r="AI36" s="900">
        <f t="shared" si="21"/>
        <v>0</v>
      </c>
      <c r="AJ36" s="900">
        <f t="shared" si="22"/>
        <v>0</v>
      </c>
      <c r="AL36" s="2034">
        <f>-'[4]Table 5C1M-B.R. Charter'!P35</f>
        <v>0</v>
      </c>
      <c r="AM36" s="2034">
        <f t="shared" si="40"/>
        <v>0</v>
      </c>
      <c r="AN36" s="2034">
        <f t="shared" si="41"/>
        <v>0</v>
      </c>
    </row>
    <row r="37" spans="1:40">
      <c r="A37" s="879">
        <v>30</v>
      </c>
      <c r="B37" s="880" t="s">
        <v>121</v>
      </c>
      <c r="C37" s="973">
        <v>0</v>
      </c>
      <c r="D37" s="883">
        <f>'Table 3 Levels 1&amp;2'!AL37</f>
        <v>5648.6510465852989</v>
      </c>
      <c r="E37" s="922">
        <f t="shared" si="23"/>
        <v>0</v>
      </c>
      <c r="F37" s="922">
        <f>'Table 4 Level 3'!P35</f>
        <v>727.17</v>
      </c>
      <c r="G37" s="922">
        <f t="shared" si="24"/>
        <v>0</v>
      </c>
      <c r="H37" s="906">
        <f t="shared" si="25"/>
        <v>0</v>
      </c>
      <c r="I37" s="1735">
        <f>+'[3]Oct midyear B.R. Charter'!K36</f>
        <v>0</v>
      </c>
      <c r="J37" s="1735">
        <f>'[3]Feb midyear B.R. Charter'!K36</f>
        <v>0</v>
      </c>
      <c r="K37" s="1546">
        <f t="shared" si="26"/>
        <v>0</v>
      </c>
      <c r="L37" s="1539">
        <f t="shared" si="18"/>
        <v>0</v>
      </c>
      <c r="M37" s="932">
        <f t="shared" si="27"/>
        <v>0</v>
      </c>
      <c r="N37" s="1553">
        <f t="shared" si="28"/>
        <v>0</v>
      </c>
      <c r="O37" s="1722">
        <v>0</v>
      </c>
      <c r="P37" s="1553">
        <f t="shared" si="19"/>
        <v>0</v>
      </c>
      <c r="Q37" s="1735">
        <f>'[26]Table 5C1M-B.R. Charter'!M36*5+('[5]Table 5C1M-B.R. Charter'!T36*3)</f>
        <v>0</v>
      </c>
      <c r="R37" s="1735">
        <f t="shared" si="29"/>
        <v>0</v>
      </c>
      <c r="S37" s="1553">
        <f t="shared" si="30"/>
        <v>0</v>
      </c>
      <c r="T37" s="1807">
        <f>'Table 5C1A-Madison Prep'!T37</f>
        <v>4193</v>
      </c>
      <c r="U37" s="1556">
        <f t="shared" si="20"/>
        <v>0</v>
      </c>
      <c r="V37" s="1774">
        <f>+'[3]Oct midyear B.R. Charter'!E36</f>
        <v>0</v>
      </c>
      <c r="W37" s="1763">
        <f t="shared" si="31"/>
        <v>0</v>
      </c>
      <c r="X37" s="1762">
        <f>'[3]Feb midyear B.R. Charter'!E36</f>
        <v>0</v>
      </c>
      <c r="Y37" s="1763">
        <f t="shared" si="32"/>
        <v>0</v>
      </c>
      <c r="Z37" s="1654">
        <f t="shared" si="33"/>
        <v>0</v>
      </c>
      <c r="AA37" s="1488">
        <f t="shared" si="34"/>
        <v>0</v>
      </c>
      <c r="AB37" s="938">
        <f t="shared" si="35"/>
        <v>0</v>
      </c>
      <c r="AC37" s="903">
        <f t="shared" si="36"/>
        <v>0</v>
      </c>
      <c r="AD37" s="1826">
        <v>0</v>
      </c>
      <c r="AE37" s="1556">
        <f t="shared" si="37"/>
        <v>0</v>
      </c>
      <c r="AF37" s="1763">
        <f>'[4]Table 5C1M-B.R. Charter'!T36*5+'[5]Table 5C1M-B.R. Charter'!AF36*3</f>
        <v>0</v>
      </c>
      <c r="AG37" s="1763">
        <f t="shared" si="38"/>
        <v>0</v>
      </c>
      <c r="AH37" s="1556">
        <f t="shared" si="39"/>
        <v>0</v>
      </c>
      <c r="AI37" s="904">
        <f t="shared" si="21"/>
        <v>0</v>
      </c>
      <c r="AJ37" s="904">
        <f t="shared" si="22"/>
        <v>0</v>
      </c>
      <c r="AL37" s="2034">
        <f>-'[4]Table 5C1M-B.R. Charter'!P36</f>
        <v>0</v>
      </c>
      <c r="AM37" s="2034">
        <f t="shared" si="40"/>
        <v>0</v>
      </c>
      <c r="AN37" s="2034">
        <f t="shared" si="41"/>
        <v>0</v>
      </c>
    </row>
    <row r="38" spans="1:40">
      <c r="A38" s="870">
        <v>31</v>
      </c>
      <c r="B38" s="871" t="s">
        <v>122</v>
      </c>
      <c r="C38" s="974">
        <v>0</v>
      </c>
      <c r="D38" s="884">
        <f>'Table 3 Levels 1&amp;2'!AL38</f>
        <v>4348.9307899232972</v>
      </c>
      <c r="E38" s="923">
        <f t="shared" si="23"/>
        <v>0</v>
      </c>
      <c r="F38" s="923">
        <f>'Table 4 Level 3'!P36</f>
        <v>620.83000000000004</v>
      </c>
      <c r="G38" s="923">
        <f t="shared" si="24"/>
        <v>0</v>
      </c>
      <c r="H38" s="907">
        <f t="shared" si="25"/>
        <v>0</v>
      </c>
      <c r="I38" s="1723">
        <f>+'[3]Oct midyear B.R. Charter'!K37</f>
        <v>0</v>
      </c>
      <c r="J38" s="1723">
        <f>'[3]Feb midyear B.R. Charter'!K37</f>
        <v>0</v>
      </c>
      <c r="K38" s="1547">
        <f t="shared" si="26"/>
        <v>0</v>
      </c>
      <c r="L38" s="996">
        <f t="shared" si="18"/>
        <v>0</v>
      </c>
      <c r="M38" s="933">
        <f t="shared" si="27"/>
        <v>0</v>
      </c>
      <c r="N38" s="996">
        <f t="shared" si="28"/>
        <v>0</v>
      </c>
      <c r="O38" s="1723">
        <v>0</v>
      </c>
      <c r="P38" s="996">
        <f t="shared" si="19"/>
        <v>0</v>
      </c>
      <c r="Q38" s="1723">
        <f>'[26]Table 5C1M-B.R. Charter'!M37*5+('[5]Table 5C1M-B.R. Charter'!T37*3)</f>
        <v>0</v>
      </c>
      <c r="R38" s="1723">
        <f t="shared" si="29"/>
        <v>0</v>
      </c>
      <c r="S38" s="996">
        <f t="shared" si="30"/>
        <v>0</v>
      </c>
      <c r="T38" s="1802">
        <f>'Table 5C1A-Madison Prep'!T38</f>
        <v>4901</v>
      </c>
      <c r="U38" s="999">
        <f t="shared" si="20"/>
        <v>0</v>
      </c>
      <c r="V38" s="1772">
        <f>+'[3]Oct midyear B.R. Charter'!E37</f>
        <v>0</v>
      </c>
      <c r="W38" s="1755">
        <f t="shared" si="31"/>
        <v>0</v>
      </c>
      <c r="X38" s="1754">
        <f>'[3]Feb midyear B.R. Charter'!E37</f>
        <v>0</v>
      </c>
      <c r="Y38" s="1755">
        <f t="shared" si="32"/>
        <v>0</v>
      </c>
      <c r="Z38" s="1652">
        <f t="shared" si="33"/>
        <v>0</v>
      </c>
      <c r="AA38" s="1521">
        <f t="shared" si="34"/>
        <v>0</v>
      </c>
      <c r="AB38" s="936">
        <f t="shared" si="35"/>
        <v>0</v>
      </c>
      <c r="AC38" s="874">
        <f t="shared" si="36"/>
        <v>0</v>
      </c>
      <c r="AD38" s="1755">
        <v>0</v>
      </c>
      <c r="AE38" s="999">
        <f t="shared" si="37"/>
        <v>0</v>
      </c>
      <c r="AF38" s="1755">
        <f>'[4]Table 5C1M-B.R. Charter'!T37*5+'[5]Table 5C1M-B.R. Charter'!AF37*3</f>
        <v>0</v>
      </c>
      <c r="AG38" s="1755">
        <f t="shared" si="38"/>
        <v>0</v>
      </c>
      <c r="AH38" s="999">
        <f t="shared" si="39"/>
        <v>0</v>
      </c>
      <c r="AI38" s="875">
        <f t="shared" si="21"/>
        <v>0</v>
      </c>
      <c r="AJ38" s="875">
        <f t="shared" si="22"/>
        <v>0</v>
      </c>
      <c r="AL38" s="2034">
        <f>-'[4]Table 5C1M-B.R. Charter'!P37</f>
        <v>0</v>
      </c>
      <c r="AM38" s="2034">
        <f t="shared" si="40"/>
        <v>0</v>
      </c>
      <c r="AN38" s="2034">
        <f t="shared" si="41"/>
        <v>0</v>
      </c>
    </row>
    <row r="39" spans="1:40">
      <c r="A39" s="876">
        <v>32</v>
      </c>
      <c r="B39" s="877" t="s">
        <v>123</v>
      </c>
      <c r="C39" s="972">
        <v>0</v>
      </c>
      <c r="D39" s="882">
        <f>'Table 3 Levels 1&amp;2'!AL39</f>
        <v>5531.5157655456787</v>
      </c>
      <c r="E39" s="921">
        <f t="shared" si="23"/>
        <v>0</v>
      </c>
      <c r="F39" s="921">
        <f>'Table 4 Level 3'!P37</f>
        <v>559.77</v>
      </c>
      <c r="G39" s="921">
        <f t="shared" si="24"/>
        <v>0</v>
      </c>
      <c r="H39" s="905">
        <f t="shared" si="25"/>
        <v>0</v>
      </c>
      <c r="I39" s="1734">
        <f>+'[3]Oct midyear B.R. Charter'!K38</f>
        <v>0</v>
      </c>
      <c r="J39" s="1734">
        <f>'[3]Feb midyear B.R. Charter'!K38</f>
        <v>3045.6428827728396</v>
      </c>
      <c r="K39" s="1545">
        <f t="shared" si="26"/>
        <v>3045.6428827728396</v>
      </c>
      <c r="L39" s="1538">
        <f t="shared" si="18"/>
        <v>3045.6428827728396</v>
      </c>
      <c r="M39" s="931">
        <f t="shared" si="27"/>
        <v>-7.6141072069320987</v>
      </c>
      <c r="N39" s="1552">
        <f t="shared" si="28"/>
        <v>3038.0287755659074</v>
      </c>
      <c r="O39" s="1721">
        <v>0</v>
      </c>
      <c r="P39" s="1552">
        <f t="shared" si="19"/>
        <v>3038.0287755659074</v>
      </c>
      <c r="Q39" s="1734">
        <f>'[26]Table 5C1M-B.R. Charter'!M38*5+('[5]Table 5C1M-B.R. Charter'!T38*3)</f>
        <v>0</v>
      </c>
      <c r="R39" s="1734">
        <f t="shared" si="29"/>
        <v>3038.0287755659074</v>
      </c>
      <c r="S39" s="1552">
        <f t="shared" si="30"/>
        <v>760</v>
      </c>
      <c r="T39" s="1802">
        <f>'Table 5C1A-Madison Prep'!T39</f>
        <v>2074</v>
      </c>
      <c r="U39" s="1555">
        <f t="shared" si="20"/>
        <v>0</v>
      </c>
      <c r="V39" s="1773">
        <f>+'[3]Oct midyear B.R. Charter'!E38</f>
        <v>0</v>
      </c>
      <c r="W39" s="1759">
        <f t="shared" si="31"/>
        <v>0</v>
      </c>
      <c r="X39" s="1758">
        <f>'[3]Feb midyear B.R. Charter'!E38</f>
        <v>1</v>
      </c>
      <c r="Y39" s="1759">
        <f t="shared" si="32"/>
        <v>1037</v>
      </c>
      <c r="Z39" s="1653">
        <f t="shared" si="33"/>
        <v>1037</v>
      </c>
      <c r="AA39" s="1486">
        <f t="shared" si="34"/>
        <v>1037</v>
      </c>
      <c r="AB39" s="937">
        <f t="shared" si="35"/>
        <v>-2.5925000000000002</v>
      </c>
      <c r="AC39" s="899">
        <f t="shared" si="36"/>
        <v>1034.4075</v>
      </c>
      <c r="AD39" s="1825">
        <v>0</v>
      </c>
      <c r="AE39" s="1555">
        <f t="shared" si="37"/>
        <v>1034.4075</v>
      </c>
      <c r="AF39" s="1759">
        <f>'[4]Table 5C1M-B.R. Charter'!T38*5+'[5]Table 5C1M-B.R. Charter'!AF38*3</f>
        <v>0</v>
      </c>
      <c r="AG39" s="1759">
        <f t="shared" si="38"/>
        <v>1034.4075</v>
      </c>
      <c r="AH39" s="1555">
        <f t="shared" si="39"/>
        <v>259</v>
      </c>
      <c r="AI39" s="900">
        <f t="shared" si="21"/>
        <v>4072.4362755659076</v>
      </c>
      <c r="AJ39" s="900">
        <f t="shared" si="22"/>
        <v>1019</v>
      </c>
      <c r="AL39" s="2034">
        <f>-'[4]Table 5C1M-B.R. Charter'!P38</f>
        <v>0</v>
      </c>
      <c r="AM39" s="2034">
        <f t="shared" si="40"/>
        <v>-2.5925000000000002</v>
      </c>
      <c r="AN39" s="2034">
        <f t="shared" si="41"/>
        <v>-2.5925000000000002</v>
      </c>
    </row>
    <row r="40" spans="1:40">
      <c r="A40" s="876">
        <v>33</v>
      </c>
      <c r="B40" s="877" t="s">
        <v>124</v>
      </c>
      <c r="C40" s="972">
        <v>0</v>
      </c>
      <c r="D40" s="882">
        <f>'Table 3 Levels 1&amp;2'!AL40</f>
        <v>5329.5444226517857</v>
      </c>
      <c r="E40" s="921">
        <f t="shared" si="23"/>
        <v>0</v>
      </c>
      <c r="F40" s="921">
        <f>'Table 4 Level 3'!P38</f>
        <v>655.31000000000006</v>
      </c>
      <c r="G40" s="921">
        <f t="shared" si="24"/>
        <v>0</v>
      </c>
      <c r="H40" s="905">
        <f t="shared" si="25"/>
        <v>0</v>
      </c>
      <c r="I40" s="1734">
        <f>+'[3]Oct midyear B.R. Charter'!K39</f>
        <v>0</v>
      </c>
      <c r="J40" s="1734">
        <f>'[3]Feb midyear B.R. Charter'!K39</f>
        <v>0</v>
      </c>
      <c r="K40" s="1545">
        <f t="shared" si="26"/>
        <v>0</v>
      </c>
      <c r="L40" s="1538">
        <f t="shared" ref="L40:L71" si="42">H40+K40</f>
        <v>0</v>
      </c>
      <c r="M40" s="931">
        <f t="shared" si="27"/>
        <v>0</v>
      </c>
      <c r="N40" s="1552">
        <f t="shared" si="28"/>
        <v>0</v>
      </c>
      <c r="O40" s="1721">
        <v>0</v>
      </c>
      <c r="P40" s="1552">
        <f t="shared" si="19"/>
        <v>0</v>
      </c>
      <c r="Q40" s="1734">
        <f>'[26]Table 5C1M-B.R. Charter'!M39*5+('[5]Table 5C1M-B.R. Charter'!T39*3)</f>
        <v>0</v>
      </c>
      <c r="R40" s="1734">
        <f t="shared" si="29"/>
        <v>0</v>
      </c>
      <c r="S40" s="1552">
        <f t="shared" si="30"/>
        <v>0</v>
      </c>
      <c r="T40" s="1802">
        <f>'Table 5C1A-Madison Prep'!T40</f>
        <v>3501</v>
      </c>
      <c r="U40" s="1555">
        <f t="shared" ref="U40:U71" si="43">C40*T40</f>
        <v>0</v>
      </c>
      <c r="V40" s="1773">
        <f>+'[3]Oct midyear B.R. Charter'!E39</f>
        <v>0</v>
      </c>
      <c r="W40" s="1759">
        <f t="shared" si="31"/>
        <v>0</v>
      </c>
      <c r="X40" s="1758">
        <f>'[3]Feb midyear B.R. Charter'!E39</f>
        <v>0</v>
      </c>
      <c r="Y40" s="1759">
        <f t="shared" si="32"/>
        <v>0</v>
      </c>
      <c r="Z40" s="1653">
        <f t="shared" si="33"/>
        <v>0</v>
      </c>
      <c r="AA40" s="1486">
        <f t="shared" si="34"/>
        <v>0</v>
      </c>
      <c r="AB40" s="937">
        <f t="shared" si="35"/>
        <v>0</v>
      </c>
      <c r="AC40" s="899">
        <f t="shared" si="36"/>
        <v>0</v>
      </c>
      <c r="AD40" s="1825">
        <v>0</v>
      </c>
      <c r="AE40" s="1555">
        <f t="shared" si="37"/>
        <v>0</v>
      </c>
      <c r="AF40" s="1759">
        <f>'[4]Table 5C1M-B.R. Charter'!T39*5+'[5]Table 5C1M-B.R. Charter'!AF39*3</f>
        <v>0</v>
      </c>
      <c r="AG40" s="1759">
        <f t="shared" si="38"/>
        <v>0</v>
      </c>
      <c r="AH40" s="1555">
        <f t="shared" si="39"/>
        <v>0</v>
      </c>
      <c r="AI40" s="900">
        <f t="shared" ref="AI40:AI76" si="44">P40+AE40</f>
        <v>0</v>
      </c>
      <c r="AJ40" s="900">
        <f t="shared" ref="AJ40:AJ76" si="45">S40+AH40</f>
        <v>0</v>
      </c>
      <c r="AL40" s="2034">
        <f>-'[4]Table 5C1M-B.R. Charter'!P39</f>
        <v>0</v>
      </c>
      <c r="AM40" s="2034">
        <f t="shared" si="40"/>
        <v>0</v>
      </c>
      <c r="AN40" s="2034">
        <f t="shared" si="41"/>
        <v>0</v>
      </c>
    </row>
    <row r="41" spans="1:40">
      <c r="A41" s="876">
        <v>34</v>
      </c>
      <c r="B41" s="877" t="s">
        <v>125</v>
      </c>
      <c r="C41" s="972">
        <v>0</v>
      </c>
      <c r="D41" s="882">
        <f>'Table 3 Levels 1&amp;2'!AL41</f>
        <v>6003.632932007491</v>
      </c>
      <c r="E41" s="921">
        <f t="shared" si="23"/>
        <v>0</v>
      </c>
      <c r="F41" s="921">
        <f>'Table 4 Level 3'!P39</f>
        <v>644.11000000000013</v>
      </c>
      <c r="G41" s="921">
        <f t="shared" si="24"/>
        <v>0</v>
      </c>
      <c r="H41" s="905">
        <f t="shared" si="25"/>
        <v>0</v>
      </c>
      <c r="I41" s="1734">
        <f>+'[3]Oct midyear B.R. Charter'!K40</f>
        <v>0</v>
      </c>
      <c r="J41" s="1734">
        <f>'[3]Feb midyear B.R. Charter'!K40</f>
        <v>0</v>
      </c>
      <c r="K41" s="1545">
        <f t="shared" si="26"/>
        <v>0</v>
      </c>
      <c r="L41" s="1538">
        <f t="shared" si="42"/>
        <v>0</v>
      </c>
      <c r="M41" s="931">
        <f t="shared" si="27"/>
        <v>0</v>
      </c>
      <c r="N41" s="1552">
        <f t="shared" si="28"/>
        <v>0</v>
      </c>
      <c r="O41" s="1721">
        <v>0</v>
      </c>
      <c r="P41" s="1552">
        <f t="shared" si="19"/>
        <v>0</v>
      </c>
      <c r="Q41" s="1734">
        <f>'[26]Table 5C1M-B.R. Charter'!M40*5+('[5]Table 5C1M-B.R. Charter'!T40*3)</f>
        <v>0</v>
      </c>
      <c r="R41" s="1734">
        <f t="shared" si="29"/>
        <v>0</v>
      </c>
      <c r="S41" s="1552">
        <f t="shared" si="30"/>
        <v>0</v>
      </c>
      <c r="T41" s="1802">
        <f>'Table 5C1A-Madison Prep'!T41</f>
        <v>2772</v>
      </c>
      <c r="U41" s="1555">
        <f t="shared" si="43"/>
        <v>0</v>
      </c>
      <c r="V41" s="1773">
        <f>+'[3]Oct midyear B.R. Charter'!E40</f>
        <v>0</v>
      </c>
      <c r="W41" s="1759">
        <f t="shared" si="31"/>
        <v>0</v>
      </c>
      <c r="X41" s="1758">
        <f>'[3]Feb midyear B.R. Charter'!E40</f>
        <v>0</v>
      </c>
      <c r="Y41" s="1759">
        <f t="shared" si="32"/>
        <v>0</v>
      </c>
      <c r="Z41" s="1653">
        <f t="shared" si="33"/>
        <v>0</v>
      </c>
      <c r="AA41" s="1486">
        <f t="shared" si="34"/>
        <v>0</v>
      </c>
      <c r="AB41" s="937">
        <f t="shared" si="35"/>
        <v>0</v>
      </c>
      <c r="AC41" s="899">
        <f t="shared" si="36"/>
        <v>0</v>
      </c>
      <c r="AD41" s="1825">
        <v>0</v>
      </c>
      <c r="AE41" s="1555">
        <f t="shared" si="37"/>
        <v>0</v>
      </c>
      <c r="AF41" s="1759">
        <f>'[4]Table 5C1M-B.R. Charter'!T40*5+'[5]Table 5C1M-B.R. Charter'!AF40*3</f>
        <v>0</v>
      </c>
      <c r="AG41" s="1759">
        <f t="shared" si="38"/>
        <v>0</v>
      </c>
      <c r="AH41" s="1555">
        <f t="shared" si="39"/>
        <v>0</v>
      </c>
      <c r="AI41" s="900">
        <f t="shared" si="44"/>
        <v>0</v>
      </c>
      <c r="AJ41" s="900">
        <f t="shared" si="45"/>
        <v>0</v>
      </c>
      <c r="AL41" s="2034">
        <f>-'[4]Table 5C1M-B.R. Charter'!P40</f>
        <v>0</v>
      </c>
      <c r="AM41" s="2034">
        <f t="shared" si="40"/>
        <v>0</v>
      </c>
      <c r="AN41" s="2034">
        <f t="shared" si="41"/>
        <v>0</v>
      </c>
    </row>
    <row r="42" spans="1:40">
      <c r="A42" s="879">
        <v>35</v>
      </c>
      <c r="B42" s="880" t="s">
        <v>126</v>
      </c>
      <c r="C42" s="973">
        <v>0</v>
      </c>
      <c r="D42" s="883">
        <f>'Table 3 Levels 1&amp;2'!AL42</f>
        <v>4607.1606416222867</v>
      </c>
      <c r="E42" s="922">
        <f t="shared" si="23"/>
        <v>0</v>
      </c>
      <c r="F42" s="922">
        <f>'Table 4 Level 3'!P40</f>
        <v>537.96</v>
      </c>
      <c r="G42" s="922">
        <f t="shared" si="24"/>
        <v>0</v>
      </c>
      <c r="H42" s="906">
        <f t="shared" si="25"/>
        <v>0</v>
      </c>
      <c r="I42" s="1735">
        <f>+'[3]Oct midyear B.R. Charter'!K41</f>
        <v>0</v>
      </c>
      <c r="J42" s="1735">
        <f>'[3]Feb midyear B.R. Charter'!K41</f>
        <v>0</v>
      </c>
      <c r="K42" s="1546">
        <f t="shared" si="26"/>
        <v>0</v>
      </c>
      <c r="L42" s="1539">
        <f t="shared" si="42"/>
        <v>0</v>
      </c>
      <c r="M42" s="932">
        <f t="shared" si="27"/>
        <v>0</v>
      </c>
      <c r="N42" s="1553">
        <f t="shared" si="28"/>
        <v>0</v>
      </c>
      <c r="O42" s="1722">
        <v>0</v>
      </c>
      <c r="P42" s="1553">
        <f t="shared" si="19"/>
        <v>0</v>
      </c>
      <c r="Q42" s="1735">
        <f>'[26]Table 5C1M-B.R. Charter'!M41*5+('[5]Table 5C1M-B.R. Charter'!T41*3)</f>
        <v>0</v>
      </c>
      <c r="R42" s="1735">
        <f t="shared" si="29"/>
        <v>0</v>
      </c>
      <c r="S42" s="1553">
        <f t="shared" si="30"/>
        <v>0</v>
      </c>
      <c r="T42" s="1807">
        <f>'Table 5C1A-Madison Prep'!T42</f>
        <v>3140</v>
      </c>
      <c r="U42" s="1556">
        <f t="shared" si="43"/>
        <v>0</v>
      </c>
      <c r="V42" s="1774">
        <f>+'[3]Oct midyear B.R. Charter'!E41</f>
        <v>0</v>
      </c>
      <c r="W42" s="1763">
        <f t="shared" si="31"/>
        <v>0</v>
      </c>
      <c r="X42" s="1762">
        <f>'[3]Feb midyear B.R. Charter'!E41</f>
        <v>0</v>
      </c>
      <c r="Y42" s="1763">
        <f t="shared" si="32"/>
        <v>0</v>
      </c>
      <c r="Z42" s="1654">
        <f t="shared" si="33"/>
        <v>0</v>
      </c>
      <c r="AA42" s="1488">
        <f t="shared" si="34"/>
        <v>0</v>
      </c>
      <c r="AB42" s="938">
        <f t="shared" si="35"/>
        <v>0</v>
      </c>
      <c r="AC42" s="903">
        <f t="shared" si="36"/>
        <v>0</v>
      </c>
      <c r="AD42" s="1826">
        <v>0</v>
      </c>
      <c r="AE42" s="1556">
        <f t="shared" si="37"/>
        <v>0</v>
      </c>
      <c r="AF42" s="1763">
        <f>'[4]Table 5C1M-B.R. Charter'!T41*5+'[5]Table 5C1M-B.R. Charter'!AF41*3</f>
        <v>0</v>
      </c>
      <c r="AG42" s="1763">
        <f t="shared" si="38"/>
        <v>0</v>
      </c>
      <c r="AH42" s="1556">
        <f t="shared" si="39"/>
        <v>0</v>
      </c>
      <c r="AI42" s="904">
        <f t="shared" si="44"/>
        <v>0</v>
      </c>
      <c r="AJ42" s="904">
        <f t="shared" si="45"/>
        <v>0</v>
      </c>
      <c r="AL42" s="2034">
        <f>-'[4]Table 5C1M-B.R. Charter'!P41</f>
        <v>0</v>
      </c>
      <c r="AM42" s="2034">
        <f t="shared" si="40"/>
        <v>0</v>
      </c>
      <c r="AN42" s="2034">
        <f t="shared" si="41"/>
        <v>0</v>
      </c>
    </row>
    <row r="43" spans="1:40">
      <c r="A43" s="870">
        <v>36</v>
      </c>
      <c r="B43" s="871" t="s">
        <v>127</v>
      </c>
      <c r="C43" s="974">
        <v>0</v>
      </c>
      <c r="D43" s="884">
        <f>'Table 3 Levels 1&amp;2'!AL43</f>
        <v>3520.4894337711748</v>
      </c>
      <c r="E43" s="923">
        <f t="shared" si="23"/>
        <v>0</v>
      </c>
      <c r="F43" s="923">
        <v>746.0335616438357</v>
      </c>
      <c r="G43" s="923">
        <f t="shared" si="24"/>
        <v>0</v>
      </c>
      <c r="H43" s="907">
        <f t="shared" si="25"/>
        <v>0</v>
      </c>
      <c r="I43" s="1723">
        <f>+'[3]Oct midyear B.R. Charter'!K42</f>
        <v>0</v>
      </c>
      <c r="J43" s="1723">
        <f>'[3]Feb midyear B.R. Charter'!K42</f>
        <v>0</v>
      </c>
      <c r="K43" s="1547">
        <f t="shared" si="26"/>
        <v>0</v>
      </c>
      <c r="L43" s="996">
        <f t="shared" si="42"/>
        <v>0</v>
      </c>
      <c r="M43" s="933">
        <f t="shared" si="27"/>
        <v>0</v>
      </c>
      <c r="N43" s="996">
        <f t="shared" si="28"/>
        <v>0</v>
      </c>
      <c r="O43" s="1723">
        <v>0</v>
      </c>
      <c r="P43" s="996">
        <f t="shared" si="19"/>
        <v>0</v>
      </c>
      <c r="Q43" s="1723">
        <f>'[26]Table 5C1M-B.R. Charter'!M42*5+('[5]Table 5C1M-B.R. Charter'!T42*3)</f>
        <v>0</v>
      </c>
      <c r="R43" s="1723">
        <f t="shared" si="29"/>
        <v>0</v>
      </c>
      <c r="S43" s="996">
        <f t="shared" si="30"/>
        <v>0</v>
      </c>
      <c r="T43" s="1802">
        <f>'Table 5C1A-Madison Prep'!T43</f>
        <v>5433</v>
      </c>
      <c r="U43" s="999">
        <f t="shared" si="43"/>
        <v>0</v>
      </c>
      <c r="V43" s="1772">
        <f>+'[3]Oct midyear B.R. Charter'!E42</f>
        <v>0</v>
      </c>
      <c r="W43" s="1755">
        <f t="shared" si="31"/>
        <v>0</v>
      </c>
      <c r="X43" s="1754">
        <f>'[3]Feb midyear B.R. Charter'!E42</f>
        <v>0</v>
      </c>
      <c r="Y43" s="1755">
        <f t="shared" si="32"/>
        <v>0</v>
      </c>
      <c r="Z43" s="1652">
        <f t="shared" si="33"/>
        <v>0</v>
      </c>
      <c r="AA43" s="1521">
        <f t="shared" si="34"/>
        <v>0</v>
      </c>
      <c r="AB43" s="936">
        <f t="shared" si="35"/>
        <v>0</v>
      </c>
      <c r="AC43" s="874">
        <f t="shared" si="36"/>
        <v>0</v>
      </c>
      <c r="AD43" s="1755">
        <v>0</v>
      </c>
      <c r="AE43" s="999">
        <f t="shared" si="37"/>
        <v>0</v>
      </c>
      <c r="AF43" s="1755">
        <f>'[4]Table 5C1M-B.R. Charter'!T42*5+'[5]Table 5C1M-B.R. Charter'!AF42*3</f>
        <v>0</v>
      </c>
      <c r="AG43" s="1755">
        <f t="shared" si="38"/>
        <v>0</v>
      </c>
      <c r="AH43" s="999">
        <f t="shared" si="39"/>
        <v>0</v>
      </c>
      <c r="AI43" s="875">
        <f t="shared" si="44"/>
        <v>0</v>
      </c>
      <c r="AJ43" s="875">
        <f t="shared" si="45"/>
        <v>0</v>
      </c>
      <c r="AL43" s="2034">
        <f>-'[4]Table 5C1M-B.R. Charter'!P42</f>
        <v>0</v>
      </c>
      <c r="AM43" s="2034">
        <f t="shared" si="40"/>
        <v>0</v>
      </c>
      <c r="AN43" s="2034">
        <f t="shared" si="41"/>
        <v>0</v>
      </c>
    </row>
    <row r="44" spans="1:40">
      <c r="A44" s="876">
        <v>37</v>
      </c>
      <c r="B44" s="877" t="s">
        <v>128</v>
      </c>
      <c r="C44" s="972">
        <v>0</v>
      </c>
      <c r="D44" s="882">
        <f>'Table 3 Levels 1&amp;2'!AL44</f>
        <v>5503.7595641818853</v>
      </c>
      <c r="E44" s="921">
        <f t="shared" si="23"/>
        <v>0</v>
      </c>
      <c r="F44" s="921">
        <f>'Table 4 Level 3'!P42</f>
        <v>653.61</v>
      </c>
      <c r="G44" s="921">
        <f t="shared" si="24"/>
        <v>0</v>
      </c>
      <c r="H44" s="905">
        <f t="shared" si="25"/>
        <v>0</v>
      </c>
      <c r="I44" s="1734">
        <f>+'[3]Oct midyear B.R. Charter'!K43</f>
        <v>0</v>
      </c>
      <c r="J44" s="1734">
        <f>'[3]Feb midyear B.R. Charter'!K43</f>
        <v>0</v>
      </c>
      <c r="K44" s="1545">
        <f t="shared" si="26"/>
        <v>0</v>
      </c>
      <c r="L44" s="1538">
        <f t="shared" si="42"/>
        <v>0</v>
      </c>
      <c r="M44" s="931">
        <f t="shared" si="27"/>
        <v>0</v>
      </c>
      <c r="N44" s="1552">
        <f t="shared" si="28"/>
        <v>0</v>
      </c>
      <c r="O44" s="1721">
        <v>0</v>
      </c>
      <c r="P44" s="1552">
        <f t="shared" si="19"/>
        <v>0</v>
      </c>
      <c r="Q44" s="1734">
        <f>'[26]Table 5C1M-B.R. Charter'!M43*5+('[5]Table 5C1M-B.R. Charter'!T43*3)</f>
        <v>0</v>
      </c>
      <c r="R44" s="1734">
        <f t="shared" si="29"/>
        <v>0</v>
      </c>
      <c r="S44" s="1552">
        <f t="shared" si="30"/>
        <v>0</v>
      </c>
      <c r="T44" s="1802">
        <f>'Table 5C1A-Madison Prep'!T44</f>
        <v>3310</v>
      </c>
      <c r="U44" s="1555">
        <f t="shared" si="43"/>
        <v>0</v>
      </c>
      <c r="V44" s="1773">
        <f>+'[3]Oct midyear B.R. Charter'!E43</f>
        <v>0</v>
      </c>
      <c r="W44" s="1759">
        <f t="shared" si="31"/>
        <v>0</v>
      </c>
      <c r="X44" s="1758">
        <f>'[3]Feb midyear B.R. Charter'!E43</f>
        <v>0</v>
      </c>
      <c r="Y44" s="1759">
        <f t="shared" si="32"/>
        <v>0</v>
      </c>
      <c r="Z44" s="1653">
        <f t="shared" si="33"/>
        <v>0</v>
      </c>
      <c r="AA44" s="1486">
        <f t="shared" si="34"/>
        <v>0</v>
      </c>
      <c r="AB44" s="937">
        <f t="shared" si="35"/>
        <v>0</v>
      </c>
      <c r="AC44" s="899">
        <f t="shared" si="36"/>
        <v>0</v>
      </c>
      <c r="AD44" s="1825">
        <v>0</v>
      </c>
      <c r="AE44" s="1555">
        <f t="shared" si="37"/>
        <v>0</v>
      </c>
      <c r="AF44" s="1759">
        <f>'[4]Table 5C1M-B.R. Charter'!T43*5+'[5]Table 5C1M-B.R. Charter'!AF43*3</f>
        <v>0</v>
      </c>
      <c r="AG44" s="1759">
        <f t="shared" si="38"/>
        <v>0</v>
      </c>
      <c r="AH44" s="1555">
        <f t="shared" si="39"/>
        <v>0</v>
      </c>
      <c r="AI44" s="900">
        <f t="shared" si="44"/>
        <v>0</v>
      </c>
      <c r="AJ44" s="900">
        <f t="shared" si="45"/>
        <v>0</v>
      </c>
      <c r="AL44" s="2034">
        <f>-'[4]Table 5C1M-B.R. Charter'!P43</f>
        <v>0</v>
      </c>
      <c r="AM44" s="2034">
        <f t="shared" si="40"/>
        <v>0</v>
      </c>
      <c r="AN44" s="2034">
        <f t="shared" si="41"/>
        <v>0</v>
      </c>
    </row>
    <row r="45" spans="1:40">
      <c r="A45" s="876">
        <v>38</v>
      </c>
      <c r="B45" s="877" t="s">
        <v>129</v>
      </c>
      <c r="C45" s="972">
        <v>0</v>
      </c>
      <c r="D45" s="882">
        <f>'Table 3 Levels 1&amp;2'!AL45</f>
        <v>2192.7545275590551</v>
      </c>
      <c r="E45" s="921">
        <f t="shared" si="23"/>
        <v>0</v>
      </c>
      <c r="F45" s="921">
        <f>'Table 4 Level 3'!P43</f>
        <v>829.92000000000007</v>
      </c>
      <c r="G45" s="921">
        <f t="shared" si="24"/>
        <v>0</v>
      </c>
      <c r="H45" s="905">
        <f t="shared" si="25"/>
        <v>0</v>
      </c>
      <c r="I45" s="1734">
        <f>+'[3]Oct midyear B.R. Charter'!K44</f>
        <v>0</v>
      </c>
      <c r="J45" s="1734">
        <f>'[3]Feb midyear B.R. Charter'!K44</f>
        <v>0</v>
      </c>
      <c r="K45" s="1545">
        <f t="shared" si="26"/>
        <v>0</v>
      </c>
      <c r="L45" s="1538">
        <f t="shared" si="42"/>
        <v>0</v>
      </c>
      <c r="M45" s="931">
        <f t="shared" si="27"/>
        <v>0</v>
      </c>
      <c r="N45" s="1552">
        <f t="shared" si="28"/>
        <v>0</v>
      </c>
      <c r="O45" s="1721">
        <v>0</v>
      </c>
      <c r="P45" s="1552">
        <f t="shared" si="19"/>
        <v>0</v>
      </c>
      <c r="Q45" s="1734">
        <f>'[26]Table 5C1M-B.R. Charter'!M44*5+('[5]Table 5C1M-B.R. Charter'!T44*3)</f>
        <v>0</v>
      </c>
      <c r="R45" s="1734">
        <f t="shared" si="29"/>
        <v>0</v>
      </c>
      <c r="S45" s="1552">
        <f t="shared" si="30"/>
        <v>0</v>
      </c>
      <c r="T45" s="1802">
        <f>'Table 5C1A-Madison Prep'!T45</f>
        <v>12521</v>
      </c>
      <c r="U45" s="1555">
        <f t="shared" si="43"/>
        <v>0</v>
      </c>
      <c r="V45" s="1773">
        <f>+'[3]Oct midyear B.R. Charter'!E44</f>
        <v>0</v>
      </c>
      <c r="W45" s="1759">
        <f t="shared" si="31"/>
        <v>0</v>
      </c>
      <c r="X45" s="1758">
        <f>'[3]Feb midyear B.R. Charter'!E44</f>
        <v>0</v>
      </c>
      <c r="Y45" s="1759">
        <f t="shared" si="32"/>
        <v>0</v>
      </c>
      <c r="Z45" s="1653">
        <f t="shared" si="33"/>
        <v>0</v>
      </c>
      <c r="AA45" s="1486">
        <f t="shared" si="34"/>
        <v>0</v>
      </c>
      <c r="AB45" s="937">
        <f t="shared" si="35"/>
        <v>0</v>
      </c>
      <c r="AC45" s="899">
        <f t="shared" si="36"/>
        <v>0</v>
      </c>
      <c r="AD45" s="1825">
        <v>0</v>
      </c>
      <c r="AE45" s="1555">
        <f t="shared" si="37"/>
        <v>0</v>
      </c>
      <c r="AF45" s="1759">
        <f>'[4]Table 5C1M-B.R. Charter'!T44*5+'[5]Table 5C1M-B.R. Charter'!AF44*3</f>
        <v>0</v>
      </c>
      <c r="AG45" s="1759">
        <f t="shared" si="38"/>
        <v>0</v>
      </c>
      <c r="AH45" s="1555">
        <f t="shared" si="39"/>
        <v>0</v>
      </c>
      <c r="AI45" s="900">
        <f t="shared" si="44"/>
        <v>0</v>
      </c>
      <c r="AJ45" s="900">
        <f t="shared" si="45"/>
        <v>0</v>
      </c>
      <c r="AL45" s="2034">
        <f>-'[4]Table 5C1M-B.R. Charter'!P44</f>
        <v>0</v>
      </c>
      <c r="AM45" s="2034">
        <f t="shared" si="40"/>
        <v>0</v>
      </c>
      <c r="AN45" s="2034">
        <f t="shared" si="41"/>
        <v>0</v>
      </c>
    </row>
    <row r="46" spans="1:40">
      <c r="A46" s="876">
        <v>39</v>
      </c>
      <c r="B46" s="877" t="s">
        <v>130</v>
      </c>
      <c r="C46" s="972">
        <v>0</v>
      </c>
      <c r="D46" s="882">
        <f>'Table 3 Levels 1&amp;2'!AL46</f>
        <v>3639.9942778062696</v>
      </c>
      <c r="E46" s="921">
        <f t="shared" si="23"/>
        <v>0</v>
      </c>
      <c r="F46" s="921">
        <f>'Table 4 Level 3'!P44</f>
        <v>779.65573042776441</v>
      </c>
      <c r="G46" s="921">
        <f t="shared" si="24"/>
        <v>0</v>
      </c>
      <c r="H46" s="905">
        <f t="shared" si="25"/>
        <v>0</v>
      </c>
      <c r="I46" s="1734">
        <f>+'[3]Oct midyear B.R. Charter'!K45</f>
        <v>0</v>
      </c>
      <c r="J46" s="1734">
        <f>'[3]Feb midyear B.R. Charter'!K45</f>
        <v>0</v>
      </c>
      <c r="K46" s="1545">
        <f t="shared" si="26"/>
        <v>0</v>
      </c>
      <c r="L46" s="1538">
        <f t="shared" si="42"/>
        <v>0</v>
      </c>
      <c r="M46" s="931">
        <f t="shared" si="27"/>
        <v>0</v>
      </c>
      <c r="N46" s="1552">
        <f t="shared" si="28"/>
        <v>0</v>
      </c>
      <c r="O46" s="1721">
        <v>0</v>
      </c>
      <c r="P46" s="1552">
        <f t="shared" si="19"/>
        <v>0</v>
      </c>
      <c r="Q46" s="1734">
        <f>'[26]Table 5C1M-B.R. Charter'!M45*5+('[5]Table 5C1M-B.R. Charter'!T45*3)</f>
        <v>0</v>
      </c>
      <c r="R46" s="1734">
        <f t="shared" si="29"/>
        <v>0</v>
      </c>
      <c r="S46" s="1552">
        <f t="shared" si="30"/>
        <v>0</v>
      </c>
      <c r="T46" s="1802">
        <f>'Table 5C1A-Madison Prep'!T46</f>
        <v>4436</v>
      </c>
      <c r="U46" s="1555">
        <f t="shared" si="43"/>
        <v>0</v>
      </c>
      <c r="V46" s="1773">
        <f>+'[3]Oct midyear B.R. Charter'!E45</f>
        <v>0</v>
      </c>
      <c r="W46" s="1759">
        <f t="shared" si="31"/>
        <v>0</v>
      </c>
      <c r="X46" s="1758">
        <f>'[3]Feb midyear B.R. Charter'!E45</f>
        <v>0</v>
      </c>
      <c r="Y46" s="1759">
        <f t="shared" si="32"/>
        <v>0</v>
      </c>
      <c r="Z46" s="1653">
        <f t="shared" si="33"/>
        <v>0</v>
      </c>
      <c r="AA46" s="1486">
        <f t="shared" si="34"/>
        <v>0</v>
      </c>
      <c r="AB46" s="937">
        <f t="shared" si="35"/>
        <v>0</v>
      </c>
      <c r="AC46" s="899">
        <f t="shared" si="36"/>
        <v>0</v>
      </c>
      <c r="AD46" s="1825">
        <v>0</v>
      </c>
      <c r="AE46" s="1555">
        <f t="shared" si="37"/>
        <v>0</v>
      </c>
      <c r="AF46" s="1759">
        <f>'[4]Table 5C1M-B.R. Charter'!T45*5+'[5]Table 5C1M-B.R. Charter'!AF45*3</f>
        <v>0</v>
      </c>
      <c r="AG46" s="1759">
        <f t="shared" si="38"/>
        <v>0</v>
      </c>
      <c r="AH46" s="1555">
        <f t="shared" si="39"/>
        <v>0</v>
      </c>
      <c r="AI46" s="900">
        <f t="shared" si="44"/>
        <v>0</v>
      </c>
      <c r="AJ46" s="900">
        <f t="shared" si="45"/>
        <v>0</v>
      </c>
      <c r="AL46" s="2034">
        <f>-'[4]Table 5C1M-B.R. Charter'!P45</f>
        <v>0</v>
      </c>
      <c r="AM46" s="2034">
        <f t="shared" si="40"/>
        <v>0</v>
      </c>
      <c r="AN46" s="2034">
        <f t="shared" si="41"/>
        <v>0</v>
      </c>
    </row>
    <row r="47" spans="1:40">
      <c r="A47" s="879">
        <v>40</v>
      </c>
      <c r="B47" s="880" t="s">
        <v>131</v>
      </c>
      <c r="C47" s="973">
        <v>0</v>
      </c>
      <c r="D47" s="883">
        <f>'Table 3 Levels 1&amp;2'!AL47</f>
        <v>4928.4974462701202</v>
      </c>
      <c r="E47" s="922">
        <f t="shared" si="23"/>
        <v>0</v>
      </c>
      <c r="F47" s="922">
        <f>'Table 4 Level 3'!P45</f>
        <v>700.2700000000001</v>
      </c>
      <c r="G47" s="922">
        <f t="shared" si="24"/>
        <v>0</v>
      </c>
      <c r="H47" s="906">
        <f t="shared" si="25"/>
        <v>0</v>
      </c>
      <c r="I47" s="1735">
        <f>+'[3]Oct midyear B.R. Charter'!K46</f>
        <v>0</v>
      </c>
      <c r="J47" s="1735">
        <f>'[3]Feb midyear B.R. Charter'!K46</f>
        <v>0</v>
      </c>
      <c r="K47" s="1546">
        <f t="shared" si="26"/>
        <v>0</v>
      </c>
      <c r="L47" s="1539">
        <f t="shared" si="42"/>
        <v>0</v>
      </c>
      <c r="M47" s="932">
        <f t="shared" si="27"/>
        <v>0</v>
      </c>
      <c r="N47" s="1553">
        <f t="shared" si="28"/>
        <v>0</v>
      </c>
      <c r="O47" s="1722">
        <v>0</v>
      </c>
      <c r="P47" s="1553">
        <f t="shared" si="19"/>
        <v>0</v>
      </c>
      <c r="Q47" s="1735">
        <f>'[26]Table 5C1M-B.R. Charter'!M46*5+('[5]Table 5C1M-B.R. Charter'!T46*3)</f>
        <v>0</v>
      </c>
      <c r="R47" s="1735">
        <f t="shared" si="29"/>
        <v>0</v>
      </c>
      <c r="S47" s="1553">
        <f t="shared" si="30"/>
        <v>0</v>
      </c>
      <c r="T47" s="1807">
        <f>'Table 5C1A-Madison Prep'!T47</f>
        <v>3019</v>
      </c>
      <c r="U47" s="1556">
        <f t="shared" si="43"/>
        <v>0</v>
      </c>
      <c r="V47" s="1774">
        <f>+'[3]Oct midyear B.R. Charter'!E46</f>
        <v>0</v>
      </c>
      <c r="W47" s="1763">
        <f t="shared" si="31"/>
        <v>0</v>
      </c>
      <c r="X47" s="1762">
        <f>'[3]Feb midyear B.R. Charter'!E46</f>
        <v>0</v>
      </c>
      <c r="Y47" s="1763">
        <f t="shared" si="32"/>
        <v>0</v>
      </c>
      <c r="Z47" s="1654">
        <f t="shared" si="33"/>
        <v>0</v>
      </c>
      <c r="AA47" s="1488">
        <f t="shared" si="34"/>
        <v>0</v>
      </c>
      <c r="AB47" s="938">
        <f t="shared" si="35"/>
        <v>0</v>
      </c>
      <c r="AC47" s="903">
        <f t="shared" si="36"/>
        <v>0</v>
      </c>
      <c r="AD47" s="1826">
        <v>0</v>
      </c>
      <c r="AE47" s="1556">
        <f t="shared" si="37"/>
        <v>0</v>
      </c>
      <c r="AF47" s="1763">
        <f>'[4]Table 5C1M-B.R. Charter'!T46*5+'[5]Table 5C1M-B.R. Charter'!AF46*3</f>
        <v>0</v>
      </c>
      <c r="AG47" s="1763">
        <f t="shared" si="38"/>
        <v>0</v>
      </c>
      <c r="AH47" s="1556">
        <f t="shared" si="39"/>
        <v>0</v>
      </c>
      <c r="AI47" s="904">
        <f t="shared" si="44"/>
        <v>0</v>
      </c>
      <c r="AJ47" s="904">
        <f t="shared" si="45"/>
        <v>0</v>
      </c>
      <c r="AL47" s="2034">
        <f>-'[4]Table 5C1M-B.R. Charter'!P46</f>
        <v>0</v>
      </c>
      <c r="AM47" s="2034">
        <f t="shared" si="40"/>
        <v>0</v>
      </c>
      <c r="AN47" s="2034">
        <f t="shared" si="41"/>
        <v>0</v>
      </c>
    </row>
    <row r="48" spans="1:40">
      <c r="A48" s="870">
        <v>41</v>
      </c>
      <c r="B48" s="871" t="s">
        <v>132</v>
      </c>
      <c r="C48" s="974">
        <v>0</v>
      </c>
      <c r="D48" s="884">
        <f>'Table 3 Levels 1&amp;2'!AL48</f>
        <v>1615.6013465627216</v>
      </c>
      <c r="E48" s="923">
        <f t="shared" si="23"/>
        <v>0</v>
      </c>
      <c r="F48" s="923">
        <f>'Table 4 Level 3'!P46</f>
        <v>886.22</v>
      </c>
      <c r="G48" s="923">
        <f t="shared" si="24"/>
        <v>0</v>
      </c>
      <c r="H48" s="907">
        <f t="shared" si="25"/>
        <v>0</v>
      </c>
      <c r="I48" s="1723">
        <f>+'[3]Oct midyear B.R. Charter'!K47</f>
        <v>0</v>
      </c>
      <c r="J48" s="1723">
        <f>'[3]Feb midyear B.R. Charter'!K47</f>
        <v>0</v>
      </c>
      <c r="K48" s="1547">
        <f t="shared" si="26"/>
        <v>0</v>
      </c>
      <c r="L48" s="996">
        <f t="shared" si="42"/>
        <v>0</v>
      </c>
      <c r="M48" s="933">
        <f t="shared" si="27"/>
        <v>0</v>
      </c>
      <c r="N48" s="996">
        <f t="shared" si="28"/>
        <v>0</v>
      </c>
      <c r="O48" s="1723">
        <v>0</v>
      </c>
      <c r="P48" s="996">
        <f t="shared" si="19"/>
        <v>0</v>
      </c>
      <c r="Q48" s="1723">
        <f>'[26]Table 5C1M-B.R. Charter'!M47*5+('[5]Table 5C1M-B.R. Charter'!T47*3)</f>
        <v>0</v>
      </c>
      <c r="R48" s="1723">
        <f t="shared" si="29"/>
        <v>0</v>
      </c>
      <c r="S48" s="996">
        <f t="shared" si="30"/>
        <v>0</v>
      </c>
      <c r="T48" s="1802">
        <f>'Table 5C1A-Madison Prep'!T48</f>
        <v>8964</v>
      </c>
      <c r="U48" s="999">
        <f t="shared" si="43"/>
        <v>0</v>
      </c>
      <c r="V48" s="1772">
        <f>+'[3]Oct midyear B.R. Charter'!E47</f>
        <v>0</v>
      </c>
      <c r="W48" s="1755">
        <f t="shared" si="31"/>
        <v>0</v>
      </c>
      <c r="X48" s="1754">
        <f>'[3]Feb midyear B.R. Charter'!E47</f>
        <v>0</v>
      </c>
      <c r="Y48" s="1755">
        <f t="shared" si="32"/>
        <v>0</v>
      </c>
      <c r="Z48" s="1652">
        <f t="shared" si="33"/>
        <v>0</v>
      </c>
      <c r="AA48" s="1521">
        <f t="shared" si="34"/>
        <v>0</v>
      </c>
      <c r="AB48" s="936">
        <f t="shared" si="35"/>
        <v>0</v>
      </c>
      <c r="AC48" s="874">
        <f t="shared" si="36"/>
        <v>0</v>
      </c>
      <c r="AD48" s="1755">
        <v>0</v>
      </c>
      <c r="AE48" s="999">
        <f t="shared" si="37"/>
        <v>0</v>
      </c>
      <c r="AF48" s="1755">
        <f>'[4]Table 5C1M-B.R. Charter'!T47*5+'[5]Table 5C1M-B.R. Charter'!AF47*3</f>
        <v>0</v>
      </c>
      <c r="AG48" s="1755">
        <f t="shared" si="38"/>
        <v>0</v>
      </c>
      <c r="AH48" s="999">
        <f t="shared" si="39"/>
        <v>0</v>
      </c>
      <c r="AI48" s="875">
        <f t="shared" si="44"/>
        <v>0</v>
      </c>
      <c r="AJ48" s="875">
        <f t="shared" si="45"/>
        <v>0</v>
      </c>
      <c r="AL48" s="2034">
        <f>-'[4]Table 5C1M-B.R. Charter'!P47</f>
        <v>0</v>
      </c>
      <c r="AM48" s="2034">
        <f t="shared" si="40"/>
        <v>0</v>
      </c>
      <c r="AN48" s="2034">
        <f t="shared" si="41"/>
        <v>0</v>
      </c>
    </row>
    <row r="49" spans="1:40">
      <c r="A49" s="876">
        <v>42</v>
      </c>
      <c r="B49" s="877" t="s">
        <v>133</v>
      </c>
      <c r="C49" s="972">
        <v>0</v>
      </c>
      <c r="D49" s="882">
        <f>'Table 3 Levels 1&amp;2'!AL49</f>
        <v>5087.4730460987803</v>
      </c>
      <c r="E49" s="921">
        <f t="shared" si="23"/>
        <v>0</v>
      </c>
      <c r="F49" s="921">
        <f>'Table 4 Level 3'!P47</f>
        <v>534.28</v>
      </c>
      <c r="G49" s="921">
        <f t="shared" si="24"/>
        <v>0</v>
      </c>
      <c r="H49" s="905">
        <f t="shared" si="25"/>
        <v>0</v>
      </c>
      <c r="I49" s="1734">
        <f>+'[3]Oct midyear B.R. Charter'!K48</f>
        <v>0</v>
      </c>
      <c r="J49" s="1734">
        <f>'[3]Feb midyear B.R. Charter'!K48</f>
        <v>0</v>
      </c>
      <c r="K49" s="1545">
        <f t="shared" si="26"/>
        <v>0</v>
      </c>
      <c r="L49" s="1538">
        <f t="shared" si="42"/>
        <v>0</v>
      </c>
      <c r="M49" s="931">
        <f t="shared" si="27"/>
        <v>0</v>
      </c>
      <c r="N49" s="1552">
        <f t="shared" si="28"/>
        <v>0</v>
      </c>
      <c r="O49" s="1721">
        <v>0</v>
      </c>
      <c r="P49" s="1552">
        <f t="shared" si="19"/>
        <v>0</v>
      </c>
      <c r="Q49" s="1734">
        <f>'[26]Table 5C1M-B.R. Charter'!M48*5+('[5]Table 5C1M-B.R. Charter'!T48*3)</f>
        <v>0</v>
      </c>
      <c r="R49" s="1734">
        <f t="shared" si="29"/>
        <v>0</v>
      </c>
      <c r="S49" s="1552">
        <f t="shared" si="30"/>
        <v>0</v>
      </c>
      <c r="T49" s="1802">
        <f>'Table 5C1A-Madison Prep'!T49</f>
        <v>3535</v>
      </c>
      <c r="U49" s="1555">
        <f t="shared" si="43"/>
        <v>0</v>
      </c>
      <c r="V49" s="1773">
        <f>+'[3]Oct midyear B.R. Charter'!E48</f>
        <v>0</v>
      </c>
      <c r="W49" s="1759">
        <f t="shared" si="31"/>
        <v>0</v>
      </c>
      <c r="X49" s="1758">
        <f>'[3]Feb midyear B.R. Charter'!E48</f>
        <v>0</v>
      </c>
      <c r="Y49" s="1759">
        <f t="shared" si="32"/>
        <v>0</v>
      </c>
      <c r="Z49" s="1653">
        <f t="shared" si="33"/>
        <v>0</v>
      </c>
      <c r="AA49" s="1486">
        <f t="shared" si="34"/>
        <v>0</v>
      </c>
      <c r="AB49" s="937">
        <f t="shared" si="35"/>
        <v>0</v>
      </c>
      <c r="AC49" s="899">
        <f t="shared" si="36"/>
        <v>0</v>
      </c>
      <c r="AD49" s="1825">
        <v>0</v>
      </c>
      <c r="AE49" s="1555">
        <f t="shared" si="37"/>
        <v>0</v>
      </c>
      <c r="AF49" s="1759">
        <f>'[4]Table 5C1M-B.R. Charter'!T48*5+'[5]Table 5C1M-B.R. Charter'!AF48*3</f>
        <v>0</v>
      </c>
      <c r="AG49" s="1759">
        <f t="shared" si="38"/>
        <v>0</v>
      </c>
      <c r="AH49" s="1555">
        <f t="shared" si="39"/>
        <v>0</v>
      </c>
      <c r="AI49" s="900">
        <f t="shared" si="44"/>
        <v>0</v>
      </c>
      <c r="AJ49" s="900">
        <f t="shared" si="45"/>
        <v>0</v>
      </c>
      <c r="AL49" s="2034">
        <f>-'[4]Table 5C1M-B.R. Charter'!P48</f>
        <v>0</v>
      </c>
      <c r="AM49" s="2034">
        <f t="shared" si="40"/>
        <v>0</v>
      </c>
      <c r="AN49" s="2034">
        <f t="shared" si="41"/>
        <v>0</v>
      </c>
    </row>
    <row r="50" spans="1:40">
      <c r="A50" s="876">
        <v>43</v>
      </c>
      <c r="B50" s="877" t="s">
        <v>134</v>
      </c>
      <c r="C50" s="972">
        <v>0</v>
      </c>
      <c r="D50" s="882">
        <f>'Table 3 Levels 1&amp;2'!AL50</f>
        <v>4717.8414352725031</v>
      </c>
      <c r="E50" s="921">
        <f t="shared" si="23"/>
        <v>0</v>
      </c>
      <c r="F50" s="921">
        <f>'Table 4 Level 3'!P48</f>
        <v>574.6099999999999</v>
      </c>
      <c r="G50" s="921">
        <f t="shared" si="24"/>
        <v>0</v>
      </c>
      <c r="H50" s="905">
        <f t="shared" si="25"/>
        <v>0</v>
      </c>
      <c r="I50" s="1734">
        <f>+'[3]Oct midyear B.R. Charter'!K49</f>
        <v>0</v>
      </c>
      <c r="J50" s="1734">
        <f>'[3]Feb midyear B.R. Charter'!K49</f>
        <v>0</v>
      </c>
      <c r="K50" s="1545">
        <f t="shared" si="26"/>
        <v>0</v>
      </c>
      <c r="L50" s="1538">
        <f t="shared" si="42"/>
        <v>0</v>
      </c>
      <c r="M50" s="931">
        <f t="shared" si="27"/>
        <v>0</v>
      </c>
      <c r="N50" s="1552">
        <f t="shared" si="28"/>
        <v>0</v>
      </c>
      <c r="O50" s="1721">
        <v>0</v>
      </c>
      <c r="P50" s="1552">
        <f t="shared" si="19"/>
        <v>0</v>
      </c>
      <c r="Q50" s="1734">
        <f>'[26]Table 5C1M-B.R. Charter'!M49*5+('[5]Table 5C1M-B.R. Charter'!T49*3)</f>
        <v>0</v>
      </c>
      <c r="R50" s="1734">
        <f t="shared" si="29"/>
        <v>0</v>
      </c>
      <c r="S50" s="1552">
        <f t="shared" si="30"/>
        <v>0</v>
      </c>
      <c r="T50" s="1802">
        <f>'Table 5C1A-Madison Prep'!T50</f>
        <v>3593</v>
      </c>
      <c r="U50" s="1555">
        <f t="shared" si="43"/>
        <v>0</v>
      </c>
      <c r="V50" s="1773">
        <f>+'[3]Oct midyear B.R. Charter'!E49</f>
        <v>0</v>
      </c>
      <c r="W50" s="1759">
        <f t="shared" si="31"/>
        <v>0</v>
      </c>
      <c r="X50" s="1758">
        <f>'[3]Feb midyear B.R. Charter'!E49</f>
        <v>0</v>
      </c>
      <c r="Y50" s="1759">
        <f t="shared" si="32"/>
        <v>0</v>
      </c>
      <c r="Z50" s="1653">
        <f t="shared" si="33"/>
        <v>0</v>
      </c>
      <c r="AA50" s="1486">
        <f t="shared" si="34"/>
        <v>0</v>
      </c>
      <c r="AB50" s="937">
        <f t="shared" si="35"/>
        <v>0</v>
      </c>
      <c r="AC50" s="899">
        <f t="shared" si="36"/>
        <v>0</v>
      </c>
      <c r="AD50" s="1825">
        <v>0</v>
      </c>
      <c r="AE50" s="1555">
        <f t="shared" si="37"/>
        <v>0</v>
      </c>
      <c r="AF50" s="1759">
        <f>'[4]Table 5C1M-B.R. Charter'!T49*5+'[5]Table 5C1M-B.R. Charter'!AF49*3</f>
        <v>0</v>
      </c>
      <c r="AG50" s="1759">
        <f t="shared" si="38"/>
        <v>0</v>
      </c>
      <c r="AH50" s="1555">
        <f t="shared" si="39"/>
        <v>0</v>
      </c>
      <c r="AI50" s="900">
        <f t="shared" si="44"/>
        <v>0</v>
      </c>
      <c r="AJ50" s="900">
        <f t="shared" si="45"/>
        <v>0</v>
      </c>
      <c r="AL50" s="2034">
        <f>-'[4]Table 5C1M-B.R. Charter'!P49</f>
        <v>0</v>
      </c>
      <c r="AM50" s="2034">
        <f t="shared" si="40"/>
        <v>0</v>
      </c>
      <c r="AN50" s="2034">
        <f t="shared" si="41"/>
        <v>0</v>
      </c>
    </row>
    <row r="51" spans="1:40">
      <c r="A51" s="876">
        <v>44</v>
      </c>
      <c r="B51" s="877" t="s">
        <v>135</v>
      </c>
      <c r="C51" s="972">
        <v>0</v>
      </c>
      <c r="D51" s="882">
        <f>'Table 3 Levels 1&amp;2'!AL51</f>
        <v>4696.6221228259064</v>
      </c>
      <c r="E51" s="921">
        <f t="shared" si="23"/>
        <v>0</v>
      </c>
      <c r="F51" s="921">
        <f>'Table 4 Level 3'!P49</f>
        <v>663.16000000000008</v>
      </c>
      <c r="G51" s="921">
        <f t="shared" si="24"/>
        <v>0</v>
      </c>
      <c r="H51" s="905">
        <f t="shared" si="25"/>
        <v>0</v>
      </c>
      <c r="I51" s="1734">
        <f>+'[3]Oct midyear B.R. Charter'!K50</f>
        <v>0</v>
      </c>
      <c r="J51" s="1734">
        <f>'[3]Feb midyear B.R. Charter'!K50</f>
        <v>0</v>
      </c>
      <c r="K51" s="1545">
        <f t="shared" si="26"/>
        <v>0</v>
      </c>
      <c r="L51" s="1538">
        <f t="shared" si="42"/>
        <v>0</v>
      </c>
      <c r="M51" s="931">
        <f t="shared" si="27"/>
        <v>0</v>
      </c>
      <c r="N51" s="1552">
        <f t="shared" si="28"/>
        <v>0</v>
      </c>
      <c r="O51" s="1721">
        <v>0</v>
      </c>
      <c r="P51" s="1552">
        <f t="shared" si="19"/>
        <v>0</v>
      </c>
      <c r="Q51" s="1734">
        <f>'[26]Table 5C1M-B.R. Charter'!M50*5+('[5]Table 5C1M-B.R. Charter'!T50*3)</f>
        <v>0</v>
      </c>
      <c r="R51" s="1734">
        <f t="shared" si="29"/>
        <v>0</v>
      </c>
      <c r="S51" s="1552">
        <f t="shared" si="30"/>
        <v>0</v>
      </c>
      <c r="T51" s="1802">
        <f>'Table 5C1A-Madison Prep'!T51</f>
        <v>4323</v>
      </c>
      <c r="U51" s="1555">
        <f t="shared" si="43"/>
        <v>0</v>
      </c>
      <c r="V51" s="1773">
        <f>+'[3]Oct midyear B.R. Charter'!E50</f>
        <v>0</v>
      </c>
      <c r="W51" s="1759">
        <f t="shared" si="31"/>
        <v>0</v>
      </c>
      <c r="X51" s="1758">
        <f>'[3]Feb midyear B.R. Charter'!E50</f>
        <v>0</v>
      </c>
      <c r="Y51" s="1759">
        <f t="shared" si="32"/>
        <v>0</v>
      </c>
      <c r="Z51" s="1653">
        <f t="shared" si="33"/>
        <v>0</v>
      </c>
      <c r="AA51" s="1486">
        <f t="shared" si="34"/>
        <v>0</v>
      </c>
      <c r="AB51" s="937">
        <f t="shared" si="35"/>
        <v>0</v>
      </c>
      <c r="AC51" s="899">
        <f t="shared" si="36"/>
        <v>0</v>
      </c>
      <c r="AD51" s="1825">
        <v>0</v>
      </c>
      <c r="AE51" s="1555">
        <f t="shared" si="37"/>
        <v>0</v>
      </c>
      <c r="AF51" s="1759">
        <f>'[4]Table 5C1M-B.R. Charter'!T50*5+'[5]Table 5C1M-B.R. Charter'!AF50*3</f>
        <v>0</v>
      </c>
      <c r="AG51" s="1759">
        <f t="shared" si="38"/>
        <v>0</v>
      </c>
      <c r="AH51" s="1555">
        <f t="shared" si="39"/>
        <v>0</v>
      </c>
      <c r="AI51" s="900">
        <f t="shared" si="44"/>
        <v>0</v>
      </c>
      <c r="AJ51" s="900">
        <f t="shared" si="45"/>
        <v>0</v>
      </c>
      <c r="AL51" s="2034">
        <f>-'[4]Table 5C1M-B.R. Charter'!P50</f>
        <v>0</v>
      </c>
      <c r="AM51" s="2034">
        <f t="shared" si="40"/>
        <v>0</v>
      </c>
      <c r="AN51" s="2034">
        <f t="shared" si="41"/>
        <v>0</v>
      </c>
    </row>
    <row r="52" spans="1:40">
      <c r="A52" s="879">
        <v>45</v>
      </c>
      <c r="B52" s="880" t="s">
        <v>136</v>
      </c>
      <c r="C52" s="973">
        <v>0</v>
      </c>
      <c r="D52" s="883">
        <f>'Table 3 Levels 1&amp;2'!AL52</f>
        <v>2192.4914538932262</v>
      </c>
      <c r="E52" s="922">
        <f t="shared" si="23"/>
        <v>0</v>
      </c>
      <c r="F52" s="922">
        <f>'Table 4 Level 3'!P50</f>
        <v>753.96000000000015</v>
      </c>
      <c r="G52" s="922">
        <f t="shared" si="24"/>
        <v>0</v>
      </c>
      <c r="H52" s="906">
        <f t="shared" si="25"/>
        <v>0</v>
      </c>
      <c r="I52" s="1735">
        <f>+'[3]Oct midyear B.R. Charter'!K51</f>
        <v>0</v>
      </c>
      <c r="J52" s="1735">
        <f>'[3]Feb midyear B.R. Charter'!K51</f>
        <v>0</v>
      </c>
      <c r="K52" s="1546">
        <f t="shared" si="26"/>
        <v>0</v>
      </c>
      <c r="L52" s="1539">
        <f t="shared" si="42"/>
        <v>0</v>
      </c>
      <c r="M52" s="932">
        <f t="shared" si="27"/>
        <v>0</v>
      </c>
      <c r="N52" s="1553">
        <f t="shared" si="28"/>
        <v>0</v>
      </c>
      <c r="O52" s="1722">
        <v>0</v>
      </c>
      <c r="P52" s="1553">
        <f t="shared" si="19"/>
        <v>0</v>
      </c>
      <c r="Q52" s="1735">
        <f>'[26]Table 5C1M-B.R. Charter'!M51*5+('[5]Table 5C1M-B.R. Charter'!T51*3)</f>
        <v>0</v>
      </c>
      <c r="R52" s="1735">
        <f t="shared" si="29"/>
        <v>0</v>
      </c>
      <c r="S52" s="1553">
        <f t="shared" si="30"/>
        <v>0</v>
      </c>
      <c r="T52" s="1807">
        <f>'Table 5C1A-Madison Prep'!T52</f>
        <v>12792</v>
      </c>
      <c r="U52" s="1556">
        <f t="shared" si="43"/>
        <v>0</v>
      </c>
      <c r="V52" s="1774">
        <f>+'[3]Oct midyear B.R. Charter'!E51</f>
        <v>0</v>
      </c>
      <c r="W52" s="1763">
        <f t="shared" si="31"/>
        <v>0</v>
      </c>
      <c r="X52" s="1762">
        <f>'[3]Feb midyear B.R. Charter'!E51</f>
        <v>0</v>
      </c>
      <c r="Y52" s="1763">
        <f t="shared" si="32"/>
        <v>0</v>
      </c>
      <c r="Z52" s="1654">
        <f t="shared" si="33"/>
        <v>0</v>
      </c>
      <c r="AA52" s="1488">
        <f t="shared" si="34"/>
        <v>0</v>
      </c>
      <c r="AB52" s="938">
        <f t="shared" si="35"/>
        <v>0</v>
      </c>
      <c r="AC52" s="903">
        <f t="shared" si="36"/>
        <v>0</v>
      </c>
      <c r="AD52" s="1826">
        <v>0</v>
      </c>
      <c r="AE52" s="1556">
        <f t="shared" si="37"/>
        <v>0</v>
      </c>
      <c r="AF52" s="1763">
        <f>'[4]Table 5C1M-B.R. Charter'!T51*5+'[5]Table 5C1M-B.R. Charter'!AF51*3</f>
        <v>0</v>
      </c>
      <c r="AG52" s="1763">
        <f t="shared" si="38"/>
        <v>0</v>
      </c>
      <c r="AH52" s="1556">
        <f t="shared" si="39"/>
        <v>0</v>
      </c>
      <c r="AI52" s="904">
        <f t="shared" si="44"/>
        <v>0</v>
      </c>
      <c r="AJ52" s="904">
        <f t="shared" si="45"/>
        <v>0</v>
      </c>
      <c r="AL52" s="2034">
        <f>-'[4]Table 5C1M-B.R. Charter'!P51</f>
        <v>0</v>
      </c>
      <c r="AM52" s="2034">
        <f t="shared" si="40"/>
        <v>0</v>
      </c>
      <c r="AN52" s="2034">
        <f t="shared" si="41"/>
        <v>0</v>
      </c>
    </row>
    <row r="53" spans="1:40">
      <c r="A53" s="870">
        <v>46</v>
      </c>
      <c r="B53" s="871" t="s">
        <v>137</v>
      </c>
      <c r="C53" s="974">
        <v>0</v>
      </c>
      <c r="D53" s="884">
        <f>'Table 3 Levels 1&amp;2'!AL53</f>
        <v>5644.6599115241634</v>
      </c>
      <c r="E53" s="923">
        <f t="shared" si="23"/>
        <v>0</v>
      </c>
      <c r="F53" s="923">
        <f>'Table 4 Level 3'!P51</f>
        <v>728.06</v>
      </c>
      <c r="G53" s="923">
        <f t="shared" si="24"/>
        <v>0</v>
      </c>
      <c r="H53" s="907">
        <f t="shared" si="25"/>
        <v>0</v>
      </c>
      <c r="I53" s="1723">
        <f>+'[3]Oct midyear B.R. Charter'!K52</f>
        <v>0</v>
      </c>
      <c r="J53" s="1723">
        <f>'[3]Feb midyear B.R. Charter'!K52</f>
        <v>0</v>
      </c>
      <c r="K53" s="1547">
        <f t="shared" si="26"/>
        <v>0</v>
      </c>
      <c r="L53" s="996">
        <f t="shared" si="42"/>
        <v>0</v>
      </c>
      <c r="M53" s="933">
        <f t="shared" si="27"/>
        <v>0</v>
      </c>
      <c r="N53" s="996">
        <f t="shared" si="28"/>
        <v>0</v>
      </c>
      <c r="O53" s="1723">
        <v>0</v>
      </c>
      <c r="P53" s="996">
        <f t="shared" si="19"/>
        <v>0</v>
      </c>
      <c r="Q53" s="1723">
        <f>'[26]Table 5C1M-B.R. Charter'!M52*5+('[5]Table 5C1M-B.R. Charter'!T52*3)</f>
        <v>0</v>
      </c>
      <c r="R53" s="1723">
        <f t="shared" si="29"/>
        <v>0</v>
      </c>
      <c r="S53" s="996">
        <f t="shared" si="30"/>
        <v>0</v>
      </c>
      <c r="T53" s="1802">
        <f>'Table 5C1A-Madison Prep'!T53</f>
        <v>2423</v>
      </c>
      <c r="U53" s="999">
        <f t="shared" si="43"/>
        <v>0</v>
      </c>
      <c r="V53" s="1772">
        <f>+'[3]Oct midyear B.R. Charter'!E52</f>
        <v>0</v>
      </c>
      <c r="W53" s="1755">
        <f t="shared" si="31"/>
        <v>0</v>
      </c>
      <c r="X53" s="1754">
        <f>'[3]Feb midyear B.R. Charter'!E52</f>
        <v>0</v>
      </c>
      <c r="Y53" s="1755">
        <f t="shared" si="32"/>
        <v>0</v>
      </c>
      <c r="Z53" s="1652">
        <f t="shared" si="33"/>
        <v>0</v>
      </c>
      <c r="AA53" s="1521">
        <f t="shared" si="34"/>
        <v>0</v>
      </c>
      <c r="AB53" s="936">
        <f t="shared" si="35"/>
        <v>0</v>
      </c>
      <c r="AC53" s="874">
        <f t="shared" si="36"/>
        <v>0</v>
      </c>
      <c r="AD53" s="1755">
        <v>0</v>
      </c>
      <c r="AE53" s="999">
        <f t="shared" si="37"/>
        <v>0</v>
      </c>
      <c r="AF53" s="1755">
        <f>'[4]Table 5C1M-B.R. Charter'!T52*5+'[5]Table 5C1M-B.R. Charter'!AF52*3</f>
        <v>0</v>
      </c>
      <c r="AG53" s="1755">
        <f t="shared" si="38"/>
        <v>0</v>
      </c>
      <c r="AH53" s="999">
        <f t="shared" si="39"/>
        <v>0</v>
      </c>
      <c r="AI53" s="875">
        <f t="shared" si="44"/>
        <v>0</v>
      </c>
      <c r="AJ53" s="875">
        <f t="shared" si="45"/>
        <v>0</v>
      </c>
      <c r="AL53" s="2034">
        <f>-'[4]Table 5C1M-B.R. Charter'!P52</f>
        <v>0</v>
      </c>
      <c r="AM53" s="2034">
        <f t="shared" si="40"/>
        <v>0</v>
      </c>
      <c r="AN53" s="2034">
        <f t="shared" si="41"/>
        <v>0</v>
      </c>
    </row>
    <row r="54" spans="1:40">
      <c r="A54" s="876">
        <v>47</v>
      </c>
      <c r="B54" s="877" t="s">
        <v>138</v>
      </c>
      <c r="C54" s="972">
        <v>0</v>
      </c>
      <c r="D54" s="882">
        <f>'Table 3 Levels 1&amp;2'!AL54</f>
        <v>2731.2444076222037</v>
      </c>
      <c r="E54" s="921">
        <f t="shared" si="23"/>
        <v>0</v>
      </c>
      <c r="F54" s="921">
        <f>'Table 4 Level 3'!P52</f>
        <v>910.76</v>
      </c>
      <c r="G54" s="921">
        <f t="shared" si="24"/>
        <v>0</v>
      </c>
      <c r="H54" s="905">
        <f t="shared" si="25"/>
        <v>0</v>
      </c>
      <c r="I54" s="1734">
        <f>+'[3]Oct midyear B.R. Charter'!K53</f>
        <v>0</v>
      </c>
      <c r="J54" s="1734">
        <f>'[3]Feb midyear B.R. Charter'!K53</f>
        <v>0</v>
      </c>
      <c r="K54" s="1545">
        <f t="shared" si="26"/>
        <v>0</v>
      </c>
      <c r="L54" s="1538">
        <f t="shared" si="42"/>
        <v>0</v>
      </c>
      <c r="M54" s="931">
        <f t="shared" si="27"/>
        <v>0</v>
      </c>
      <c r="N54" s="1552">
        <f t="shared" si="28"/>
        <v>0</v>
      </c>
      <c r="O54" s="1721">
        <v>0</v>
      </c>
      <c r="P54" s="1552">
        <f t="shared" si="19"/>
        <v>0</v>
      </c>
      <c r="Q54" s="1734">
        <f>'[26]Table 5C1M-B.R. Charter'!M53*5+('[5]Table 5C1M-B.R. Charter'!T53*3)</f>
        <v>0</v>
      </c>
      <c r="R54" s="1734">
        <f t="shared" si="29"/>
        <v>0</v>
      </c>
      <c r="S54" s="1552">
        <f t="shared" si="30"/>
        <v>0</v>
      </c>
      <c r="T54" s="1802">
        <f>'Table 5C1A-Madison Prep'!T54</f>
        <v>12963</v>
      </c>
      <c r="U54" s="1555">
        <f t="shared" si="43"/>
        <v>0</v>
      </c>
      <c r="V54" s="1773">
        <f>+'[3]Oct midyear B.R. Charter'!E53</f>
        <v>0</v>
      </c>
      <c r="W54" s="1759">
        <f t="shared" si="31"/>
        <v>0</v>
      </c>
      <c r="X54" s="1758">
        <f>'[3]Feb midyear B.R. Charter'!E53</f>
        <v>0</v>
      </c>
      <c r="Y54" s="1759">
        <f t="shared" si="32"/>
        <v>0</v>
      </c>
      <c r="Z54" s="1653">
        <f t="shared" si="33"/>
        <v>0</v>
      </c>
      <c r="AA54" s="1486">
        <f t="shared" si="34"/>
        <v>0</v>
      </c>
      <c r="AB54" s="937">
        <f t="shared" si="35"/>
        <v>0</v>
      </c>
      <c r="AC54" s="899">
        <f t="shared" si="36"/>
        <v>0</v>
      </c>
      <c r="AD54" s="1825">
        <v>0</v>
      </c>
      <c r="AE54" s="1555">
        <f t="shared" si="37"/>
        <v>0</v>
      </c>
      <c r="AF54" s="1759">
        <f>'[4]Table 5C1M-B.R. Charter'!T53*5+'[5]Table 5C1M-B.R. Charter'!AF53*3</f>
        <v>0</v>
      </c>
      <c r="AG54" s="1759">
        <f t="shared" si="38"/>
        <v>0</v>
      </c>
      <c r="AH54" s="1555">
        <f t="shared" si="39"/>
        <v>0</v>
      </c>
      <c r="AI54" s="900">
        <f t="shared" si="44"/>
        <v>0</v>
      </c>
      <c r="AJ54" s="900">
        <f t="shared" si="45"/>
        <v>0</v>
      </c>
      <c r="AL54" s="2034">
        <f>-'[4]Table 5C1M-B.R. Charter'!P53</f>
        <v>0</v>
      </c>
      <c r="AM54" s="2034">
        <f t="shared" si="40"/>
        <v>0</v>
      </c>
      <c r="AN54" s="2034">
        <f t="shared" si="41"/>
        <v>0</v>
      </c>
    </row>
    <row r="55" spans="1:40">
      <c r="A55" s="876">
        <v>48</v>
      </c>
      <c r="B55" s="877" t="s">
        <v>195</v>
      </c>
      <c r="C55" s="972">
        <v>0</v>
      </c>
      <c r="D55" s="882">
        <f>'Table 3 Levels 1&amp;2'!AL55</f>
        <v>4272.723323083942</v>
      </c>
      <c r="E55" s="921">
        <f t="shared" si="23"/>
        <v>0</v>
      </c>
      <c r="F55" s="921">
        <f>'Table 4 Level 3'!P53</f>
        <v>871.07</v>
      </c>
      <c r="G55" s="921">
        <f t="shared" si="24"/>
        <v>0</v>
      </c>
      <c r="H55" s="905">
        <f t="shared" si="25"/>
        <v>0</v>
      </c>
      <c r="I55" s="1734">
        <f>+'[3]Oct midyear B.R. Charter'!K54</f>
        <v>0</v>
      </c>
      <c r="J55" s="1734">
        <f>'[3]Feb midyear B.R. Charter'!K54</f>
        <v>0</v>
      </c>
      <c r="K55" s="1545">
        <f t="shared" si="26"/>
        <v>0</v>
      </c>
      <c r="L55" s="1538">
        <f t="shared" si="42"/>
        <v>0</v>
      </c>
      <c r="M55" s="931">
        <f t="shared" si="27"/>
        <v>0</v>
      </c>
      <c r="N55" s="1552">
        <f t="shared" si="28"/>
        <v>0</v>
      </c>
      <c r="O55" s="1721">
        <v>0</v>
      </c>
      <c r="P55" s="1552">
        <f t="shared" si="19"/>
        <v>0</v>
      </c>
      <c r="Q55" s="1734">
        <f>'[26]Table 5C1M-B.R. Charter'!M54*5+('[5]Table 5C1M-B.R. Charter'!T54*3)</f>
        <v>0</v>
      </c>
      <c r="R55" s="1734">
        <f t="shared" si="29"/>
        <v>0</v>
      </c>
      <c r="S55" s="1552">
        <f t="shared" si="30"/>
        <v>0</v>
      </c>
      <c r="T55" s="1802">
        <f>'Table 5C1A-Madison Prep'!T55</f>
        <v>6585</v>
      </c>
      <c r="U55" s="1555">
        <f t="shared" si="43"/>
        <v>0</v>
      </c>
      <c r="V55" s="1773">
        <f>+'[3]Oct midyear B.R. Charter'!E54</f>
        <v>0</v>
      </c>
      <c r="W55" s="1759">
        <f t="shared" si="31"/>
        <v>0</v>
      </c>
      <c r="X55" s="1758">
        <f>'[3]Feb midyear B.R. Charter'!E54</f>
        <v>0</v>
      </c>
      <c r="Y55" s="1759">
        <f t="shared" si="32"/>
        <v>0</v>
      </c>
      <c r="Z55" s="1653">
        <f t="shared" si="33"/>
        <v>0</v>
      </c>
      <c r="AA55" s="1486">
        <f t="shared" si="34"/>
        <v>0</v>
      </c>
      <c r="AB55" s="937">
        <f t="shared" si="35"/>
        <v>0</v>
      </c>
      <c r="AC55" s="899">
        <f t="shared" si="36"/>
        <v>0</v>
      </c>
      <c r="AD55" s="1825">
        <v>0</v>
      </c>
      <c r="AE55" s="1555">
        <f t="shared" si="37"/>
        <v>0</v>
      </c>
      <c r="AF55" s="1759">
        <f>'[4]Table 5C1M-B.R. Charter'!T54*5+'[5]Table 5C1M-B.R. Charter'!AF54*3</f>
        <v>0</v>
      </c>
      <c r="AG55" s="1759">
        <f t="shared" si="38"/>
        <v>0</v>
      </c>
      <c r="AH55" s="1555">
        <f t="shared" si="39"/>
        <v>0</v>
      </c>
      <c r="AI55" s="900">
        <f t="shared" si="44"/>
        <v>0</v>
      </c>
      <c r="AJ55" s="900">
        <f t="shared" si="45"/>
        <v>0</v>
      </c>
      <c r="AL55" s="2034">
        <f>-'[4]Table 5C1M-B.R. Charter'!P54</f>
        <v>0</v>
      </c>
      <c r="AM55" s="2034">
        <f t="shared" si="40"/>
        <v>0</v>
      </c>
      <c r="AN55" s="2034">
        <f t="shared" si="41"/>
        <v>0</v>
      </c>
    </row>
    <row r="56" spans="1:40">
      <c r="A56" s="876">
        <v>49</v>
      </c>
      <c r="B56" s="877" t="s">
        <v>139</v>
      </c>
      <c r="C56" s="972">
        <v>0</v>
      </c>
      <c r="D56" s="882">
        <f>'Table 3 Levels 1&amp;2'!AL56</f>
        <v>4836.7092570332552</v>
      </c>
      <c r="E56" s="921">
        <f t="shared" si="23"/>
        <v>0</v>
      </c>
      <c r="F56" s="921">
        <f>'Table 4 Level 3'!P54</f>
        <v>574.43999999999994</v>
      </c>
      <c r="G56" s="921">
        <f t="shared" si="24"/>
        <v>0</v>
      </c>
      <c r="H56" s="905">
        <f t="shared" si="25"/>
        <v>0</v>
      </c>
      <c r="I56" s="1734">
        <f>+'[3]Oct midyear B.R. Charter'!K55</f>
        <v>0</v>
      </c>
      <c r="J56" s="1734">
        <f>'[3]Feb midyear B.R. Charter'!K55</f>
        <v>0</v>
      </c>
      <c r="K56" s="1545">
        <f t="shared" si="26"/>
        <v>0</v>
      </c>
      <c r="L56" s="1538">
        <f t="shared" si="42"/>
        <v>0</v>
      </c>
      <c r="M56" s="931">
        <f t="shared" si="27"/>
        <v>0</v>
      </c>
      <c r="N56" s="1552">
        <f t="shared" si="28"/>
        <v>0</v>
      </c>
      <c r="O56" s="1721">
        <v>0</v>
      </c>
      <c r="P56" s="1552">
        <f t="shared" si="19"/>
        <v>0</v>
      </c>
      <c r="Q56" s="1734">
        <f>'[26]Table 5C1M-B.R. Charter'!M55*5+('[5]Table 5C1M-B.R. Charter'!T55*3)</f>
        <v>0</v>
      </c>
      <c r="R56" s="1734">
        <f t="shared" si="29"/>
        <v>0</v>
      </c>
      <c r="S56" s="1552">
        <f t="shared" si="30"/>
        <v>0</v>
      </c>
      <c r="T56" s="1802">
        <f>'Table 5C1A-Madison Prep'!T56</f>
        <v>2402</v>
      </c>
      <c r="U56" s="1555">
        <f t="shared" si="43"/>
        <v>0</v>
      </c>
      <c r="V56" s="1773">
        <f>+'[3]Oct midyear B.R. Charter'!E55</f>
        <v>0</v>
      </c>
      <c r="W56" s="1759">
        <f t="shared" si="31"/>
        <v>0</v>
      </c>
      <c r="X56" s="1758">
        <f>'[3]Feb midyear B.R. Charter'!E55</f>
        <v>0</v>
      </c>
      <c r="Y56" s="1759">
        <f t="shared" si="32"/>
        <v>0</v>
      </c>
      <c r="Z56" s="1653">
        <f t="shared" si="33"/>
        <v>0</v>
      </c>
      <c r="AA56" s="1486">
        <f t="shared" si="34"/>
        <v>0</v>
      </c>
      <c r="AB56" s="937">
        <f t="shared" si="35"/>
        <v>0</v>
      </c>
      <c r="AC56" s="899">
        <f t="shared" si="36"/>
        <v>0</v>
      </c>
      <c r="AD56" s="1825">
        <v>0</v>
      </c>
      <c r="AE56" s="1555">
        <f t="shared" si="37"/>
        <v>0</v>
      </c>
      <c r="AF56" s="1759">
        <f>'[4]Table 5C1M-B.R. Charter'!T55*5+'[5]Table 5C1M-B.R. Charter'!AF55*3</f>
        <v>0</v>
      </c>
      <c r="AG56" s="1759">
        <f t="shared" si="38"/>
        <v>0</v>
      </c>
      <c r="AH56" s="1555">
        <f t="shared" si="39"/>
        <v>0</v>
      </c>
      <c r="AI56" s="900">
        <f t="shared" si="44"/>
        <v>0</v>
      </c>
      <c r="AJ56" s="900">
        <f t="shared" si="45"/>
        <v>0</v>
      </c>
      <c r="AL56" s="2034">
        <f>-'[4]Table 5C1M-B.R. Charter'!P55</f>
        <v>0</v>
      </c>
      <c r="AM56" s="2034">
        <f t="shared" si="40"/>
        <v>0</v>
      </c>
      <c r="AN56" s="2034">
        <f t="shared" si="41"/>
        <v>0</v>
      </c>
    </row>
    <row r="57" spans="1:40">
      <c r="A57" s="879">
        <v>50</v>
      </c>
      <c r="B57" s="880" t="s">
        <v>140</v>
      </c>
      <c r="C57" s="973">
        <v>0</v>
      </c>
      <c r="D57" s="883">
        <f>'Table 3 Levels 1&amp;2'!AL57</f>
        <v>5032.6862895017111</v>
      </c>
      <c r="E57" s="922">
        <f t="shared" si="23"/>
        <v>0</v>
      </c>
      <c r="F57" s="922">
        <f>'Table 4 Level 3'!P55</f>
        <v>634.46</v>
      </c>
      <c r="G57" s="922">
        <f t="shared" si="24"/>
        <v>0</v>
      </c>
      <c r="H57" s="906">
        <f t="shared" si="25"/>
        <v>0</v>
      </c>
      <c r="I57" s="1735">
        <f>+'[3]Oct midyear B.R. Charter'!K56</f>
        <v>0</v>
      </c>
      <c r="J57" s="1735">
        <f>'[3]Feb midyear B.R. Charter'!K56</f>
        <v>0</v>
      </c>
      <c r="K57" s="1546">
        <f t="shared" si="26"/>
        <v>0</v>
      </c>
      <c r="L57" s="1539">
        <f t="shared" si="42"/>
        <v>0</v>
      </c>
      <c r="M57" s="932">
        <f t="shared" si="27"/>
        <v>0</v>
      </c>
      <c r="N57" s="1553">
        <f t="shared" si="28"/>
        <v>0</v>
      </c>
      <c r="O57" s="1722">
        <v>0</v>
      </c>
      <c r="P57" s="1553">
        <f t="shared" si="19"/>
        <v>0</v>
      </c>
      <c r="Q57" s="1735">
        <f>'[26]Table 5C1M-B.R. Charter'!M56*5+('[5]Table 5C1M-B.R. Charter'!T56*3)</f>
        <v>0</v>
      </c>
      <c r="R57" s="1735">
        <f t="shared" si="29"/>
        <v>0</v>
      </c>
      <c r="S57" s="1553">
        <f t="shared" si="30"/>
        <v>0</v>
      </c>
      <c r="T57" s="1807">
        <f>'Table 5C1A-Madison Prep'!T57</f>
        <v>3143</v>
      </c>
      <c r="U57" s="1556">
        <f t="shared" si="43"/>
        <v>0</v>
      </c>
      <c r="V57" s="1774">
        <f>+'[3]Oct midyear B.R. Charter'!E56</f>
        <v>0</v>
      </c>
      <c r="W57" s="1763">
        <f t="shared" si="31"/>
        <v>0</v>
      </c>
      <c r="X57" s="1762">
        <f>'[3]Feb midyear B.R. Charter'!E56</f>
        <v>0</v>
      </c>
      <c r="Y57" s="1763">
        <f t="shared" si="32"/>
        <v>0</v>
      </c>
      <c r="Z57" s="1654">
        <f t="shared" si="33"/>
        <v>0</v>
      </c>
      <c r="AA57" s="1488">
        <f t="shared" si="34"/>
        <v>0</v>
      </c>
      <c r="AB57" s="938">
        <f t="shared" si="35"/>
        <v>0</v>
      </c>
      <c r="AC57" s="903">
        <f t="shared" si="36"/>
        <v>0</v>
      </c>
      <c r="AD57" s="1826">
        <v>0</v>
      </c>
      <c r="AE57" s="1556">
        <f t="shared" si="37"/>
        <v>0</v>
      </c>
      <c r="AF57" s="1763">
        <f>'[4]Table 5C1M-B.R. Charter'!T56*5+'[5]Table 5C1M-B.R. Charter'!AF56*3</f>
        <v>0</v>
      </c>
      <c r="AG57" s="1763">
        <f t="shared" si="38"/>
        <v>0</v>
      </c>
      <c r="AH57" s="1556">
        <f t="shared" si="39"/>
        <v>0</v>
      </c>
      <c r="AI57" s="904">
        <f t="shared" si="44"/>
        <v>0</v>
      </c>
      <c r="AJ57" s="904">
        <f t="shared" si="45"/>
        <v>0</v>
      </c>
      <c r="AL57" s="2034">
        <f>-'[4]Table 5C1M-B.R. Charter'!P56</f>
        <v>0</v>
      </c>
      <c r="AM57" s="2034">
        <f t="shared" si="40"/>
        <v>0</v>
      </c>
      <c r="AN57" s="2034">
        <f t="shared" si="41"/>
        <v>0</v>
      </c>
    </row>
    <row r="58" spans="1:40">
      <c r="A58" s="870">
        <v>51</v>
      </c>
      <c r="B58" s="871" t="s">
        <v>141</v>
      </c>
      <c r="C58" s="974">
        <v>0</v>
      </c>
      <c r="D58" s="884">
        <f>'Table 3 Levels 1&amp;2'!AL58</f>
        <v>4246.0339872793602</v>
      </c>
      <c r="E58" s="923">
        <f t="shared" si="23"/>
        <v>0</v>
      </c>
      <c r="F58" s="923">
        <f>'Table 4 Level 3'!P56</f>
        <v>706.66</v>
      </c>
      <c r="G58" s="923">
        <f t="shared" si="24"/>
        <v>0</v>
      </c>
      <c r="H58" s="907">
        <f t="shared" si="25"/>
        <v>0</v>
      </c>
      <c r="I58" s="1723">
        <f>+'[3]Oct midyear B.R. Charter'!K57</f>
        <v>0</v>
      </c>
      <c r="J58" s="1723">
        <f>'[3]Feb midyear B.R. Charter'!K57</f>
        <v>0</v>
      </c>
      <c r="K58" s="1547">
        <f t="shared" si="26"/>
        <v>0</v>
      </c>
      <c r="L58" s="996">
        <f t="shared" si="42"/>
        <v>0</v>
      </c>
      <c r="M58" s="933">
        <f t="shared" si="27"/>
        <v>0</v>
      </c>
      <c r="N58" s="996">
        <f t="shared" si="28"/>
        <v>0</v>
      </c>
      <c r="O58" s="1723">
        <v>0</v>
      </c>
      <c r="P58" s="996">
        <f t="shared" si="19"/>
        <v>0</v>
      </c>
      <c r="Q58" s="1723">
        <f>'[26]Table 5C1M-B.R. Charter'!M57*5+('[5]Table 5C1M-B.R. Charter'!T57*3)</f>
        <v>0</v>
      </c>
      <c r="R58" s="1723">
        <f t="shared" si="29"/>
        <v>0</v>
      </c>
      <c r="S58" s="996">
        <f t="shared" si="30"/>
        <v>0</v>
      </c>
      <c r="T58" s="1802">
        <f>'Table 5C1A-Madison Prep'!T58</f>
        <v>4370</v>
      </c>
      <c r="U58" s="999">
        <f t="shared" si="43"/>
        <v>0</v>
      </c>
      <c r="V58" s="1772">
        <f>+'[3]Oct midyear B.R. Charter'!E57</f>
        <v>0</v>
      </c>
      <c r="W58" s="1755">
        <f t="shared" si="31"/>
        <v>0</v>
      </c>
      <c r="X58" s="1754">
        <f>'[3]Feb midyear B.R. Charter'!E57</f>
        <v>0</v>
      </c>
      <c r="Y58" s="1755">
        <f t="shared" si="32"/>
        <v>0</v>
      </c>
      <c r="Z58" s="1652">
        <f t="shared" si="33"/>
        <v>0</v>
      </c>
      <c r="AA58" s="1521">
        <f t="shared" si="34"/>
        <v>0</v>
      </c>
      <c r="AB58" s="936">
        <f t="shared" si="35"/>
        <v>0</v>
      </c>
      <c r="AC58" s="874">
        <f t="shared" si="36"/>
        <v>0</v>
      </c>
      <c r="AD58" s="1755">
        <v>0</v>
      </c>
      <c r="AE58" s="999">
        <f t="shared" si="37"/>
        <v>0</v>
      </c>
      <c r="AF58" s="1755">
        <f>'[4]Table 5C1M-B.R. Charter'!T57*5+'[5]Table 5C1M-B.R. Charter'!AF57*3</f>
        <v>0</v>
      </c>
      <c r="AG58" s="1755">
        <f t="shared" si="38"/>
        <v>0</v>
      </c>
      <c r="AH58" s="999">
        <f t="shared" si="39"/>
        <v>0</v>
      </c>
      <c r="AI58" s="875">
        <f t="shared" si="44"/>
        <v>0</v>
      </c>
      <c r="AJ58" s="875">
        <f t="shared" si="45"/>
        <v>0</v>
      </c>
      <c r="AL58" s="2034">
        <f>-'[4]Table 5C1M-B.R. Charter'!P57</f>
        <v>0</v>
      </c>
      <c r="AM58" s="2034">
        <f t="shared" si="40"/>
        <v>0</v>
      </c>
      <c r="AN58" s="2034">
        <f t="shared" si="41"/>
        <v>0</v>
      </c>
    </row>
    <row r="59" spans="1:40">
      <c r="A59" s="876">
        <v>52</v>
      </c>
      <c r="B59" s="877" t="s">
        <v>142</v>
      </c>
      <c r="C59" s="972">
        <v>0</v>
      </c>
      <c r="D59" s="882">
        <f>'Table 3 Levels 1&amp;2'!AL59</f>
        <v>5013.4438050113249</v>
      </c>
      <c r="E59" s="921">
        <f t="shared" si="23"/>
        <v>0</v>
      </c>
      <c r="F59" s="921">
        <f>'Table 4 Level 3'!P57</f>
        <v>658.37</v>
      </c>
      <c r="G59" s="921">
        <f t="shared" si="24"/>
        <v>0</v>
      </c>
      <c r="H59" s="905">
        <f t="shared" si="25"/>
        <v>0</v>
      </c>
      <c r="I59" s="1734">
        <f>+'[3]Oct midyear B.R. Charter'!K58</f>
        <v>0</v>
      </c>
      <c r="J59" s="1734">
        <f>'[3]Feb midyear B.R. Charter'!K58</f>
        <v>0</v>
      </c>
      <c r="K59" s="1545">
        <f t="shared" si="26"/>
        <v>0</v>
      </c>
      <c r="L59" s="1538">
        <f t="shared" si="42"/>
        <v>0</v>
      </c>
      <c r="M59" s="931">
        <f t="shared" si="27"/>
        <v>0</v>
      </c>
      <c r="N59" s="1552">
        <f t="shared" si="28"/>
        <v>0</v>
      </c>
      <c r="O59" s="1721">
        <v>0</v>
      </c>
      <c r="P59" s="1552">
        <f t="shared" si="19"/>
        <v>0</v>
      </c>
      <c r="Q59" s="1734">
        <f>'[26]Table 5C1M-B.R. Charter'!M58*5+('[5]Table 5C1M-B.R. Charter'!T58*3)</f>
        <v>0</v>
      </c>
      <c r="R59" s="1734">
        <f t="shared" si="29"/>
        <v>0</v>
      </c>
      <c r="S59" s="1552">
        <f t="shared" si="30"/>
        <v>0</v>
      </c>
      <c r="T59" s="1802">
        <f>'Table 5C1A-Madison Prep'!T59</f>
        <v>5143</v>
      </c>
      <c r="U59" s="1555">
        <f t="shared" si="43"/>
        <v>0</v>
      </c>
      <c r="V59" s="1773">
        <f>+'[3]Oct midyear B.R. Charter'!E58</f>
        <v>0</v>
      </c>
      <c r="W59" s="1759">
        <f t="shared" si="31"/>
        <v>0</v>
      </c>
      <c r="X59" s="1758">
        <f>'[3]Feb midyear B.R. Charter'!E58</f>
        <v>0</v>
      </c>
      <c r="Y59" s="1759">
        <f t="shared" si="32"/>
        <v>0</v>
      </c>
      <c r="Z59" s="1653">
        <f t="shared" si="33"/>
        <v>0</v>
      </c>
      <c r="AA59" s="1486">
        <f t="shared" si="34"/>
        <v>0</v>
      </c>
      <c r="AB59" s="937">
        <f t="shared" si="35"/>
        <v>0</v>
      </c>
      <c r="AC59" s="899">
        <f t="shared" si="36"/>
        <v>0</v>
      </c>
      <c r="AD59" s="1825">
        <v>0</v>
      </c>
      <c r="AE59" s="1555">
        <f t="shared" si="37"/>
        <v>0</v>
      </c>
      <c r="AF59" s="1759">
        <f>'[4]Table 5C1M-B.R. Charter'!T58*5+'[5]Table 5C1M-B.R. Charter'!AF58*3</f>
        <v>0</v>
      </c>
      <c r="AG59" s="1759">
        <f t="shared" si="38"/>
        <v>0</v>
      </c>
      <c r="AH59" s="1555">
        <f t="shared" si="39"/>
        <v>0</v>
      </c>
      <c r="AI59" s="900">
        <f t="shared" si="44"/>
        <v>0</v>
      </c>
      <c r="AJ59" s="900">
        <f t="shared" si="45"/>
        <v>0</v>
      </c>
      <c r="AL59" s="2034">
        <f>-'[4]Table 5C1M-B.R. Charter'!P58</f>
        <v>0</v>
      </c>
      <c r="AM59" s="2034">
        <f t="shared" si="40"/>
        <v>0</v>
      </c>
      <c r="AN59" s="2034">
        <f t="shared" si="41"/>
        <v>0</v>
      </c>
    </row>
    <row r="60" spans="1:40">
      <c r="A60" s="876">
        <v>53</v>
      </c>
      <c r="B60" s="877" t="s">
        <v>143</v>
      </c>
      <c r="C60" s="972">
        <v>0</v>
      </c>
      <c r="D60" s="882">
        <f>'Table 3 Levels 1&amp;2'!AL60</f>
        <v>4775.5877635581091</v>
      </c>
      <c r="E60" s="921">
        <f t="shared" si="23"/>
        <v>0</v>
      </c>
      <c r="F60" s="921">
        <f>'Table 4 Level 3'!P58</f>
        <v>689.74</v>
      </c>
      <c r="G60" s="921">
        <f t="shared" si="24"/>
        <v>0</v>
      </c>
      <c r="H60" s="905">
        <f t="shared" si="25"/>
        <v>0</v>
      </c>
      <c r="I60" s="1734">
        <f>+'[3]Oct midyear B.R. Charter'!K59</f>
        <v>0</v>
      </c>
      <c r="J60" s="1734">
        <f>'[3]Feb midyear B.R. Charter'!K59</f>
        <v>0</v>
      </c>
      <c r="K60" s="1545">
        <f t="shared" si="26"/>
        <v>0</v>
      </c>
      <c r="L60" s="1538">
        <f t="shared" si="42"/>
        <v>0</v>
      </c>
      <c r="M60" s="931">
        <f t="shared" si="27"/>
        <v>0</v>
      </c>
      <c r="N60" s="1552">
        <f t="shared" si="28"/>
        <v>0</v>
      </c>
      <c r="O60" s="1721">
        <v>0</v>
      </c>
      <c r="P60" s="1552">
        <f t="shared" si="19"/>
        <v>0</v>
      </c>
      <c r="Q60" s="1734">
        <f>'[26]Table 5C1M-B.R. Charter'!M59*5+('[5]Table 5C1M-B.R. Charter'!T59*3)</f>
        <v>0</v>
      </c>
      <c r="R60" s="1734">
        <f t="shared" si="29"/>
        <v>0</v>
      </c>
      <c r="S60" s="1552">
        <f t="shared" si="30"/>
        <v>0</v>
      </c>
      <c r="T60" s="1802">
        <f>'Table 5C1A-Madison Prep'!T60</f>
        <v>2109</v>
      </c>
      <c r="U60" s="1555">
        <f t="shared" si="43"/>
        <v>0</v>
      </c>
      <c r="V60" s="1773">
        <f>+'[3]Oct midyear B.R. Charter'!E59</f>
        <v>0</v>
      </c>
      <c r="W60" s="1759">
        <f t="shared" si="31"/>
        <v>0</v>
      </c>
      <c r="X60" s="1758">
        <f>'[3]Feb midyear B.R. Charter'!E59</f>
        <v>0</v>
      </c>
      <c r="Y60" s="1759">
        <f t="shared" si="32"/>
        <v>0</v>
      </c>
      <c r="Z60" s="1653">
        <f t="shared" si="33"/>
        <v>0</v>
      </c>
      <c r="AA60" s="1486">
        <f t="shared" si="34"/>
        <v>0</v>
      </c>
      <c r="AB60" s="937">
        <f t="shared" si="35"/>
        <v>0</v>
      </c>
      <c r="AC60" s="899">
        <f t="shared" si="36"/>
        <v>0</v>
      </c>
      <c r="AD60" s="1825">
        <v>0</v>
      </c>
      <c r="AE60" s="1555">
        <f t="shared" si="37"/>
        <v>0</v>
      </c>
      <c r="AF60" s="1759">
        <f>'[4]Table 5C1M-B.R. Charter'!T59*5+'[5]Table 5C1M-B.R. Charter'!AF59*3</f>
        <v>0</v>
      </c>
      <c r="AG60" s="1759">
        <f t="shared" si="38"/>
        <v>0</v>
      </c>
      <c r="AH60" s="1555">
        <f t="shared" si="39"/>
        <v>0</v>
      </c>
      <c r="AI60" s="900">
        <f t="shared" si="44"/>
        <v>0</v>
      </c>
      <c r="AJ60" s="900">
        <f t="shared" si="45"/>
        <v>0</v>
      </c>
      <c r="AL60" s="2034">
        <f>-'[4]Table 5C1M-B.R. Charter'!P59</f>
        <v>0</v>
      </c>
      <c r="AM60" s="2034">
        <f t="shared" si="40"/>
        <v>0</v>
      </c>
      <c r="AN60" s="2034">
        <f t="shared" si="41"/>
        <v>0</v>
      </c>
    </row>
    <row r="61" spans="1:40">
      <c r="A61" s="876">
        <v>54</v>
      </c>
      <c r="B61" s="877" t="s">
        <v>144</v>
      </c>
      <c r="C61" s="972">
        <v>0</v>
      </c>
      <c r="D61" s="882">
        <f>'Table 3 Levels 1&amp;2'!AL61</f>
        <v>5951.8009386275662</v>
      </c>
      <c r="E61" s="921">
        <f t="shared" si="23"/>
        <v>0</v>
      </c>
      <c r="F61" s="921">
        <f>'Table 4 Level 3'!P59</f>
        <v>951.45</v>
      </c>
      <c r="G61" s="921">
        <f t="shared" si="24"/>
        <v>0</v>
      </c>
      <c r="H61" s="905">
        <f t="shared" si="25"/>
        <v>0</v>
      </c>
      <c r="I61" s="1734">
        <f>+'[3]Oct midyear B.R. Charter'!K60</f>
        <v>0</v>
      </c>
      <c r="J61" s="1734">
        <f>'[3]Feb midyear B.R. Charter'!K60</f>
        <v>0</v>
      </c>
      <c r="K61" s="1545">
        <f t="shared" si="26"/>
        <v>0</v>
      </c>
      <c r="L61" s="1538">
        <f t="shared" si="42"/>
        <v>0</v>
      </c>
      <c r="M61" s="931">
        <f t="shared" si="27"/>
        <v>0</v>
      </c>
      <c r="N61" s="1552">
        <f t="shared" si="28"/>
        <v>0</v>
      </c>
      <c r="O61" s="1721">
        <v>0</v>
      </c>
      <c r="P61" s="1552">
        <f t="shared" si="19"/>
        <v>0</v>
      </c>
      <c r="Q61" s="1734">
        <f>'[26]Table 5C1M-B.R. Charter'!M60*5+('[5]Table 5C1M-B.R. Charter'!T60*3)</f>
        <v>0</v>
      </c>
      <c r="R61" s="1734">
        <f t="shared" si="29"/>
        <v>0</v>
      </c>
      <c r="S61" s="1552">
        <f t="shared" si="30"/>
        <v>0</v>
      </c>
      <c r="T61" s="1802">
        <f>'Table 5C1A-Madison Prep'!T61</f>
        <v>3760</v>
      </c>
      <c r="U61" s="1555">
        <f t="shared" si="43"/>
        <v>0</v>
      </c>
      <c r="V61" s="1773">
        <f>+'[3]Oct midyear B.R. Charter'!E60</f>
        <v>0</v>
      </c>
      <c r="W61" s="1759">
        <f t="shared" si="31"/>
        <v>0</v>
      </c>
      <c r="X61" s="1758">
        <f>'[3]Feb midyear B.R. Charter'!E60</f>
        <v>0</v>
      </c>
      <c r="Y61" s="1759">
        <f t="shared" si="32"/>
        <v>0</v>
      </c>
      <c r="Z61" s="1653">
        <f t="shared" si="33"/>
        <v>0</v>
      </c>
      <c r="AA61" s="1486">
        <f t="shared" si="34"/>
        <v>0</v>
      </c>
      <c r="AB61" s="937">
        <f t="shared" si="35"/>
        <v>0</v>
      </c>
      <c r="AC61" s="899">
        <f t="shared" si="36"/>
        <v>0</v>
      </c>
      <c r="AD61" s="1825">
        <v>0</v>
      </c>
      <c r="AE61" s="1555">
        <f t="shared" si="37"/>
        <v>0</v>
      </c>
      <c r="AF61" s="1759">
        <f>'[4]Table 5C1M-B.R. Charter'!T60*5+'[5]Table 5C1M-B.R. Charter'!AF60*3</f>
        <v>0</v>
      </c>
      <c r="AG61" s="1759">
        <f t="shared" si="38"/>
        <v>0</v>
      </c>
      <c r="AH61" s="1555">
        <f t="shared" si="39"/>
        <v>0</v>
      </c>
      <c r="AI61" s="900">
        <f t="shared" si="44"/>
        <v>0</v>
      </c>
      <c r="AJ61" s="900">
        <f t="shared" si="45"/>
        <v>0</v>
      </c>
      <c r="AL61" s="2034">
        <f>-'[4]Table 5C1M-B.R. Charter'!P60</f>
        <v>0</v>
      </c>
      <c r="AM61" s="2034">
        <f t="shared" si="40"/>
        <v>0</v>
      </c>
      <c r="AN61" s="2034">
        <f t="shared" si="41"/>
        <v>0</v>
      </c>
    </row>
    <row r="62" spans="1:40">
      <c r="A62" s="879">
        <v>55</v>
      </c>
      <c r="B62" s="880" t="s">
        <v>145</v>
      </c>
      <c r="C62" s="973">
        <v>0</v>
      </c>
      <c r="D62" s="883">
        <f>'Table 3 Levels 1&amp;2'!AL62</f>
        <v>4171.0434735233157</v>
      </c>
      <c r="E62" s="922">
        <f t="shared" si="23"/>
        <v>0</v>
      </c>
      <c r="F62" s="922">
        <f>'Table 4 Level 3'!P60</f>
        <v>795.14</v>
      </c>
      <c r="G62" s="922">
        <f t="shared" si="24"/>
        <v>0</v>
      </c>
      <c r="H62" s="906">
        <f t="shared" si="25"/>
        <v>0</v>
      </c>
      <c r="I62" s="1735">
        <f>+'[3]Oct midyear B.R. Charter'!K61</f>
        <v>0</v>
      </c>
      <c r="J62" s="1735">
        <f>'[3]Feb midyear B.R. Charter'!K61</f>
        <v>0</v>
      </c>
      <c r="K62" s="1546">
        <f t="shared" si="26"/>
        <v>0</v>
      </c>
      <c r="L62" s="1539">
        <f t="shared" si="42"/>
        <v>0</v>
      </c>
      <c r="M62" s="932">
        <f t="shared" si="27"/>
        <v>0</v>
      </c>
      <c r="N62" s="1553">
        <f t="shared" si="28"/>
        <v>0</v>
      </c>
      <c r="O62" s="1722">
        <v>0</v>
      </c>
      <c r="P62" s="1553">
        <f t="shared" si="19"/>
        <v>0</v>
      </c>
      <c r="Q62" s="1735">
        <f>'[26]Table 5C1M-B.R. Charter'!M61*5+('[5]Table 5C1M-B.R. Charter'!T61*3)</f>
        <v>0</v>
      </c>
      <c r="R62" s="1735">
        <f t="shared" si="29"/>
        <v>0</v>
      </c>
      <c r="S62" s="1553">
        <f t="shared" si="30"/>
        <v>0</v>
      </c>
      <c r="T62" s="1807">
        <f>'Table 5C1A-Madison Prep'!T62</f>
        <v>3359</v>
      </c>
      <c r="U62" s="1556">
        <f t="shared" si="43"/>
        <v>0</v>
      </c>
      <c r="V62" s="1774">
        <f>+'[3]Oct midyear B.R. Charter'!E61</f>
        <v>0</v>
      </c>
      <c r="W62" s="1763">
        <f t="shared" si="31"/>
        <v>0</v>
      </c>
      <c r="X62" s="1762">
        <f>'[3]Feb midyear B.R. Charter'!E61</f>
        <v>0</v>
      </c>
      <c r="Y62" s="1763">
        <f t="shared" si="32"/>
        <v>0</v>
      </c>
      <c r="Z62" s="1654">
        <f t="shared" si="33"/>
        <v>0</v>
      </c>
      <c r="AA62" s="1488">
        <f t="shared" si="34"/>
        <v>0</v>
      </c>
      <c r="AB62" s="938">
        <f t="shared" si="35"/>
        <v>0</v>
      </c>
      <c r="AC62" s="903">
        <f t="shared" si="36"/>
        <v>0</v>
      </c>
      <c r="AD62" s="1826">
        <v>0</v>
      </c>
      <c r="AE62" s="1556">
        <f t="shared" si="37"/>
        <v>0</v>
      </c>
      <c r="AF62" s="1763">
        <f>'[4]Table 5C1M-B.R. Charter'!T61*5+'[5]Table 5C1M-B.R. Charter'!AF61*3</f>
        <v>0</v>
      </c>
      <c r="AG62" s="1763">
        <f t="shared" si="38"/>
        <v>0</v>
      </c>
      <c r="AH62" s="1556">
        <f t="shared" si="39"/>
        <v>0</v>
      </c>
      <c r="AI62" s="904">
        <f t="shared" si="44"/>
        <v>0</v>
      </c>
      <c r="AJ62" s="904">
        <f t="shared" si="45"/>
        <v>0</v>
      </c>
      <c r="AL62" s="2034">
        <f>-'[4]Table 5C1M-B.R. Charter'!P61</f>
        <v>0</v>
      </c>
      <c r="AM62" s="2034">
        <f t="shared" si="40"/>
        <v>0</v>
      </c>
      <c r="AN62" s="2034">
        <f t="shared" si="41"/>
        <v>0</v>
      </c>
    </row>
    <row r="63" spans="1:40">
      <c r="A63" s="870">
        <v>56</v>
      </c>
      <c r="B63" s="871" t="s">
        <v>146</v>
      </c>
      <c r="C63" s="974">
        <v>0</v>
      </c>
      <c r="D63" s="884">
        <f>'Table 3 Levels 1&amp;2'!AL63</f>
        <v>4968.593189672727</v>
      </c>
      <c r="E63" s="923">
        <f t="shared" si="23"/>
        <v>0</v>
      </c>
      <c r="F63" s="923">
        <f>'Table 4 Level 3'!P61</f>
        <v>614.66000000000008</v>
      </c>
      <c r="G63" s="923">
        <f t="shared" si="24"/>
        <v>0</v>
      </c>
      <c r="H63" s="907">
        <f t="shared" si="25"/>
        <v>0</v>
      </c>
      <c r="I63" s="1723">
        <f>+'[3]Oct midyear B.R. Charter'!K62</f>
        <v>0</v>
      </c>
      <c r="J63" s="1723">
        <f>'[3]Feb midyear B.R. Charter'!K62</f>
        <v>0</v>
      </c>
      <c r="K63" s="1547">
        <f t="shared" si="26"/>
        <v>0</v>
      </c>
      <c r="L63" s="996">
        <f t="shared" si="42"/>
        <v>0</v>
      </c>
      <c r="M63" s="933">
        <f t="shared" si="27"/>
        <v>0</v>
      </c>
      <c r="N63" s="996">
        <f t="shared" si="28"/>
        <v>0</v>
      </c>
      <c r="O63" s="1723">
        <v>0</v>
      </c>
      <c r="P63" s="996">
        <f t="shared" si="19"/>
        <v>0</v>
      </c>
      <c r="Q63" s="1723">
        <f>'[26]Table 5C1M-B.R. Charter'!M62*5+('[5]Table 5C1M-B.R. Charter'!T62*3)</f>
        <v>0</v>
      </c>
      <c r="R63" s="1723">
        <f t="shared" si="29"/>
        <v>0</v>
      </c>
      <c r="S63" s="996">
        <f t="shared" si="30"/>
        <v>0</v>
      </c>
      <c r="T63" s="1802">
        <f>'Table 5C1A-Madison Prep'!T63</f>
        <v>2853</v>
      </c>
      <c r="U63" s="999">
        <f t="shared" si="43"/>
        <v>0</v>
      </c>
      <c r="V63" s="1772">
        <f>+'[3]Oct midyear B.R. Charter'!E62</f>
        <v>0</v>
      </c>
      <c r="W63" s="1755">
        <f t="shared" si="31"/>
        <v>0</v>
      </c>
      <c r="X63" s="1754">
        <f>'[3]Feb midyear B.R. Charter'!E62</f>
        <v>0</v>
      </c>
      <c r="Y63" s="1755">
        <f t="shared" si="32"/>
        <v>0</v>
      </c>
      <c r="Z63" s="1652">
        <f t="shared" si="33"/>
        <v>0</v>
      </c>
      <c r="AA63" s="1521">
        <f t="shared" si="34"/>
        <v>0</v>
      </c>
      <c r="AB63" s="936">
        <f t="shared" si="35"/>
        <v>0</v>
      </c>
      <c r="AC63" s="874">
        <f t="shared" si="36"/>
        <v>0</v>
      </c>
      <c r="AD63" s="1755">
        <v>0</v>
      </c>
      <c r="AE63" s="999">
        <f t="shared" si="37"/>
        <v>0</v>
      </c>
      <c r="AF63" s="1755">
        <f>'[4]Table 5C1M-B.R. Charter'!T62*5+'[5]Table 5C1M-B.R. Charter'!AF62*3</f>
        <v>0</v>
      </c>
      <c r="AG63" s="1755">
        <f t="shared" si="38"/>
        <v>0</v>
      </c>
      <c r="AH63" s="999">
        <f t="shared" si="39"/>
        <v>0</v>
      </c>
      <c r="AI63" s="875">
        <f t="shared" si="44"/>
        <v>0</v>
      </c>
      <c r="AJ63" s="875">
        <f t="shared" si="45"/>
        <v>0</v>
      </c>
      <c r="AL63" s="2034">
        <f>-'[4]Table 5C1M-B.R. Charter'!P62</f>
        <v>0</v>
      </c>
      <c r="AM63" s="2034">
        <f t="shared" si="40"/>
        <v>0</v>
      </c>
      <c r="AN63" s="2034">
        <f t="shared" si="41"/>
        <v>0</v>
      </c>
    </row>
    <row r="64" spans="1:40">
      <c r="A64" s="876">
        <v>57</v>
      </c>
      <c r="B64" s="877" t="s">
        <v>147</v>
      </c>
      <c r="C64" s="972">
        <v>0</v>
      </c>
      <c r="D64" s="882">
        <f>'Table 3 Levels 1&amp;2'!AL64</f>
        <v>4485.7073020218859</v>
      </c>
      <c r="E64" s="921">
        <f t="shared" si="23"/>
        <v>0</v>
      </c>
      <c r="F64" s="921">
        <f>'Table 4 Level 3'!P62</f>
        <v>764.51</v>
      </c>
      <c r="G64" s="921">
        <f t="shared" si="24"/>
        <v>0</v>
      </c>
      <c r="H64" s="905">
        <f t="shared" si="25"/>
        <v>0</v>
      </c>
      <c r="I64" s="1734">
        <f>+'[3]Oct midyear B.R. Charter'!K63</f>
        <v>0</v>
      </c>
      <c r="J64" s="1734">
        <f>'[3]Feb midyear B.R. Charter'!K63</f>
        <v>0</v>
      </c>
      <c r="K64" s="1545">
        <f t="shared" si="26"/>
        <v>0</v>
      </c>
      <c r="L64" s="1538">
        <f t="shared" si="42"/>
        <v>0</v>
      </c>
      <c r="M64" s="931">
        <f t="shared" si="27"/>
        <v>0</v>
      </c>
      <c r="N64" s="1552">
        <f t="shared" si="28"/>
        <v>0</v>
      </c>
      <c r="O64" s="1721">
        <v>0</v>
      </c>
      <c r="P64" s="1552">
        <f t="shared" si="19"/>
        <v>0</v>
      </c>
      <c r="Q64" s="1734">
        <f>'[26]Table 5C1M-B.R. Charter'!M63*5+('[5]Table 5C1M-B.R. Charter'!T63*3)</f>
        <v>0</v>
      </c>
      <c r="R64" s="1734">
        <f t="shared" si="29"/>
        <v>0</v>
      </c>
      <c r="S64" s="1552">
        <f t="shared" si="30"/>
        <v>0</v>
      </c>
      <c r="T64" s="1802">
        <f>'Table 5C1A-Madison Prep'!T64</f>
        <v>3178</v>
      </c>
      <c r="U64" s="1555">
        <f t="shared" si="43"/>
        <v>0</v>
      </c>
      <c r="V64" s="1773">
        <f>+'[3]Oct midyear B.R. Charter'!E63</f>
        <v>0</v>
      </c>
      <c r="W64" s="1759">
        <f t="shared" si="31"/>
        <v>0</v>
      </c>
      <c r="X64" s="1758">
        <f>'[3]Feb midyear B.R. Charter'!E63</f>
        <v>0</v>
      </c>
      <c r="Y64" s="1759">
        <f t="shared" si="32"/>
        <v>0</v>
      </c>
      <c r="Z64" s="1653">
        <f t="shared" si="33"/>
        <v>0</v>
      </c>
      <c r="AA64" s="1486">
        <f t="shared" si="34"/>
        <v>0</v>
      </c>
      <c r="AB64" s="937">
        <f t="shared" si="35"/>
        <v>0</v>
      </c>
      <c r="AC64" s="899">
        <f t="shared" si="36"/>
        <v>0</v>
      </c>
      <c r="AD64" s="1825">
        <v>0</v>
      </c>
      <c r="AE64" s="1555">
        <f t="shared" si="37"/>
        <v>0</v>
      </c>
      <c r="AF64" s="1759">
        <f>'[4]Table 5C1M-B.R. Charter'!T63*5+'[5]Table 5C1M-B.R. Charter'!AF63*3</f>
        <v>0</v>
      </c>
      <c r="AG64" s="1759">
        <f t="shared" si="38"/>
        <v>0</v>
      </c>
      <c r="AH64" s="1555">
        <f t="shared" si="39"/>
        <v>0</v>
      </c>
      <c r="AI64" s="900">
        <f t="shared" si="44"/>
        <v>0</v>
      </c>
      <c r="AJ64" s="900">
        <f t="shared" si="45"/>
        <v>0</v>
      </c>
      <c r="AL64" s="2034">
        <f>-'[4]Table 5C1M-B.R. Charter'!P63</f>
        <v>0</v>
      </c>
      <c r="AM64" s="2034">
        <f t="shared" si="40"/>
        <v>0</v>
      </c>
      <c r="AN64" s="2034">
        <f t="shared" si="41"/>
        <v>0</v>
      </c>
    </row>
    <row r="65" spans="1:40">
      <c r="A65" s="876">
        <v>58</v>
      </c>
      <c r="B65" s="877" t="s">
        <v>148</v>
      </c>
      <c r="C65" s="972">
        <v>0</v>
      </c>
      <c r="D65" s="882">
        <f>'Table 3 Levels 1&amp;2'!AL65</f>
        <v>5457.8662803476354</v>
      </c>
      <c r="E65" s="921">
        <f t="shared" si="23"/>
        <v>0</v>
      </c>
      <c r="F65" s="921">
        <f>'Table 4 Level 3'!P63</f>
        <v>697.04</v>
      </c>
      <c r="G65" s="921">
        <f t="shared" si="24"/>
        <v>0</v>
      </c>
      <c r="H65" s="905">
        <f t="shared" si="25"/>
        <v>0</v>
      </c>
      <c r="I65" s="1734">
        <f>+'[3]Oct midyear B.R. Charter'!K64</f>
        <v>0</v>
      </c>
      <c r="J65" s="1734">
        <f>'[3]Feb midyear B.R. Charter'!K64</f>
        <v>0</v>
      </c>
      <c r="K65" s="1545">
        <f t="shared" si="26"/>
        <v>0</v>
      </c>
      <c r="L65" s="1538">
        <f t="shared" si="42"/>
        <v>0</v>
      </c>
      <c r="M65" s="931">
        <f t="shared" si="27"/>
        <v>0</v>
      </c>
      <c r="N65" s="1552">
        <f t="shared" si="28"/>
        <v>0</v>
      </c>
      <c r="O65" s="1721">
        <v>0</v>
      </c>
      <c r="P65" s="1552">
        <f t="shared" si="19"/>
        <v>0</v>
      </c>
      <c r="Q65" s="1734">
        <f>'[26]Table 5C1M-B.R. Charter'!M64*5+('[5]Table 5C1M-B.R. Charter'!T64*3)</f>
        <v>0</v>
      </c>
      <c r="R65" s="1734">
        <f t="shared" si="29"/>
        <v>0</v>
      </c>
      <c r="S65" s="1552">
        <f t="shared" si="30"/>
        <v>0</v>
      </c>
      <c r="T65" s="1802">
        <f>'Table 5C1A-Madison Prep'!T65</f>
        <v>2127</v>
      </c>
      <c r="U65" s="1555">
        <f t="shared" si="43"/>
        <v>0</v>
      </c>
      <c r="V65" s="1773">
        <f>+'[3]Oct midyear B.R. Charter'!E64</f>
        <v>0</v>
      </c>
      <c r="W65" s="1759">
        <f t="shared" si="31"/>
        <v>0</v>
      </c>
      <c r="X65" s="1758">
        <f>'[3]Feb midyear B.R. Charter'!E64</f>
        <v>0</v>
      </c>
      <c r="Y65" s="1759">
        <f t="shared" si="32"/>
        <v>0</v>
      </c>
      <c r="Z65" s="1653">
        <f t="shared" si="33"/>
        <v>0</v>
      </c>
      <c r="AA65" s="1486">
        <f t="shared" si="34"/>
        <v>0</v>
      </c>
      <c r="AB65" s="937">
        <f t="shared" si="35"/>
        <v>0</v>
      </c>
      <c r="AC65" s="899">
        <f t="shared" si="36"/>
        <v>0</v>
      </c>
      <c r="AD65" s="1825">
        <v>0</v>
      </c>
      <c r="AE65" s="1555">
        <f t="shared" si="37"/>
        <v>0</v>
      </c>
      <c r="AF65" s="1759">
        <f>'[4]Table 5C1M-B.R. Charter'!T64*5+'[5]Table 5C1M-B.R. Charter'!AF64*3</f>
        <v>0</v>
      </c>
      <c r="AG65" s="1759">
        <f t="shared" si="38"/>
        <v>0</v>
      </c>
      <c r="AH65" s="1555">
        <f t="shared" si="39"/>
        <v>0</v>
      </c>
      <c r="AI65" s="900">
        <f t="shared" si="44"/>
        <v>0</v>
      </c>
      <c r="AJ65" s="900">
        <f t="shared" si="45"/>
        <v>0</v>
      </c>
      <c r="AL65" s="2034">
        <f>-'[4]Table 5C1M-B.R. Charter'!P64</f>
        <v>0</v>
      </c>
      <c r="AM65" s="2034">
        <f t="shared" si="40"/>
        <v>0</v>
      </c>
      <c r="AN65" s="2034">
        <f t="shared" si="41"/>
        <v>0</v>
      </c>
    </row>
    <row r="66" spans="1:40">
      <c r="A66" s="876">
        <v>59</v>
      </c>
      <c r="B66" s="877" t="s">
        <v>149</v>
      </c>
      <c r="C66" s="972">
        <v>0</v>
      </c>
      <c r="D66" s="882">
        <f>'Table 3 Levels 1&amp;2'!AL66</f>
        <v>6274.2786338006481</v>
      </c>
      <c r="E66" s="921">
        <f t="shared" si="23"/>
        <v>0</v>
      </c>
      <c r="F66" s="921">
        <f>'Table 4 Level 3'!P64</f>
        <v>689.52</v>
      </c>
      <c r="G66" s="921">
        <f t="shared" si="24"/>
        <v>0</v>
      </c>
      <c r="H66" s="905">
        <f t="shared" si="25"/>
        <v>0</v>
      </c>
      <c r="I66" s="1734">
        <f>+'[3]Oct midyear B.R. Charter'!K65</f>
        <v>0</v>
      </c>
      <c r="J66" s="1734">
        <f>'[3]Feb midyear B.R. Charter'!K65</f>
        <v>0</v>
      </c>
      <c r="K66" s="1545">
        <f t="shared" si="26"/>
        <v>0</v>
      </c>
      <c r="L66" s="1538">
        <f t="shared" si="42"/>
        <v>0</v>
      </c>
      <c r="M66" s="931">
        <f t="shared" si="27"/>
        <v>0</v>
      </c>
      <c r="N66" s="1552">
        <f t="shared" si="28"/>
        <v>0</v>
      </c>
      <c r="O66" s="1721">
        <v>0</v>
      </c>
      <c r="P66" s="1552">
        <f t="shared" si="19"/>
        <v>0</v>
      </c>
      <c r="Q66" s="1734">
        <f>'[26]Table 5C1M-B.R. Charter'!M65*5+('[5]Table 5C1M-B.R. Charter'!T65*3)</f>
        <v>0</v>
      </c>
      <c r="R66" s="1734">
        <f t="shared" si="29"/>
        <v>0</v>
      </c>
      <c r="S66" s="1552">
        <f t="shared" si="30"/>
        <v>0</v>
      </c>
      <c r="T66" s="1802">
        <f>'Table 5C1A-Madison Prep'!T66</f>
        <v>1729</v>
      </c>
      <c r="U66" s="1555">
        <f t="shared" si="43"/>
        <v>0</v>
      </c>
      <c r="V66" s="1773">
        <f>+'[3]Oct midyear B.R. Charter'!E65</f>
        <v>0</v>
      </c>
      <c r="W66" s="1759">
        <f t="shared" si="31"/>
        <v>0</v>
      </c>
      <c r="X66" s="1758">
        <f>'[3]Feb midyear B.R. Charter'!E65</f>
        <v>0</v>
      </c>
      <c r="Y66" s="1759">
        <f t="shared" si="32"/>
        <v>0</v>
      </c>
      <c r="Z66" s="1653">
        <f t="shared" si="33"/>
        <v>0</v>
      </c>
      <c r="AA66" s="1486">
        <f t="shared" si="34"/>
        <v>0</v>
      </c>
      <c r="AB66" s="937">
        <f t="shared" si="35"/>
        <v>0</v>
      </c>
      <c r="AC66" s="899">
        <f t="shared" si="36"/>
        <v>0</v>
      </c>
      <c r="AD66" s="1825">
        <v>0</v>
      </c>
      <c r="AE66" s="1555">
        <f t="shared" si="37"/>
        <v>0</v>
      </c>
      <c r="AF66" s="1759">
        <f>'[4]Table 5C1M-B.R. Charter'!T65*5+'[5]Table 5C1M-B.R. Charter'!AF65*3</f>
        <v>0</v>
      </c>
      <c r="AG66" s="1759">
        <f t="shared" si="38"/>
        <v>0</v>
      </c>
      <c r="AH66" s="1555">
        <f t="shared" si="39"/>
        <v>0</v>
      </c>
      <c r="AI66" s="900">
        <f t="shared" si="44"/>
        <v>0</v>
      </c>
      <c r="AJ66" s="900">
        <f t="shared" si="45"/>
        <v>0</v>
      </c>
      <c r="AL66" s="2034">
        <f>-'[4]Table 5C1M-B.R. Charter'!P65</f>
        <v>0</v>
      </c>
      <c r="AM66" s="2034">
        <f t="shared" si="40"/>
        <v>0</v>
      </c>
      <c r="AN66" s="2034">
        <f t="shared" si="41"/>
        <v>0</v>
      </c>
    </row>
    <row r="67" spans="1:40">
      <c r="A67" s="879">
        <v>60</v>
      </c>
      <c r="B67" s="880" t="s">
        <v>150</v>
      </c>
      <c r="C67" s="973">
        <v>0</v>
      </c>
      <c r="D67" s="883">
        <f>'Table 3 Levels 1&amp;2'!AL67</f>
        <v>4940.9166775610411</v>
      </c>
      <c r="E67" s="922">
        <f t="shared" si="23"/>
        <v>0</v>
      </c>
      <c r="F67" s="922">
        <f>'Table 4 Level 3'!P65</f>
        <v>594.04</v>
      </c>
      <c r="G67" s="922">
        <f t="shared" si="24"/>
        <v>0</v>
      </c>
      <c r="H67" s="906">
        <f t="shared" si="25"/>
        <v>0</v>
      </c>
      <c r="I67" s="1735">
        <f>+'[3]Oct midyear B.R. Charter'!K66</f>
        <v>0</v>
      </c>
      <c r="J67" s="1735">
        <f>'[3]Feb midyear B.R. Charter'!K66</f>
        <v>0</v>
      </c>
      <c r="K67" s="1546">
        <f t="shared" si="26"/>
        <v>0</v>
      </c>
      <c r="L67" s="1539">
        <f t="shared" si="42"/>
        <v>0</v>
      </c>
      <c r="M67" s="932">
        <f t="shared" si="27"/>
        <v>0</v>
      </c>
      <c r="N67" s="1553">
        <f t="shared" si="28"/>
        <v>0</v>
      </c>
      <c r="O67" s="1722">
        <v>0</v>
      </c>
      <c r="P67" s="1553">
        <f t="shared" si="19"/>
        <v>0</v>
      </c>
      <c r="Q67" s="1735">
        <f>'[26]Table 5C1M-B.R. Charter'!M66*5+('[5]Table 5C1M-B.R. Charter'!T66*3)</f>
        <v>0</v>
      </c>
      <c r="R67" s="1735">
        <f t="shared" si="29"/>
        <v>0</v>
      </c>
      <c r="S67" s="1553">
        <f t="shared" si="30"/>
        <v>0</v>
      </c>
      <c r="T67" s="1807">
        <f>'Table 5C1A-Madison Prep'!T67</f>
        <v>3801</v>
      </c>
      <c r="U67" s="1556">
        <f t="shared" si="43"/>
        <v>0</v>
      </c>
      <c r="V67" s="1774">
        <f>+'[3]Oct midyear B.R. Charter'!E66</f>
        <v>0</v>
      </c>
      <c r="W67" s="1763">
        <f t="shared" si="31"/>
        <v>0</v>
      </c>
      <c r="X67" s="1762">
        <f>'[3]Feb midyear B.R. Charter'!E66</f>
        <v>0</v>
      </c>
      <c r="Y67" s="1763">
        <f t="shared" si="32"/>
        <v>0</v>
      </c>
      <c r="Z67" s="1654">
        <f t="shared" si="33"/>
        <v>0</v>
      </c>
      <c r="AA67" s="1488">
        <f t="shared" si="34"/>
        <v>0</v>
      </c>
      <c r="AB67" s="938">
        <f t="shared" si="35"/>
        <v>0</v>
      </c>
      <c r="AC67" s="903">
        <f t="shared" si="36"/>
        <v>0</v>
      </c>
      <c r="AD67" s="1826">
        <v>0</v>
      </c>
      <c r="AE67" s="1556">
        <f t="shared" si="37"/>
        <v>0</v>
      </c>
      <c r="AF67" s="1763">
        <f>'[4]Table 5C1M-B.R. Charter'!T66*5+'[5]Table 5C1M-B.R. Charter'!AF66*3</f>
        <v>0</v>
      </c>
      <c r="AG67" s="1763">
        <f t="shared" si="38"/>
        <v>0</v>
      </c>
      <c r="AH67" s="1556">
        <f t="shared" si="39"/>
        <v>0</v>
      </c>
      <c r="AI67" s="904">
        <f t="shared" si="44"/>
        <v>0</v>
      </c>
      <c r="AJ67" s="904">
        <f t="shared" si="45"/>
        <v>0</v>
      </c>
      <c r="AL67" s="2034">
        <f>-'[4]Table 5C1M-B.R. Charter'!P66</f>
        <v>0</v>
      </c>
      <c r="AM67" s="2034">
        <f t="shared" si="40"/>
        <v>0</v>
      </c>
      <c r="AN67" s="2034">
        <f t="shared" si="41"/>
        <v>0</v>
      </c>
    </row>
    <row r="68" spans="1:40">
      <c r="A68" s="870">
        <v>61</v>
      </c>
      <c r="B68" s="871" t="s">
        <v>151</v>
      </c>
      <c r="C68" s="974">
        <v>0</v>
      </c>
      <c r="D68" s="884">
        <f>'Table 3 Levels 1&amp;2'!AL68</f>
        <v>2908.0344869339228</v>
      </c>
      <c r="E68" s="923">
        <f t="shared" si="23"/>
        <v>0</v>
      </c>
      <c r="F68" s="923">
        <f>'Table 4 Level 3'!P66</f>
        <v>833.70999999999992</v>
      </c>
      <c r="G68" s="923">
        <f t="shared" si="24"/>
        <v>0</v>
      </c>
      <c r="H68" s="907">
        <f t="shared" si="25"/>
        <v>0</v>
      </c>
      <c r="I68" s="1723">
        <f>+'[3]Oct midyear B.R. Charter'!K67</f>
        <v>0</v>
      </c>
      <c r="J68" s="1723">
        <f>'[3]Feb midyear B.R. Charter'!K67</f>
        <v>0</v>
      </c>
      <c r="K68" s="1547">
        <f t="shared" si="26"/>
        <v>0</v>
      </c>
      <c r="L68" s="996">
        <f t="shared" si="42"/>
        <v>0</v>
      </c>
      <c r="M68" s="933">
        <f t="shared" si="27"/>
        <v>0</v>
      </c>
      <c r="N68" s="996">
        <f t="shared" si="28"/>
        <v>0</v>
      </c>
      <c r="O68" s="1723">
        <v>0</v>
      </c>
      <c r="P68" s="996">
        <f t="shared" si="19"/>
        <v>0</v>
      </c>
      <c r="Q68" s="1723">
        <f>'[26]Table 5C1M-B.R. Charter'!M67*5+('[5]Table 5C1M-B.R. Charter'!T67*3)</f>
        <v>0</v>
      </c>
      <c r="R68" s="1723">
        <f t="shared" si="29"/>
        <v>0</v>
      </c>
      <c r="S68" s="996">
        <f t="shared" si="30"/>
        <v>0</v>
      </c>
      <c r="T68" s="1802">
        <f>'Table 5C1A-Madison Prep'!T68</f>
        <v>6597</v>
      </c>
      <c r="U68" s="999">
        <f t="shared" si="43"/>
        <v>0</v>
      </c>
      <c r="V68" s="1772">
        <f>+'[3]Oct midyear B.R. Charter'!E67</f>
        <v>0</v>
      </c>
      <c r="W68" s="1755">
        <f t="shared" si="31"/>
        <v>0</v>
      </c>
      <c r="X68" s="1754">
        <f>'[3]Feb midyear B.R. Charter'!E67</f>
        <v>0</v>
      </c>
      <c r="Y68" s="1755">
        <f t="shared" si="32"/>
        <v>0</v>
      </c>
      <c r="Z68" s="1652">
        <f t="shared" si="33"/>
        <v>0</v>
      </c>
      <c r="AA68" s="1521">
        <f t="shared" si="34"/>
        <v>0</v>
      </c>
      <c r="AB68" s="936">
        <f t="shared" si="35"/>
        <v>0</v>
      </c>
      <c r="AC68" s="874">
        <f t="shared" si="36"/>
        <v>0</v>
      </c>
      <c r="AD68" s="1755">
        <v>0</v>
      </c>
      <c r="AE68" s="999">
        <f t="shared" si="37"/>
        <v>0</v>
      </c>
      <c r="AF68" s="1755">
        <f>'[4]Table 5C1M-B.R. Charter'!T67*5+'[5]Table 5C1M-B.R. Charter'!AF67*3</f>
        <v>0</v>
      </c>
      <c r="AG68" s="1755">
        <f t="shared" si="38"/>
        <v>0</v>
      </c>
      <c r="AH68" s="999">
        <f t="shared" si="39"/>
        <v>0</v>
      </c>
      <c r="AI68" s="875">
        <f t="shared" si="44"/>
        <v>0</v>
      </c>
      <c r="AJ68" s="875">
        <f t="shared" si="45"/>
        <v>0</v>
      </c>
      <c r="AL68" s="2034">
        <f>-'[4]Table 5C1M-B.R. Charter'!P67</f>
        <v>0</v>
      </c>
      <c r="AM68" s="2034">
        <f t="shared" si="40"/>
        <v>0</v>
      </c>
      <c r="AN68" s="2034">
        <f t="shared" si="41"/>
        <v>0</v>
      </c>
    </row>
    <row r="69" spans="1:40">
      <c r="A69" s="876">
        <v>62</v>
      </c>
      <c r="B69" s="877" t="s">
        <v>152</v>
      </c>
      <c r="C69" s="972">
        <v>0</v>
      </c>
      <c r="D69" s="882">
        <f>'Table 3 Levels 1&amp;2'!AL69</f>
        <v>5652.1730736722093</v>
      </c>
      <c r="E69" s="921">
        <f t="shared" si="23"/>
        <v>0</v>
      </c>
      <c r="F69" s="921">
        <f>'Table 4 Level 3'!P67</f>
        <v>516.08000000000004</v>
      </c>
      <c r="G69" s="921">
        <f t="shared" si="24"/>
        <v>0</v>
      </c>
      <c r="H69" s="905">
        <f t="shared" si="25"/>
        <v>0</v>
      </c>
      <c r="I69" s="1734">
        <f>+'[3]Oct midyear B.R. Charter'!K68</f>
        <v>0</v>
      </c>
      <c r="J69" s="1734">
        <f>'[3]Feb midyear B.R. Charter'!K68</f>
        <v>0</v>
      </c>
      <c r="K69" s="1545">
        <f t="shared" si="26"/>
        <v>0</v>
      </c>
      <c r="L69" s="1538">
        <f t="shared" si="42"/>
        <v>0</v>
      </c>
      <c r="M69" s="931">
        <f t="shared" si="27"/>
        <v>0</v>
      </c>
      <c r="N69" s="1552">
        <f t="shared" si="28"/>
        <v>0</v>
      </c>
      <c r="O69" s="1721">
        <v>0</v>
      </c>
      <c r="P69" s="1552">
        <f t="shared" si="19"/>
        <v>0</v>
      </c>
      <c r="Q69" s="1734">
        <f>'[26]Table 5C1M-B.R. Charter'!M68*5+('[5]Table 5C1M-B.R. Charter'!T68*3)</f>
        <v>0</v>
      </c>
      <c r="R69" s="1734">
        <f t="shared" si="29"/>
        <v>0</v>
      </c>
      <c r="S69" s="1552">
        <f t="shared" si="30"/>
        <v>0</v>
      </c>
      <c r="T69" s="1802">
        <f>'Table 5C1A-Madison Prep'!T69</f>
        <v>1998</v>
      </c>
      <c r="U69" s="1555">
        <f t="shared" si="43"/>
        <v>0</v>
      </c>
      <c r="V69" s="1773">
        <f>+'[3]Oct midyear B.R. Charter'!E68</f>
        <v>0</v>
      </c>
      <c r="W69" s="1759">
        <f t="shared" si="31"/>
        <v>0</v>
      </c>
      <c r="X69" s="1758">
        <f>'[3]Feb midyear B.R. Charter'!E68</f>
        <v>0</v>
      </c>
      <c r="Y69" s="1759">
        <f t="shared" si="32"/>
        <v>0</v>
      </c>
      <c r="Z69" s="1653">
        <f t="shared" si="33"/>
        <v>0</v>
      </c>
      <c r="AA69" s="1486">
        <f t="shared" si="34"/>
        <v>0</v>
      </c>
      <c r="AB69" s="937">
        <f t="shared" si="35"/>
        <v>0</v>
      </c>
      <c r="AC69" s="899">
        <f t="shared" si="36"/>
        <v>0</v>
      </c>
      <c r="AD69" s="1825">
        <v>0</v>
      </c>
      <c r="AE69" s="1555">
        <f t="shared" si="37"/>
        <v>0</v>
      </c>
      <c r="AF69" s="1759">
        <f>'[4]Table 5C1M-B.R. Charter'!T68*5+'[5]Table 5C1M-B.R. Charter'!AF68*3</f>
        <v>0</v>
      </c>
      <c r="AG69" s="1759">
        <f t="shared" si="38"/>
        <v>0</v>
      </c>
      <c r="AH69" s="1555">
        <f t="shared" si="39"/>
        <v>0</v>
      </c>
      <c r="AI69" s="900">
        <f t="shared" si="44"/>
        <v>0</v>
      </c>
      <c r="AJ69" s="900">
        <f t="shared" si="45"/>
        <v>0</v>
      </c>
      <c r="AL69" s="2034">
        <f>-'[4]Table 5C1M-B.R. Charter'!P68</f>
        <v>0</v>
      </c>
      <c r="AM69" s="2034">
        <f t="shared" si="40"/>
        <v>0</v>
      </c>
      <c r="AN69" s="2034">
        <f t="shared" si="41"/>
        <v>0</v>
      </c>
    </row>
    <row r="70" spans="1:40">
      <c r="A70" s="876">
        <v>63</v>
      </c>
      <c r="B70" s="877" t="s">
        <v>153</v>
      </c>
      <c r="C70" s="972">
        <v>0</v>
      </c>
      <c r="D70" s="882">
        <f>'Table 3 Levels 1&amp;2'!AL70</f>
        <v>4362.300753810403</v>
      </c>
      <c r="E70" s="921">
        <f t="shared" si="23"/>
        <v>0</v>
      </c>
      <c r="F70" s="921">
        <f>'Table 4 Level 3'!P68</f>
        <v>756.79</v>
      </c>
      <c r="G70" s="921">
        <f t="shared" si="24"/>
        <v>0</v>
      </c>
      <c r="H70" s="905">
        <f t="shared" si="25"/>
        <v>0</v>
      </c>
      <c r="I70" s="1734">
        <f>+'[3]Oct midyear B.R. Charter'!K69</f>
        <v>0</v>
      </c>
      <c r="J70" s="1734">
        <f>'[3]Feb midyear B.R. Charter'!K69</f>
        <v>0</v>
      </c>
      <c r="K70" s="1545">
        <f t="shared" si="26"/>
        <v>0</v>
      </c>
      <c r="L70" s="1538">
        <f t="shared" si="42"/>
        <v>0</v>
      </c>
      <c r="M70" s="931">
        <f t="shared" si="27"/>
        <v>0</v>
      </c>
      <c r="N70" s="1552">
        <f t="shared" si="28"/>
        <v>0</v>
      </c>
      <c r="O70" s="1721">
        <v>0</v>
      </c>
      <c r="P70" s="1552">
        <f t="shared" si="19"/>
        <v>0</v>
      </c>
      <c r="Q70" s="1734">
        <f>'[26]Table 5C1M-B.R. Charter'!M69*5+('[5]Table 5C1M-B.R. Charter'!T69*3)</f>
        <v>0</v>
      </c>
      <c r="R70" s="1734">
        <f t="shared" si="29"/>
        <v>0</v>
      </c>
      <c r="S70" s="1552">
        <f t="shared" si="30"/>
        <v>0</v>
      </c>
      <c r="T70" s="1802">
        <f>'Table 5C1A-Madison Prep'!T70</f>
        <v>7391</v>
      </c>
      <c r="U70" s="1555">
        <f t="shared" si="43"/>
        <v>0</v>
      </c>
      <c r="V70" s="1773">
        <f>+'[3]Oct midyear B.R. Charter'!E69</f>
        <v>0</v>
      </c>
      <c r="W70" s="1759">
        <f t="shared" si="31"/>
        <v>0</v>
      </c>
      <c r="X70" s="1758">
        <f>'[3]Feb midyear B.R. Charter'!E69</f>
        <v>0</v>
      </c>
      <c r="Y70" s="1759">
        <f t="shared" si="32"/>
        <v>0</v>
      </c>
      <c r="Z70" s="1653">
        <f t="shared" si="33"/>
        <v>0</v>
      </c>
      <c r="AA70" s="1486">
        <f t="shared" si="34"/>
        <v>0</v>
      </c>
      <c r="AB70" s="937">
        <f t="shared" si="35"/>
        <v>0</v>
      </c>
      <c r="AC70" s="899">
        <f t="shared" si="36"/>
        <v>0</v>
      </c>
      <c r="AD70" s="1825">
        <v>0</v>
      </c>
      <c r="AE70" s="1555">
        <f t="shared" si="37"/>
        <v>0</v>
      </c>
      <c r="AF70" s="1759">
        <f>'[4]Table 5C1M-B.R. Charter'!T69*5+'[5]Table 5C1M-B.R. Charter'!AF69*3</f>
        <v>0</v>
      </c>
      <c r="AG70" s="1759">
        <f t="shared" si="38"/>
        <v>0</v>
      </c>
      <c r="AH70" s="1555">
        <f t="shared" si="39"/>
        <v>0</v>
      </c>
      <c r="AI70" s="900">
        <f t="shared" si="44"/>
        <v>0</v>
      </c>
      <c r="AJ70" s="900">
        <f t="shared" si="45"/>
        <v>0</v>
      </c>
      <c r="AL70" s="2034">
        <f>-'[4]Table 5C1M-B.R. Charter'!P69</f>
        <v>0</v>
      </c>
      <c r="AM70" s="2034">
        <f t="shared" si="40"/>
        <v>0</v>
      </c>
      <c r="AN70" s="2034">
        <f t="shared" si="41"/>
        <v>0</v>
      </c>
    </row>
    <row r="71" spans="1:40">
      <c r="A71" s="876">
        <v>64</v>
      </c>
      <c r="B71" s="877" t="s">
        <v>154</v>
      </c>
      <c r="C71" s="972">
        <v>0</v>
      </c>
      <c r="D71" s="882">
        <f>'Table 3 Levels 1&amp;2'!AL71</f>
        <v>5960.2049072003338</v>
      </c>
      <c r="E71" s="921">
        <f t="shared" si="23"/>
        <v>0</v>
      </c>
      <c r="F71" s="921">
        <f>'Table 4 Level 3'!P69</f>
        <v>592.66</v>
      </c>
      <c r="G71" s="921">
        <f t="shared" si="24"/>
        <v>0</v>
      </c>
      <c r="H71" s="905">
        <f t="shared" si="25"/>
        <v>0</v>
      </c>
      <c r="I71" s="1734">
        <f>+'[3]Oct midyear B.R. Charter'!K70</f>
        <v>0</v>
      </c>
      <c r="J71" s="1734">
        <f>'[3]Feb midyear B.R. Charter'!K70</f>
        <v>0</v>
      </c>
      <c r="K71" s="1545">
        <f t="shared" si="26"/>
        <v>0</v>
      </c>
      <c r="L71" s="1538">
        <f t="shared" si="42"/>
        <v>0</v>
      </c>
      <c r="M71" s="931">
        <f t="shared" si="27"/>
        <v>0</v>
      </c>
      <c r="N71" s="1552">
        <f t="shared" si="28"/>
        <v>0</v>
      </c>
      <c r="O71" s="1721">
        <v>0</v>
      </c>
      <c r="P71" s="1552">
        <f t="shared" si="19"/>
        <v>0</v>
      </c>
      <c r="Q71" s="1734">
        <f>'[26]Table 5C1M-B.R. Charter'!M70*5+('[5]Table 5C1M-B.R. Charter'!T70*3)</f>
        <v>0</v>
      </c>
      <c r="R71" s="1734">
        <f t="shared" si="29"/>
        <v>0</v>
      </c>
      <c r="S71" s="1552">
        <f t="shared" si="30"/>
        <v>0</v>
      </c>
      <c r="T71" s="1802">
        <f>'Table 5C1A-Madison Prep'!T71</f>
        <v>2902</v>
      </c>
      <c r="U71" s="1555">
        <f t="shared" si="43"/>
        <v>0</v>
      </c>
      <c r="V71" s="1773">
        <f>+'[3]Oct midyear B.R. Charter'!E70</f>
        <v>0</v>
      </c>
      <c r="W71" s="1759">
        <f t="shared" si="31"/>
        <v>0</v>
      </c>
      <c r="X71" s="1758">
        <f>'[3]Feb midyear B.R. Charter'!E70</f>
        <v>0</v>
      </c>
      <c r="Y71" s="1759">
        <f t="shared" si="32"/>
        <v>0</v>
      </c>
      <c r="Z71" s="1653">
        <f t="shared" si="33"/>
        <v>0</v>
      </c>
      <c r="AA71" s="1486">
        <f t="shared" si="34"/>
        <v>0</v>
      </c>
      <c r="AB71" s="937">
        <f t="shared" si="35"/>
        <v>0</v>
      </c>
      <c r="AC71" s="899">
        <f t="shared" si="36"/>
        <v>0</v>
      </c>
      <c r="AD71" s="1825">
        <v>0</v>
      </c>
      <c r="AE71" s="1555">
        <f t="shared" si="37"/>
        <v>0</v>
      </c>
      <c r="AF71" s="1759">
        <f>'[4]Table 5C1M-B.R. Charter'!T70*5+'[5]Table 5C1M-B.R. Charter'!AF70*3</f>
        <v>0</v>
      </c>
      <c r="AG71" s="1759">
        <f t="shared" si="38"/>
        <v>0</v>
      </c>
      <c r="AH71" s="1555">
        <f t="shared" si="39"/>
        <v>0</v>
      </c>
      <c r="AI71" s="900">
        <f t="shared" si="44"/>
        <v>0</v>
      </c>
      <c r="AJ71" s="900">
        <f t="shared" si="45"/>
        <v>0</v>
      </c>
      <c r="AL71" s="2034">
        <f>-'[4]Table 5C1M-B.R. Charter'!P70</f>
        <v>0</v>
      </c>
      <c r="AM71" s="2034">
        <f t="shared" si="40"/>
        <v>0</v>
      </c>
      <c r="AN71" s="2034">
        <f t="shared" si="41"/>
        <v>0</v>
      </c>
    </row>
    <row r="72" spans="1:40">
      <c r="A72" s="879">
        <v>65</v>
      </c>
      <c r="B72" s="880" t="s">
        <v>155</v>
      </c>
      <c r="C72" s="973">
        <v>0</v>
      </c>
      <c r="D72" s="883">
        <f>'Table 3 Levels 1&amp;2'!AL72</f>
        <v>4579.2772303106676</v>
      </c>
      <c r="E72" s="922">
        <f t="shared" si="23"/>
        <v>0</v>
      </c>
      <c r="F72" s="922">
        <f>'Table 4 Level 3'!P70</f>
        <v>829.12</v>
      </c>
      <c r="G72" s="922">
        <f t="shared" si="24"/>
        <v>0</v>
      </c>
      <c r="H72" s="906">
        <f t="shared" si="25"/>
        <v>0</v>
      </c>
      <c r="I72" s="1735">
        <f>+'[3]Oct midyear B.R. Charter'!K71</f>
        <v>0</v>
      </c>
      <c r="J72" s="1735">
        <f>'[3]Feb midyear B.R. Charter'!K71</f>
        <v>0</v>
      </c>
      <c r="K72" s="1546">
        <f t="shared" si="26"/>
        <v>0</v>
      </c>
      <c r="L72" s="1539">
        <f t="shared" ref="L72:L76" si="46">H72+K72</f>
        <v>0</v>
      </c>
      <c r="M72" s="932">
        <f t="shared" si="27"/>
        <v>0</v>
      </c>
      <c r="N72" s="1553">
        <f t="shared" si="28"/>
        <v>0</v>
      </c>
      <c r="O72" s="1722">
        <v>0</v>
      </c>
      <c r="P72" s="1553">
        <f t="shared" si="19"/>
        <v>0</v>
      </c>
      <c r="Q72" s="1735">
        <f>'[26]Table 5C1M-B.R. Charter'!M71*5+('[5]Table 5C1M-B.R. Charter'!T71*3)</f>
        <v>0</v>
      </c>
      <c r="R72" s="1735">
        <f t="shared" si="29"/>
        <v>0</v>
      </c>
      <c r="S72" s="1553">
        <f t="shared" si="30"/>
        <v>0</v>
      </c>
      <c r="T72" s="1807">
        <f>'Table 5C1A-Madison Prep'!T72</f>
        <v>4823</v>
      </c>
      <c r="U72" s="1556">
        <f t="shared" ref="U72:U76" si="47">C72*T72</f>
        <v>0</v>
      </c>
      <c r="V72" s="1774">
        <f>+'[3]Oct midyear B.R. Charter'!E71</f>
        <v>0</v>
      </c>
      <c r="W72" s="1763">
        <f t="shared" si="31"/>
        <v>0</v>
      </c>
      <c r="X72" s="1762">
        <f>'[3]Feb midyear B.R. Charter'!E71</f>
        <v>0</v>
      </c>
      <c r="Y72" s="1763">
        <f t="shared" si="32"/>
        <v>0</v>
      </c>
      <c r="Z72" s="1654">
        <f t="shared" si="33"/>
        <v>0</v>
      </c>
      <c r="AA72" s="1488">
        <f t="shared" si="34"/>
        <v>0</v>
      </c>
      <c r="AB72" s="938">
        <f t="shared" si="35"/>
        <v>0</v>
      </c>
      <c r="AC72" s="903">
        <f t="shared" si="36"/>
        <v>0</v>
      </c>
      <c r="AD72" s="1826">
        <v>0</v>
      </c>
      <c r="AE72" s="1556">
        <f t="shared" si="37"/>
        <v>0</v>
      </c>
      <c r="AF72" s="1763">
        <f>'[4]Table 5C1M-B.R. Charter'!T71*5+'[5]Table 5C1M-B.R. Charter'!AF71*3</f>
        <v>0</v>
      </c>
      <c r="AG72" s="1763">
        <f t="shared" si="38"/>
        <v>0</v>
      </c>
      <c r="AH72" s="1556">
        <f t="shared" si="39"/>
        <v>0</v>
      </c>
      <c r="AI72" s="904">
        <f t="shared" si="44"/>
        <v>0</v>
      </c>
      <c r="AJ72" s="904">
        <f t="shared" si="45"/>
        <v>0</v>
      </c>
      <c r="AL72" s="2034">
        <f>-'[4]Table 5C1M-B.R. Charter'!P71</f>
        <v>0</v>
      </c>
      <c r="AM72" s="2034">
        <f t="shared" si="40"/>
        <v>0</v>
      </c>
      <c r="AN72" s="2034">
        <f t="shared" si="41"/>
        <v>0</v>
      </c>
    </row>
    <row r="73" spans="1:40">
      <c r="A73" s="870">
        <v>66</v>
      </c>
      <c r="B73" s="871" t="s">
        <v>156</v>
      </c>
      <c r="C73" s="974">
        <v>0</v>
      </c>
      <c r="D73" s="884">
        <f>'Table 3 Levels 1&amp;2'!AL73</f>
        <v>6370.8108195713585</v>
      </c>
      <c r="E73" s="923">
        <f t="shared" ref="E73:E76" si="48">C73*D73</f>
        <v>0</v>
      </c>
      <c r="F73" s="923">
        <f>'Table 4 Level 3'!P71</f>
        <v>730.06</v>
      </c>
      <c r="G73" s="923">
        <f t="shared" ref="G73:G76" si="49">C73*F73</f>
        <v>0</v>
      </c>
      <c r="H73" s="907">
        <f t="shared" ref="H73:H76" si="50">E73+G73</f>
        <v>0</v>
      </c>
      <c r="I73" s="1723">
        <f>+'[3]Oct midyear B.R. Charter'!K72</f>
        <v>0</v>
      </c>
      <c r="J73" s="1723">
        <f>'[3]Feb midyear B.R. Charter'!K72</f>
        <v>0</v>
      </c>
      <c r="K73" s="1547">
        <f t="shared" ref="K73:K76" si="51">I73+J73</f>
        <v>0</v>
      </c>
      <c r="L73" s="996">
        <f t="shared" si="46"/>
        <v>0</v>
      </c>
      <c r="M73" s="933">
        <f t="shared" ref="M73:M76" si="52">-(0.25%*L73)</f>
        <v>0</v>
      </c>
      <c r="N73" s="996">
        <f t="shared" ref="N73:N76" si="53">SUM(L73:M73)</f>
        <v>0</v>
      </c>
      <c r="O73" s="1723">
        <v>0</v>
      </c>
      <c r="P73" s="996">
        <f t="shared" ref="P73:P76" si="54">SUM(N73:O73)</f>
        <v>0</v>
      </c>
      <c r="Q73" s="1723">
        <f>'[26]Table 5C1M-B.R. Charter'!M72*5+('[5]Table 5C1M-B.R. Charter'!T72*3)</f>
        <v>0</v>
      </c>
      <c r="R73" s="1723">
        <f t="shared" ref="R73:R76" si="55">P73-Q73</f>
        <v>0</v>
      </c>
      <c r="S73" s="996">
        <f t="shared" ref="S73:S76" si="56">ROUND(R73/4,0)</f>
        <v>0</v>
      </c>
      <c r="T73" s="1802">
        <f>'Table 5C1A-Madison Prep'!T73</f>
        <v>3524</v>
      </c>
      <c r="U73" s="999">
        <f t="shared" si="47"/>
        <v>0</v>
      </c>
      <c r="V73" s="1772">
        <f>+'[3]Oct midyear B.R. Charter'!E72</f>
        <v>0</v>
      </c>
      <c r="W73" s="1755">
        <f t="shared" ref="W73:W76" si="57">V73*T73</f>
        <v>0</v>
      </c>
      <c r="X73" s="1754">
        <f>'[3]Feb midyear B.R. Charter'!E72</f>
        <v>0</v>
      </c>
      <c r="Y73" s="1755">
        <f t="shared" ref="Y73:Y76" si="58">(T73*X73)*0.5</f>
        <v>0</v>
      </c>
      <c r="Z73" s="1652">
        <f t="shared" ref="Z73:Z76" si="59">+W73+Y73</f>
        <v>0</v>
      </c>
      <c r="AA73" s="1521">
        <f t="shared" ref="AA73:AA76" si="60">U73+Z73</f>
        <v>0</v>
      </c>
      <c r="AB73" s="936">
        <f t="shared" ref="AB73:AB76" si="61">-(0.25%*AA73)</f>
        <v>0</v>
      </c>
      <c r="AC73" s="874">
        <f t="shared" ref="AC73:AC76" si="62">SUM(AA73:AB73)</f>
        <v>0</v>
      </c>
      <c r="AD73" s="1755">
        <v>0</v>
      </c>
      <c r="AE73" s="999">
        <f t="shared" ref="AE73:AE76" si="63">SUM(AC73:AD73)</f>
        <v>0</v>
      </c>
      <c r="AF73" s="1755">
        <f>'[4]Table 5C1M-B.R. Charter'!T72*5+'[5]Table 5C1M-B.R. Charter'!AF72*3</f>
        <v>0</v>
      </c>
      <c r="AG73" s="1755">
        <f t="shared" ref="AG73:AG75" si="64">AE73-AF73</f>
        <v>0</v>
      </c>
      <c r="AH73" s="999">
        <f t="shared" ref="AH73:AH76" si="65">ROUND(AG73/4,0)</f>
        <v>0</v>
      </c>
      <c r="AI73" s="875">
        <f t="shared" si="44"/>
        <v>0</v>
      </c>
      <c r="AJ73" s="875">
        <f t="shared" si="45"/>
        <v>0</v>
      </c>
      <c r="AL73" s="2034">
        <f>-'[4]Table 5C1M-B.R. Charter'!P72</f>
        <v>0</v>
      </c>
      <c r="AM73" s="2034">
        <f t="shared" ref="AM73:AM76" si="66">AB73</f>
        <v>0</v>
      </c>
      <c r="AN73" s="2034">
        <f t="shared" ref="AN73:AN76" si="67">SUM(AL73:AM73)</f>
        <v>0</v>
      </c>
    </row>
    <row r="74" spans="1:40">
      <c r="A74" s="876">
        <v>67</v>
      </c>
      <c r="B74" s="877" t="s">
        <v>32</v>
      </c>
      <c r="C74" s="972">
        <v>0</v>
      </c>
      <c r="D74" s="882">
        <f>'Table 3 Levels 1&amp;2'!AL74</f>
        <v>4951.6009932106244</v>
      </c>
      <c r="E74" s="921">
        <f t="shared" si="48"/>
        <v>0</v>
      </c>
      <c r="F74" s="921">
        <f>'Table 4 Level 3'!P72</f>
        <v>715.61</v>
      </c>
      <c r="G74" s="921">
        <f t="shared" si="49"/>
        <v>0</v>
      </c>
      <c r="H74" s="905">
        <f t="shared" si="50"/>
        <v>0</v>
      </c>
      <c r="I74" s="1734">
        <f>+'[3]Oct midyear B.R. Charter'!K73</f>
        <v>0</v>
      </c>
      <c r="J74" s="1734">
        <f>'[3]Feb midyear B.R. Charter'!K73</f>
        <v>0</v>
      </c>
      <c r="K74" s="1545">
        <f t="shared" si="51"/>
        <v>0</v>
      </c>
      <c r="L74" s="1538">
        <f t="shared" si="46"/>
        <v>0</v>
      </c>
      <c r="M74" s="931">
        <f t="shared" si="52"/>
        <v>0</v>
      </c>
      <c r="N74" s="1552">
        <f t="shared" si="53"/>
        <v>0</v>
      </c>
      <c r="O74" s="1721">
        <v>0</v>
      </c>
      <c r="P74" s="1552">
        <f t="shared" si="54"/>
        <v>0</v>
      </c>
      <c r="Q74" s="1734">
        <f>'[26]Table 5C1M-B.R. Charter'!M73*5+('[5]Table 5C1M-B.R. Charter'!T73*3)</f>
        <v>0</v>
      </c>
      <c r="R74" s="1734">
        <f t="shared" si="55"/>
        <v>0</v>
      </c>
      <c r="S74" s="1552">
        <f t="shared" si="56"/>
        <v>0</v>
      </c>
      <c r="T74" s="1802">
        <f>'Table 5C1A-Madison Prep'!T74</f>
        <v>5007</v>
      </c>
      <c r="U74" s="1555">
        <f t="shared" si="47"/>
        <v>0</v>
      </c>
      <c r="V74" s="1773">
        <f>+'[3]Oct midyear B.R. Charter'!E73</f>
        <v>0</v>
      </c>
      <c r="W74" s="1759">
        <f t="shared" si="57"/>
        <v>0</v>
      </c>
      <c r="X74" s="1758">
        <f>'[3]Feb midyear B.R. Charter'!E73</f>
        <v>0</v>
      </c>
      <c r="Y74" s="1759">
        <f t="shared" si="58"/>
        <v>0</v>
      </c>
      <c r="Z74" s="1653">
        <f t="shared" si="59"/>
        <v>0</v>
      </c>
      <c r="AA74" s="1486">
        <f t="shared" si="60"/>
        <v>0</v>
      </c>
      <c r="AB74" s="937">
        <f t="shared" si="61"/>
        <v>0</v>
      </c>
      <c r="AC74" s="899">
        <f t="shared" si="62"/>
        <v>0</v>
      </c>
      <c r="AD74" s="1825">
        <v>0</v>
      </c>
      <c r="AE74" s="1555">
        <f t="shared" si="63"/>
        <v>0</v>
      </c>
      <c r="AF74" s="1759">
        <f>'[4]Table 5C1M-B.R. Charter'!T73*5+'[5]Table 5C1M-B.R. Charter'!AF73*3</f>
        <v>0</v>
      </c>
      <c r="AG74" s="1759">
        <f t="shared" si="64"/>
        <v>0</v>
      </c>
      <c r="AH74" s="1555">
        <f t="shared" si="65"/>
        <v>0</v>
      </c>
      <c r="AI74" s="900">
        <f t="shared" si="44"/>
        <v>0</v>
      </c>
      <c r="AJ74" s="900">
        <f t="shared" si="45"/>
        <v>0</v>
      </c>
      <c r="AL74" s="2034">
        <f>-'[4]Table 5C1M-B.R. Charter'!P73</f>
        <v>0</v>
      </c>
      <c r="AM74" s="2034">
        <f t="shared" si="66"/>
        <v>0</v>
      </c>
      <c r="AN74" s="2034">
        <f t="shared" si="67"/>
        <v>0</v>
      </c>
    </row>
    <row r="75" spans="1:40">
      <c r="A75" s="876">
        <v>68</v>
      </c>
      <c r="B75" s="877" t="s">
        <v>30</v>
      </c>
      <c r="C75" s="972">
        <f>ROUND(614*1%,0)</f>
        <v>6</v>
      </c>
      <c r="D75" s="882">
        <f>'Table 3 Levels 1&amp;2'!AL75</f>
        <v>6077.2398733698947</v>
      </c>
      <c r="E75" s="921">
        <f t="shared" si="48"/>
        <v>36463.43924021937</v>
      </c>
      <c r="F75" s="921">
        <f>'Table 4 Level 3'!P73</f>
        <v>798.7</v>
      </c>
      <c r="G75" s="921">
        <f t="shared" si="49"/>
        <v>4792.2000000000007</v>
      </c>
      <c r="H75" s="905">
        <f t="shared" si="50"/>
        <v>41255.639240219374</v>
      </c>
      <c r="I75" s="1734">
        <f>+'[3]Oct midyear B.R. Charter'!K74</f>
        <v>-41255.639240219367</v>
      </c>
      <c r="J75" s="1734">
        <f>'[3]Feb midyear B.R. Charter'!K74</f>
        <v>0</v>
      </c>
      <c r="K75" s="1545">
        <f t="shared" si="51"/>
        <v>-41255.639240219367</v>
      </c>
      <c r="L75" s="1538">
        <f t="shared" si="46"/>
        <v>0</v>
      </c>
      <c r="M75" s="931">
        <f t="shared" si="52"/>
        <v>0</v>
      </c>
      <c r="N75" s="1552">
        <f t="shared" si="53"/>
        <v>0</v>
      </c>
      <c r="O75" s="1721">
        <v>0</v>
      </c>
      <c r="P75" s="1552">
        <f t="shared" si="54"/>
        <v>0</v>
      </c>
      <c r="Q75" s="1734">
        <f>'[26]Table 5C1M-B.R. Charter'!M74*5+('[5]Table 5C1M-B.R. Charter'!T74*3)</f>
        <v>9798.2143195521021</v>
      </c>
      <c r="R75" s="1734">
        <f t="shared" si="55"/>
        <v>-9798.2143195521021</v>
      </c>
      <c r="S75" s="1552">
        <f t="shared" si="56"/>
        <v>-2450</v>
      </c>
      <c r="T75" s="1802">
        <f>'Table 5C1A-Madison Prep'!T75</f>
        <v>2927</v>
      </c>
      <c r="U75" s="1555">
        <f t="shared" si="47"/>
        <v>17562</v>
      </c>
      <c r="V75" s="1773">
        <f>+'[3]Oct midyear B.R. Charter'!E74</f>
        <v>-6</v>
      </c>
      <c r="W75" s="1759">
        <f t="shared" si="57"/>
        <v>-17562</v>
      </c>
      <c r="X75" s="1758">
        <f>'[3]Feb midyear B.R. Charter'!E74</f>
        <v>0</v>
      </c>
      <c r="Y75" s="1759">
        <f t="shared" si="58"/>
        <v>0</v>
      </c>
      <c r="Z75" s="1653">
        <f t="shared" si="59"/>
        <v>-17562</v>
      </c>
      <c r="AA75" s="1486">
        <f t="shared" si="60"/>
        <v>0</v>
      </c>
      <c r="AB75" s="937">
        <f t="shared" si="61"/>
        <v>0</v>
      </c>
      <c r="AC75" s="899">
        <f t="shared" si="62"/>
        <v>0</v>
      </c>
      <c r="AD75" s="1825">
        <v>0</v>
      </c>
      <c r="AE75" s="1555">
        <f t="shared" si="63"/>
        <v>0</v>
      </c>
      <c r="AF75" s="1759">
        <f>'[4]Table 5C1M-B.R. Charter'!T74*5+'[5]Table 5C1M-B.R. Charter'!AF74*3</f>
        <v>3818.9999999999995</v>
      </c>
      <c r="AG75" s="1759">
        <f t="shared" si="64"/>
        <v>-3818.9999999999995</v>
      </c>
      <c r="AH75" s="1555">
        <f t="shared" si="65"/>
        <v>-955</v>
      </c>
      <c r="AI75" s="900">
        <f t="shared" si="44"/>
        <v>0</v>
      </c>
      <c r="AJ75" s="900">
        <f t="shared" si="45"/>
        <v>-3405</v>
      </c>
      <c r="AL75" s="2034">
        <f>-'[4]Table 5C1M-B.R. Charter'!P74</f>
        <v>40.200000000000003</v>
      </c>
      <c r="AM75" s="2034">
        <f t="shared" si="66"/>
        <v>0</v>
      </c>
      <c r="AN75" s="2034">
        <f t="shared" si="67"/>
        <v>40.200000000000003</v>
      </c>
    </row>
    <row r="76" spans="1:40">
      <c r="A76" s="885">
        <v>69</v>
      </c>
      <c r="B76" s="886" t="s">
        <v>205</v>
      </c>
      <c r="C76" s="975">
        <v>0</v>
      </c>
      <c r="D76" s="887">
        <f>'Table 3 Levels 1&amp;2'!AL76</f>
        <v>5585.8253106686579</v>
      </c>
      <c r="E76" s="924">
        <f t="shared" si="48"/>
        <v>0</v>
      </c>
      <c r="F76" s="924">
        <f>'Table 4 Level 3'!P74</f>
        <v>705.67</v>
      </c>
      <c r="G76" s="924">
        <f t="shared" si="49"/>
        <v>0</v>
      </c>
      <c r="H76" s="908">
        <f t="shared" si="50"/>
        <v>0</v>
      </c>
      <c r="I76" s="1736">
        <f>+'[3]Oct midyear B.R. Charter'!K75</f>
        <v>0</v>
      </c>
      <c r="J76" s="1736">
        <f>'[3]Feb midyear B.R. Charter'!K75</f>
        <v>0</v>
      </c>
      <c r="K76" s="1548">
        <f t="shared" si="51"/>
        <v>0</v>
      </c>
      <c r="L76" s="1540">
        <f t="shared" si="46"/>
        <v>0</v>
      </c>
      <c r="M76" s="934">
        <f t="shared" si="52"/>
        <v>0</v>
      </c>
      <c r="N76" s="1554">
        <f t="shared" si="53"/>
        <v>0</v>
      </c>
      <c r="O76" s="1724">
        <v>0</v>
      </c>
      <c r="P76" s="1554">
        <f t="shared" si="54"/>
        <v>0</v>
      </c>
      <c r="Q76" s="1736">
        <f>'[26]Table 5C1M-B.R. Charter'!M75*5+('[5]Table 5C1M-B.R. Charter'!T75*3)</f>
        <v>0</v>
      </c>
      <c r="R76" s="1736">
        <f t="shared" si="55"/>
        <v>0</v>
      </c>
      <c r="S76" s="1554">
        <f t="shared" si="56"/>
        <v>0</v>
      </c>
      <c r="T76" s="1802">
        <f>'Table 5C1A-Madison Prep'!T76</f>
        <v>3404</v>
      </c>
      <c r="U76" s="1557">
        <f t="shared" si="47"/>
        <v>0</v>
      </c>
      <c r="V76" s="1775">
        <f>+'[3]Oct midyear B.R. Charter'!E75</f>
        <v>0</v>
      </c>
      <c r="W76" s="1767">
        <f t="shared" si="57"/>
        <v>0</v>
      </c>
      <c r="X76" s="1766">
        <f>'[3]Feb midyear B.R. Charter'!E75</f>
        <v>0</v>
      </c>
      <c r="Y76" s="1767">
        <f t="shared" si="58"/>
        <v>0</v>
      </c>
      <c r="Z76" s="1655">
        <f t="shared" si="59"/>
        <v>0</v>
      </c>
      <c r="AA76" s="1493">
        <f t="shared" si="60"/>
        <v>0</v>
      </c>
      <c r="AB76" s="939">
        <f t="shared" si="61"/>
        <v>0</v>
      </c>
      <c r="AC76" s="909">
        <f t="shared" si="62"/>
        <v>0</v>
      </c>
      <c r="AD76" s="1827">
        <v>0</v>
      </c>
      <c r="AE76" s="1557">
        <f t="shared" si="63"/>
        <v>0</v>
      </c>
      <c r="AF76" s="1767">
        <f>'[4]Table 5C1M-B.R. Charter'!T75*5+'[5]Table 5C1M-B.R. Charter'!AF75*3</f>
        <v>0</v>
      </c>
      <c r="AG76" s="1767">
        <f>AE76-AF76</f>
        <v>0</v>
      </c>
      <c r="AH76" s="1557">
        <f t="shared" si="65"/>
        <v>0</v>
      </c>
      <c r="AI76" s="910">
        <f t="shared" si="44"/>
        <v>0</v>
      </c>
      <c r="AJ76" s="910">
        <f t="shared" si="45"/>
        <v>0</v>
      </c>
      <c r="AL76" s="2034">
        <f>-'[4]Table 5C1M-B.R. Charter'!P75</f>
        <v>0</v>
      </c>
      <c r="AM76" s="2034">
        <f t="shared" si="66"/>
        <v>0</v>
      </c>
      <c r="AN76" s="2034">
        <f t="shared" si="67"/>
        <v>0</v>
      </c>
    </row>
    <row r="77" spans="1:40" ht="13.5" thickBot="1">
      <c r="A77" s="888"/>
      <c r="B77" s="889" t="s">
        <v>157</v>
      </c>
      <c r="C77" s="890">
        <f>SUM(C8:C76)</f>
        <v>614</v>
      </c>
      <c r="D77" s="891"/>
      <c r="E77" s="925">
        <f>SUM(E8:E76)</f>
        <v>2050807.9510717019</v>
      </c>
      <c r="F77" s="925">
        <f>'[33]Table 4 Level 3'!P75</f>
        <v>703.90028204588873</v>
      </c>
      <c r="G77" s="925">
        <f t="shared" ref="G77:S77" si="68">SUM(G8:G76)</f>
        <v>492090.59549418534</v>
      </c>
      <c r="H77" s="892">
        <f t="shared" si="68"/>
        <v>2542898.5465658871</v>
      </c>
      <c r="I77" s="1737">
        <f>SUM(I8:I76)</f>
        <v>-469168.24180908361</v>
      </c>
      <c r="J77" s="1737">
        <f t="shared" ref="J77:L77" si="69">SUM(J8:J76)</f>
        <v>-126107.44958427898</v>
      </c>
      <c r="K77" s="1549">
        <f t="shared" si="69"/>
        <v>-595275.69139336271</v>
      </c>
      <c r="L77" s="1541">
        <f t="shared" si="69"/>
        <v>1947622.8551725247</v>
      </c>
      <c r="M77" s="935">
        <f t="shared" si="68"/>
        <v>-4869.0571379313105</v>
      </c>
      <c r="N77" s="892">
        <f t="shared" si="68"/>
        <v>1942753.798034593</v>
      </c>
      <c r="O77" s="891">
        <f t="shared" si="68"/>
        <v>0</v>
      </c>
      <c r="P77" s="997">
        <f t="shared" si="68"/>
        <v>1942753.798034593</v>
      </c>
      <c r="Q77" s="1725">
        <f t="shared" si="68"/>
        <v>1490458.1100929317</v>
      </c>
      <c r="R77" s="1725">
        <f t="shared" si="68"/>
        <v>452295.68794166134</v>
      </c>
      <c r="S77" s="997">
        <f t="shared" si="68"/>
        <v>113074</v>
      </c>
      <c r="T77" s="1812">
        <f>'Table 5C1A-Madison Prep'!T77</f>
        <v>4626</v>
      </c>
      <c r="U77" s="1000">
        <f t="shared" ref="U77:AJ77" si="70">SUM(U8:U76)</f>
        <v>4192090</v>
      </c>
      <c r="V77" s="1776">
        <f t="shared" si="70"/>
        <v>-110</v>
      </c>
      <c r="W77" s="1771">
        <f>SUM(W8:W76)</f>
        <v>-731626</v>
      </c>
      <c r="X77" s="1770">
        <f t="shared" ref="X77:Z77" si="71">SUM(X8:X76)</f>
        <v>-63</v>
      </c>
      <c r="Y77" s="1771">
        <f t="shared" si="71"/>
        <v>-217707</v>
      </c>
      <c r="Z77" s="1665">
        <f t="shared" si="71"/>
        <v>-949333</v>
      </c>
      <c r="AA77" s="1717">
        <f t="shared" si="70"/>
        <v>3242757</v>
      </c>
      <c r="AB77" s="940">
        <f t="shared" si="70"/>
        <v>-8106.8924999999999</v>
      </c>
      <c r="AC77" s="1000">
        <f t="shared" si="70"/>
        <v>3234650.1074999999</v>
      </c>
      <c r="AD77" s="1828">
        <f t="shared" si="70"/>
        <v>0</v>
      </c>
      <c r="AE77" s="1000">
        <f t="shared" si="70"/>
        <v>3234650.1074999999</v>
      </c>
      <c r="AF77" s="1828">
        <f t="shared" si="70"/>
        <v>2437552.1800000002</v>
      </c>
      <c r="AG77" s="1828">
        <f t="shared" si="70"/>
        <v>797097.92749999953</v>
      </c>
      <c r="AH77" s="1000">
        <f t="shared" si="70"/>
        <v>199275</v>
      </c>
      <c r="AI77" s="894">
        <f t="shared" si="70"/>
        <v>5177403.9055345925</v>
      </c>
      <c r="AJ77" s="894">
        <f t="shared" si="70"/>
        <v>312349</v>
      </c>
      <c r="AL77" s="2034">
        <f t="shared" ref="AL77:AM77" si="72">SUM(AL8:AL76)</f>
        <v>10319.960000000001</v>
      </c>
      <c r="AM77" s="2034">
        <f t="shared" si="72"/>
        <v>-8106.8924999999999</v>
      </c>
      <c r="AN77" s="2034">
        <f>SUM(AN8:AN76)</f>
        <v>2213.0674999999997</v>
      </c>
    </row>
    <row r="78" spans="1:40" ht="11.25" customHeight="1" thickTop="1"/>
    <row r="79" spans="1:40" hidden="1"/>
    <row r="80" spans="1:40" hidden="1">
      <c r="M80" s="1464" t="s">
        <v>951</v>
      </c>
      <c r="N80" s="2034">
        <f>-'[4]Table 5C1M-B.R. Charter'!$I$76</f>
        <v>6357.2463664147181</v>
      </c>
    </row>
    <row r="81" spans="13:14" hidden="1">
      <c r="M81" s="1464" t="s">
        <v>952</v>
      </c>
      <c r="N81" s="2034">
        <f>M77</f>
        <v>-4869.0571379313105</v>
      </c>
    </row>
    <row r="82" spans="13:14" hidden="1">
      <c r="M82" s="1464" t="s">
        <v>953</v>
      </c>
      <c r="N82" s="2034">
        <f>SUM(N80:N81)</f>
        <v>1488.1892284834075</v>
      </c>
    </row>
    <row r="83" spans="13:14" hidden="1"/>
  </sheetData>
  <mergeCells count="30">
    <mergeCell ref="A2:B5"/>
    <mergeCell ref="AI2:AI5"/>
    <mergeCell ref="L4:L5"/>
    <mergeCell ref="P4:P5"/>
    <mergeCell ref="S4:S5"/>
    <mergeCell ref="T4:T5"/>
    <mergeCell ref="I4:I5"/>
    <mergeCell ref="J4:J5"/>
    <mergeCell ref="K4:K5"/>
    <mergeCell ref="C2:S2"/>
    <mergeCell ref="I3:K3"/>
    <mergeCell ref="T2:AH2"/>
    <mergeCell ref="V4:V5"/>
    <mergeCell ref="V3:Z3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AA4:AA5"/>
    <mergeCell ref="W4:W5"/>
    <mergeCell ref="X4:X5"/>
    <mergeCell ref="Y4:Y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5C1-M: FY2013-14 MFP Budget Letter (March 2014) 
East Baton Rouge Charter Academy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82"/>
  <sheetViews>
    <sheetView view="pageBreakPreview" zoomScale="90" zoomScaleNormal="100" zoomScaleSheetLayoutView="90" workbookViewId="0">
      <pane xSplit="2" ySplit="7" topLeftCell="C8" activePane="bottomRight" state="frozen"/>
      <selection activeCell="AN13" sqref="AN8:AN77"/>
      <selection pane="topRight" activeCell="AN13" sqref="AN8:AN77"/>
      <selection pane="bottomLeft" activeCell="AN13" sqref="AN8:AN77"/>
      <selection pane="bottomRight"/>
    </sheetView>
  </sheetViews>
  <sheetFormatPr defaultColWidth="8.85546875" defaultRowHeight="12.75"/>
  <cols>
    <col min="1" max="1" width="4.28515625" style="968" customWidth="1"/>
    <col min="2" max="2" width="17.85546875" style="968" customWidth="1"/>
    <col min="3" max="3" width="13.7109375" style="968" customWidth="1"/>
    <col min="4" max="4" width="14" style="968" customWidth="1"/>
    <col min="5" max="5" width="10.7109375" style="968" customWidth="1"/>
    <col min="6" max="6" width="13" style="968" customWidth="1"/>
    <col min="7" max="7" width="13.42578125" style="968" customWidth="1"/>
    <col min="8" max="8" width="12.85546875" style="968" customWidth="1"/>
    <col min="9" max="9" width="12.5703125" style="1509" customWidth="1"/>
    <col min="10" max="10" width="13.28515625" style="1509" bestFit="1" customWidth="1"/>
    <col min="11" max="11" width="12.5703125" style="1509" customWidth="1"/>
    <col min="12" max="12" width="15.140625" style="1509" customWidth="1"/>
    <col min="13" max="13" width="12.28515625" style="968" customWidth="1"/>
    <col min="14" max="14" width="13.140625" style="968" customWidth="1"/>
    <col min="15" max="15" width="13.42578125" style="968" bestFit="1" customWidth="1"/>
    <col min="16" max="16" width="14.7109375" style="968" customWidth="1"/>
    <col min="17" max="18" width="14" style="1509" customWidth="1"/>
    <col min="19" max="19" width="10.7109375" style="968" customWidth="1"/>
    <col min="20" max="20" width="11.5703125" style="968" customWidth="1"/>
    <col min="21" max="21" width="10.7109375" style="968" customWidth="1"/>
    <col min="22" max="26" width="12" style="1509" customWidth="1"/>
    <col min="27" max="27" width="13" style="1509" customWidth="1"/>
    <col min="28" max="28" width="12.5703125" style="968" customWidth="1"/>
    <col min="29" max="29" width="13" style="968" customWidth="1"/>
    <col min="30" max="30" width="13.28515625" style="968" customWidth="1"/>
    <col min="31" max="31" width="13" style="968" customWidth="1"/>
    <col min="32" max="33" width="13.140625" style="1509" customWidth="1"/>
    <col min="34" max="34" width="12" style="968" customWidth="1"/>
    <col min="35" max="35" width="11" style="968" customWidth="1"/>
    <col min="36" max="36" width="12.140625" style="968" customWidth="1"/>
    <col min="37" max="37" width="1.5703125" style="968" customWidth="1"/>
    <col min="38" max="38" width="8.85546875" style="2034" hidden="1" customWidth="1"/>
    <col min="39" max="39" width="10.140625" style="968" hidden="1" customWidth="1"/>
    <col min="40" max="40" width="8.85546875" style="968" hidden="1" customWidth="1"/>
    <col min="41" max="16384" width="8.85546875" style="968"/>
  </cols>
  <sheetData>
    <row r="1" spans="1:40">
      <c r="C1" s="1105"/>
      <c r="D1" s="1105"/>
      <c r="E1" s="1105"/>
      <c r="F1" s="1105"/>
      <c r="G1" s="1105"/>
      <c r="H1" s="1105"/>
      <c r="I1" s="1105"/>
      <c r="J1" s="1105"/>
      <c r="K1" s="1105"/>
      <c r="L1" s="1105"/>
      <c r="M1" s="1105"/>
      <c r="N1" s="1105"/>
      <c r="O1" s="1105"/>
      <c r="P1" s="1105"/>
      <c r="Q1" s="1105"/>
      <c r="R1" s="1105"/>
      <c r="S1" s="1105"/>
    </row>
    <row r="2" spans="1:40" ht="45" customHeight="1">
      <c r="A2" s="2384" t="s">
        <v>752</v>
      </c>
      <c r="B2" s="2385"/>
      <c r="C2" s="2343" t="s">
        <v>543</v>
      </c>
      <c r="D2" s="2344"/>
      <c r="E2" s="2344"/>
      <c r="F2" s="2344"/>
      <c r="G2" s="2344"/>
      <c r="H2" s="2344"/>
      <c r="I2" s="2344"/>
      <c r="J2" s="2344"/>
      <c r="K2" s="2344"/>
      <c r="L2" s="2344"/>
      <c r="M2" s="2344"/>
      <c r="N2" s="2344"/>
      <c r="O2" s="2344"/>
      <c r="P2" s="2344"/>
      <c r="Q2" s="2344"/>
      <c r="R2" s="2344"/>
      <c r="S2" s="2345"/>
      <c r="T2" s="2317" t="s">
        <v>529</v>
      </c>
      <c r="U2" s="2318"/>
      <c r="V2" s="2320"/>
      <c r="W2" s="2320"/>
      <c r="X2" s="2320"/>
      <c r="Y2" s="2320"/>
      <c r="Z2" s="2320"/>
      <c r="AA2" s="2320"/>
      <c r="AB2" s="2318"/>
      <c r="AC2" s="2318"/>
      <c r="AD2" s="2318"/>
      <c r="AE2" s="2318"/>
      <c r="AF2" s="2320"/>
      <c r="AG2" s="2320"/>
      <c r="AH2" s="2321"/>
      <c r="AI2" s="2307" t="s">
        <v>545</v>
      </c>
      <c r="AJ2" s="2307" t="s">
        <v>527</v>
      </c>
    </row>
    <row r="3" spans="1:40" s="1509" customFormat="1" ht="22.15" customHeight="1">
      <c r="A3" s="2386"/>
      <c r="B3" s="2387"/>
      <c r="C3" s="1585"/>
      <c r="D3" s="1593"/>
      <c r="E3" s="1593"/>
      <c r="F3" s="1593"/>
      <c r="G3" s="1593"/>
      <c r="H3" s="1593"/>
      <c r="I3" s="2373" t="s">
        <v>772</v>
      </c>
      <c r="J3" s="2374"/>
      <c r="K3" s="2375"/>
      <c r="L3" s="1593"/>
      <c r="M3" s="1593"/>
      <c r="N3" s="1593"/>
      <c r="O3" s="1593"/>
      <c r="P3" s="1593"/>
      <c r="Q3" s="1593"/>
      <c r="R3" s="1593"/>
      <c r="S3" s="1594"/>
      <c r="T3" s="1584"/>
      <c r="U3" s="1582"/>
      <c r="V3" s="2376" t="s">
        <v>772</v>
      </c>
      <c r="W3" s="2377"/>
      <c r="X3" s="2377"/>
      <c r="Y3" s="2377"/>
      <c r="Z3" s="2378"/>
      <c r="AA3" s="1582"/>
      <c r="AB3" s="1582"/>
      <c r="AC3" s="1582"/>
      <c r="AD3" s="1582"/>
      <c r="AE3" s="1582"/>
      <c r="AF3" s="1582"/>
      <c r="AG3" s="1582"/>
      <c r="AH3" s="1581"/>
      <c r="AI3" s="2308"/>
      <c r="AJ3" s="2308"/>
      <c r="AL3" s="2034"/>
    </row>
    <row r="4" spans="1:40" ht="135.6" customHeight="1">
      <c r="A4" s="2388"/>
      <c r="B4" s="2387"/>
      <c r="C4" s="2391" t="s">
        <v>834</v>
      </c>
      <c r="D4" s="2331" t="s">
        <v>826</v>
      </c>
      <c r="E4" s="2331" t="s">
        <v>538</v>
      </c>
      <c r="F4" s="2311" t="s">
        <v>827</v>
      </c>
      <c r="G4" s="2311" t="s">
        <v>409</v>
      </c>
      <c r="H4" s="2311" t="s">
        <v>828</v>
      </c>
      <c r="I4" s="2335" t="s">
        <v>784</v>
      </c>
      <c r="J4" s="2335" t="s">
        <v>785</v>
      </c>
      <c r="K4" s="2335" t="s">
        <v>793</v>
      </c>
      <c r="L4" s="2336" t="s">
        <v>829</v>
      </c>
      <c r="M4" s="1587" t="s">
        <v>413</v>
      </c>
      <c r="N4" s="2311" t="s">
        <v>824</v>
      </c>
      <c r="O4" s="2311" t="s">
        <v>794</v>
      </c>
      <c r="P4" s="2311" t="s">
        <v>823</v>
      </c>
      <c r="Q4" s="1407" t="s">
        <v>781</v>
      </c>
      <c r="R4" s="1407" t="s">
        <v>795</v>
      </c>
      <c r="S4" s="2313" t="s">
        <v>822</v>
      </c>
      <c r="T4" s="2314" t="s">
        <v>796</v>
      </c>
      <c r="U4" s="1589" t="s">
        <v>539</v>
      </c>
      <c r="V4" s="2315" t="s">
        <v>819</v>
      </c>
      <c r="W4" s="2315" t="s">
        <v>787</v>
      </c>
      <c r="X4" s="2315" t="s">
        <v>820</v>
      </c>
      <c r="Y4" s="2315" t="s">
        <v>821</v>
      </c>
      <c r="Z4" s="1595" t="s">
        <v>791</v>
      </c>
      <c r="AA4" s="2316" t="s">
        <v>799</v>
      </c>
      <c r="AB4" s="1589" t="s">
        <v>808</v>
      </c>
      <c r="AC4" s="2314" t="s">
        <v>805</v>
      </c>
      <c r="AD4" s="2314" t="s">
        <v>794</v>
      </c>
      <c r="AE4" s="2314" t="s">
        <v>806</v>
      </c>
      <c r="AF4" s="1592" t="s">
        <v>807</v>
      </c>
      <c r="AG4" s="1592" t="s">
        <v>795</v>
      </c>
      <c r="AH4" s="1589" t="s">
        <v>540</v>
      </c>
      <c r="AI4" s="2309"/>
      <c r="AJ4" s="2309"/>
    </row>
    <row r="5" spans="1:40" ht="22.15" customHeight="1">
      <c r="A5" s="2389"/>
      <c r="B5" s="2390"/>
      <c r="C5" s="2392"/>
      <c r="D5" s="2331"/>
      <c r="E5" s="2331"/>
      <c r="F5" s="2312"/>
      <c r="G5" s="2312"/>
      <c r="H5" s="2312"/>
      <c r="I5" s="2287"/>
      <c r="J5" s="2287"/>
      <c r="K5" s="2287"/>
      <c r="L5" s="2312"/>
      <c r="M5" s="926">
        <v>2.5000000000000001E-3</v>
      </c>
      <c r="N5" s="2312"/>
      <c r="O5" s="2312"/>
      <c r="P5" s="2312"/>
      <c r="Q5" s="1588"/>
      <c r="R5" s="1588"/>
      <c r="S5" s="2312"/>
      <c r="T5" s="2287"/>
      <c r="U5" s="1590"/>
      <c r="V5" s="2285"/>
      <c r="W5" s="2285"/>
      <c r="X5" s="2285"/>
      <c r="Y5" s="2285"/>
      <c r="Z5" s="1591"/>
      <c r="AA5" s="2287" t="s">
        <v>792</v>
      </c>
      <c r="AB5" s="927">
        <v>2.5000000000000001E-3</v>
      </c>
      <c r="AC5" s="2287"/>
      <c r="AD5" s="2287"/>
      <c r="AE5" s="2287"/>
      <c r="AF5" s="1590"/>
      <c r="AG5" s="1590"/>
      <c r="AH5" s="1590"/>
      <c r="AI5" s="2310"/>
      <c r="AJ5" s="2310"/>
    </row>
    <row r="6" spans="1:40" ht="14.25" customHeight="1">
      <c r="A6" s="867"/>
      <c r="B6" s="868"/>
      <c r="C6" s="869">
        <v>1</v>
      </c>
      <c r="D6" s="869">
        <f t="shared" ref="D6" si="0">C6+1</f>
        <v>2</v>
      </c>
      <c r="E6" s="869">
        <f>D6+1</f>
        <v>3</v>
      </c>
      <c r="F6" s="869">
        <f t="shared" ref="F6:AJ6" si="1">E6+1</f>
        <v>4</v>
      </c>
      <c r="G6" s="869">
        <f t="shared" si="1"/>
        <v>5</v>
      </c>
      <c r="H6" s="869">
        <f t="shared" si="1"/>
        <v>6</v>
      </c>
      <c r="I6" s="869">
        <f t="shared" ref="I6" si="2">H6+1</f>
        <v>7</v>
      </c>
      <c r="J6" s="869">
        <f t="shared" ref="J6" si="3">I6+1</f>
        <v>8</v>
      </c>
      <c r="K6" s="869">
        <f t="shared" ref="K6" si="4">J6+1</f>
        <v>9</v>
      </c>
      <c r="L6" s="869">
        <f t="shared" ref="L6" si="5">K6+1</f>
        <v>10</v>
      </c>
      <c r="M6" s="869">
        <f t="shared" ref="M6" si="6">L6+1</f>
        <v>11</v>
      </c>
      <c r="N6" s="869">
        <f t="shared" si="1"/>
        <v>12</v>
      </c>
      <c r="O6" s="869">
        <f t="shared" si="1"/>
        <v>13</v>
      </c>
      <c r="P6" s="869">
        <f t="shared" si="1"/>
        <v>14</v>
      </c>
      <c r="Q6" s="869">
        <f t="shared" ref="Q6" si="7">P6+1</f>
        <v>15</v>
      </c>
      <c r="R6" s="869">
        <f t="shared" ref="R6" si="8">Q6+1</f>
        <v>16</v>
      </c>
      <c r="S6" s="869">
        <f t="shared" ref="S6" si="9">R6+1</f>
        <v>17</v>
      </c>
      <c r="T6" s="869">
        <f t="shared" si="1"/>
        <v>18</v>
      </c>
      <c r="U6" s="869">
        <f t="shared" si="1"/>
        <v>19</v>
      </c>
      <c r="V6" s="869">
        <f t="shared" ref="V6" si="10">U6+1</f>
        <v>20</v>
      </c>
      <c r="W6" s="869">
        <f t="shared" ref="W6" si="11">V6+1</f>
        <v>21</v>
      </c>
      <c r="X6" s="869">
        <f t="shared" ref="X6" si="12">W6+1</f>
        <v>22</v>
      </c>
      <c r="Y6" s="869">
        <f t="shared" ref="Y6" si="13">X6+1</f>
        <v>23</v>
      </c>
      <c r="Z6" s="869">
        <f t="shared" ref="Z6" si="14">Y6+1</f>
        <v>24</v>
      </c>
      <c r="AA6" s="869">
        <f t="shared" ref="AA6" si="15">Z6+1</f>
        <v>25</v>
      </c>
      <c r="AB6" s="869">
        <f t="shared" ref="AB6" si="16">AA6+1</f>
        <v>26</v>
      </c>
      <c r="AC6" s="869">
        <f t="shared" si="1"/>
        <v>27</v>
      </c>
      <c r="AD6" s="869">
        <f t="shared" si="1"/>
        <v>28</v>
      </c>
      <c r="AE6" s="869">
        <f t="shared" si="1"/>
        <v>29</v>
      </c>
      <c r="AF6" s="869">
        <f t="shared" ref="AF6" si="17">AE6+1</f>
        <v>30</v>
      </c>
      <c r="AG6" s="869">
        <f t="shared" ref="AG6" si="18">AF6+1</f>
        <v>31</v>
      </c>
      <c r="AH6" s="869">
        <f t="shared" ref="AH6" si="19">AG6+1</f>
        <v>32</v>
      </c>
      <c r="AI6" s="869">
        <f t="shared" si="1"/>
        <v>33</v>
      </c>
      <c r="AJ6" s="869">
        <f t="shared" si="1"/>
        <v>34</v>
      </c>
    </row>
    <row r="7" spans="1:40" ht="27" customHeight="1">
      <c r="A7" s="895"/>
      <c r="B7" s="896"/>
      <c r="C7" s="896"/>
      <c r="D7" s="896"/>
      <c r="E7" s="896"/>
      <c r="F7" s="896"/>
      <c r="G7" s="896"/>
      <c r="H7" s="896"/>
      <c r="I7" s="1535"/>
      <c r="J7" s="1535"/>
      <c r="K7" s="1535"/>
      <c r="L7" s="1535"/>
      <c r="M7" s="896"/>
      <c r="N7" s="896"/>
      <c r="O7" s="896"/>
      <c r="P7" s="896"/>
      <c r="Q7" s="1535"/>
      <c r="R7" s="1535"/>
      <c r="S7" s="896"/>
      <c r="T7" s="896"/>
      <c r="U7" s="896"/>
      <c r="V7" s="1535"/>
      <c r="W7" s="1535"/>
      <c r="X7" s="1535"/>
      <c r="Y7" s="1535"/>
      <c r="Z7" s="1535"/>
      <c r="AA7" s="1535"/>
      <c r="AB7" s="896"/>
      <c r="AC7" s="896"/>
      <c r="AD7" s="896"/>
      <c r="AE7" s="896"/>
      <c r="AF7" s="1535"/>
      <c r="AG7" s="1535"/>
      <c r="AH7" s="896"/>
      <c r="AI7" s="896"/>
      <c r="AJ7" s="896"/>
      <c r="AL7" s="2041" t="s">
        <v>945</v>
      </c>
      <c r="AM7" s="2035" t="s">
        <v>948</v>
      </c>
      <c r="AN7" s="2035" t="s">
        <v>947</v>
      </c>
    </row>
    <row r="8" spans="1:40">
      <c r="A8" s="870">
        <v>1</v>
      </c>
      <c r="B8" s="871" t="s">
        <v>92</v>
      </c>
      <c r="C8" s="971">
        <v>0</v>
      </c>
      <c r="D8" s="872">
        <f>'Table 3 Levels 1&amp;2'!AL8</f>
        <v>4597.5882673899441</v>
      </c>
      <c r="E8" s="918">
        <f>C8*D8</f>
        <v>0</v>
      </c>
      <c r="F8" s="918">
        <f>'Table 4 Level 3'!P6</f>
        <v>777.48</v>
      </c>
      <c r="G8" s="918">
        <f>C8*F8</f>
        <v>0</v>
      </c>
      <c r="H8" s="873">
        <f>E8+G8</f>
        <v>0</v>
      </c>
      <c r="I8" s="1718">
        <f>+'[3]Oct midyear Delta Charter'!K7</f>
        <v>0</v>
      </c>
      <c r="J8" s="1718">
        <f>'[3]Feb midyear Delta Charter'!K7</f>
        <v>0</v>
      </c>
      <c r="K8" s="1542">
        <f>+I8+J8</f>
        <v>0</v>
      </c>
      <c r="L8" s="1520">
        <f>+H8+K8</f>
        <v>0</v>
      </c>
      <c r="M8" s="928">
        <f>-(0.25%*L8)</f>
        <v>0</v>
      </c>
      <c r="N8" s="873">
        <f>SUM(L8:M8)</f>
        <v>0</v>
      </c>
      <c r="O8" s="872">
        <v>0</v>
      </c>
      <c r="P8" s="998">
        <f>SUM(N8:O8)</f>
        <v>0</v>
      </c>
      <c r="Q8" s="1718">
        <f>+'[4]Table 5C1N-Delta Charter'!M7*8</f>
        <v>0</v>
      </c>
      <c r="R8" s="1718">
        <f>+P8-Q8</f>
        <v>0</v>
      </c>
      <c r="S8" s="998">
        <f>ROUND(R8/4,0)</f>
        <v>0</v>
      </c>
      <c r="T8" s="1802">
        <f>'Table 5C1A-Madison Prep'!T8</f>
        <v>2180</v>
      </c>
      <c r="U8" s="999">
        <f>C8*T8</f>
        <v>0</v>
      </c>
      <c r="V8" s="1754">
        <f>+'[3]Oct midyear Delta Charter'!E7</f>
        <v>0</v>
      </c>
      <c r="W8" s="1755">
        <f>+T8*V8</f>
        <v>0</v>
      </c>
      <c r="X8" s="1754">
        <f>'[3]Feb midyear Delta Charter'!E7</f>
        <v>0</v>
      </c>
      <c r="Y8" s="1755">
        <f>(T8*X8)*0.5</f>
        <v>0</v>
      </c>
      <c r="Z8" s="1652">
        <f>+W8+Y8</f>
        <v>0</v>
      </c>
      <c r="AA8" s="1521">
        <f>+U8+Z8</f>
        <v>0</v>
      </c>
      <c r="AB8" s="936">
        <f>-(0.25%*AA8)</f>
        <v>0</v>
      </c>
      <c r="AC8" s="874">
        <f>SUM(AA8:AB8)</f>
        <v>0</v>
      </c>
      <c r="AD8" s="1829">
        <v>0</v>
      </c>
      <c r="AE8" s="874">
        <f>SUM(AC8:AD8)</f>
        <v>0</v>
      </c>
      <c r="AF8" s="1829">
        <f>+'[4]Table 5C1N-Delta Charter'!T7*8</f>
        <v>0</v>
      </c>
      <c r="AG8" s="1829">
        <f>+AE8-AF8</f>
        <v>0</v>
      </c>
      <c r="AH8" s="874">
        <f>ROUND(AG8/4,0)</f>
        <v>0</v>
      </c>
      <c r="AI8" s="875">
        <f t="shared" ref="AI8:AI39" si="20">P8+AE8</f>
        <v>0</v>
      </c>
      <c r="AJ8" s="875">
        <f>S8+AH8</f>
        <v>0</v>
      </c>
      <c r="AL8" s="2034">
        <f>-'[4]Table 5C1N-Delta Charter'!P7</f>
        <v>0</v>
      </c>
      <c r="AM8" s="2034">
        <f>AB8</f>
        <v>0</v>
      </c>
      <c r="AN8" s="2034">
        <f>SUM(AL8:AM8)</f>
        <v>0</v>
      </c>
    </row>
    <row r="9" spans="1:40">
      <c r="A9" s="876">
        <v>2</v>
      </c>
      <c r="B9" s="877" t="s">
        <v>93</v>
      </c>
      <c r="C9" s="969">
        <v>0</v>
      </c>
      <c r="D9" s="878">
        <f>'Table 3 Levels 1&amp;2'!AL9</f>
        <v>6182.4313545138375</v>
      </c>
      <c r="E9" s="919">
        <f t="shared" ref="E9:E72" si="21">C9*D9</f>
        <v>0</v>
      </c>
      <c r="F9" s="919">
        <f>'Table 4 Level 3'!P7</f>
        <v>842.32</v>
      </c>
      <c r="G9" s="919">
        <f t="shared" ref="G9:G72" si="22">C9*F9</f>
        <v>0</v>
      </c>
      <c r="H9" s="898">
        <f t="shared" ref="H9:H72" si="23">E9+G9</f>
        <v>0</v>
      </c>
      <c r="I9" s="1732">
        <f>+'[3]Oct midyear Delta Charter'!K8</f>
        <v>0</v>
      </c>
      <c r="J9" s="1732">
        <f>'[3]Feb midyear Delta Charter'!K8</f>
        <v>0</v>
      </c>
      <c r="K9" s="1543">
        <f t="shared" ref="K9:K72" si="24">+I9+J9</f>
        <v>0</v>
      </c>
      <c r="L9" s="1485">
        <f t="shared" ref="L9:L72" si="25">+H9+K9</f>
        <v>0</v>
      </c>
      <c r="M9" s="929">
        <f t="shared" ref="M9:M72" si="26">-(0.25%*L9)</f>
        <v>0</v>
      </c>
      <c r="N9" s="898">
        <f t="shared" ref="N9:N72" si="27">SUM(L9:M9)</f>
        <v>0</v>
      </c>
      <c r="O9" s="878">
        <v>0</v>
      </c>
      <c r="P9" s="1550">
        <f t="shared" ref="P9:P72" si="28">SUM(N9:O9)</f>
        <v>0</v>
      </c>
      <c r="Q9" s="1732">
        <f>+'[4]Table 5C1N-Delta Charter'!M8*8</f>
        <v>0</v>
      </c>
      <c r="R9" s="1732">
        <f t="shared" ref="R9:R72" si="29">+P9-Q9</f>
        <v>0</v>
      </c>
      <c r="S9" s="1550">
        <f t="shared" ref="S9:S72" si="30">ROUND(R9/4,0)</f>
        <v>0</v>
      </c>
      <c r="T9" s="1802">
        <f>'Table 5C1A-Madison Prep'!T9</f>
        <v>2759</v>
      </c>
      <c r="U9" s="1555">
        <f t="shared" ref="U9:U72" si="31">C9*T9</f>
        <v>0</v>
      </c>
      <c r="V9" s="1758">
        <f>+'[3]Oct midyear Delta Charter'!E8</f>
        <v>0</v>
      </c>
      <c r="W9" s="1759">
        <f t="shared" ref="W9:W72" si="32">+T9*V9</f>
        <v>0</v>
      </c>
      <c r="X9" s="1758">
        <f>'[3]Feb midyear Delta Charter'!E8</f>
        <v>0</v>
      </c>
      <c r="Y9" s="1759">
        <f t="shared" ref="Y9:Y72" si="33">(T9*X9)*0.5</f>
        <v>0</v>
      </c>
      <c r="Z9" s="1653">
        <f t="shared" ref="Z9:Z72" si="34">+W9+Y9</f>
        <v>0</v>
      </c>
      <c r="AA9" s="1486">
        <f t="shared" ref="AA9:AA72" si="35">+U9+Z9</f>
        <v>0</v>
      </c>
      <c r="AB9" s="937">
        <f t="shared" ref="AB9:AB72" si="36">-(0.25%*AA9)</f>
        <v>0</v>
      </c>
      <c r="AC9" s="899">
        <f t="shared" ref="AC9:AC72" si="37">SUM(AA9:AB9)</f>
        <v>0</v>
      </c>
      <c r="AD9" s="1830">
        <v>0</v>
      </c>
      <c r="AE9" s="899">
        <f t="shared" ref="AE9:AE72" si="38">SUM(AC9:AD9)</f>
        <v>0</v>
      </c>
      <c r="AF9" s="1834">
        <f>+'[4]Table 5C1N-Delta Charter'!T8*8</f>
        <v>0</v>
      </c>
      <c r="AG9" s="1834">
        <f t="shared" ref="AG9:AG72" si="39">+AE9-AF9</f>
        <v>0</v>
      </c>
      <c r="AH9" s="899">
        <f t="shared" ref="AH9:AH72" si="40">ROUND(AG9/4,0)</f>
        <v>0</v>
      </c>
      <c r="AI9" s="900">
        <f t="shared" si="20"/>
        <v>0</v>
      </c>
      <c r="AJ9" s="900">
        <f t="shared" ref="AJ9:AJ72" si="41">S9+AH9</f>
        <v>0</v>
      </c>
      <c r="AL9" s="2034">
        <f>-'[4]Table 5C1N-Delta Charter'!P8</f>
        <v>0</v>
      </c>
      <c r="AM9" s="2034">
        <f t="shared" ref="AM9:AM72" si="42">AB9</f>
        <v>0</v>
      </c>
      <c r="AN9" s="2034">
        <f t="shared" ref="AN9:AN72" si="43">SUM(AL9:AM9)</f>
        <v>0</v>
      </c>
    </row>
    <row r="10" spans="1:40">
      <c r="A10" s="876">
        <v>3</v>
      </c>
      <c r="B10" s="877" t="s">
        <v>94</v>
      </c>
      <c r="C10" s="969">
        <v>0</v>
      </c>
      <c r="D10" s="878">
        <f>'Table 3 Levels 1&amp;2'!AL10</f>
        <v>4206.710737685361</v>
      </c>
      <c r="E10" s="919">
        <f t="shared" si="21"/>
        <v>0</v>
      </c>
      <c r="F10" s="919">
        <f>'Table 4 Level 3'!P8</f>
        <v>596.84</v>
      </c>
      <c r="G10" s="919">
        <f t="shared" si="22"/>
        <v>0</v>
      </c>
      <c r="H10" s="898">
        <f t="shared" si="23"/>
        <v>0</v>
      </c>
      <c r="I10" s="1732">
        <f>+'[3]Oct midyear Delta Charter'!K9</f>
        <v>0</v>
      </c>
      <c r="J10" s="1732">
        <f>'[3]Feb midyear Delta Charter'!K9</f>
        <v>0</v>
      </c>
      <c r="K10" s="1543">
        <f t="shared" si="24"/>
        <v>0</v>
      </c>
      <c r="L10" s="1485">
        <f t="shared" si="25"/>
        <v>0</v>
      </c>
      <c r="M10" s="929">
        <f t="shared" si="26"/>
        <v>0</v>
      </c>
      <c r="N10" s="898">
        <f t="shared" si="27"/>
        <v>0</v>
      </c>
      <c r="O10" s="878">
        <v>0</v>
      </c>
      <c r="P10" s="1550">
        <f t="shared" si="28"/>
        <v>0</v>
      </c>
      <c r="Q10" s="1732">
        <f>+'[4]Table 5C1N-Delta Charter'!M9*8</f>
        <v>0</v>
      </c>
      <c r="R10" s="1732">
        <f t="shared" si="29"/>
        <v>0</v>
      </c>
      <c r="S10" s="1550">
        <f t="shared" si="30"/>
        <v>0</v>
      </c>
      <c r="T10" s="1802">
        <f>'Table 5C1A-Madison Prep'!T10</f>
        <v>5538</v>
      </c>
      <c r="U10" s="1555">
        <f t="shared" si="31"/>
        <v>0</v>
      </c>
      <c r="V10" s="1758">
        <f>+'[3]Oct midyear Delta Charter'!E9</f>
        <v>0</v>
      </c>
      <c r="W10" s="1759">
        <f t="shared" si="32"/>
        <v>0</v>
      </c>
      <c r="X10" s="1758">
        <f>'[3]Feb midyear Delta Charter'!E9</f>
        <v>0</v>
      </c>
      <c r="Y10" s="1759">
        <f t="shared" si="33"/>
        <v>0</v>
      </c>
      <c r="Z10" s="1653">
        <f t="shared" si="34"/>
        <v>0</v>
      </c>
      <c r="AA10" s="1486">
        <f t="shared" si="35"/>
        <v>0</v>
      </c>
      <c r="AB10" s="937">
        <f t="shared" si="36"/>
        <v>0</v>
      </c>
      <c r="AC10" s="899">
        <f t="shared" si="37"/>
        <v>0</v>
      </c>
      <c r="AD10" s="1830">
        <v>0</v>
      </c>
      <c r="AE10" s="899">
        <f t="shared" si="38"/>
        <v>0</v>
      </c>
      <c r="AF10" s="1834">
        <f>+'[4]Table 5C1N-Delta Charter'!T9*8</f>
        <v>0</v>
      </c>
      <c r="AG10" s="1834">
        <f t="shared" si="39"/>
        <v>0</v>
      </c>
      <c r="AH10" s="899">
        <f t="shared" si="40"/>
        <v>0</v>
      </c>
      <c r="AI10" s="900">
        <f t="shared" si="20"/>
        <v>0</v>
      </c>
      <c r="AJ10" s="900">
        <f t="shared" si="41"/>
        <v>0</v>
      </c>
      <c r="AL10" s="2034">
        <f>-'[4]Table 5C1N-Delta Charter'!P9</f>
        <v>0</v>
      </c>
      <c r="AM10" s="2034">
        <f t="shared" si="42"/>
        <v>0</v>
      </c>
      <c r="AN10" s="2034">
        <f t="shared" si="43"/>
        <v>0</v>
      </c>
    </row>
    <row r="11" spans="1:40">
      <c r="A11" s="876">
        <v>4</v>
      </c>
      <c r="B11" s="877" t="s">
        <v>95</v>
      </c>
      <c r="C11" s="969">
        <v>0</v>
      </c>
      <c r="D11" s="878">
        <f>'Table 3 Levels 1&amp;2'!AL11</f>
        <v>5987.4993535453223</v>
      </c>
      <c r="E11" s="919">
        <f t="shared" si="21"/>
        <v>0</v>
      </c>
      <c r="F11" s="919">
        <f>'Table 4 Level 3'!P9</f>
        <v>585.76</v>
      </c>
      <c r="G11" s="919">
        <f t="shared" si="22"/>
        <v>0</v>
      </c>
      <c r="H11" s="898">
        <f t="shared" si="23"/>
        <v>0</v>
      </c>
      <c r="I11" s="1732">
        <f>+'[3]Oct midyear Delta Charter'!K10</f>
        <v>0</v>
      </c>
      <c r="J11" s="1732">
        <f>'[3]Feb midyear Delta Charter'!K10</f>
        <v>0</v>
      </c>
      <c r="K11" s="1543">
        <f t="shared" si="24"/>
        <v>0</v>
      </c>
      <c r="L11" s="1485">
        <f t="shared" si="25"/>
        <v>0</v>
      </c>
      <c r="M11" s="929">
        <f t="shared" si="26"/>
        <v>0</v>
      </c>
      <c r="N11" s="898">
        <f t="shared" si="27"/>
        <v>0</v>
      </c>
      <c r="O11" s="878">
        <v>0</v>
      </c>
      <c r="P11" s="1550">
        <f t="shared" si="28"/>
        <v>0</v>
      </c>
      <c r="Q11" s="1732">
        <f>+'[4]Table 5C1N-Delta Charter'!M10*8</f>
        <v>0</v>
      </c>
      <c r="R11" s="1732">
        <f t="shared" si="29"/>
        <v>0</v>
      </c>
      <c r="S11" s="1550">
        <f t="shared" si="30"/>
        <v>0</v>
      </c>
      <c r="T11" s="1802">
        <f>'Table 5C1A-Madison Prep'!T11</f>
        <v>3507</v>
      </c>
      <c r="U11" s="1555">
        <f t="shared" si="31"/>
        <v>0</v>
      </c>
      <c r="V11" s="1758">
        <f>+'[3]Oct midyear Delta Charter'!E10</f>
        <v>0</v>
      </c>
      <c r="W11" s="1759">
        <f t="shared" si="32"/>
        <v>0</v>
      </c>
      <c r="X11" s="1758">
        <f>'[3]Feb midyear Delta Charter'!E10</f>
        <v>0</v>
      </c>
      <c r="Y11" s="1759">
        <f t="shared" si="33"/>
        <v>0</v>
      </c>
      <c r="Z11" s="1653">
        <f t="shared" si="34"/>
        <v>0</v>
      </c>
      <c r="AA11" s="1486">
        <f t="shared" si="35"/>
        <v>0</v>
      </c>
      <c r="AB11" s="937">
        <f t="shared" si="36"/>
        <v>0</v>
      </c>
      <c r="AC11" s="899">
        <f t="shared" si="37"/>
        <v>0</v>
      </c>
      <c r="AD11" s="1830">
        <v>0</v>
      </c>
      <c r="AE11" s="899">
        <f t="shared" si="38"/>
        <v>0</v>
      </c>
      <c r="AF11" s="1834">
        <f>+'[4]Table 5C1N-Delta Charter'!T10*8</f>
        <v>0</v>
      </c>
      <c r="AG11" s="1834">
        <f t="shared" si="39"/>
        <v>0</v>
      </c>
      <c r="AH11" s="899">
        <f t="shared" si="40"/>
        <v>0</v>
      </c>
      <c r="AI11" s="900">
        <f t="shared" si="20"/>
        <v>0</v>
      </c>
      <c r="AJ11" s="900">
        <f t="shared" si="41"/>
        <v>0</v>
      </c>
      <c r="AL11" s="2034">
        <f>-'[4]Table 5C1N-Delta Charter'!P10</f>
        <v>0</v>
      </c>
      <c r="AM11" s="2034">
        <f t="shared" si="42"/>
        <v>0</v>
      </c>
      <c r="AN11" s="2034">
        <f t="shared" si="43"/>
        <v>0</v>
      </c>
    </row>
    <row r="12" spans="1:40">
      <c r="A12" s="879">
        <v>5</v>
      </c>
      <c r="B12" s="880" t="s">
        <v>96</v>
      </c>
      <c r="C12" s="970">
        <v>0</v>
      </c>
      <c r="D12" s="881">
        <f>'Table 3 Levels 1&amp;2'!AL12</f>
        <v>4986.8166927080074</v>
      </c>
      <c r="E12" s="920">
        <f t="shared" si="21"/>
        <v>0</v>
      </c>
      <c r="F12" s="920">
        <f>'Table 4 Level 3'!P10</f>
        <v>555.91</v>
      </c>
      <c r="G12" s="920">
        <f t="shared" si="22"/>
        <v>0</v>
      </c>
      <c r="H12" s="901">
        <f t="shared" si="23"/>
        <v>0</v>
      </c>
      <c r="I12" s="1733">
        <f>+'[3]Oct midyear Delta Charter'!K11</f>
        <v>0</v>
      </c>
      <c r="J12" s="1733">
        <f>'[3]Feb midyear Delta Charter'!K11</f>
        <v>0</v>
      </c>
      <c r="K12" s="1544">
        <f t="shared" si="24"/>
        <v>0</v>
      </c>
      <c r="L12" s="1487">
        <f t="shared" si="25"/>
        <v>0</v>
      </c>
      <c r="M12" s="930">
        <f t="shared" si="26"/>
        <v>0</v>
      </c>
      <c r="N12" s="901">
        <f t="shared" si="27"/>
        <v>0</v>
      </c>
      <c r="O12" s="881">
        <v>0</v>
      </c>
      <c r="P12" s="1551">
        <f t="shared" si="28"/>
        <v>0</v>
      </c>
      <c r="Q12" s="1733">
        <f>+'[4]Table 5C1N-Delta Charter'!M11*8</f>
        <v>0</v>
      </c>
      <c r="R12" s="1733">
        <f t="shared" si="29"/>
        <v>0</v>
      </c>
      <c r="S12" s="1551">
        <f t="shared" si="30"/>
        <v>0</v>
      </c>
      <c r="T12" s="1807">
        <f>'Table 5C1A-Madison Prep'!T12</f>
        <v>2086</v>
      </c>
      <c r="U12" s="1556">
        <f t="shared" si="31"/>
        <v>0</v>
      </c>
      <c r="V12" s="1762">
        <f>+'[3]Oct midyear Delta Charter'!E11</f>
        <v>0</v>
      </c>
      <c r="W12" s="1763">
        <f t="shared" si="32"/>
        <v>0</v>
      </c>
      <c r="X12" s="1762">
        <f>'[3]Feb midyear Delta Charter'!E11</f>
        <v>0</v>
      </c>
      <c r="Y12" s="1763">
        <f t="shared" si="33"/>
        <v>0</v>
      </c>
      <c r="Z12" s="1654">
        <f t="shared" si="34"/>
        <v>0</v>
      </c>
      <c r="AA12" s="1488">
        <f t="shared" si="35"/>
        <v>0</v>
      </c>
      <c r="AB12" s="938">
        <f t="shared" si="36"/>
        <v>0</v>
      </c>
      <c r="AC12" s="903">
        <f t="shared" si="37"/>
        <v>0</v>
      </c>
      <c r="AD12" s="1831">
        <v>0</v>
      </c>
      <c r="AE12" s="903">
        <f t="shared" si="38"/>
        <v>0</v>
      </c>
      <c r="AF12" s="1835">
        <f>+'[4]Table 5C1N-Delta Charter'!T11*8</f>
        <v>0</v>
      </c>
      <c r="AG12" s="1835">
        <f t="shared" si="39"/>
        <v>0</v>
      </c>
      <c r="AH12" s="903">
        <f t="shared" si="40"/>
        <v>0</v>
      </c>
      <c r="AI12" s="904">
        <f t="shared" si="20"/>
        <v>0</v>
      </c>
      <c r="AJ12" s="904">
        <f t="shared" si="41"/>
        <v>0</v>
      </c>
      <c r="AL12" s="2034">
        <f>-'[4]Table 5C1N-Delta Charter'!P11</f>
        <v>0</v>
      </c>
      <c r="AM12" s="2034">
        <f t="shared" si="42"/>
        <v>0</v>
      </c>
      <c r="AN12" s="2034">
        <f t="shared" si="43"/>
        <v>0</v>
      </c>
    </row>
    <row r="13" spans="1:40">
      <c r="A13" s="870">
        <v>6</v>
      </c>
      <c r="B13" s="871" t="s">
        <v>97</v>
      </c>
      <c r="C13" s="971">
        <v>0</v>
      </c>
      <c r="D13" s="872">
        <f>'Table 3 Levels 1&amp;2'!AL13</f>
        <v>5412.7883404260592</v>
      </c>
      <c r="E13" s="918">
        <f t="shared" si="21"/>
        <v>0</v>
      </c>
      <c r="F13" s="918">
        <f>'Table 4 Level 3'!P11</f>
        <v>545.4799999999999</v>
      </c>
      <c r="G13" s="918">
        <f t="shared" si="22"/>
        <v>0</v>
      </c>
      <c r="H13" s="873">
        <f t="shared" si="23"/>
        <v>0</v>
      </c>
      <c r="I13" s="1718">
        <f>+'[3]Oct midyear Delta Charter'!K12</f>
        <v>0</v>
      </c>
      <c r="J13" s="1718">
        <f>'[3]Feb midyear Delta Charter'!K12</f>
        <v>0</v>
      </c>
      <c r="K13" s="1542">
        <f t="shared" si="24"/>
        <v>0</v>
      </c>
      <c r="L13" s="1520">
        <f t="shared" si="25"/>
        <v>0</v>
      </c>
      <c r="M13" s="928">
        <f t="shared" si="26"/>
        <v>0</v>
      </c>
      <c r="N13" s="873">
        <f t="shared" si="27"/>
        <v>0</v>
      </c>
      <c r="O13" s="872">
        <v>0</v>
      </c>
      <c r="P13" s="998">
        <f t="shared" si="28"/>
        <v>0</v>
      </c>
      <c r="Q13" s="1718">
        <f>+'[4]Table 5C1N-Delta Charter'!M12*8</f>
        <v>0</v>
      </c>
      <c r="R13" s="1718">
        <f t="shared" si="29"/>
        <v>0</v>
      </c>
      <c r="S13" s="998">
        <f t="shared" si="30"/>
        <v>0</v>
      </c>
      <c r="T13" s="1802">
        <f>'Table 5C1A-Madison Prep'!T13</f>
        <v>3683</v>
      </c>
      <c r="U13" s="999">
        <f t="shared" si="31"/>
        <v>0</v>
      </c>
      <c r="V13" s="1754">
        <f>+'[3]Oct midyear Delta Charter'!E12</f>
        <v>0</v>
      </c>
      <c r="W13" s="1755">
        <f t="shared" si="32"/>
        <v>0</v>
      </c>
      <c r="X13" s="1754">
        <f>'[3]Feb midyear Delta Charter'!E12</f>
        <v>0</v>
      </c>
      <c r="Y13" s="1755">
        <f t="shared" si="33"/>
        <v>0</v>
      </c>
      <c r="Z13" s="1652">
        <f t="shared" si="34"/>
        <v>0</v>
      </c>
      <c r="AA13" s="1521">
        <f t="shared" si="35"/>
        <v>0</v>
      </c>
      <c r="AB13" s="936">
        <f t="shared" si="36"/>
        <v>0</v>
      </c>
      <c r="AC13" s="874">
        <f t="shared" si="37"/>
        <v>0</v>
      </c>
      <c r="AD13" s="1829">
        <v>0</v>
      </c>
      <c r="AE13" s="874">
        <f t="shared" si="38"/>
        <v>0</v>
      </c>
      <c r="AF13" s="1829">
        <f>+'[4]Table 5C1N-Delta Charter'!T12*8</f>
        <v>0</v>
      </c>
      <c r="AG13" s="1829">
        <f t="shared" si="39"/>
        <v>0</v>
      </c>
      <c r="AH13" s="874">
        <f t="shared" si="40"/>
        <v>0</v>
      </c>
      <c r="AI13" s="875">
        <f t="shared" si="20"/>
        <v>0</v>
      </c>
      <c r="AJ13" s="875">
        <f t="shared" si="41"/>
        <v>0</v>
      </c>
      <c r="AL13" s="2034">
        <f>-'[4]Table 5C1N-Delta Charter'!P12</f>
        <v>0</v>
      </c>
      <c r="AM13" s="2034">
        <f t="shared" si="42"/>
        <v>0</v>
      </c>
      <c r="AN13" s="2034">
        <f t="shared" si="43"/>
        <v>0</v>
      </c>
    </row>
    <row r="14" spans="1:40">
      <c r="A14" s="876">
        <v>7</v>
      </c>
      <c r="B14" s="877" t="s">
        <v>98</v>
      </c>
      <c r="C14" s="969">
        <v>0</v>
      </c>
      <c r="D14" s="878">
        <f>'Table 3 Levels 1&amp;2'!AL14</f>
        <v>1766.1023604176123</v>
      </c>
      <c r="E14" s="919">
        <f t="shared" si="21"/>
        <v>0</v>
      </c>
      <c r="F14" s="919">
        <f>'Table 4 Level 3'!P12</f>
        <v>756.91999999999985</v>
      </c>
      <c r="G14" s="919">
        <f t="shared" si="22"/>
        <v>0</v>
      </c>
      <c r="H14" s="898">
        <f t="shared" si="23"/>
        <v>0</v>
      </c>
      <c r="I14" s="1732">
        <f>+'[3]Oct midyear Delta Charter'!K13</f>
        <v>0</v>
      </c>
      <c r="J14" s="1732">
        <f>'[3]Feb midyear Delta Charter'!K13</f>
        <v>0</v>
      </c>
      <c r="K14" s="1543">
        <f t="shared" si="24"/>
        <v>0</v>
      </c>
      <c r="L14" s="1485">
        <f t="shared" si="25"/>
        <v>0</v>
      </c>
      <c r="M14" s="929">
        <f t="shared" si="26"/>
        <v>0</v>
      </c>
      <c r="N14" s="898">
        <f t="shared" si="27"/>
        <v>0</v>
      </c>
      <c r="O14" s="878">
        <v>0</v>
      </c>
      <c r="P14" s="1550">
        <f t="shared" si="28"/>
        <v>0</v>
      </c>
      <c r="Q14" s="1732">
        <f>+'[4]Table 5C1N-Delta Charter'!M13*8</f>
        <v>0</v>
      </c>
      <c r="R14" s="1732">
        <f t="shared" si="29"/>
        <v>0</v>
      </c>
      <c r="S14" s="1550">
        <f t="shared" si="30"/>
        <v>0</v>
      </c>
      <c r="T14" s="1802">
        <f>'Table 5C1A-Madison Prep'!T14</f>
        <v>11801</v>
      </c>
      <c r="U14" s="1555">
        <f t="shared" si="31"/>
        <v>0</v>
      </c>
      <c r="V14" s="1758">
        <f>+'[3]Oct midyear Delta Charter'!E13</f>
        <v>0</v>
      </c>
      <c r="W14" s="1759">
        <f t="shared" si="32"/>
        <v>0</v>
      </c>
      <c r="X14" s="1758">
        <f>'[3]Feb midyear Delta Charter'!E13</f>
        <v>0</v>
      </c>
      <c r="Y14" s="1759">
        <f t="shared" si="33"/>
        <v>0</v>
      </c>
      <c r="Z14" s="1653">
        <f t="shared" si="34"/>
        <v>0</v>
      </c>
      <c r="AA14" s="1486">
        <f t="shared" si="35"/>
        <v>0</v>
      </c>
      <c r="AB14" s="937">
        <f t="shared" si="36"/>
        <v>0</v>
      </c>
      <c r="AC14" s="899">
        <f t="shared" si="37"/>
        <v>0</v>
      </c>
      <c r="AD14" s="1830">
        <v>0</v>
      </c>
      <c r="AE14" s="899">
        <f t="shared" si="38"/>
        <v>0</v>
      </c>
      <c r="AF14" s="1834">
        <f>+'[4]Table 5C1N-Delta Charter'!T13*8</f>
        <v>0</v>
      </c>
      <c r="AG14" s="1834">
        <f t="shared" si="39"/>
        <v>0</v>
      </c>
      <c r="AH14" s="899">
        <f t="shared" si="40"/>
        <v>0</v>
      </c>
      <c r="AI14" s="900">
        <f t="shared" si="20"/>
        <v>0</v>
      </c>
      <c r="AJ14" s="900">
        <f t="shared" si="41"/>
        <v>0</v>
      </c>
      <c r="AL14" s="2034">
        <f>-'[4]Table 5C1N-Delta Charter'!P13</f>
        <v>0</v>
      </c>
      <c r="AM14" s="2034">
        <f t="shared" si="42"/>
        <v>0</v>
      </c>
      <c r="AN14" s="2034">
        <f t="shared" si="43"/>
        <v>0</v>
      </c>
    </row>
    <row r="15" spans="1:40">
      <c r="A15" s="876">
        <v>8</v>
      </c>
      <c r="B15" s="877" t="s">
        <v>99</v>
      </c>
      <c r="C15" s="969">
        <v>0</v>
      </c>
      <c r="D15" s="878">
        <f>'Table 3 Levels 1&amp;2'!AL15</f>
        <v>4289.5073606712331</v>
      </c>
      <c r="E15" s="919">
        <f t="shared" si="21"/>
        <v>0</v>
      </c>
      <c r="F15" s="919">
        <f>'Table 4 Level 3'!P13</f>
        <v>725.76</v>
      </c>
      <c r="G15" s="919">
        <f t="shared" si="22"/>
        <v>0</v>
      </c>
      <c r="H15" s="898">
        <f t="shared" si="23"/>
        <v>0</v>
      </c>
      <c r="I15" s="1732">
        <f>+'[3]Oct midyear Delta Charter'!K14</f>
        <v>0</v>
      </c>
      <c r="J15" s="1732">
        <f>'[3]Feb midyear Delta Charter'!K14</f>
        <v>0</v>
      </c>
      <c r="K15" s="1543">
        <f t="shared" si="24"/>
        <v>0</v>
      </c>
      <c r="L15" s="1485">
        <f t="shared" si="25"/>
        <v>0</v>
      </c>
      <c r="M15" s="929">
        <f t="shared" si="26"/>
        <v>0</v>
      </c>
      <c r="N15" s="898">
        <f t="shared" si="27"/>
        <v>0</v>
      </c>
      <c r="O15" s="878">
        <v>0</v>
      </c>
      <c r="P15" s="1550">
        <f t="shared" si="28"/>
        <v>0</v>
      </c>
      <c r="Q15" s="1732">
        <f>+'[4]Table 5C1N-Delta Charter'!M14*8</f>
        <v>0</v>
      </c>
      <c r="R15" s="1732">
        <f t="shared" si="29"/>
        <v>0</v>
      </c>
      <c r="S15" s="1550">
        <f t="shared" si="30"/>
        <v>0</v>
      </c>
      <c r="T15" s="1802">
        <f>'Table 5C1A-Madison Prep'!T15</f>
        <v>3988</v>
      </c>
      <c r="U15" s="1555">
        <f t="shared" si="31"/>
        <v>0</v>
      </c>
      <c r="V15" s="1758">
        <f>+'[3]Oct midyear Delta Charter'!E14</f>
        <v>0</v>
      </c>
      <c r="W15" s="1759">
        <f t="shared" si="32"/>
        <v>0</v>
      </c>
      <c r="X15" s="1758">
        <f>'[3]Feb midyear Delta Charter'!E14</f>
        <v>0</v>
      </c>
      <c r="Y15" s="1759">
        <f t="shared" si="33"/>
        <v>0</v>
      </c>
      <c r="Z15" s="1653">
        <f t="shared" si="34"/>
        <v>0</v>
      </c>
      <c r="AA15" s="1486">
        <f t="shared" si="35"/>
        <v>0</v>
      </c>
      <c r="AB15" s="937">
        <f t="shared" si="36"/>
        <v>0</v>
      </c>
      <c r="AC15" s="899">
        <f t="shared" si="37"/>
        <v>0</v>
      </c>
      <c r="AD15" s="1830">
        <v>0</v>
      </c>
      <c r="AE15" s="899">
        <f t="shared" si="38"/>
        <v>0</v>
      </c>
      <c r="AF15" s="1834">
        <f>+'[4]Table 5C1N-Delta Charter'!T14*8</f>
        <v>0</v>
      </c>
      <c r="AG15" s="1834">
        <f t="shared" si="39"/>
        <v>0</v>
      </c>
      <c r="AH15" s="899">
        <f t="shared" si="40"/>
        <v>0</v>
      </c>
      <c r="AI15" s="900">
        <f t="shared" si="20"/>
        <v>0</v>
      </c>
      <c r="AJ15" s="900">
        <f t="shared" si="41"/>
        <v>0</v>
      </c>
      <c r="AL15" s="2034">
        <f>-'[4]Table 5C1N-Delta Charter'!P14</f>
        <v>0</v>
      </c>
      <c r="AM15" s="2034">
        <f t="shared" si="42"/>
        <v>0</v>
      </c>
      <c r="AN15" s="2034">
        <f t="shared" si="43"/>
        <v>0</v>
      </c>
    </row>
    <row r="16" spans="1:40">
      <c r="A16" s="876">
        <v>9</v>
      </c>
      <c r="B16" s="877" t="s">
        <v>100</v>
      </c>
      <c r="C16" s="969">
        <v>0</v>
      </c>
      <c r="D16" s="878">
        <f>'Table 3 Levels 1&amp;2'!AL16</f>
        <v>4395.6154516889328</v>
      </c>
      <c r="E16" s="919">
        <f t="shared" si="21"/>
        <v>0</v>
      </c>
      <c r="F16" s="919">
        <f>'Table 4 Level 3'!P14</f>
        <v>744.76</v>
      </c>
      <c r="G16" s="919">
        <f t="shared" si="22"/>
        <v>0</v>
      </c>
      <c r="H16" s="898">
        <f t="shared" si="23"/>
        <v>0</v>
      </c>
      <c r="I16" s="1732">
        <f>+'[3]Oct midyear Delta Charter'!K15</f>
        <v>0</v>
      </c>
      <c r="J16" s="1732">
        <f>'[3]Feb midyear Delta Charter'!K15</f>
        <v>0</v>
      </c>
      <c r="K16" s="1543">
        <f t="shared" si="24"/>
        <v>0</v>
      </c>
      <c r="L16" s="1485">
        <f t="shared" si="25"/>
        <v>0</v>
      </c>
      <c r="M16" s="929">
        <f t="shared" si="26"/>
        <v>0</v>
      </c>
      <c r="N16" s="898">
        <f t="shared" si="27"/>
        <v>0</v>
      </c>
      <c r="O16" s="878">
        <v>0</v>
      </c>
      <c r="P16" s="1550">
        <f t="shared" si="28"/>
        <v>0</v>
      </c>
      <c r="Q16" s="1732">
        <f>+'[4]Table 5C1N-Delta Charter'!M15*8</f>
        <v>0</v>
      </c>
      <c r="R16" s="1732">
        <f t="shared" si="29"/>
        <v>0</v>
      </c>
      <c r="S16" s="1550">
        <f t="shared" si="30"/>
        <v>0</v>
      </c>
      <c r="T16" s="1802">
        <f>'Table 5C1A-Madison Prep'!T16</f>
        <v>4677</v>
      </c>
      <c r="U16" s="1555">
        <f t="shared" si="31"/>
        <v>0</v>
      </c>
      <c r="V16" s="1758">
        <f>+'[3]Oct midyear Delta Charter'!E15</f>
        <v>0</v>
      </c>
      <c r="W16" s="1759">
        <f t="shared" si="32"/>
        <v>0</v>
      </c>
      <c r="X16" s="1758">
        <f>'[3]Feb midyear Delta Charter'!E15</f>
        <v>0</v>
      </c>
      <c r="Y16" s="1759">
        <f t="shared" si="33"/>
        <v>0</v>
      </c>
      <c r="Z16" s="1653">
        <f t="shared" si="34"/>
        <v>0</v>
      </c>
      <c r="AA16" s="1486">
        <f t="shared" si="35"/>
        <v>0</v>
      </c>
      <c r="AB16" s="937">
        <f t="shared" si="36"/>
        <v>0</v>
      </c>
      <c r="AC16" s="899">
        <f t="shared" si="37"/>
        <v>0</v>
      </c>
      <c r="AD16" s="1830">
        <v>0</v>
      </c>
      <c r="AE16" s="899">
        <f t="shared" si="38"/>
        <v>0</v>
      </c>
      <c r="AF16" s="1834">
        <f>+'[4]Table 5C1N-Delta Charter'!T15*8</f>
        <v>0</v>
      </c>
      <c r="AG16" s="1834">
        <f t="shared" si="39"/>
        <v>0</v>
      </c>
      <c r="AH16" s="899">
        <f t="shared" si="40"/>
        <v>0</v>
      </c>
      <c r="AI16" s="900">
        <f t="shared" si="20"/>
        <v>0</v>
      </c>
      <c r="AJ16" s="900">
        <f t="shared" si="41"/>
        <v>0</v>
      </c>
      <c r="AL16" s="2034">
        <f>-'[4]Table 5C1N-Delta Charter'!P15</f>
        <v>0</v>
      </c>
      <c r="AM16" s="2034">
        <f t="shared" si="42"/>
        <v>0</v>
      </c>
      <c r="AN16" s="2034">
        <f t="shared" si="43"/>
        <v>0</v>
      </c>
    </row>
    <row r="17" spans="1:40">
      <c r="A17" s="879">
        <v>10</v>
      </c>
      <c r="B17" s="880" t="s">
        <v>101</v>
      </c>
      <c r="C17" s="970">
        <v>0</v>
      </c>
      <c r="D17" s="881">
        <f>'Table 3 Levels 1&amp;2'!AL17</f>
        <v>4253.5980618992444</v>
      </c>
      <c r="E17" s="920">
        <f t="shared" si="21"/>
        <v>0</v>
      </c>
      <c r="F17" s="920">
        <f>'Table 4 Level 3'!P15</f>
        <v>608.04000000000008</v>
      </c>
      <c r="G17" s="920">
        <f t="shared" si="22"/>
        <v>0</v>
      </c>
      <c r="H17" s="901">
        <f t="shared" si="23"/>
        <v>0</v>
      </c>
      <c r="I17" s="1733">
        <f>+'[3]Oct midyear Delta Charter'!K16</f>
        <v>0</v>
      </c>
      <c r="J17" s="1733">
        <f>'[3]Feb midyear Delta Charter'!K16</f>
        <v>0</v>
      </c>
      <c r="K17" s="1544">
        <f t="shared" si="24"/>
        <v>0</v>
      </c>
      <c r="L17" s="1487">
        <f t="shared" si="25"/>
        <v>0</v>
      </c>
      <c r="M17" s="930">
        <f t="shared" si="26"/>
        <v>0</v>
      </c>
      <c r="N17" s="901">
        <f t="shared" si="27"/>
        <v>0</v>
      </c>
      <c r="O17" s="881">
        <v>0</v>
      </c>
      <c r="P17" s="1551">
        <f t="shared" si="28"/>
        <v>0</v>
      </c>
      <c r="Q17" s="1733">
        <f>+'[4]Table 5C1N-Delta Charter'!M16*8</f>
        <v>0</v>
      </c>
      <c r="R17" s="1733">
        <f t="shared" si="29"/>
        <v>0</v>
      </c>
      <c r="S17" s="1551">
        <f t="shared" si="30"/>
        <v>0</v>
      </c>
      <c r="T17" s="1807">
        <f>'Table 5C1A-Madison Prep'!T17</f>
        <v>4502</v>
      </c>
      <c r="U17" s="1556">
        <f t="shared" si="31"/>
        <v>0</v>
      </c>
      <c r="V17" s="1762">
        <f>+'[3]Oct midyear Delta Charter'!E16</f>
        <v>0</v>
      </c>
      <c r="W17" s="1763">
        <f t="shared" si="32"/>
        <v>0</v>
      </c>
      <c r="X17" s="1762">
        <f>'[3]Feb midyear Delta Charter'!E16</f>
        <v>0</v>
      </c>
      <c r="Y17" s="1763">
        <f t="shared" si="33"/>
        <v>0</v>
      </c>
      <c r="Z17" s="1654">
        <f t="shared" si="34"/>
        <v>0</v>
      </c>
      <c r="AA17" s="1488">
        <f t="shared" si="35"/>
        <v>0</v>
      </c>
      <c r="AB17" s="938">
        <f t="shared" si="36"/>
        <v>0</v>
      </c>
      <c r="AC17" s="903">
        <f t="shared" si="37"/>
        <v>0</v>
      </c>
      <c r="AD17" s="1831">
        <v>0</v>
      </c>
      <c r="AE17" s="903">
        <f t="shared" si="38"/>
        <v>0</v>
      </c>
      <c r="AF17" s="1835">
        <f>+'[4]Table 5C1N-Delta Charter'!T16*8</f>
        <v>0</v>
      </c>
      <c r="AG17" s="1835">
        <f t="shared" si="39"/>
        <v>0</v>
      </c>
      <c r="AH17" s="903">
        <f t="shared" si="40"/>
        <v>0</v>
      </c>
      <c r="AI17" s="904">
        <f t="shared" si="20"/>
        <v>0</v>
      </c>
      <c r="AJ17" s="904">
        <f t="shared" si="41"/>
        <v>0</v>
      </c>
      <c r="AL17" s="2034">
        <f>-'[4]Table 5C1N-Delta Charter'!P16</f>
        <v>0</v>
      </c>
      <c r="AM17" s="2034">
        <f t="shared" si="42"/>
        <v>0</v>
      </c>
      <c r="AN17" s="2034">
        <f t="shared" si="43"/>
        <v>0</v>
      </c>
    </row>
    <row r="18" spans="1:40">
      <c r="A18" s="870">
        <v>11</v>
      </c>
      <c r="B18" s="871" t="s">
        <v>102</v>
      </c>
      <c r="C18" s="971">
        <v>0</v>
      </c>
      <c r="D18" s="872">
        <f>'Table 3 Levels 1&amp;2'!AL18</f>
        <v>6852.9138435383502</v>
      </c>
      <c r="E18" s="918">
        <f t="shared" si="21"/>
        <v>0</v>
      </c>
      <c r="F18" s="918">
        <f>'Table 4 Level 3'!P16</f>
        <v>706.55</v>
      </c>
      <c r="G18" s="918">
        <f t="shared" si="22"/>
        <v>0</v>
      </c>
      <c r="H18" s="873">
        <f t="shared" si="23"/>
        <v>0</v>
      </c>
      <c r="I18" s="1718">
        <f>+'[3]Oct midyear Delta Charter'!K17</f>
        <v>0</v>
      </c>
      <c r="J18" s="1718">
        <f>'[3]Feb midyear Delta Charter'!K17</f>
        <v>0</v>
      </c>
      <c r="K18" s="1542">
        <f t="shared" si="24"/>
        <v>0</v>
      </c>
      <c r="L18" s="1520">
        <f t="shared" si="25"/>
        <v>0</v>
      </c>
      <c r="M18" s="928">
        <f t="shared" si="26"/>
        <v>0</v>
      </c>
      <c r="N18" s="873">
        <f t="shared" si="27"/>
        <v>0</v>
      </c>
      <c r="O18" s="872">
        <v>0</v>
      </c>
      <c r="P18" s="998">
        <f t="shared" si="28"/>
        <v>0</v>
      </c>
      <c r="Q18" s="1718">
        <f>+'[4]Table 5C1N-Delta Charter'!M17*8</f>
        <v>0</v>
      </c>
      <c r="R18" s="1718">
        <f t="shared" si="29"/>
        <v>0</v>
      </c>
      <c r="S18" s="998">
        <f t="shared" si="30"/>
        <v>0</v>
      </c>
      <c r="T18" s="1802">
        <f>'Table 5C1A-Madison Prep'!T18</f>
        <v>3776</v>
      </c>
      <c r="U18" s="999">
        <f t="shared" si="31"/>
        <v>0</v>
      </c>
      <c r="V18" s="1754">
        <f>+'[3]Oct midyear Delta Charter'!E17</f>
        <v>0</v>
      </c>
      <c r="W18" s="1755">
        <f t="shared" si="32"/>
        <v>0</v>
      </c>
      <c r="X18" s="1754">
        <f>'[3]Feb midyear Delta Charter'!E17</f>
        <v>0</v>
      </c>
      <c r="Y18" s="1755">
        <f t="shared" si="33"/>
        <v>0</v>
      </c>
      <c r="Z18" s="1652">
        <f t="shared" si="34"/>
        <v>0</v>
      </c>
      <c r="AA18" s="1521">
        <f t="shared" si="35"/>
        <v>0</v>
      </c>
      <c r="AB18" s="936">
        <f t="shared" si="36"/>
        <v>0</v>
      </c>
      <c r="AC18" s="874">
        <f t="shared" si="37"/>
        <v>0</v>
      </c>
      <c r="AD18" s="1829">
        <v>0</v>
      </c>
      <c r="AE18" s="874">
        <f t="shared" si="38"/>
        <v>0</v>
      </c>
      <c r="AF18" s="1829">
        <f>+'[4]Table 5C1N-Delta Charter'!T17*8</f>
        <v>0</v>
      </c>
      <c r="AG18" s="1829">
        <f t="shared" si="39"/>
        <v>0</v>
      </c>
      <c r="AH18" s="874">
        <f t="shared" si="40"/>
        <v>0</v>
      </c>
      <c r="AI18" s="875">
        <f t="shared" si="20"/>
        <v>0</v>
      </c>
      <c r="AJ18" s="875">
        <f t="shared" si="41"/>
        <v>0</v>
      </c>
      <c r="AL18" s="2034">
        <f>-'[4]Table 5C1N-Delta Charter'!P17</f>
        <v>0</v>
      </c>
      <c r="AM18" s="2034">
        <f t="shared" si="42"/>
        <v>0</v>
      </c>
      <c r="AN18" s="2034">
        <f t="shared" si="43"/>
        <v>0</v>
      </c>
    </row>
    <row r="19" spans="1:40">
      <c r="A19" s="876">
        <v>12</v>
      </c>
      <c r="B19" s="877" t="s">
        <v>103</v>
      </c>
      <c r="C19" s="969">
        <v>0</v>
      </c>
      <c r="D19" s="878">
        <f>'Table 3 Levels 1&amp;2'!AL19</f>
        <v>1733.9056059356967</v>
      </c>
      <c r="E19" s="919">
        <f t="shared" si="21"/>
        <v>0</v>
      </c>
      <c r="F19" s="919">
        <f>'Table 4 Level 3'!P17</f>
        <v>1063.31</v>
      </c>
      <c r="G19" s="919">
        <f t="shared" si="22"/>
        <v>0</v>
      </c>
      <c r="H19" s="898">
        <f t="shared" si="23"/>
        <v>0</v>
      </c>
      <c r="I19" s="1732">
        <f>+'[3]Oct midyear Delta Charter'!K18</f>
        <v>0</v>
      </c>
      <c r="J19" s="1732">
        <f>'[3]Feb midyear Delta Charter'!K18</f>
        <v>0</v>
      </c>
      <c r="K19" s="1543">
        <f t="shared" si="24"/>
        <v>0</v>
      </c>
      <c r="L19" s="1485">
        <f t="shared" si="25"/>
        <v>0</v>
      </c>
      <c r="M19" s="929">
        <f t="shared" si="26"/>
        <v>0</v>
      </c>
      <c r="N19" s="898">
        <f t="shared" si="27"/>
        <v>0</v>
      </c>
      <c r="O19" s="878">
        <v>0</v>
      </c>
      <c r="P19" s="1550">
        <f t="shared" si="28"/>
        <v>0</v>
      </c>
      <c r="Q19" s="1732">
        <f>+'[4]Table 5C1N-Delta Charter'!M18*8</f>
        <v>0</v>
      </c>
      <c r="R19" s="1732">
        <f t="shared" si="29"/>
        <v>0</v>
      </c>
      <c r="S19" s="1550">
        <f t="shared" si="30"/>
        <v>0</v>
      </c>
      <c r="T19" s="1802">
        <f>'Table 5C1A-Madison Prep'!T19</f>
        <v>13312</v>
      </c>
      <c r="U19" s="1555">
        <f t="shared" si="31"/>
        <v>0</v>
      </c>
      <c r="V19" s="1758">
        <f>+'[3]Oct midyear Delta Charter'!E18</f>
        <v>0</v>
      </c>
      <c r="W19" s="1759">
        <f t="shared" si="32"/>
        <v>0</v>
      </c>
      <c r="X19" s="1758">
        <f>'[3]Feb midyear Delta Charter'!E18</f>
        <v>0</v>
      </c>
      <c r="Y19" s="1759">
        <f t="shared" si="33"/>
        <v>0</v>
      </c>
      <c r="Z19" s="1653">
        <f t="shared" si="34"/>
        <v>0</v>
      </c>
      <c r="AA19" s="1486">
        <f t="shared" si="35"/>
        <v>0</v>
      </c>
      <c r="AB19" s="937">
        <f t="shared" si="36"/>
        <v>0</v>
      </c>
      <c r="AC19" s="899">
        <f t="shared" si="37"/>
        <v>0</v>
      </c>
      <c r="AD19" s="1830">
        <v>0</v>
      </c>
      <c r="AE19" s="899">
        <f t="shared" si="38"/>
        <v>0</v>
      </c>
      <c r="AF19" s="1834">
        <f>+'[4]Table 5C1N-Delta Charter'!T18*8</f>
        <v>0</v>
      </c>
      <c r="AG19" s="1834">
        <f t="shared" si="39"/>
        <v>0</v>
      </c>
      <c r="AH19" s="899">
        <f t="shared" si="40"/>
        <v>0</v>
      </c>
      <c r="AI19" s="900">
        <f t="shared" si="20"/>
        <v>0</v>
      </c>
      <c r="AJ19" s="900">
        <f t="shared" si="41"/>
        <v>0</v>
      </c>
      <c r="AL19" s="2034">
        <f>-'[4]Table 5C1N-Delta Charter'!P18</f>
        <v>0</v>
      </c>
      <c r="AM19" s="2034">
        <f t="shared" si="42"/>
        <v>0</v>
      </c>
      <c r="AN19" s="2034">
        <f t="shared" si="43"/>
        <v>0</v>
      </c>
    </row>
    <row r="20" spans="1:40">
      <c r="A20" s="876">
        <v>13</v>
      </c>
      <c r="B20" s="877" t="s">
        <v>104</v>
      </c>
      <c r="C20" s="969">
        <f>ROUND(330*13%,0)</f>
        <v>43</v>
      </c>
      <c r="D20" s="878">
        <f>'Table 3 Levels 1&amp;2'!AL20</f>
        <v>6254.1238637730876</v>
      </c>
      <c r="E20" s="919">
        <f t="shared" si="21"/>
        <v>268927.32614224276</v>
      </c>
      <c r="F20" s="919">
        <f>'Table 4 Level 3'!P18</f>
        <v>749.43000000000006</v>
      </c>
      <c r="G20" s="919">
        <f t="shared" si="22"/>
        <v>32225.49</v>
      </c>
      <c r="H20" s="898">
        <f t="shared" si="23"/>
        <v>301152.81614224275</v>
      </c>
      <c r="I20" s="1732">
        <f>+'[3]Oct midyear Delta Charter'!K19</f>
        <v>-14007.107727546176</v>
      </c>
      <c r="J20" s="1732">
        <f>'[3]Feb midyear Delta Charter'!K19</f>
        <v>0</v>
      </c>
      <c r="K20" s="1543">
        <f t="shared" si="24"/>
        <v>-14007.107727546176</v>
      </c>
      <c r="L20" s="1485">
        <f t="shared" si="25"/>
        <v>287145.70841469656</v>
      </c>
      <c r="M20" s="929">
        <f t="shared" si="26"/>
        <v>-717.86427103674146</v>
      </c>
      <c r="N20" s="898">
        <f t="shared" si="27"/>
        <v>286427.84414365981</v>
      </c>
      <c r="O20" s="878">
        <v>0</v>
      </c>
      <c r="P20" s="1550">
        <f t="shared" si="28"/>
        <v>286427.84414365981</v>
      </c>
      <c r="Q20" s="1732">
        <f>+'[4]Table 5C1N-Delta Charter'!M19*8</f>
        <v>200266.62273459145</v>
      </c>
      <c r="R20" s="1732">
        <f t="shared" si="29"/>
        <v>86161.221409068356</v>
      </c>
      <c r="S20" s="1550">
        <f t="shared" si="30"/>
        <v>21540</v>
      </c>
      <c r="T20" s="1802">
        <f>'Table 5C1A-Madison Prep'!T20</f>
        <v>2671</v>
      </c>
      <c r="U20" s="1555">
        <f t="shared" si="31"/>
        <v>114853</v>
      </c>
      <c r="V20" s="1758">
        <f>+'[3]Oct midyear Delta Charter'!E19</f>
        <v>-2</v>
      </c>
      <c r="W20" s="1759">
        <f t="shared" si="32"/>
        <v>-5342</v>
      </c>
      <c r="X20" s="1758">
        <f>'[3]Feb midyear Delta Charter'!E19</f>
        <v>0</v>
      </c>
      <c r="Y20" s="1759">
        <f t="shared" si="33"/>
        <v>0</v>
      </c>
      <c r="Z20" s="1653">
        <f t="shared" si="34"/>
        <v>-5342</v>
      </c>
      <c r="AA20" s="1486">
        <f t="shared" si="35"/>
        <v>109511</v>
      </c>
      <c r="AB20" s="937">
        <f t="shared" si="36"/>
        <v>-273.77750000000003</v>
      </c>
      <c r="AC20" s="899">
        <f t="shared" si="37"/>
        <v>109237.2225</v>
      </c>
      <c r="AD20" s="1830">
        <v>0</v>
      </c>
      <c r="AE20" s="899">
        <f t="shared" si="38"/>
        <v>109237.2225</v>
      </c>
      <c r="AF20" s="1834">
        <f>+'[4]Table 5C1N-Delta Charter'!T19*8</f>
        <v>72202.375</v>
      </c>
      <c r="AG20" s="1834">
        <f t="shared" si="39"/>
        <v>37034.847500000003</v>
      </c>
      <c r="AH20" s="899">
        <f t="shared" si="40"/>
        <v>9259</v>
      </c>
      <c r="AI20" s="900">
        <f t="shared" si="20"/>
        <v>395665.06664365984</v>
      </c>
      <c r="AJ20" s="900">
        <f t="shared" si="41"/>
        <v>30799</v>
      </c>
      <c r="AL20" s="2034">
        <f>-'[4]Table 5C1N-Delta Charter'!P19</f>
        <v>271.4375</v>
      </c>
      <c r="AM20" s="2034">
        <f t="shared" si="42"/>
        <v>-273.77750000000003</v>
      </c>
      <c r="AN20" s="2034">
        <f t="shared" si="43"/>
        <v>-2.3400000000000318</v>
      </c>
    </row>
    <row r="21" spans="1:40">
      <c r="A21" s="876">
        <v>14</v>
      </c>
      <c r="B21" s="877" t="s">
        <v>105</v>
      </c>
      <c r="C21" s="969">
        <v>0</v>
      </c>
      <c r="D21" s="878">
        <f>'Table 3 Levels 1&amp;2'!AL21</f>
        <v>5377.9187438545459</v>
      </c>
      <c r="E21" s="919">
        <f t="shared" si="21"/>
        <v>0</v>
      </c>
      <c r="F21" s="919">
        <f>'Table 4 Level 3'!P19</f>
        <v>809.9799999999999</v>
      </c>
      <c r="G21" s="919">
        <f t="shared" si="22"/>
        <v>0</v>
      </c>
      <c r="H21" s="898">
        <f t="shared" si="23"/>
        <v>0</v>
      </c>
      <c r="I21" s="1732">
        <f>+'[3]Oct midyear Delta Charter'!K20</f>
        <v>0</v>
      </c>
      <c r="J21" s="1732">
        <f>'[3]Feb midyear Delta Charter'!K20</f>
        <v>0</v>
      </c>
      <c r="K21" s="1543">
        <f t="shared" si="24"/>
        <v>0</v>
      </c>
      <c r="L21" s="1485">
        <f t="shared" si="25"/>
        <v>0</v>
      </c>
      <c r="M21" s="929">
        <f t="shared" si="26"/>
        <v>0</v>
      </c>
      <c r="N21" s="898">
        <f t="shared" si="27"/>
        <v>0</v>
      </c>
      <c r="O21" s="878">
        <v>0</v>
      </c>
      <c r="P21" s="1550">
        <f t="shared" si="28"/>
        <v>0</v>
      </c>
      <c r="Q21" s="1732">
        <f>+'[4]Table 5C1N-Delta Charter'!M20*8</f>
        <v>0</v>
      </c>
      <c r="R21" s="1732">
        <f t="shared" si="29"/>
        <v>0</v>
      </c>
      <c r="S21" s="1550">
        <f t="shared" si="30"/>
        <v>0</v>
      </c>
      <c r="T21" s="1802">
        <f>'Table 5C1A-Madison Prep'!T21</f>
        <v>4439</v>
      </c>
      <c r="U21" s="1555">
        <f t="shared" si="31"/>
        <v>0</v>
      </c>
      <c r="V21" s="1758">
        <f>+'[3]Oct midyear Delta Charter'!E20</f>
        <v>0</v>
      </c>
      <c r="W21" s="1759">
        <f t="shared" si="32"/>
        <v>0</v>
      </c>
      <c r="X21" s="1758">
        <f>'[3]Feb midyear Delta Charter'!E20</f>
        <v>0</v>
      </c>
      <c r="Y21" s="1759">
        <f t="shared" si="33"/>
        <v>0</v>
      </c>
      <c r="Z21" s="1653">
        <f t="shared" si="34"/>
        <v>0</v>
      </c>
      <c r="AA21" s="1486">
        <f t="shared" si="35"/>
        <v>0</v>
      </c>
      <c r="AB21" s="937">
        <f t="shared" si="36"/>
        <v>0</v>
      </c>
      <c r="AC21" s="899">
        <f t="shared" si="37"/>
        <v>0</v>
      </c>
      <c r="AD21" s="1830">
        <v>0</v>
      </c>
      <c r="AE21" s="899">
        <f t="shared" si="38"/>
        <v>0</v>
      </c>
      <c r="AF21" s="1834">
        <f>+'[4]Table 5C1N-Delta Charter'!T20*8</f>
        <v>0</v>
      </c>
      <c r="AG21" s="1834">
        <f t="shared" si="39"/>
        <v>0</v>
      </c>
      <c r="AH21" s="899">
        <f t="shared" si="40"/>
        <v>0</v>
      </c>
      <c r="AI21" s="900">
        <f t="shared" si="20"/>
        <v>0</v>
      </c>
      <c r="AJ21" s="900">
        <f t="shared" si="41"/>
        <v>0</v>
      </c>
      <c r="AL21" s="2034">
        <f>-'[4]Table 5C1N-Delta Charter'!P20</f>
        <v>0</v>
      </c>
      <c r="AM21" s="2034">
        <f t="shared" si="42"/>
        <v>0</v>
      </c>
      <c r="AN21" s="2034">
        <f t="shared" si="43"/>
        <v>0</v>
      </c>
    </row>
    <row r="22" spans="1:40">
      <c r="A22" s="879">
        <v>15</v>
      </c>
      <c r="B22" s="880" t="s">
        <v>106</v>
      </c>
      <c r="C22" s="970">
        <f>ROUND(330*87%,0)</f>
        <v>287</v>
      </c>
      <c r="D22" s="881">
        <f>'Table 3 Levels 1&amp;2'!AL22</f>
        <v>5527.7651197617861</v>
      </c>
      <c r="E22" s="920">
        <f t="shared" si="21"/>
        <v>1586468.5893716326</v>
      </c>
      <c r="F22" s="920">
        <f>'Table 4 Level 3'!P20</f>
        <v>553.79999999999995</v>
      </c>
      <c r="G22" s="920">
        <f t="shared" si="22"/>
        <v>158940.59999999998</v>
      </c>
      <c r="H22" s="901">
        <f t="shared" si="23"/>
        <v>1745409.1893716324</v>
      </c>
      <c r="I22" s="1733">
        <f>+'[3]Oct midyear Delta Charter'!K21</f>
        <v>-91223.476796426796</v>
      </c>
      <c r="J22" s="1733">
        <f>'[3]Feb midyear Delta Charter'!K21</f>
        <v>-9122.3476796426803</v>
      </c>
      <c r="K22" s="1544">
        <f t="shared" si="24"/>
        <v>-100345.82447606948</v>
      </c>
      <c r="L22" s="1487">
        <f t="shared" si="25"/>
        <v>1645063.3648955629</v>
      </c>
      <c r="M22" s="930">
        <f t="shared" si="26"/>
        <v>-4112.6584122389077</v>
      </c>
      <c r="N22" s="901">
        <f t="shared" si="27"/>
        <v>1640950.7064833241</v>
      </c>
      <c r="O22" s="881">
        <v>0</v>
      </c>
      <c r="P22" s="1551">
        <f t="shared" si="28"/>
        <v>1640950.7064833241</v>
      </c>
      <c r="Q22" s="1733">
        <f>+'[4]Table 5C1N-Delta Charter'!M21*8</f>
        <v>1160697.1109321355</v>
      </c>
      <c r="R22" s="1733">
        <f t="shared" si="29"/>
        <v>480253.59555118857</v>
      </c>
      <c r="S22" s="1551">
        <f t="shared" si="30"/>
        <v>120063</v>
      </c>
      <c r="T22" s="1807">
        <f>'Table 5C1A-Madison Prep'!T22</f>
        <v>2800</v>
      </c>
      <c r="U22" s="1556">
        <f t="shared" si="31"/>
        <v>803600</v>
      </c>
      <c r="V22" s="1762">
        <f>+'[3]Oct midyear Delta Charter'!E21</f>
        <v>-15</v>
      </c>
      <c r="W22" s="1763">
        <f t="shared" si="32"/>
        <v>-42000</v>
      </c>
      <c r="X22" s="1762">
        <f>'[3]Feb midyear Delta Charter'!E21</f>
        <v>-3</v>
      </c>
      <c r="Y22" s="1763">
        <f t="shared" si="33"/>
        <v>-4200</v>
      </c>
      <c r="Z22" s="1654">
        <f t="shared" si="34"/>
        <v>-46200</v>
      </c>
      <c r="AA22" s="1488">
        <f t="shared" si="35"/>
        <v>757400</v>
      </c>
      <c r="AB22" s="938">
        <f t="shared" si="36"/>
        <v>-1893.5</v>
      </c>
      <c r="AC22" s="903">
        <f t="shared" si="37"/>
        <v>755506.5</v>
      </c>
      <c r="AD22" s="1831">
        <v>0</v>
      </c>
      <c r="AE22" s="903">
        <f t="shared" si="38"/>
        <v>755506.5</v>
      </c>
      <c r="AF22" s="1835">
        <f>+'[4]Table 5C1N-Delta Charter'!T21*8</f>
        <v>485344.26499999996</v>
      </c>
      <c r="AG22" s="1835">
        <f t="shared" si="39"/>
        <v>270162.23500000004</v>
      </c>
      <c r="AH22" s="903">
        <f t="shared" si="40"/>
        <v>67541</v>
      </c>
      <c r="AI22" s="904">
        <f t="shared" si="20"/>
        <v>2396457.2064833241</v>
      </c>
      <c r="AJ22" s="904">
        <f t="shared" si="41"/>
        <v>187604</v>
      </c>
      <c r="AL22" s="2034">
        <f>-'[4]Table 5C1N-Delta Charter'!P21</f>
        <v>1824.6025</v>
      </c>
      <c r="AM22" s="2034">
        <f t="shared" si="42"/>
        <v>-1893.5</v>
      </c>
      <c r="AN22" s="2034">
        <f t="shared" si="43"/>
        <v>-68.897500000000036</v>
      </c>
    </row>
    <row r="23" spans="1:40">
      <c r="A23" s="870">
        <v>16</v>
      </c>
      <c r="B23" s="871" t="s">
        <v>107</v>
      </c>
      <c r="C23" s="971">
        <v>0</v>
      </c>
      <c r="D23" s="872">
        <f>'Table 3 Levels 1&amp;2'!AL23</f>
        <v>1530.3678845377474</v>
      </c>
      <c r="E23" s="918">
        <f t="shared" si="21"/>
        <v>0</v>
      </c>
      <c r="F23" s="918">
        <f>'Table 4 Level 3'!P21</f>
        <v>686.73</v>
      </c>
      <c r="G23" s="918">
        <f t="shared" si="22"/>
        <v>0</v>
      </c>
      <c r="H23" s="873">
        <f t="shared" si="23"/>
        <v>0</v>
      </c>
      <c r="I23" s="1718">
        <f>+'[3]Oct midyear Delta Charter'!K22</f>
        <v>0</v>
      </c>
      <c r="J23" s="1718">
        <f>'[3]Feb midyear Delta Charter'!K22</f>
        <v>0</v>
      </c>
      <c r="K23" s="1542">
        <f t="shared" si="24"/>
        <v>0</v>
      </c>
      <c r="L23" s="1520">
        <f t="shared" si="25"/>
        <v>0</v>
      </c>
      <c r="M23" s="928">
        <f t="shared" si="26"/>
        <v>0</v>
      </c>
      <c r="N23" s="873">
        <f t="shared" si="27"/>
        <v>0</v>
      </c>
      <c r="O23" s="872">
        <v>0</v>
      </c>
      <c r="P23" s="998">
        <f t="shared" si="28"/>
        <v>0</v>
      </c>
      <c r="Q23" s="1718">
        <f>+'[4]Table 5C1N-Delta Charter'!M22*8</f>
        <v>0</v>
      </c>
      <c r="R23" s="1718">
        <f t="shared" si="29"/>
        <v>0</v>
      </c>
      <c r="S23" s="998">
        <f t="shared" si="30"/>
        <v>0</v>
      </c>
      <c r="T23" s="1802">
        <f>'Table 5C1A-Madison Prep'!T23</f>
        <v>12312</v>
      </c>
      <c r="U23" s="999">
        <f t="shared" si="31"/>
        <v>0</v>
      </c>
      <c r="V23" s="1754">
        <f>+'[3]Oct midyear Delta Charter'!E22</f>
        <v>0</v>
      </c>
      <c r="W23" s="1755">
        <f t="shared" si="32"/>
        <v>0</v>
      </c>
      <c r="X23" s="1754">
        <f>'[3]Feb midyear Delta Charter'!E22</f>
        <v>0</v>
      </c>
      <c r="Y23" s="1755">
        <f t="shared" si="33"/>
        <v>0</v>
      </c>
      <c r="Z23" s="1652">
        <f t="shared" si="34"/>
        <v>0</v>
      </c>
      <c r="AA23" s="1521">
        <f t="shared" si="35"/>
        <v>0</v>
      </c>
      <c r="AB23" s="936">
        <f t="shared" si="36"/>
        <v>0</v>
      </c>
      <c r="AC23" s="874">
        <f t="shared" si="37"/>
        <v>0</v>
      </c>
      <c r="AD23" s="1829">
        <v>0</v>
      </c>
      <c r="AE23" s="874">
        <f t="shared" si="38"/>
        <v>0</v>
      </c>
      <c r="AF23" s="1829">
        <f>+'[4]Table 5C1N-Delta Charter'!T22*8</f>
        <v>0</v>
      </c>
      <c r="AG23" s="1829">
        <f t="shared" si="39"/>
        <v>0</v>
      </c>
      <c r="AH23" s="874">
        <f t="shared" si="40"/>
        <v>0</v>
      </c>
      <c r="AI23" s="875">
        <f t="shared" si="20"/>
        <v>0</v>
      </c>
      <c r="AJ23" s="875">
        <f t="shared" si="41"/>
        <v>0</v>
      </c>
      <c r="AL23" s="2034">
        <f>-'[4]Table 5C1N-Delta Charter'!P22</f>
        <v>0</v>
      </c>
      <c r="AM23" s="2034">
        <f t="shared" si="42"/>
        <v>0</v>
      </c>
      <c r="AN23" s="2034">
        <f t="shared" si="43"/>
        <v>0</v>
      </c>
    </row>
    <row r="24" spans="1:40">
      <c r="A24" s="876">
        <v>17</v>
      </c>
      <c r="B24" s="877" t="s">
        <v>108</v>
      </c>
      <c r="C24" s="969">
        <v>0</v>
      </c>
      <c r="D24" s="878">
        <f>'Table 3 Levels 1&amp;2'!AL24</f>
        <v>3313.0666313017805</v>
      </c>
      <c r="E24" s="919">
        <f t="shared" si="21"/>
        <v>0</v>
      </c>
      <c r="F24" s="919">
        <f>'Table 4 Level 3'!P22</f>
        <v>801.47762416806802</v>
      </c>
      <c r="G24" s="919">
        <f t="shared" si="22"/>
        <v>0</v>
      </c>
      <c r="H24" s="898">
        <f t="shared" si="23"/>
        <v>0</v>
      </c>
      <c r="I24" s="1732">
        <f>+'[3]Oct midyear Delta Charter'!K23</f>
        <v>4114.5442554698484</v>
      </c>
      <c r="J24" s="1732">
        <f>'[3]Feb midyear Delta Charter'!K23</f>
        <v>-2057.2721277349242</v>
      </c>
      <c r="K24" s="1543">
        <f t="shared" si="24"/>
        <v>2057.2721277349242</v>
      </c>
      <c r="L24" s="1485">
        <f t="shared" si="25"/>
        <v>2057.2721277349242</v>
      </c>
      <c r="M24" s="929">
        <f t="shared" si="26"/>
        <v>-5.1431803193373105</v>
      </c>
      <c r="N24" s="898">
        <f t="shared" si="27"/>
        <v>2052.1289474155869</v>
      </c>
      <c r="O24" s="878">
        <v>0</v>
      </c>
      <c r="P24" s="1550">
        <f t="shared" si="28"/>
        <v>2052.1289474155869</v>
      </c>
      <c r="Q24" s="1732">
        <f>+'[4]Table 5C1N-Delta Charter'!M23*8</f>
        <v>0</v>
      </c>
      <c r="R24" s="1732">
        <f t="shared" si="29"/>
        <v>2052.1289474155869</v>
      </c>
      <c r="S24" s="1550">
        <f t="shared" si="30"/>
        <v>513</v>
      </c>
      <c r="T24" s="1802">
        <f>'Table 5C1A-Madison Prep'!T24</f>
        <v>6866</v>
      </c>
      <c r="U24" s="1555">
        <f t="shared" si="31"/>
        <v>0</v>
      </c>
      <c r="V24" s="1758">
        <f>+'[3]Oct midyear Delta Charter'!E23</f>
        <v>1</v>
      </c>
      <c r="W24" s="1759">
        <f t="shared" si="32"/>
        <v>6866</v>
      </c>
      <c r="X24" s="1758">
        <f>'[3]Feb midyear Delta Charter'!E23</f>
        <v>-1</v>
      </c>
      <c r="Y24" s="1759">
        <f t="shared" si="33"/>
        <v>-3433</v>
      </c>
      <c r="Z24" s="1653">
        <f t="shared" si="34"/>
        <v>3433</v>
      </c>
      <c r="AA24" s="1486">
        <f t="shared" si="35"/>
        <v>3433</v>
      </c>
      <c r="AB24" s="937">
        <f t="shared" si="36"/>
        <v>-8.5824999999999996</v>
      </c>
      <c r="AC24" s="899">
        <f t="shared" si="37"/>
        <v>3424.4175</v>
      </c>
      <c r="AD24" s="1830">
        <v>0</v>
      </c>
      <c r="AE24" s="899">
        <f t="shared" si="38"/>
        <v>3424.4175</v>
      </c>
      <c r="AF24" s="1834">
        <f>+'[4]Table 5C1N-Delta Charter'!T23*8</f>
        <v>0</v>
      </c>
      <c r="AG24" s="1834">
        <f t="shared" si="39"/>
        <v>3424.4175</v>
      </c>
      <c r="AH24" s="899">
        <f t="shared" si="40"/>
        <v>856</v>
      </c>
      <c r="AI24" s="900">
        <f t="shared" si="20"/>
        <v>5476.546447415587</v>
      </c>
      <c r="AJ24" s="900">
        <f t="shared" si="41"/>
        <v>1369</v>
      </c>
      <c r="AL24" s="2034">
        <f>-'[4]Table 5C1N-Delta Charter'!P23</f>
        <v>0</v>
      </c>
      <c r="AM24" s="2034">
        <f t="shared" si="42"/>
        <v>-8.5824999999999996</v>
      </c>
      <c r="AN24" s="2034">
        <f t="shared" si="43"/>
        <v>-8.5824999999999996</v>
      </c>
    </row>
    <row r="25" spans="1:40">
      <c r="A25" s="876">
        <v>18</v>
      </c>
      <c r="B25" s="877" t="s">
        <v>109</v>
      </c>
      <c r="C25" s="969">
        <v>0</v>
      </c>
      <c r="D25" s="878">
        <f>'Table 3 Levels 1&amp;2'!AL25</f>
        <v>5989.1351892854573</v>
      </c>
      <c r="E25" s="919">
        <f t="shared" si="21"/>
        <v>0</v>
      </c>
      <c r="F25" s="919">
        <f>'Table 4 Level 3'!P23</f>
        <v>845.94999999999993</v>
      </c>
      <c r="G25" s="919">
        <f t="shared" si="22"/>
        <v>0</v>
      </c>
      <c r="H25" s="898">
        <f t="shared" si="23"/>
        <v>0</v>
      </c>
      <c r="I25" s="1732">
        <f>+'[3]Oct midyear Delta Charter'!K24</f>
        <v>0</v>
      </c>
      <c r="J25" s="1732">
        <f>'[3]Feb midyear Delta Charter'!K24</f>
        <v>0</v>
      </c>
      <c r="K25" s="1543">
        <f t="shared" si="24"/>
        <v>0</v>
      </c>
      <c r="L25" s="1485">
        <f t="shared" si="25"/>
        <v>0</v>
      </c>
      <c r="M25" s="929">
        <f t="shared" si="26"/>
        <v>0</v>
      </c>
      <c r="N25" s="898">
        <f t="shared" si="27"/>
        <v>0</v>
      </c>
      <c r="O25" s="878">
        <v>0</v>
      </c>
      <c r="P25" s="1550">
        <f t="shared" si="28"/>
        <v>0</v>
      </c>
      <c r="Q25" s="1732">
        <f>+'[4]Table 5C1N-Delta Charter'!M24*8</f>
        <v>0</v>
      </c>
      <c r="R25" s="1732">
        <f t="shared" si="29"/>
        <v>0</v>
      </c>
      <c r="S25" s="1550">
        <f t="shared" si="30"/>
        <v>0</v>
      </c>
      <c r="T25" s="1802">
        <f>'Table 5C1A-Madison Prep'!T25</f>
        <v>3071</v>
      </c>
      <c r="U25" s="1555">
        <f t="shared" si="31"/>
        <v>0</v>
      </c>
      <c r="V25" s="1758">
        <f>+'[3]Oct midyear Delta Charter'!E24</f>
        <v>0</v>
      </c>
      <c r="W25" s="1759">
        <f t="shared" si="32"/>
        <v>0</v>
      </c>
      <c r="X25" s="1758">
        <f>'[3]Feb midyear Delta Charter'!E24</f>
        <v>0</v>
      </c>
      <c r="Y25" s="1759">
        <f t="shared" si="33"/>
        <v>0</v>
      </c>
      <c r="Z25" s="1653">
        <f t="shared" si="34"/>
        <v>0</v>
      </c>
      <c r="AA25" s="1486">
        <f t="shared" si="35"/>
        <v>0</v>
      </c>
      <c r="AB25" s="937">
        <f t="shared" si="36"/>
        <v>0</v>
      </c>
      <c r="AC25" s="899">
        <f t="shared" si="37"/>
        <v>0</v>
      </c>
      <c r="AD25" s="1830">
        <v>0</v>
      </c>
      <c r="AE25" s="899">
        <f t="shared" si="38"/>
        <v>0</v>
      </c>
      <c r="AF25" s="1834">
        <f>+'[4]Table 5C1N-Delta Charter'!T24*8</f>
        <v>0</v>
      </c>
      <c r="AG25" s="1834">
        <f t="shared" si="39"/>
        <v>0</v>
      </c>
      <c r="AH25" s="899">
        <f t="shared" si="40"/>
        <v>0</v>
      </c>
      <c r="AI25" s="900">
        <f t="shared" si="20"/>
        <v>0</v>
      </c>
      <c r="AJ25" s="900">
        <f t="shared" si="41"/>
        <v>0</v>
      </c>
      <c r="AL25" s="2034">
        <f>-'[4]Table 5C1N-Delta Charter'!P24</f>
        <v>0</v>
      </c>
      <c r="AM25" s="2034">
        <f t="shared" si="42"/>
        <v>0</v>
      </c>
      <c r="AN25" s="2034">
        <f t="shared" si="43"/>
        <v>0</v>
      </c>
    </row>
    <row r="26" spans="1:40">
      <c r="A26" s="876">
        <v>19</v>
      </c>
      <c r="B26" s="877" t="s">
        <v>110</v>
      </c>
      <c r="C26" s="969">
        <v>0</v>
      </c>
      <c r="D26" s="878">
        <f>'Table 3 Levels 1&amp;2'!AL26</f>
        <v>5315.8913399708035</v>
      </c>
      <c r="E26" s="919">
        <f t="shared" si="21"/>
        <v>0</v>
      </c>
      <c r="F26" s="919">
        <f>'Table 4 Level 3'!P24</f>
        <v>905.43</v>
      </c>
      <c r="G26" s="919">
        <f t="shared" si="22"/>
        <v>0</v>
      </c>
      <c r="H26" s="898">
        <f t="shared" si="23"/>
        <v>0</v>
      </c>
      <c r="I26" s="1732">
        <f>+'[3]Oct midyear Delta Charter'!K25</f>
        <v>0</v>
      </c>
      <c r="J26" s="1732">
        <f>'[3]Feb midyear Delta Charter'!K25</f>
        <v>0</v>
      </c>
      <c r="K26" s="1543">
        <f t="shared" si="24"/>
        <v>0</v>
      </c>
      <c r="L26" s="1485">
        <f t="shared" si="25"/>
        <v>0</v>
      </c>
      <c r="M26" s="929">
        <f t="shared" si="26"/>
        <v>0</v>
      </c>
      <c r="N26" s="898">
        <f t="shared" si="27"/>
        <v>0</v>
      </c>
      <c r="O26" s="878">
        <v>0</v>
      </c>
      <c r="P26" s="1550">
        <f t="shared" si="28"/>
        <v>0</v>
      </c>
      <c r="Q26" s="1732">
        <f>+'[4]Table 5C1N-Delta Charter'!M25*8</f>
        <v>0</v>
      </c>
      <c r="R26" s="1732">
        <f t="shared" si="29"/>
        <v>0</v>
      </c>
      <c r="S26" s="1550">
        <f t="shared" si="30"/>
        <v>0</v>
      </c>
      <c r="T26" s="1802">
        <f>'Table 5C1A-Madison Prep'!T26</f>
        <v>2566</v>
      </c>
      <c r="U26" s="1555">
        <f t="shared" si="31"/>
        <v>0</v>
      </c>
      <c r="V26" s="1758">
        <f>+'[3]Oct midyear Delta Charter'!E25</f>
        <v>0</v>
      </c>
      <c r="W26" s="1759">
        <f t="shared" si="32"/>
        <v>0</v>
      </c>
      <c r="X26" s="1758">
        <f>'[3]Feb midyear Delta Charter'!E25</f>
        <v>0</v>
      </c>
      <c r="Y26" s="1759">
        <f t="shared" si="33"/>
        <v>0</v>
      </c>
      <c r="Z26" s="1653">
        <f t="shared" si="34"/>
        <v>0</v>
      </c>
      <c r="AA26" s="1486">
        <f t="shared" si="35"/>
        <v>0</v>
      </c>
      <c r="AB26" s="937">
        <f t="shared" si="36"/>
        <v>0</v>
      </c>
      <c r="AC26" s="899">
        <f t="shared" si="37"/>
        <v>0</v>
      </c>
      <c r="AD26" s="1830">
        <v>0</v>
      </c>
      <c r="AE26" s="899">
        <f t="shared" si="38"/>
        <v>0</v>
      </c>
      <c r="AF26" s="1834">
        <f>+'[4]Table 5C1N-Delta Charter'!T25*8</f>
        <v>0</v>
      </c>
      <c r="AG26" s="1834">
        <f t="shared" si="39"/>
        <v>0</v>
      </c>
      <c r="AH26" s="899">
        <f t="shared" si="40"/>
        <v>0</v>
      </c>
      <c r="AI26" s="900">
        <f t="shared" si="20"/>
        <v>0</v>
      </c>
      <c r="AJ26" s="900">
        <f t="shared" si="41"/>
        <v>0</v>
      </c>
      <c r="AL26" s="2034">
        <f>-'[4]Table 5C1N-Delta Charter'!P25</f>
        <v>0</v>
      </c>
      <c r="AM26" s="2034">
        <f t="shared" si="42"/>
        <v>0</v>
      </c>
      <c r="AN26" s="2034">
        <f t="shared" si="43"/>
        <v>0</v>
      </c>
    </row>
    <row r="27" spans="1:40">
      <c r="A27" s="879">
        <v>20</v>
      </c>
      <c r="B27" s="880" t="s">
        <v>111</v>
      </c>
      <c r="C27" s="970">
        <v>0</v>
      </c>
      <c r="D27" s="881">
        <f>'Table 3 Levels 1&amp;2'!AL27</f>
        <v>5420.2042919205833</v>
      </c>
      <c r="E27" s="920">
        <f t="shared" si="21"/>
        <v>0</v>
      </c>
      <c r="F27" s="920">
        <f>'Table 4 Level 3'!P25</f>
        <v>586.16999999999996</v>
      </c>
      <c r="G27" s="920">
        <f t="shared" si="22"/>
        <v>0</v>
      </c>
      <c r="H27" s="901">
        <f t="shared" si="23"/>
        <v>0</v>
      </c>
      <c r="I27" s="1733">
        <f>+'[3]Oct midyear Delta Charter'!K26</f>
        <v>0</v>
      </c>
      <c r="J27" s="1733">
        <f>'[3]Feb midyear Delta Charter'!K26</f>
        <v>0</v>
      </c>
      <c r="K27" s="1544">
        <f t="shared" si="24"/>
        <v>0</v>
      </c>
      <c r="L27" s="1487">
        <f t="shared" si="25"/>
        <v>0</v>
      </c>
      <c r="M27" s="930">
        <f t="shared" si="26"/>
        <v>0</v>
      </c>
      <c r="N27" s="901">
        <f t="shared" si="27"/>
        <v>0</v>
      </c>
      <c r="O27" s="881">
        <v>0</v>
      </c>
      <c r="P27" s="1551">
        <f t="shared" si="28"/>
        <v>0</v>
      </c>
      <c r="Q27" s="1733">
        <f>+'[4]Table 5C1N-Delta Charter'!M26*8</f>
        <v>0</v>
      </c>
      <c r="R27" s="1733">
        <f t="shared" si="29"/>
        <v>0</v>
      </c>
      <c r="S27" s="1551">
        <f t="shared" si="30"/>
        <v>0</v>
      </c>
      <c r="T27" s="1807">
        <f>'Table 5C1A-Madison Prep'!T27</f>
        <v>2621</v>
      </c>
      <c r="U27" s="1556">
        <f t="shared" si="31"/>
        <v>0</v>
      </c>
      <c r="V27" s="1762">
        <f>+'[3]Oct midyear Delta Charter'!E26</f>
        <v>0</v>
      </c>
      <c r="W27" s="1763">
        <f t="shared" si="32"/>
        <v>0</v>
      </c>
      <c r="X27" s="1762">
        <f>'[3]Feb midyear Delta Charter'!E26</f>
        <v>0</v>
      </c>
      <c r="Y27" s="1763">
        <f t="shared" si="33"/>
        <v>0</v>
      </c>
      <c r="Z27" s="1654">
        <f t="shared" si="34"/>
        <v>0</v>
      </c>
      <c r="AA27" s="1488">
        <f t="shared" si="35"/>
        <v>0</v>
      </c>
      <c r="AB27" s="938">
        <f t="shared" si="36"/>
        <v>0</v>
      </c>
      <c r="AC27" s="903">
        <f t="shared" si="37"/>
        <v>0</v>
      </c>
      <c r="AD27" s="1831">
        <v>0</v>
      </c>
      <c r="AE27" s="903">
        <f t="shared" si="38"/>
        <v>0</v>
      </c>
      <c r="AF27" s="1835">
        <f>+'[4]Table 5C1N-Delta Charter'!T26*8</f>
        <v>0</v>
      </c>
      <c r="AG27" s="1835">
        <f t="shared" si="39"/>
        <v>0</v>
      </c>
      <c r="AH27" s="903">
        <f t="shared" si="40"/>
        <v>0</v>
      </c>
      <c r="AI27" s="904">
        <f t="shared" si="20"/>
        <v>0</v>
      </c>
      <c r="AJ27" s="904">
        <f t="shared" si="41"/>
        <v>0</v>
      </c>
      <c r="AL27" s="2034">
        <f>-'[4]Table 5C1N-Delta Charter'!P26</f>
        <v>0</v>
      </c>
      <c r="AM27" s="2034">
        <f t="shared" si="42"/>
        <v>0</v>
      </c>
      <c r="AN27" s="2034">
        <f t="shared" si="43"/>
        <v>0</v>
      </c>
    </row>
    <row r="28" spans="1:40">
      <c r="A28" s="870">
        <v>21</v>
      </c>
      <c r="B28" s="871" t="s">
        <v>112</v>
      </c>
      <c r="C28" s="971">
        <v>0</v>
      </c>
      <c r="D28" s="872">
        <f>'Table 3 Levels 1&amp;2'!AL28</f>
        <v>5724.5404916279067</v>
      </c>
      <c r="E28" s="918">
        <f t="shared" si="21"/>
        <v>0</v>
      </c>
      <c r="F28" s="918">
        <f>'Table 4 Level 3'!P26</f>
        <v>610.35</v>
      </c>
      <c r="G28" s="918">
        <f t="shared" si="22"/>
        <v>0</v>
      </c>
      <c r="H28" s="873">
        <f t="shared" si="23"/>
        <v>0</v>
      </c>
      <c r="I28" s="1718">
        <f>+'[3]Oct midyear Delta Charter'!K27</f>
        <v>12669.780983255814</v>
      </c>
      <c r="J28" s="1718">
        <f>'[3]Feb midyear Delta Charter'!K27</f>
        <v>0</v>
      </c>
      <c r="K28" s="1542">
        <f t="shared" si="24"/>
        <v>12669.780983255814</v>
      </c>
      <c r="L28" s="1520">
        <f t="shared" si="25"/>
        <v>12669.780983255814</v>
      </c>
      <c r="M28" s="928">
        <f t="shared" si="26"/>
        <v>-31.674452458139537</v>
      </c>
      <c r="N28" s="873">
        <f t="shared" si="27"/>
        <v>12638.106530797675</v>
      </c>
      <c r="O28" s="872">
        <v>0</v>
      </c>
      <c r="P28" s="998">
        <f t="shared" si="28"/>
        <v>12638.106530797675</v>
      </c>
      <c r="Q28" s="1718">
        <f>+'[4]Table 5C1N-Delta Charter'!M27*8</f>
        <v>0</v>
      </c>
      <c r="R28" s="1718">
        <f t="shared" si="29"/>
        <v>12638.106530797675</v>
      </c>
      <c r="S28" s="998">
        <f t="shared" si="30"/>
        <v>3160</v>
      </c>
      <c r="T28" s="1802">
        <f>'Table 5C1A-Madison Prep'!T28</f>
        <v>2445</v>
      </c>
      <c r="U28" s="999">
        <f t="shared" si="31"/>
        <v>0</v>
      </c>
      <c r="V28" s="1754">
        <f>+'[3]Oct midyear Delta Charter'!E27</f>
        <v>2</v>
      </c>
      <c r="W28" s="1755">
        <f t="shared" si="32"/>
        <v>4890</v>
      </c>
      <c r="X28" s="1754">
        <f>'[3]Feb midyear Delta Charter'!E27</f>
        <v>0</v>
      </c>
      <c r="Y28" s="1755">
        <f t="shared" si="33"/>
        <v>0</v>
      </c>
      <c r="Z28" s="1652">
        <f t="shared" si="34"/>
        <v>4890</v>
      </c>
      <c r="AA28" s="1521">
        <f t="shared" si="35"/>
        <v>4890</v>
      </c>
      <c r="AB28" s="936">
        <f t="shared" si="36"/>
        <v>-12.225</v>
      </c>
      <c r="AC28" s="874">
        <f t="shared" si="37"/>
        <v>4877.7749999999996</v>
      </c>
      <c r="AD28" s="1829">
        <v>0</v>
      </c>
      <c r="AE28" s="874">
        <f t="shared" si="38"/>
        <v>4877.7749999999996</v>
      </c>
      <c r="AF28" s="1829">
        <f>+'[4]Table 5C1N-Delta Charter'!T27*8</f>
        <v>0</v>
      </c>
      <c r="AG28" s="1829">
        <f t="shared" si="39"/>
        <v>4877.7749999999996</v>
      </c>
      <c r="AH28" s="874">
        <f t="shared" si="40"/>
        <v>1219</v>
      </c>
      <c r="AI28" s="875">
        <f t="shared" si="20"/>
        <v>17515.881530797677</v>
      </c>
      <c r="AJ28" s="875">
        <f t="shared" si="41"/>
        <v>4379</v>
      </c>
      <c r="AL28" s="2034">
        <f>-'[4]Table 5C1N-Delta Charter'!P27</f>
        <v>0</v>
      </c>
      <c r="AM28" s="2034">
        <f t="shared" si="42"/>
        <v>-12.225</v>
      </c>
      <c r="AN28" s="2034">
        <f t="shared" si="43"/>
        <v>-12.225</v>
      </c>
    </row>
    <row r="29" spans="1:40">
      <c r="A29" s="876">
        <v>22</v>
      </c>
      <c r="B29" s="877" t="s">
        <v>113</v>
      </c>
      <c r="C29" s="969">
        <v>0</v>
      </c>
      <c r="D29" s="878">
        <f>'Table 3 Levels 1&amp;2'!AL29</f>
        <v>6203.2933768722742</v>
      </c>
      <c r="E29" s="919">
        <f t="shared" si="21"/>
        <v>0</v>
      </c>
      <c r="F29" s="919">
        <f>'Table 4 Level 3'!P27</f>
        <v>496.36</v>
      </c>
      <c r="G29" s="919">
        <f t="shared" si="22"/>
        <v>0</v>
      </c>
      <c r="H29" s="898">
        <f t="shared" si="23"/>
        <v>0</v>
      </c>
      <c r="I29" s="1732">
        <f>+'[3]Oct midyear Delta Charter'!K28</f>
        <v>0</v>
      </c>
      <c r="J29" s="1732">
        <f>'[3]Feb midyear Delta Charter'!K28</f>
        <v>0</v>
      </c>
      <c r="K29" s="1543">
        <f t="shared" si="24"/>
        <v>0</v>
      </c>
      <c r="L29" s="1485">
        <f t="shared" si="25"/>
        <v>0</v>
      </c>
      <c r="M29" s="929">
        <f t="shared" si="26"/>
        <v>0</v>
      </c>
      <c r="N29" s="898">
        <f t="shared" si="27"/>
        <v>0</v>
      </c>
      <c r="O29" s="878">
        <v>0</v>
      </c>
      <c r="P29" s="1550">
        <f t="shared" si="28"/>
        <v>0</v>
      </c>
      <c r="Q29" s="1732">
        <f>+'[4]Table 5C1N-Delta Charter'!M28*8</f>
        <v>0</v>
      </c>
      <c r="R29" s="1732">
        <f t="shared" si="29"/>
        <v>0</v>
      </c>
      <c r="S29" s="1550">
        <f t="shared" si="30"/>
        <v>0</v>
      </c>
      <c r="T29" s="1802">
        <f>'Table 5C1A-Madison Prep'!T29</f>
        <v>1519</v>
      </c>
      <c r="U29" s="1555">
        <f t="shared" si="31"/>
        <v>0</v>
      </c>
      <c r="V29" s="1758">
        <f>+'[3]Oct midyear Delta Charter'!E28</f>
        <v>0</v>
      </c>
      <c r="W29" s="1759">
        <f t="shared" si="32"/>
        <v>0</v>
      </c>
      <c r="X29" s="1758">
        <f>'[3]Feb midyear Delta Charter'!E28</f>
        <v>0</v>
      </c>
      <c r="Y29" s="1759">
        <f t="shared" si="33"/>
        <v>0</v>
      </c>
      <c r="Z29" s="1653">
        <f t="shared" si="34"/>
        <v>0</v>
      </c>
      <c r="AA29" s="1486">
        <f t="shared" si="35"/>
        <v>0</v>
      </c>
      <c r="AB29" s="937">
        <f t="shared" si="36"/>
        <v>0</v>
      </c>
      <c r="AC29" s="899">
        <f t="shared" si="37"/>
        <v>0</v>
      </c>
      <c r="AD29" s="1830">
        <v>0</v>
      </c>
      <c r="AE29" s="899">
        <f t="shared" si="38"/>
        <v>0</v>
      </c>
      <c r="AF29" s="1834">
        <f>+'[4]Table 5C1N-Delta Charter'!T28*8</f>
        <v>0</v>
      </c>
      <c r="AG29" s="1834">
        <f t="shared" si="39"/>
        <v>0</v>
      </c>
      <c r="AH29" s="899">
        <f t="shared" si="40"/>
        <v>0</v>
      </c>
      <c r="AI29" s="900">
        <f t="shared" si="20"/>
        <v>0</v>
      </c>
      <c r="AJ29" s="900">
        <f t="shared" si="41"/>
        <v>0</v>
      </c>
      <c r="AL29" s="2034">
        <f>-'[4]Table 5C1N-Delta Charter'!P28</f>
        <v>0</v>
      </c>
      <c r="AM29" s="2034">
        <f t="shared" si="42"/>
        <v>0</v>
      </c>
      <c r="AN29" s="2034">
        <f t="shared" si="43"/>
        <v>0</v>
      </c>
    </row>
    <row r="30" spans="1:40">
      <c r="A30" s="876">
        <v>23</v>
      </c>
      <c r="B30" s="877" t="s">
        <v>114</v>
      </c>
      <c r="C30" s="969">
        <v>0</v>
      </c>
      <c r="D30" s="878">
        <f>'Table 3 Levels 1&amp;2'!AL30</f>
        <v>4846.0802490067681</v>
      </c>
      <c r="E30" s="919">
        <f t="shared" si="21"/>
        <v>0</v>
      </c>
      <c r="F30" s="919">
        <f>'Table 4 Level 3'!P28</f>
        <v>688.58</v>
      </c>
      <c r="G30" s="919">
        <f t="shared" si="22"/>
        <v>0</v>
      </c>
      <c r="H30" s="898">
        <f t="shared" si="23"/>
        <v>0</v>
      </c>
      <c r="I30" s="1732">
        <f>+'[3]Oct midyear Delta Charter'!K29</f>
        <v>0</v>
      </c>
      <c r="J30" s="1732">
        <f>'[3]Feb midyear Delta Charter'!K29</f>
        <v>0</v>
      </c>
      <c r="K30" s="1543">
        <f t="shared" si="24"/>
        <v>0</v>
      </c>
      <c r="L30" s="1485">
        <f t="shared" si="25"/>
        <v>0</v>
      </c>
      <c r="M30" s="929">
        <f t="shared" si="26"/>
        <v>0</v>
      </c>
      <c r="N30" s="898">
        <f t="shared" si="27"/>
        <v>0</v>
      </c>
      <c r="O30" s="878">
        <v>0</v>
      </c>
      <c r="P30" s="1550">
        <f t="shared" si="28"/>
        <v>0</v>
      </c>
      <c r="Q30" s="1732">
        <f>+'[4]Table 5C1N-Delta Charter'!M29*8</f>
        <v>0</v>
      </c>
      <c r="R30" s="1732">
        <f t="shared" si="29"/>
        <v>0</v>
      </c>
      <c r="S30" s="1550">
        <f t="shared" si="30"/>
        <v>0</v>
      </c>
      <c r="T30" s="1802">
        <f>'Table 5C1A-Madison Prep'!T30</f>
        <v>3365</v>
      </c>
      <c r="U30" s="1555">
        <f t="shared" si="31"/>
        <v>0</v>
      </c>
      <c r="V30" s="1758">
        <f>+'[3]Oct midyear Delta Charter'!E29</f>
        <v>0</v>
      </c>
      <c r="W30" s="1759">
        <f t="shared" si="32"/>
        <v>0</v>
      </c>
      <c r="X30" s="1758">
        <f>'[3]Feb midyear Delta Charter'!E29</f>
        <v>0</v>
      </c>
      <c r="Y30" s="1759">
        <f t="shared" si="33"/>
        <v>0</v>
      </c>
      <c r="Z30" s="1653">
        <f t="shared" si="34"/>
        <v>0</v>
      </c>
      <c r="AA30" s="1486">
        <f t="shared" si="35"/>
        <v>0</v>
      </c>
      <c r="AB30" s="937">
        <f t="shared" si="36"/>
        <v>0</v>
      </c>
      <c r="AC30" s="899">
        <f t="shared" si="37"/>
        <v>0</v>
      </c>
      <c r="AD30" s="1830">
        <v>0</v>
      </c>
      <c r="AE30" s="899">
        <f t="shared" si="38"/>
        <v>0</v>
      </c>
      <c r="AF30" s="1834">
        <f>+'[4]Table 5C1N-Delta Charter'!T29*8</f>
        <v>0</v>
      </c>
      <c r="AG30" s="1834">
        <f t="shared" si="39"/>
        <v>0</v>
      </c>
      <c r="AH30" s="899">
        <f t="shared" si="40"/>
        <v>0</v>
      </c>
      <c r="AI30" s="900">
        <f t="shared" si="20"/>
        <v>0</v>
      </c>
      <c r="AJ30" s="900">
        <f t="shared" si="41"/>
        <v>0</v>
      </c>
      <c r="AL30" s="2034">
        <f>-'[4]Table 5C1N-Delta Charter'!P29</f>
        <v>0</v>
      </c>
      <c r="AM30" s="2034">
        <f t="shared" si="42"/>
        <v>0</v>
      </c>
      <c r="AN30" s="2034">
        <f t="shared" si="43"/>
        <v>0</v>
      </c>
    </row>
    <row r="31" spans="1:40">
      <c r="A31" s="876">
        <v>24</v>
      </c>
      <c r="B31" s="877" t="s">
        <v>115</v>
      </c>
      <c r="C31" s="969">
        <v>0</v>
      </c>
      <c r="D31" s="878">
        <f>'Table 3 Levels 1&amp;2'!AL31</f>
        <v>2764.1216755319151</v>
      </c>
      <c r="E31" s="919">
        <f t="shared" si="21"/>
        <v>0</v>
      </c>
      <c r="F31" s="919">
        <f>'Table 4 Level 3'!P29</f>
        <v>854.24999999999989</v>
      </c>
      <c r="G31" s="919">
        <f t="shared" si="22"/>
        <v>0</v>
      </c>
      <c r="H31" s="898">
        <f t="shared" si="23"/>
        <v>0</v>
      </c>
      <c r="I31" s="1732">
        <f>+'[3]Oct midyear Delta Charter'!K30</f>
        <v>0</v>
      </c>
      <c r="J31" s="1732">
        <f>'[3]Feb midyear Delta Charter'!K30</f>
        <v>0</v>
      </c>
      <c r="K31" s="1543">
        <f t="shared" si="24"/>
        <v>0</v>
      </c>
      <c r="L31" s="1485">
        <f t="shared" si="25"/>
        <v>0</v>
      </c>
      <c r="M31" s="929">
        <f t="shared" si="26"/>
        <v>0</v>
      </c>
      <c r="N31" s="898">
        <f t="shared" si="27"/>
        <v>0</v>
      </c>
      <c r="O31" s="878">
        <v>0</v>
      </c>
      <c r="P31" s="1550">
        <f t="shared" si="28"/>
        <v>0</v>
      </c>
      <c r="Q31" s="1732">
        <f>+'[4]Table 5C1N-Delta Charter'!M30*8</f>
        <v>0</v>
      </c>
      <c r="R31" s="1732">
        <f t="shared" si="29"/>
        <v>0</v>
      </c>
      <c r="S31" s="1550">
        <f t="shared" si="30"/>
        <v>0</v>
      </c>
      <c r="T31" s="1802">
        <f>'Table 5C1A-Madison Prep'!T31</f>
        <v>10907</v>
      </c>
      <c r="U31" s="1555">
        <f t="shared" si="31"/>
        <v>0</v>
      </c>
      <c r="V31" s="1758">
        <f>+'[3]Oct midyear Delta Charter'!E30</f>
        <v>0</v>
      </c>
      <c r="W31" s="1759">
        <f t="shared" si="32"/>
        <v>0</v>
      </c>
      <c r="X31" s="1758">
        <f>'[3]Feb midyear Delta Charter'!E30</f>
        <v>0</v>
      </c>
      <c r="Y31" s="1759">
        <f t="shared" si="33"/>
        <v>0</v>
      </c>
      <c r="Z31" s="1653">
        <f t="shared" si="34"/>
        <v>0</v>
      </c>
      <c r="AA31" s="1486">
        <f t="shared" si="35"/>
        <v>0</v>
      </c>
      <c r="AB31" s="937">
        <f t="shared" si="36"/>
        <v>0</v>
      </c>
      <c r="AC31" s="899">
        <f t="shared" si="37"/>
        <v>0</v>
      </c>
      <c r="AD31" s="1830">
        <v>0</v>
      </c>
      <c r="AE31" s="899">
        <f t="shared" si="38"/>
        <v>0</v>
      </c>
      <c r="AF31" s="1834">
        <f>+'[4]Table 5C1N-Delta Charter'!T30*8</f>
        <v>0</v>
      </c>
      <c r="AG31" s="1834">
        <f t="shared" si="39"/>
        <v>0</v>
      </c>
      <c r="AH31" s="899">
        <f t="shared" si="40"/>
        <v>0</v>
      </c>
      <c r="AI31" s="900">
        <f t="shared" si="20"/>
        <v>0</v>
      </c>
      <c r="AJ31" s="900">
        <f t="shared" si="41"/>
        <v>0</v>
      </c>
      <c r="AL31" s="2034">
        <f>-'[4]Table 5C1N-Delta Charter'!P30</f>
        <v>0</v>
      </c>
      <c r="AM31" s="2034">
        <f t="shared" si="42"/>
        <v>0</v>
      </c>
      <c r="AN31" s="2034">
        <f t="shared" si="43"/>
        <v>0</v>
      </c>
    </row>
    <row r="32" spans="1:40">
      <c r="A32" s="879">
        <v>25</v>
      </c>
      <c r="B32" s="880" t="s">
        <v>116</v>
      </c>
      <c r="C32" s="970">
        <v>0</v>
      </c>
      <c r="D32" s="881">
        <f>'Table 3 Levels 1&amp;2'!AL32</f>
        <v>3867.4480692053257</v>
      </c>
      <c r="E32" s="920">
        <f t="shared" si="21"/>
        <v>0</v>
      </c>
      <c r="F32" s="920">
        <f>'Table 4 Level 3'!P30</f>
        <v>653.73</v>
      </c>
      <c r="G32" s="920">
        <f t="shared" si="22"/>
        <v>0</v>
      </c>
      <c r="H32" s="901">
        <f t="shared" si="23"/>
        <v>0</v>
      </c>
      <c r="I32" s="1733">
        <f>+'[3]Oct midyear Delta Charter'!K31</f>
        <v>0</v>
      </c>
      <c r="J32" s="1733">
        <f>'[3]Feb midyear Delta Charter'!K31</f>
        <v>0</v>
      </c>
      <c r="K32" s="1544">
        <f t="shared" si="24"/>
        <v>0</v>
      </c>
      <c r="L32" s="1487">
        <f t="shared" si="25"/>
        <v>0</v>
      </c>
      <c r="M32" s="930">
        <f t="shared" si="26"/>
        <v>0</v>
      </c>
      <c r="N32" s="901">
        <f t="shared" si="27"/>
        <v>0</v>
      </c>
      <c r="O32" s="881">
        <v>0</v>
      </c>
      <c r="P32" s="1551">
        <f t="shared" si="28"/>
        <v>0</v>
      </c>
      <c r="Q32" s="1733">
        <f>+'[4]Table 5C1N-Delta Charter'!M31*8</f>
        <v>0</v>
      </c>
      <c r="R32" s="1733">
        <f t="shared" si="29"/>
        <v>0</v>
      </c>
      <c r="S32" s="1551">
        <f t="shared" si="30"/>
        <v>0</v>
      </c>
      <c r="T32" s="1807">
        <f>'Table 5C1A-Madison Prep'!T32</f>
        <v>5156</v>
      </c>
      <c r="U32" s="1556">
        <f t="shared" si="31"/>
        <v>0</v>
      </c>
      <c r="V32" s="1762">
        <f>+'[3]Oct midyear Delta Charter'!E31</f>
        <v>0</v>
      </c>
      <c r="W32" s="1763">
        <f t="shared" si="32"/>
        <v>0</v>
      </c>
      <c r="X32" s="1762">
        <f>'[3]Feb midyear Delta Charter'!E31</f>
        <v>0</v>
      </c>
      <c r="Y32" s="1763">
        <f t="shared" si="33"/>
        <v>0</v>
      </c>
      <c r="Z32" s="1654">
        <f t="shared" si="34"/>
        <v>0</v>
      </c>
      <c r="AA32" s="1488">
        <f t="shared" si="35"/>
        <v>0</v>
      </c>
      <c r="AB32" s="938">
        <f t="shared" si="36"/>
        <v>0</v>
      </c>
      <c r="AC32" s="903">
        <f t="shared" si="37"/>
        <v>0</v>
      </c>
      <c r="AD32" s="1831">
        <v>0</v>
      </c>
      <c r="AE32" s="903">
        <f t="shared" si="38"/>
        <v>0</v>
      </c>
      <c r="AF32" s="1835">
        <f>+'[4]Table 5C1N-Delta Charter'!T31*8</f>
        <v>0</v>
      </c>
      <c r="AG32" s="1835">
        <f t="shared" si="39"/>
        <v>0</v>
      </c>
      <c r="AH32" s="903">
        <f t="shared" si="40"/>
        <v>0</v>
      </c>
      <c r="AI32" s="904">
        <f t="shared" si="20"/>
        <v>0</v>
      </c>
      <c r="AJ32" s="904">
        <f t="shared" si="41"/>
        <v>0</v>
      </c>
      <c r="AL32" s="2034">
        <f>-'[4]Table 5C1N-Delta Charter'!P31</f>
        <v>0</v>
      </c>
      <c r="AM32" s="2034">
        <f t="shared" si="42"/>
        <v>0</v>
      </c>
      <c r="AN32" s="2034">
        <f t="shared" si="43"/>
        <v>0</v>
      </c>
    </row>
    <row r="33" spans="1:40">
      <c r="A33" s="870">
        <v>26</v>
      </c>
      <c r="B33" s="871" t="s">
        <v>117</v>
      </c>
      <c r="C33" s="971">
        <v>0</v>
      </c>
      <c r="D33" s="872">
        <f>'Table 3 Levels 1&amp;2'!AL33</f>
        <v>3293.481526790355</v>
      </c>
      <c r="E33" s="918">
        <f t="shared" si="21"/>
        <v>0</v>
      </c>
      <c r="F33" s="918">
        <f>'Table 4 Level 3'!P31</f>
        <v>836.83</v>
      </c>
      <c r="G33" s="918">
        <f t="shared" si="22"/>
        <v>0</v>
      </c>
      <c r="H33" s="873">
        <f t="shared" si="23"/>
        <v>0</v>
      </c>
      <c r="I33" s="1718">
        <f>+'[3]Oct midyear Delta Charter'!K32</f>
        <v>0</v>
      </c>
      <c r="J33" s="1718">
        <f>'[3]Feb midyear Delta Charter'!K32</f>
        <v>0</v>
      </c>
      <c r="K33" s="1542">
        <f t="shared" si="24"/>
        <v>0</v>
      </c>
      <c r="L33" s="1520">
        <f t="shared" si="25"/>
        <v>0</v>
      </c>
      <c r="M33" s="928">
        <f t="shared" si="26"/>
        <v>0</v>
      </c>
      <c r="N33" s="873">
        <f t="shared" si="27"/>
        <v>0</v>
      </c>
      <c r="O33" s="872">
        <v>0</v>
      </c>
      <c r="P33" s="998">
        <f t="shared" si="28"/>
        <v>0</v>
      </c>
      <c r="Q33" s="1718">
        <f>+'[4]Table 5C1N-Delta Charter'!M32*8</f>
        <v>0</v>
      </c>
      <c r="R33" s="1718">
        <f t="shared" si="29"/>
        <v>0</v>
      </c>
      <c r="S33" s="998">
        <f t="shared" si="30"/>
        <v>0</v>
      </c>
      <c r="T33" s="1802">
        <f>'Table 5C1A-Madison Prep'!T33</f>
        <v>5344</v>
      </c>
      <c r="U33" s="999">
        <f t="shared" si="31"/>
        <v>0</v>
      </c>
      <c r="V33" s="1754">
        <f>+'[3]Oct midyear Delta Charter'!E32</f>
        <v>0</v>
      </c>
      <c r="W33" s="1755">
        <f t="shared" si="32"/>
        <v>0</v>
      </c>
      <c r="X33" s="1754">
        <f>'[3]Feb midyear Delta Charter'!E32</f>
        <v>0</v>
      </c>
      <c r="Y33" s="1755">
        <f t="shared" si="33"/>
        <v>0</v>
      </c>
      <c r="Z33" s="1652">
        <f t="shared" si="34"/>
        <v>0</v>
      </c>
      <c r="AA33" s="1521">
        <f t="shared" si="35"/>
        <v>0</v>
      </c>
      <c r="AB33" s="936">
        <f t="shared" si="36"/>
        <v>0</v>
      </c>
      <c r="AC33" s="874">
        <f t="shared" si="37"/>
        <v>0</v>
      </c>
      <c r="AD33" s="1829">
        <v>0</v>
      </c>
      <c r="AE33" s="874">
        <f t="shared" si="38"/>
        <v>0</v>
      </c>
      <c r="AF33" s="1829">
        <f>+'[4]Table 5C1N-Delta Charter'!T32*8</f>
        <v>0</v>
      </c>
      <c r="AG33" s="1829">
        <f t="shared" si="39"/>
        <v>0</v>
      </c>
      <c r="AH33" s="874">
        <f t="shared" si="40"/>
        <v>0</v>
      </c>
      <c r="AI33" s="875">
        <f t="shared" si="20"/>
        <v>0</v>
      </c>
      <c r="AJ33" s="875">
        <f t="shared" si="41"/>
        <v>0</v>
      </c>
      <c r="AL33" s="2034">
        <f>-'[4]Table 5C1N-Delta Charter'!P32</f>
        <v>0</v>
      </c>
      <c r="AM33" s="2034">
        <f t="shared" si="42"/>
        <v>0</v>
      </c>
      <c r="AN33" s="2034">
        <f t="shared" si="43"/>
        <v>0</v>
      </c>
    </row>
    <row r="34" spans="1:40">
      <c r="A34" s="876">
        <v>27</v>
      </c>
      <c r="B34" s="877" t="s">
        <v>118</v>
      </c>
      <c r="C34" s="972">
        <v>0</v>
      </c>
      <c r="D34" s="882">
        <f>'Table 3 Levels 1&amp;2'!AL34</f>
        <v>5680.7727517381973</v>
      </c>
      <c r="E34" s="921">
        <f t="shared" si="21"/>
        <v>0</v>
      </c>
      <c r="F34" s="921">
        <f>'Table 4 Level 3'!P32</f>
        <v>693.06</v>
      </c>
      <c r="G34" s="921">
        <f t="shared" si="22"/>
        <v>0</v>
      </c>
      <c r="H34" s="905">
        <f t="shared" si="23"/>
        <v>0</v>
      </c>
      <c r="I34" s="1734">
        <f>+'[3]Oct midyear Delta Charter'!K33</f>
        <v>0</v>
      </c>
      <c r="J34" s="1734">
        <f>'[3]Feb midyear Delta Charter'!K33</f>
        <v>0</v>
      </c>
      <c r="K34" s="1545">
        <f t="shared" si="24"/>
        <v>0</v>
      </c>
      <c r="L34" s="1489">
        <f t="shared" si="25"/>
        <v>0</v>
      </c>
      <c r="M34" s="931">
        <f t="shared" si="26"/>
        <v>0</v>
      </c>
      <c r="N34" s="905">
        <f t="shared" si="27"/>
        <v>0</v>
      </c>
      <c r="O34" s="882">
        <v>0</v>
      </c>
      <c r="P34" s="1552">
        <f t="shared" si="28"/>
        <v>0</v>
      </c>
      <c r="Q34" s="1734">
        <f>+'[4]Table 5C1N-Delta Charter'!M33*8</f>
        <v>0</v>
      </c>
      <c r="R34" s="1734">
        <f t="shared" si="29"/>
        <v>0</v>
      </c>
      <c r="S34" s="1552">
        <f t="shared" si="30"/>
        <v>0</v>
      </c>
      <c r="T34" s="1802">
        <f>'Table 5C1A-Madison Prep'!T34</f>
        <v>3271</v>
      </c>
      <c r="U34" s="1555">
        <f t="shared" si="31"/>
        <v>0</v>
      </c>
      <c r="V34" s="1758">
        <f>+'[3]Oct midyear Delta Charter'!E33</f>
        <v>0</v>
      </c>
      <c r="W34" s="1759">
        <f t="shared" si="32"/>
        <v>0</v>
      </c>
      <c r="X34" s="1758">
        <f>'[3]Feb midyear Delta Charter'!E33</f>
        <v>0</v>
      </c>
      <c r="Y34" s="1759">
        <f t="shared" si="33"/>
        <v>0</v>
      </c>
      <c r="Z34" s="1653">
        <f t="shared" si="34"/>
        <v>0</v>
      </c>
      <c r="AA34" s="1486">
        <f t="shared" si="35"/>
        <v>0</v>
      </c>
      <c r="AB34" s="937">
        <f t="shared" si="36"/>
        <v>0</v>
      </c>
      <c r="AC34" s="899">
        <f t="shared" si="37"/>
        <v>0</v>
      </c>
      <c r="AD34" s="1830">
        <v>0</v>
      </c>
      <c r="AE34" s="899">
        <f t="shared" si="38"/>
        <v>0</v>
      </c>
      <c r="AF34" s="1834">
        <f>+'[4]Table 5C1N-Delta Charter'!T33*8</f>
        <v>0</v>
      </c>
      <c r="AG34" s="1834">
        <f t="shared" si="39"/>
        <v>0</v>
      </c>
      <c r="AH34" s="899">
        <f t="shared" si="40"/>
        <v>0</v>
      </c>
      <c r="AI34" s="900">
        <f t="shared" si="20"/>
        <v>0</v>
      </c>
      <c r="AJ34" s="900">
        <f t="shared" si="41"/>
        <v>0</v>
      </c>
      <c r="AL34" s="2034">
        <f>-'[4]Table 5C1N-Delta Charter'!P33</f>
        <v>0</v>
      </c>
      <c r="AM34" s="2034">
        <f t="shared" si="42"/>
        <v>0</v>
      </c>
      <c r="AN34" s="2034">
        <f t="shared" si="43"/>
        <v>0</v>
      </c>
    </row>
    <row r="35" spans="1:40">
      <c r="A35" s="876">
        <v>28</v>
      </c>
      <c r="B35" s="877" t="s">
        <v>119</v>
      </c>
      <c r="C35" s="972">
        <v>0</v>
      </c>
      <c r="D35" s="882">
        <f>'Table 3 Levels 1&amp;2'!AL35</f>
        <v>3163.1694438483169</v>
      </c>
      <c r="E35" s="921">
        <f t="shared" si="21"/>
        <v>0</v>
      </c>
      <c r="F35" s="921">
        <f>'Table 4 Level 3'!P33</f>
        <v>694.4</v>
      </c>
      <c r="G35" s="921">
        <f t="shared" si="22"/>
        <v>0</v>
      </c>
      <c r="H35" s="905">
        <f t="shared" si="23"/>
        <v>0</v>
      </c>
      <c r="I35" s="1734">
        <f>+'[3]Oct midyear Delta Charter'!K34</f>
        <v>0</v>
      </c>
      <c r="J35" s="1734">
        <f>'[3]Feb midyear Delta Charter'!K34</f>
        <v>0</v>
      </c>
      <c r="K35" s="1545">
        <f t="shared" si="24"/>
        <v>0</v>
      </c>
      <c r="L35" s="1489">
        <f t="shared" si="25"/>
        <v>0</v>
      </c>
      <c r="M35" s="931">
        <f t="shared" si="26"/>
        <v>0</v>
      </c>
      <c r="N35" s="905">
        <f t="shared" si="27"/>
        <v>0</v>
      </c>
      <c r="O35" s="882">
        <v>0</v>
      </c>
      <c r="P35" s="1552">
        <f t="shared" si="28"/>
        <v>0</v>
      </c>
      <c r="Q35" s="1734">
        <f>+'[4]Table 5C1N-Delta Charter'!M34*8</f>
        <v>0</v>
      </c>
      <c r="R35" s="1734">
        <f t="shared" si="29"/>
        <v>0</v>
      </c>
      <c r="S35" s="1552">
        <f t="shared" si="30"/>
        <v>0</v>
      </c>
      <c r="T35" s="1802">
        <f>'Table 5C1A-Madison Prep'!T35</f>
        <v>5647</v>
      </c>
      <c r="U35" s="1555">
        <f t="shared" si="31"/>
        <v>0</v>
      </c>
      <c r="V35" s="1758">
        <f>+'[3]Oct midyear Delta Charter'!E34</f>
        <v>0</v>
      </c>
      <c r="W35" s="1759">
        <f t="shared" si="32"/>
        <v>0</v>
      </c>
      <c r="X35" s="1758">
        <f>'[3]Feb midyear Delta Charter'!E34</f>
        <v>0</v>
      </c>
      <c r="Y35" s="1759">
        <f t="shared" si="33"/>
        <v>0</v>
      </c>
      <c r="Z35" s="1653">
        <f t="shared" si="34"/>
        <v>0</v>
      </c>
      <c r="AA35" s="1486">
        <f t="shared" si="35"/>
        <v>0</v>
      </c>
      <c r="AB35" s="937">
        <f t="shared" si="36"/>
        <v>0</v>
      </c>
      <c r="AC35" s="899">
        <f t="shared" si="37"/>
        <v>0</v>
      </c>
      <c r="AD35" s="1830">
        <v>0</v>
      </c>
      <c r="AE35" s="899">
        <f t="shared" si="38"/>
        <v>0</v>
      </c>
      <c r="AF35" s="1834">
        <f>+'[4]Table 5C1N-Delta Charter'!T34*8</f>
        <v>0</v>
      </c>
      <c r="AG35" s="1834">
        <f t="shared" si="39"/>
        <v>0</v>
      </c>
      <c r="AH35" s="899">
        <f t="shared" si="40"/>
        <v>0</v>
      </c>
      <c r="AI35" s="900">
        <f t="shared" si="20"/>
        <v>0</v>
      </c>
      <c r="AJ35" s="900">
        <f t="shared" si="41"/>
        <v>0</v>
      </c>
      <c r="AL35" s="2034">
        <f>-'[4]Table 5C1N-Delta Charter'!P34</f>
        <v>0</v>
      </c>
      <c r="AM35" s="2034">
        <f t="shared" si="42"/>
        <v>0</v>
      </c>
      <c r="AN35" s="2034">
        <f t="shared" si="43"/>
        <v>0</v>
      </c>
    </row>
    <row r="36" spans="1:40">
      <c r="A36" s="876">
        <v>29</v>
      </c>
      <c r="B36" s="877" t="s">
        <v>120</v>
      </c>
      <c r="C36" s="972">
        <v>0</v>
      </c>
      <c r="D36" s="882">
        <f>'Table 3 Levels 1&amp;2'!AL36</f>
        <v>3952.5586133052648</v>
      </c>
      <c r="E36" s="921">
        <f t="shared" si="21"/>
        <v>0</v>
      </c>
      <c r="F36" s="921">
        <f>'Table 4 Level 3'!P34</f>
        <v>754.94999999999993</v>
      </c>
      <c r="G36" s="921">
        <f t="shared" si="22"/>
        <v>0</v>
      </c>
      <c r="H36" s="905">
        <f t="shared" si="23"/>
        <v>0</v>
      </c>
      <c r="I36" s="1734">
        <f>+'[3]Oct midyear Delta Charter'!K35</f>
        <v>0</v>
      </c>
      <c r="J36" s="1734">
        <f>'[3]Feb midyear Delta Charter'!K35</f>
        <v>0</v>
      </c>
      <c r="K36" s="1545">
        <f t="shared" si="24"/>
        <v>0</v>
      </c>
      <c r="L36" s="1489">
        <f t="shared" si="25"/>
        <v>0</v>
      </c>
      <c r="M36" s="931">
        <f t="shared" si="26"/>
        <v>0</v>
      </c>
      <c r="N36" s="905">
        <f t="shared" si="27"/>
        <v>0</v>
      </c>
      <c r="O36" s="882">
        <v>0</v>
      </c>
      <c r="P36" s="1552">
        <f t="shared" si="28"/>
        <v>0</v>
      </c>
      <c r="Q36" s="1734">
        <f>+'[4]Table 5C1N-Delta Charter'!M35*8</f>
        <v>0</v>
      </c>
      <c r="R36" s="1734">
        <f t="shared" si="29"/>
        <v>0</v>
      </c>
      <c r="S36" s="1552">
        <f t="shared" si="30"/>
        <v>0</v>
      </c>
      <c r="T36" s="1802">
        <f>'Table 5C1A-Madison Prep'!T36</f>
        <v>4826</v>
      </c>
      <c r="U36" s="1555">
        <f t="shared" si="31"/>
        <v>0</v>
      </c>
      <c r="V36" s="1758">
        <f>+'[3]Oct midyear Delta Charter'!E35</f>
        <v>0</v>
      </c>
      <c r="W36" s="1759">
        <f t="shared" si="32"/>
        <v>0</v>
      </c>
      <c r="X36" s="1758">
        <f>'[3]Feb midyear Delta Charter'!E35</f>
        <v>0</v>
      </c>
      <c r="Y36" s="1759">
        <f t="shared" si="33"/>
        <v>0</v>
      </c>
      <c r="Z36" s="1653">
        <f t="shared" si="34"/>
        <v>0</v>
      </c>
      <c r="AA36" s="1486">
        <f t="shared" si="35"/>
        <v>0</v>
      </c>
      <c r="AB36" s="937">
        <f t="shared" si="36"/>
        <v>0</v>
      </c>
      <c r="AC36" s="899">
        <f t="shared" si="37"/>
        <v>0</v>
      </c>
      <c r="AD36" s="1830">
        <v>0</v>
      </c>
      <c r="AE36" s="899">
        <f t="shared" si="38"/>
        <v>0</v>
      </c>
      <c r="AF36" s="1834">
        <f>+'[4]Table 5C1N-Delta Charter'!T35*8</f>
        <v>0</v>
      </c>
      <c r="AG36" s="1834">
        <f t="shared" si="39"/>
        <v>0</v>
      </c>
      <c r="AH36" s="899">
        <f t="shared" si="40"/>
        <v>0</v>
      </c>
      <c r="AI36" s="900">
        <f t="shared" si="20"/>
        <v>0</v>
      </c>
      <c r="AJ36" s="900">
        <f t="shared" si="41"/>
        <v>0</v>
      </c>
      <c r="AL36" s="2034">
        <f>-'[4]Table 5C1N-Delta Charter'!P35</f>
        <v>0</v>
      </c>
      <c r="AM36" s="2034">
        <f t="shared" si="42"/>
        <v>0</v>
      </c>
      <c r="AN36" s="2034">
        <f t="shared" si="43"/>
        <v>0</v>
      </c>
    </row>
    <row r="37" spans="1:40">
      <c r="A37" s="879">
        <v>30</v>
      </c>
      <c r="B37" s="880" t="s">
        <v>121</v>
      </c>
      <c r="C37" s="973">
        <v>0</v>
      </c>
      <c r="D37" s="883">
        <f>'Table 3 Levels 1&amp;2'!AL37</f>
        <v>5648.6510465852989</v>
      </c>
      <c r="E37" s="922">
        <f t="shared" si="21"/>
        <v>0</v>
      </c>
      <c r="F37" s="922">
        <f>'Table 4 Level 3'!P35</f>
        <v>727.17</v>
      </c>
      <c r="G37" s="922">
        <f t="shared" si="22"/>
        <v>0</v>
      </c>
      <c r="H37" s="906">
        <f t="shared" si="23"/>
        <v>0</v>
      </c>
      <c r="I37" s="1735">
        <f>+'[3]Oct midyear Delta Charter'!K36</f>
        <v>0</v>
      </c>
      <c r="J37" s="1735">
        <f>'[3]Feb midyear Delta Charter'!K36</f>
        <v>0</v>
      </c>
      <c r="K37" s="1546">
        <f t="shared" si="24"/>
        <v>0</v>
      </c>
      <c r="L37" s="1490">
        <f t="shared" si="25"/>
        <v>0</v>
      </c>
      <c r="M37" s="932">
        <f t="shared" si="26"/>
        <v>0</v>
      </c>
      <c r="N37" s="906">
        <f t="shared" si="27"/>
        <v>0</v>
      </c>
      <c r="O37" s="883">
        <v>0</v>
      </c>
      <c r="P37" s="1553">
        <f t="shared" si="28"/>
        <v>0</v>
      </c>
      <c r="Q37" s="1735">
        <f>+'[4]Table 5C1N-Delta Charter'!M36*8</f>
        <v>0</v>
      </c>
      <c r="R37" s="1735">
        <f t="shared" si="29"/>
        <v>0</v>
      </c>
      <c r="S37" s="1553">
        <f t="shared" si="30"/>
        <v>0</v>
      </c>
      <c r="T37" s="1807">
        <f>'Table 5C1A-Madison Prep'!T37</f>
        <v>4193</v>
      </c>
      <c r="U37" s="1556">
        <f t="shared" si="31"/>
        <v>0</v>
      </c>
      <c r="V37" s="1762">
        <f>+'[3]Oct midyear Delta Charter'!E36</f>
        <v>0</v>
      </c>
      <c r="W37" s="1763">
        <f t="shared" si="32"/>
        <v>0</v>
      </c>
      <c r="X37" s="1762">
        <f>'[3]Feb midyear Delta Charter'!E36</f>
        <v>0</v>
      </c>
      <c r="Y37" s="1763">
        <f t="shared" si="33"/>
        <v>0</v>
      </c>
      <c r="Z37" s="1654">
        <f t="shared" si="34"/>
        <v>0</v>
      </c>
      <c r="AA37" s="1488">
        <f t="shared" si="35"/>
        <v>0</v>
      </c>
      <c r="AB37" s="938">
        <f t="shared" si="36"/>
        <v>0</v>
      </c>
      <c r="AC37" s="903">
        <f t="shared" si="37"/>
        <v>0</v>
      </c>
      <c r="AD37" s="1831">
        <v>0</v>
      </c>
      <c r="AE37" s="903">
        <f t="shared" si="38"/>
        <v>0</v>
      </c>
      <c r="AF37" s="1835">
        <f>+'[4]Table 5C1N-Delta Charter'!T36*8</f>
        <v>0</v>
      </c>
      <c r="AG37" s="1835">
        <f t="shared" si="39"/>
        <v>0</v>
      </c>
      <c r="AH37" s="903">
        <f t="shared" si="40"/>
        <v>0</v>
      </c>
      <c r="AI37" s="904">
        <f t="shared" si="20"/>
        <v>0</v>
      </c>
      <c r="AJ37" s="904">
        <f t="shared" si="41"/>
        <v>0</v>
      </c>
      <c r="AL37" s="2034">
        <f>-'[4]Table 5C1N-Delta Charter'!P36</f>
        <v>0</v>
      </c>
      <c r="AM37" s="2034">
        <f t="shared" si="42"/>
        <v>0</v>
      </c>
      <c r="AN37" s="2034">
        <f t="shared" si="43"/>
        <v>0</v>
      </c>
    </row>
    <row r="38" spans="1:40">
      <c r="A38" s="870">
        <v>31</v>
      </c>
      <c r="B38" s="871" t="s">
        <v>122</v>
      </c>
      <c r="C38" s="974">
        <v>0</v>
      </c>
      <c r="D38" s="884">
        <f>'Table 3 Levels 1&amp;2'!AL38</f>
        <v>4348.9307899232972</v>
      </c>
      <c r="E38" s="923">
        <f t="shared" si="21"/>
        <v>0</v>
      </c>
      <c r="F38" s="923">
        <f>'Table 4 Level 3'!P36</f>
        <v>620.83000000000004</v>
      </c>
      <c r="G38" s="923">
        <f t="shared" si="22"/>
        <v>0</v>
      </c>
      <c r="H38" s="907">
        <f t="shared" si="23"/>
        <v>0</v>
      </c>
      <c r="I38" s="1723">
        <f>+'[3]Oct midyear Delta Charter'!K37</f>
        <v>0</v>
      </c>
      <c r="J38" s="1723">
        <f>'[3]Feb midyear Delta Charter'!K37</f>
        <v>0</v>
      </c>
      <c r="K38" s="1547">
        <f t="shared" si="24"/>
        <v>0</v>
      </c>
      <c r="L38" s="1491">
        <f t="shared" si="25"/>
        <v>0</v>
      </c>
      <c r="M38" s="933">
        <f t="shared" si="26"/>
        <v>0</v>
      </c>
      <c r="N38" s="907">
        <f t="shared" si="27"/>
        <v>0</v>
      </c>
      <c r="O38" s="884">
        <v>0</v>
      </c>
      <c r="P38" s="996">
        <f t="shared" si="28"/>
        <v>0</v>
      </c>
      <c r="Q38" s="1723">
        <f>+'[4]Table 5C1N-Delta Charter'!M37*8</f>
        <v>0</v>
      </c>
      <c r="R38" s="1723">
        <f t="shared" si="29"/>
        <v>0</v>
      </c>
      <c r="S38" s="996">
        <f t="shared" si="30"/>
        <v>0</v>
      </c>
      <c r="T38" s="1802">
        <f>'Table 5C1A-Madison Prep'!T38</f>
        <v>4901</v>
      </c>
      <c r="U38" s="999">
        <f t="shared" si="31"/>
        <v>0</v>
      </c>
      <c r="V38" s="1754">
        <f>+'[3]Oct midyear Delta Charter'!E37</f>
        <v>0</v>
      </c>
      <c r="W38" s="1755">
        <f t="shared" si="32"/>
        <v>0</v>
      </c>
      <c r="X38" s="1754">
        <f>'[3]Feb midyear Delta Charter'!E37</f>
        <v>0</v>
      </c>
      <c r="Y38" s="1755">
        <f t="shared" si="33"/>
        <v>0</v>
      </c>
      <c r="Z38" s="1652">
        <f t="shared" si="34"/>
        <v>0</v>
      </c>
      <c r="AA38" s="1521">
        <f t="shared" si="35"/>
        <v>0</v>
      </c>
      <c r="AB38" s="936">
        <f t="shared" si="36"/>
        <v>0</v>
      </c>
      <c r="AC38" s="874">
        <f t="shared" si="37"/>
        <v>0</v>
      </c>
      <c r="AD38" s="1829">
        <v>0</v>
      </c>
      <c r="AE38" s="874">
        <f t="shared" si="38"/>
        <v>0</v>
      </c>
      <c r="AF38" s="1829">
        <f>+'[4]Table 5C1N-Delta Charter'!T37*8</f>
        <v>0</v>
      </c>
      <c r="AG38" s="1829">
        <f t="shared" si="39"/>
        <v>0</v>
      </c>
      <c r="AH38" s="874">
        <f t="shared" si="40"/>
        <v>0</v>
      </c>
      <c r="AI38" s="875">
        <f t="shared" si="20"/>
        <v>0</v>
      </c>
      <c r="AJ38" s="875">
        <f t="shared" si="41"/>
        <v>0</v>
      </c>
      <c r="AL38" s="2034">
        <f>-'[4]Table 5C1N-Delta Charter'!P37</f>
        <v>0</v>
      </c>
      <c r="AM38" s="2034">
        <f t="shared" si="42"/>
        <v>0</v>
      </c>
      <c r="AN38" s="2034">
        <f t="shared" si="43"/>
        <v>0</v>
      </c>
    </row>
    <row r="39" spans="1:40">
      <c r="A39" s="876">
        <v>32</v>
      </c>
      <c r="B39" s="877" t="s">
        <v>123</v>
      </c>
      <c r="C39" s="972">
        <v>0</v>
      </c>
      <c r="D39" s="882">
        <f>'Table 3 Levels 1&amp;2'!AL39</f>
        <v>5531.5157655456787</v>
      </c>
      <c r="E39" s="921">
        <f t="shared" si="21"/>
        <v>0</v>
      </c>
      <c r="F39" s="921">
        <f>'Table 4 Level 3'!P37</f>
        <v>559.77</v>
      </c>
      <c r="G39" s="921">
        <f t="shared" si="22"/>
        <v>0</v>
      </c>
      <c r="H39" s="905">
        <f t="shared" si="23"/>
        <v>0</v>
      </c>
      <c r="I39" s="1734">
        <f>+'[3]Oct midyear Delta Charter'!K38</f>
        <v>0</v>
      </c>
      <c r="J39" s="1734">
        <f>'[3]Feb midyear Delta Charter'!K38</f>
        <v>0</v>
      </c>
      <c r="K39" s="1545">
        <f t="shared" si="24"/>
        <v>0</v>
      </c>
      <c r="L39" s="1489">
        <f t="shared" si="25"/>
        <v>0</v>
      </c>
      <c r="M39" s="931">
        <f t="shared" si="26"/>
        <v>0</v>
      </c>
      <c r="N39" s="905">
        <f t="shared" si="27"/>
        <v>0</v>
      </c>
      <c r="O39" s="882">
        <v>0</v>
      </c>
      <c r="P39" s="1552">
        <f t="shared" si="28"/>
        <v>0</v>
      </c>
      <c r="Q39" s="1734">
        <f>+'[4]Table 5C1N-Delta Charter'!M38*8</f>
        <v>0</v>
      </c>
      <c r="R39" s="1734">
        <f t="shared" si="29"/>
        <v>0</v>
      </c>
      <c r="S39" s="1552">
        <f t="shared" si="30"/>
        <v>0</v>
      </c>
      <c r="T39" s="1802">
        <f>'Table 5C1A-Madison Prep'!T39</f>
        <v>2074</v>
      </c>
      <c r="U39" s="1555">
        <f t="shared" si="31"/>
        <v>0</v>
      </c>
      <c r="V39" s="1758">
        <f>+'[3]Oct midyear Delta Charter'!E38</f>
        <v>0</v>
      </c>
      <c r="W39" s="1759">
        <f t="shared" si="32"/>
        <v>0</v>
      </c>
      <c r="X39" s="1758">
        <f>'[3]Feb midyear Delta Charter'!E38</f>
        <v>0</v>
      </c>
      <c r="Y39" s="1759">
        <f t="shared" si="33"/>
        <v>0</v>
      </c>
      <c r="Z39" s="1653">
        <f t="shared" si="34"/>
        <v>0</v>
      </c>
      <c r="AA39" s="1486">
        <f t="shared" si="35"/>
        <v>0</v>
      </c>
      <c r="AB39" s="937">
        <f t="shared" si="36"/>
        <v>0</v>
      </c>
      <c r="AC39" s="899">
        <f t="shared" si="37"/>
        <v>0</v>
      </c>
      <c r="AD39" s="1830">
        <v>0</v>
      </c>
      <c r="AE39" s="899">
        <f t="shared" si="38"/>
        <v>0</v>
      </c>
      <c r="AF39" s="1834">
        <f>+'[4]Table 5C1N-Delta Charter'!T38*8</f>
        <v>0</v>
      </c>
      <c r="AG39" s="1834">
        <f t="shared" si="39"/>
        <v>0</v>
      </c>
      <c r="AH39" s="899">
        <f t="shared" si="40"/>
        <v>0</v>
      </c>
      <c r="AI39" s="900">
        <f t="shared" si="20"/>
        <v>0</v>
      </c>
      <c r="AJ39" s="900">
        <f t="shared" si="41"/>
        <v>0</v>
      </c>
      <c r="AL39" s="2034">
        <f>-'[4]Table 5C1N-Delta Charter'!P38</f>
        <v>0</v>
      </c>
      <c r="AM39" s="2034">
        <f t="shared" si="42"/>
        <v>0</v>
      </c>
      <c r="AN39" s="2034">
        <f t="shared" si="43"/>
        <v>0</v>
      </c>
    </row>
    <row r="40" spans="1:40">
      <c r="A40" s="876">
        <v>33</v>
      </c>
      <c r="B40" s="877" t="s">
        <v>124</v>
      </c>
      <c r="C40" s="972">
        <v>0</v>
      </c>
      <c r="D40" s="882">
        <f>'Table 3 Levels 1&amp;2'!AL40</f>
        <v>5329.5444226517857</v>
      </c>
      <c r="E40" s="921">
        <f t="shared" si="21"/>
        <v>0</v>
      </c>
      <c r="F40" s="921">
        <f>'Table 4 Level 3'!P38</f>
        <v>655.31000000000006</v>
      </c>
      <c r="G40" s="921">
        <f t="shared" si="22"/>
        <v>0</v>
      </c>
      <c r="H40" s="905">
        <f t="shared" si="23"/>
        <v>0</v>
      </c>
      <c r="I40" s="1734">
        <f>+'[3]Oct midyear Delta Charter'!K39</f>
        <v>0</v>
      </c>
      <c r="J40" s="1734">
        <f>'[3]Feb midyear Delta Charter'!K39</f>
        <v>0</v>
      </c>
      <c r="K40" s="1545">
        <f t="shared" si="24"/>
        <v>0</v>
      </c>
      <c r="L40" s="1489">
        <f t="shared" si="25"/>
        <v>0</v>
      </c>
      <c r="M40" s="931">
        <f t="shared" si="26"/>
        <v>0</v>
      </c>
      <c r="N40" s="905">
        <f t="shared" si="27"/>
        <v>0</v>
      </c>
      <c r="O40" s="882">
        <v>0</v>
      </c>
      <c r="P40" s="1552">
        <f t="shared" si="28"/>
        <v>0</v>
      </c>
      <c r="Q40" s="1734">
        <f>+'[4]Table 5C1N-Delta Charter'!M39*8</f>
        <v>0</v>
      </c>
      <c r="R40" s="1734">
        <f t="shared" si="29"/>
        <v>0</v>
      </c>
      <c r="S40" s="1552">
        <f t="shared" si="30"/>
        <v>0</v>
      </c>
      <c r="T40" s="1802">
        <f>'Table 5C1A-Madison Prep'!T40</f>
        <v>3501</v>
      </c>
      <c r="U40" s="1555">
        <f t="shared" si="31"/>
        <v>0</v>
      </c>
      <c r="V40" s="1758">
        <f>+'[3]Oct midyear Delta Charter'!E39</f>
        <v>0</v>
      </c>
      <c r="W40" s="1759">
        <f t="shared" si="32"/>
        <v>0</v>
      </c>
      <c r="X40" s="1758">
        <f>'[3]Feb midyear Delta Charter'!E39</f>
        <v>0</v>
      </c>
      <c r="Y40" s="1759">
        <f t="shared" si="33"/>
        <v>0</v>
      </c>
      <c r="Z40" s="1653">
        <f t="shared" si="34"/>
        <v>0</v>
      </c>
      <c r="AA40" s="1486">
        <f t="shared" si="35"/>
        <v>0</v>
      </c>
      <c r="AB40" s="937">
        <f t="shared" si="36"/>
        <v>0</v>
      </c>
      <c r="AC40" s="899">
        <f t="shared" si="37"/>
        <v>0</v>
      </c>
      <c r="AD40" s="1830">
        <v>0</v>
      </c>
      <c r="AE40" s="899">
        <f t="shared" si="38"/>
        <v>0</v>
      </c>
      <c r="AF40" s="1834">
        <f>+'[4]Table 5C1N-Delta Charter'!T39*8</f>
        <v>0</v>
      </c>
      <c r="AG40" s="1834">
        <f t="shared" si="39"/>
        <v>0</v>
      </c>
      <c r="AH40" s="899">
        <f t="shared" si="40"/>
        <v>0</v>
      </c>
      <c r="AI40" s="900">
        <f t="shared" ref="AI40:AI76" si="44">P40+AE40</f>
        <v>0</v>
      </c>
      <c r="AJ40" s="900">
        <f t="shared" si="41"/>
        <v>0</v>
      </c>
      <c r="AL40" s="2034">
        <f>-'[4]Table 5C1N-Delta Charter'!P39</f>
        <v>0</v>
      </c>
      <c r="AM40" s="2034">
        <f t="shared" si="42"/>
        <v>0</v>
      </c>
      <c r="AN40" s="2034">
        <f t="shared" si="43"/>
        <v>0</v>
      </c>
    </row>
    <row r="41" spans="1:40">
      <c r="A41" s="876">
        <v>34</v>
      </c>
      <c r="B41" s="877" t="s">
        <v>125</v>
      </c>
      <c r="C41" s="972">
        <v>0</v>
      </c>
      <c r="D41" s="882">
        <f>'Table 3 Levels 1&amp;2'!AL41</f>
        <v>6003.632932007491</v>
      </c>
      <c r="E41" s="921">
        <f t="shared" si="21"/>
        <v>0</v>
      </c>
      <c r="F41" s="921">
        <f>'Table 4 Level 3'!P39</f>
        <v>644.11000000000013</v>
      </c>
      <c r="G41" s="921">
        <f t="shared" si="22"/>
        <v>0</v>
      </c>
      <c r="H41" s="905">
        <f t="shared" si="23"/>
        <v>0</v>
      </c>
      <c r="I41" s="1734">
        <f>+'[3]Oct midyear Delta Charter'!K40</f>
        <v>0</v>
      </c>
      <c r="J41" s="1734">
        <f>'[3]Feb midyear Delta Charter'!K40</f>
        <v>0</v>
      </c>
      <c r="K41" s="1545">
        <f t="shared" si="24"/>
        <v>0</v>
      </c>
      <c r="L41" s="1489">
        <f t="shared" si="25"/>
        <v>0</v>
      </c>
      <c r="M41" s="931">
        <f t="shared" si="26"/>
        <v>0</v>
      </c>
      <c r="N41" s="905">
        <f t="shared" si="27"/>
        <v>0</v>
      </c>
      <c r="O41" s="882">
        <v>0</v>
      </c>
      <c r="P41" s="1552">
        <f t="shared" si="28"/>
        <v>0</v>
      </c>
      <c r="Q41" s="1734">
        <f>+'[4]Table 5C1N-Delta Charter'!M40*8</f>
        <v>0</v>
      </c>
      <c r="R41" s="1734">
        <f t="shared" si="29"/>
        <v>0</v>
      </c>
      <c r="S41" s="1552">
        <f t="shared" si="30"/>
        <v>0</v>
      </c>
      <c r="T41" s="1802">
        <f>'Table 5C1A-Madison Prep'!T41</f>
        <v>2772</v>
      </c>
      <c r="U41" s="1555">
        <f t="shared" si="31"/>
        <v>0</v>
      </c>
      <c r="V41" s="1758">
        <f>+'[3]Oct midyear Delta Charter'!E40</f>
        <v>0</v>
      </c>
      <c r="W41" s="1759">
        <f t="shared" si="32"/>
        <v>0</v>
      </c>
      <c r="X41" s="1758">
        <f>'[3]Feb midyear Delta Charter'!E40</f>
        <v>0</v>
      </c>
      <c r="Y41" s="1759">
        <f t="shared" si="33"/>
        <v>0</v>
      </c>
      <c r="Z41" s="1653">
        <f t="shared" si="34"/>
        <v>0</v>
      </c>
      <c r="AA41" s="1486">
        <f t="shared" si="35"/>
        <v>0</v>
      </c>
      <c r="AB41" s="937">
        <f t="shared" si="36"/>
        <v>0</v>
      </c>
      <c r="AC41" s="899">
        <f t="shared" si="37"/>
        <v>0</v>
      </c>
      <c r="AD41" s="1830">
        <v>0</v>
      </c>
      <c r="AE41" s="899">
        <f t="shared" si="38"/>
        <v>0</v>
      </c>
      <c r="AF41" s="1834">
        <f>+'[4]Table 5C1N-Delta Charter'!T40*8</f>
        <v>0</v>
      </c>
      <c r="AG41" s="1834">
        <f t="shared" si="39"/>
        <v>0</v>
      </c>
      <c r="AH41" s="899">
        <f t="shared" si="40"/>
        <v>0</v>
      </c>
      <c r="AI41" s="900">
        <f t="shared" si="44"/>
        <v>0</v>
      </c>
      <c r="AJ41" s="900">
        <f t="shared" si="41"/>
        <v>0</v>
      </c>
      <c r="AL41" s="2034">
        <f>-'[4]Table 5C1N-Delta Charter'!P40</f>
        <v>0</v>
      </c>
      <c r="AM41" s="2034">
        <f t="shared" si="42"/>
        <v>0</v>
      </c>
      <c r="AN41" s="2034">
        <f t="shared" si="43"/>
        <v>0</v>
      </c>
    </row>
    <row r="42" spans="1:40">
      <c r="A42" s="879">
        <v>35</v>
      </c>
      <c r="B42" s="880" t="s">
        <v>126</v>
      </c>
      <c r="C42" s="973">
        <v>0</v>
      </c>
      <c r="D42" s="883">
        <f>'Table 3 Levels 1&amp;2'!AL42</f>
        <v>4607.1606416222867</v>
      </c>
      <c r="E42" s="922">
        <f t="shared" si="21"/>
        <v>0</v>
      </c>
      <c r="F42" s="922">
        <f>'Table 4 Level 3'!P40</f>
        <v>537.96</v>
      </c>
      <c r="G42" s="922">
        <f t="shared" si="22"/>
        <v>0</v>
      </c>
      <c r="H42" s="906">
        <f t="shared" si="23"/>
        <v>0</v>
      </c>
      <c r="I42" s="1735">
        <f>+'[3]Oct midyear Delta Charter'!K41</f>
        <v>5145.1206416222867</v>
      </c>
      <c r="J42" s="1735">
        <f>'[3]Feb midyear Delta Charter'!K41</f>
        <v>0</v>
      </c>
      <c r="K42" s="1546">
        <f t="shared" si="24"/>
        <v>5145.1206416222867</v>
      </c>
      <c r="L42" s="1490">
        <f t="shared" si="25"/>
        <v>5145.1206416222867</v>
      </c>
      <c r="M42" s="932">
        <f t="shared" si="26"/>
        <v>-12.862801604055717</v>
      </c>
      <c r="N42" s="906">
        <f t="shared" si="27"/>
        <v>5132.257840018231</v>
      </c>
      <c r="O42" s="883">
        <v>0</v>
      </c>
      <c r="P42" s="1553">
        <f t="shared" si="28"/>
        <v>5132.257840018231</v>
      </c>
      <c r="Q42" s="1735">
        <f>+'[4]Table 5C1N-Delta Charter'!M41*8</f>
        <v>0</v>
      </c>
      <c r="R42" s="1735">
        <f t="shared" si="29"/>
        <v>5132.257840018231</v>
      </c>
      <c r="S42" s="1553">
        <f t="shared" si="30"/>
        <v>1283</v>
      </c>
      <c r="T42" s="1807">
        <f>'Table 5C1A-Madison Prep'!T42</f>
        <v>3140</v>
      </c>
      <c r="U42" s="1556">
        <f t="shared" si="31"/>
        <v>0</v>
      </c>
      <c r="V42" s="1762">
        <f>+'[3]Oct midyear Delta Charter'!E41</f>
        <v>1</v>
      </c>
      <c r="W42" s="1763">
        <f t="shared" si="32"/>
        <v>3140</v>
      </c>
      <c r="X42" s="1762">
        <f>'[3]Feb midyear Delta Charter'!E41</f>
        <v>0</v>
      </c>
      <c r="Y42" s="1763">
        <f t="shared" si="33"/>
        <v>0</v>
      </c>
      <c r="Z42" s="1654">
        <f t="shared" si="34"/>
        <v>3140</v>
      </c>
      <c r="AA42" s="1488">
        <f t="shared" si="35"/>
        <v>3140</v>
      </c>
      <c r="AB42" s="938">
        <f t="shared" si="36"/>
        <v>-7.8500000000000005</v>
      </c>
      <c r="AC42" s="903">
        <f t="shared" si="37"/>
        <v>3132.15</v>
      </c>
      <c r="AD42" s="1831">
        <v>0</v>
      </c>
      <c r="AE42" s="903">
        <f t="shared" si="38"/>
        <v>3132.15</v>
      </c>
      <c r="AF42" s="1835">
        <f>+'[4]Table 5C1N-Delta Charter'!T41*8</f>
        <v>0</v>
      </c>
      <c r="AG42" s="1835">
        <f t="shared" si="39"/>
        <v>3132.15</v>
      </c>
      <c r="AH42" s="903">
        <f t="shared" si="40"/>
        <v>783</v>
      </c>
      <c r="AI42" s="904">
        <f t="shared" si="44"/>
        <v>8264.4078400182316</v>
      </c>
      <c r="AJ42" s="904">
        <f t="shared" si="41"/>
        <v>2066</v>
      </c>
      <c r="AL42" s="2034">
        <f>-'[4]Table 5C1N-Delta Charter'!P41</f>
        <v>0</v>
      </c>
      <c r="AM42" s="2034">
        <f t="shared" si="42"/>
        <v>-7.8500000000000005</v>
      </c>
      <c r="AN42" s="2034">
        <f t="shared" si="43"/>
        <v>-7.8500000000000005</v>
      </c>
    </row>
    <row r="43" spans="1:40">
      <c r="A43" s="870">
        <v>36</v>
      </c>
      <c r="B43" s="871" t="s">
        <v>127</v>
      </c>
      <c r="C43" s="974">
        <v>0</v>
      </c>
      <c r="D43" s="884">
        <f>'Table 3 Levels 1&amp;2'!AL43</f>
        <v>3520.4894337711748</v>
      </c>
      <c r="E43" s="923">
        <f t="shared" si="21"/>
        <v>0</v>
      </c>
      <c r="F43" s="923">
        <v>746.0335616438357</v>
      </c>
      <c r="G43" s="923">
        <f t="shared" si="22"/>
        <v>0</v>
      </c>
      <c r="H43" s="907">
        <f t="shared" si="23"/>
        <v>0</v>
      </c>
      <c r="I43" s="1723">
        <f>+'[3]Oct midyear Delta Charter'!K42</f>
        <v>0</v>
      </c>
      <c r="J43" s="1723">
        <f>'[3]Feb midyear Delta Charter'!K42</f>
        <v>0</v>
      </c>
      <c r="K43" s="1547">
        <f t="shared" si="24"/>
        <v>0</v>
      </c>
      <c r="L43" s="1491">
        <f t="shared" si="25"/>
        <v>0</v>
      </c>
      <c r="M43" s="933">
        <f t="shared" si="26"/>
        <v>0</v>
      </c>
      <c r="N43" s="907">
        <f t="shared" si="27"/>
        <v>0</v>
      </c>
      <c r="O43" s="884">
        <v>0</v>
      </c>
      <c r="P43" s="996">
        <f t="shared" si="28"/>
        <v>0</v>
      </c>
      <c r="Q43" s="1723">
        <f>+'[4]Table 5C1N-Delta Charter'!M42*8</f>
        <v>0</v>
      </c>
      <c r="R43" s="1723">
        <f t="shared" si="29"/>
        <v>0</v>
      </c>
      <c r="S43" s="996">
        <f t="shared" si="30"/>
        <v>0</v>
      </c>
      <c r="T43" s="1802">
        <f>'Table 5C1A-Madison Prep'!T43</f>
        <v>5433</v>
      </c>
      <c r="U43" s="999">
        <f t="shared" si="31"/>
        <v>0</v>
      </c>
      <c r="V43" s="1754">
        <f>+'[3]Oct midyear Delta Charter'!E42</f>
        <v>0</v>
      </c>
      <c r="W43" s="1755">
        <f t="shared" si="32"/>
        <v>0</v>
      </c>
      <c r="X43" s="1754">
        <f>'[3]Feb midyear Delta Charter'!E42</f>
        <v>0</v>
      </c>
      <c r="Y43" s="1755">
        <f t="shared" si="33"/>
        <v>0</v>
      </c>
      <c r="Z43" s="1652">
        <f t="shared" si="34"/>
        <v>0</v>
      </c>
      <c r="AA43" s="1521">
        <f t="shared" si="35"/>
        <v>0</v>
      </c>
      <c r="AB43" s="936">
        <f t="shared" si="36"/>
        <v>0</v>
      </c>
      <c r="AC43" s="874">
        <f t="shared" si="37"/>
        <v>0</v>
      </c>
      <c r="AD43" s="1829">
        <v>0</v>
      </c>
      <c r="AE43" s="874">
        <f t="shared" si="38"/>
        <v>0</v>
      </c>
      <c r="AF43" s="1829">
        <f>+'[4]Table 5C1N-Delta Charter'!T42*8</f>
        <v>0</v>
      </c>
      <c r="AG43" s="1829">
        <f t="shared" si="39"/>
        <v>0</v>
      </c>
      <c r="AH43" s="874">
        <f t="shared" si="40"/>
        <v>0</v>
      </c>
      <c r="AI43" s="875">
        <f t="shared" si="44"/>
        <v>0</v>
      </c>
      <c r="AJ43" s="875">
        <f t="shared" si="41"/>
        <v>0</v>
      </c>
      <c r="AL43" s="2034">
        <f>-'[4]Table 5C1N-Delta Charter'!P42</f>
        <v>0</v>
      </c>
      <c r="AM43" s="2034">
        <f t="shared" si="42"/>
        <v>0</v>
      </c>
      <c r="AN43" s="2034">
        <f t="shared" si="43"/>
        <v>0</v>
      </c>
    </row>
    <row r="44" spans="1:40">
      <c r="A44" s="876">
        <v>37</v>
      </c>
      <c r="B44" s="877" t="s">
        <v>128</v>
      </c>
      <c r="C44" s="972">
        <v>0</v>
      </c>
      <c r="D44" s="882">
        <f>'Table 3 Levels 1&amp;2'!AL44</f>
        <v>5503.7595641818853</v>
      </c>
      <c r="E44" s="921">
        <f t="shared" si="21"/>
        <v>0</v>
      </c>
      <c r="F44" s="921">
        <f>'Table 4 Level 3'!P42</f>
        <v>653.61</v>
      </c>
      <c r="G44" s="921">
        <f t="shared" si="22"/>
        <v>0</v>
      </c>
      <c r="H44" s="905">
        <f t="shared" si="23"/>
        <v>0</v>
      </c>
      <c r="I44" s="1734">
        <f>+'[3]Oct midyear Delta Charter'!K43</f>
        <v>6157.3695641818849</v>
      </c>
      <c r="J44" s="1734">
        <f>'[3]Feb midyear Delta Charter'!K43</f>
        <v>3078.6847820909425</v>
      </c>
      <c r="K44" s="1545">
        <f t="shared" si="24"/>
        <v>9236.0543462728274</v>
      </c>
      <c r="L44" s="1489">
        <f t="shared" si="25"/>
        <v>9236.0543462728274</v>
      </c>
      <c r="M44" s="931">
        <f t="shared" si="26"/>
        <v>-23.090135865682068</v>
      </c>
      <c r="N44" s="905">
        <f t="shared" si="27"/>
        <v>9212.9642104071445</v>
      </c>
      <c r="O44" s="882">
        <v>0</v>
      </c>
      <c r="P44" s="1552">
        <f t="shared" si="28"/>
        <v>9212.9642104071445</v>
      </c>
      <c r="Q44" s="1734">
        <f>+'[4]Table 5C1N-Delta Charter'!M43*8</f>
        <v>0</v>
      </c>
      <c r="R44" s="1734">
        <f t="shared" si="29"/>
        <v>9212.9642104071445</v>
      </c>
      <c r="S44" s="1552">
        <f t="shared" si="30"/>
        <v>2303</v>
      </c>
      <c r="T44" s="1802">
        <f>'Table 5C1A-Madison Prep'!T44</f>
        <v>3310</v>
      </c>
      <c r="U44" s="1555">
        <f t="shared" si="31"/>
        <v>0</v>
      </c>
      <c r="V44" s="1758">
        <f>+'[3]Oct midyear Delta Charter'!E43</f>
        <v>1</v>
      </c>
      <c r="W44" s="1759">
        <f t="shared" si="32"/>
        <v>3310</v>
      </c>
      <c r="X44" s="1758">
        <f>'[3]Feb midyear Delta Charter'!E43</f>
        <v>1</v>
      </c>
      <c r="Y44" s="1759">
        <f t="shared" si="33"/>
        <v>1655</v>
      </c>
      <c r="Z44" s="1653">
        <f t="shared" si="34"/>
        <v>4965</v>
      </c>
      <c r="AA44" s="1486">
        <f t="shared" si="35"/>
        <v>4965</v>
      </c>
      <c r="AB44" s="937">
        <f t="shared" si="36"/>
        <v>-12.4125</v>
      </c>
      <c r="AC44" s="899">
        <f t="shared" si="37"/>
        <v>4952.5874999999996</v>
      </c>
      <c r="AD44" s="1830">
        <v>0</v>
      </c>
      <c r="AE44" s="899">
        <f t="shared" si="38"/>
        <v>4952.5874999999996</v>
      </c>
      <c r="AF44" s="1834">
        <f>+'[4]Table 5C1N-Delta Charter'!T43*8</f>
        <v>0</v>
      </c>
      <c r="AG44" s="1834">
        <f t="shared" si="39"/>
        <v>4952.5874999999996</v>
      </c>
      <c r="AH44" s="899">
        <f t="shared" si="40"/>
        <v>1238</v>
      </c>
      <c r="AI44" s="900">
        <f t="shared" si="44"/>
        <v>14165.551710407144</v>
      </c>
      <c r="AJ44" s="900">
        <f t="shared" si="41"/>
        <v>3541</v>
      </c>
      <c r="AL44" s="2034">
        <f>-'[4]Table 5C1N-Delta Charter'!P43</f>
        <v>0</v>
      </c>
      <c r="AM44" s="2034">
        <f t="shared" si="42"/>
        <v>-12.4125</v>
      </c>
      <c r="AN44" s="2034">
        <f t="shared" si="43"/>
        <v>-12.4125</v>
      </c>
    </row>
    <row r="45" spans="1:40">
      <c r="A45" s="876">
        <v>38</v>
      </c>
      <c r="B45" s="877" t="s">
        <v>129</v>
      </c>
      <c r="C45" s="972">
        <v>0</v>
      </c>
      <c r="D45" s="882">
        <f>'Table 3 Levels 1&amp;2'!AL45</f>
        <v>2192.7545275590551</v>
      </c>
      <c r="E45" s="921">
        <f t="shared" si="21"/>
        <v>0</v>
      </c>
      <c r="F45" s="921">
        <f>'Table 4 Level 3'!P43</f>
        <v>829.92000000000007</v>
      </c>
      <c r="G45" s="921">
        <f t="shared" si="22"/>
        <v>0</v>
      </c>
      <c r="H45" s="905">
        <f t="shared" si="23"/>
        <v>0</v>
      </c>
      <c r="I45" s="1734">
        <f>+'[3]Oct midyear Delta Charter'!K44</f>
        <v>0</v>
      </c>
      <c r="J45" s="1734">
        <f>'[3]Feb midyear Delta Charter'!K44</f>
        <v>0</v>
      </c>
      <c r="K45" s="1545">
        <f t="shared" si="24"/>
        <v>0</v>
      </c>
      <c r="L45" s="1489">
        <f t="shared" si="25"/>
        <v>0</v>
      </c>
      <c r="M45" s="931">
        <f t="shared" si="26"/>
        <v>0</v>
      </c>
      <c r="N45" s="905">
        <f t="shared" si="27"/>
        <v>0</v>
      </c>
      <c r="O45" s="882">
        <v>0</v>
      </c>
      <c r="P45" s="1552">
        <f t="shared" si="28"/>
        <v>0</v>
      </c>
      <c r="Q45" s="1734">
        <f>+'[4]Table 5C1N-Delta Charter'!M44*8</f>
        <v>0</v>
      </c>
      <c r="R45" s="1734">
        <f t="shared" si="29"/>
        <v>0</v>
      </c>
      <c r="S45" s="1552">
        <f t="shared" si="30"/>
        <v>0</v>
      </c>
      <c r="T45" s="1802">
        <f>'Table 5C1A-Madison Prep'!T45</f>
        <v>12521</v>
      </c>
      <c r="U45" s="1555">
        <f t="shared" si="31"/>
        <v>0</v>
      </c>
      <c r="V45" s="1758">
        <f>+'[3]Oct midyear Delta Charter'!E44</f>
        <v>0</v>
      </c>
      <c r="W45" s="1759">
        <f t="shared" si="32"/>
        <v>0</v>
      </c>
      <c r="X45" s="1758">
        <f>'[3]Feb midyear Delta Charter'!E44</f>
        <v>0</v>
      </c>
      <c r="Y45" s="1759">
        <f t="shared" si="33"/>
        <v>0</v>
      </c>
      <c r="Z45" s="1653">
        <f t="shared" si="34"/>
        <v>0</v>
      </c>
      <c r="AA45" s="1486">
        <f t="shared" si="35"/>
        <v>0</v>
      </c>
      <c r="AB45" s="937">
        <f t="shared" si="36"/>
        <v>0</v>
      </c>
      <c r="AC45" s="899">
        <f t="shared" si="37"/>
        <v>0</v>
      </c>
      <c r="AD45" s="1830">
        <v>0</v>
      </c>
      <c r="AE45" s="899">
        <f t="shared" si="38"/>
        <v>0</v>
      </c>
      <c r="AF45" s="1834">
        <f>+'[4]Table 5C1N-Delta Charter'!T44*8</f>
        <v>0</v>
      </c>
      <c r="AG45" s="1834">
        <f t="shared" si="39"/>
        <v>0</v>
      </c>
      <c r="AH45" s="899">
        <f t="shared" si="40"/>
        <v>0</v>
      </c>
      <c r="AI45" s="900">
        <f t="shared" si="44"/>
        <v>0</v>
      </c>
      <c r="AJ45" s="900">
        <f t="shared" si="41"/>
        <v>0</v>
      </c>
      <c r="AL45" s="2034">
        <f>-'[4]Table 5C1N-Delta Charter'!P44</f>
        <v>0</v>
      </c>
      <c r="AM45" s="2034">
        <f t="shared" si="42"/>
        <v>0</v>
      </c>
      <c r="AN45" s="2034">
        <f t="shared" si="43"/>
        <v>0</v>
      </c>
    </row>
    <row r="46" spans="1:40">
      <c r="A46" s="876">
        <v>39</v>
      </c>
      <c r="B46" s="877" t="s">
        <v>130</v>
      </c>
      <c r="C46" s="972">
        <v>0</v>
      </c>
      <c r="D46" s="882">
        <f>'Table 3 Levels 1&amp;2'!AL46</f>
        <v>3639.9942778062696</v>
      </c>
      <c r="E46" s="921">
        <f t="shared" si="21"/>
        <v>0</v>
      </c>
      <c r="F46" s="921">
        <f>'Table 4 Level 3'!P44</f>
        <v>779.65573042776441</v>
      </c>
      <c r="G46" s="921">
        <f t="shared" si="22"/>
        <v>0</v>
      </c>
      <c r="H46" s="905">
        <f t="shared" si="23"/>
        <v>0</v>
      </c>
      <c r="I46" s="1734">
        <f>+'[3]Oct midyear Delta Charter'!K45</f>
        <v>0</v>
      </c>
      <c r="J46" s="1734">
        <f>'[3]Feb midyear Delta Charter'!K45</f>
        <v>0</v>
      </c>
      <c r="K46" s="1545">
        <f t="shared" si="24"/>
        <v>0</v>
      </c>
      <c r="L46" s="1489">
        <f t="shared" si="25"/>
        <v>0</v>
      </c>
      <c r="M46" s="931">
        <f t="shared" si="26"/>
        <v>0</v>
      </c>
      <c r="N46" s="905">
        <f t="shared" si="27"/>
        <v>0</v>
      </c>
      <c r="O46" s="882">
        <v>0</v>
      </c>
      <c r="P46" s="1552">
        <f t="shared" si="28"/>
        <v>0</v>
      </c>
      <c r="Q46" s="1734">
        <f>+'[4]Table 5C1N-Delta Charter'!M45*8</f>
        <v>0</v>
      </c>
      <c r="R46" s="1734">
        <f t="shared" si="29"/>
        <v>0</v>
      </c>
      <c r="S46" s="1552">
        <f t="shared" si="30"/>
        <v>0</v>
      </c>
      <c r="T46" s="1802">
        <f>'Table 5C1A-Madison Prep'!T46</f>
        <v>4436</v>
      </c>
      <c r="U46" s="1555">
        <f t="shared" si="31"/>
        <v>0</v>
      </c>
      <c r="V46" s="1758">
        <f>+'[3]Oct midyear Delta Charter'!E45</f>
        <v>0</v>
      </c>
      <c r="W46" s="1759">
        <f t="shared" si="32"/>
        <v>0</v>
      </c>
      <c r="X46" s="1758">
        <f>'[3]Feb midyear Delta Charter'!E45</f>
        <v>0</v>
      </c>
      <c r="Y46" s="1759">
        <f t="shared" si="33"/>
        <v>0</v>
      </c>
      <c r="Z46" s="1653">
        <f t="shared" si="34"/>
        <v>0</v>
      </c>
      <c r="AA46" s="1486">
        <f t="shared" si="35"/>
        <v>0</v>
      </c>
      <c r="AB46" s="937">
        <f t="shared" si="36"/>
        <v>0</v>
      </c>
      <c r="AC46" s="899">
        <f t="shared" si="37"/>
        <v>0</v>
      </c>
      <c r="AD46" s="1830">
        <v>0</v>
      </c>
      <c r="AE46" s="899">
        <f t="shared" si="38"/>
        <v>0</v>
      </c>
      <c r="AF46" s="1834">
        <f>+'[4]Table 5C1N-Delta Charter'!T45*8</f>
        <v>0</v>
      </c>
      <c r="AG46" s="1834">
        <f t="shared" si="39"/>
        <v>0</v>
      </c>
      <c r="AH46" s="899">
        <f t="shared" si="40"/>
        <v>0</v>
      </c>
      <c r="AI46" s="900">
        <f t="shared" si="44"/>
        <v>0</v>
      </c>
      <c r="AJ46" s="900">
        <f t="shared" si="41"/>
        <v>0</v>
      </c>
      <c r="AL46" s="2034">
        <f>-'[4]Table 5C1N-Delta Charter'!P45</f>
        <v>0</v>
      </c>
      <c r="AM46" s="2034">
        <f t="shared" si="42"/>
        <v>0</v>
      </c>
      <c r="AN46" s="2034">
        <f t="shared" si="43"/>
        <v>0</v>
      </c>
    </row>
    <row r="47" spans="1:40">
      <c r="A47" s="879">
        <v>40</v>
      </c>
      <c r="B47" s="880" t="s">
        <v>131</v>
      </c>
      <c r="C47" s="973">
        <v>0</v>
      </c>
      <c r="D47" s="883">
        <f>'Table 3 Levels 1&amp;2'!AL47</f>
        <v>4928.4974462701202</v>
      </c>
      <c r="E47" s="922">
        <f t="shared" si="21"/>
        <v>0</v>
      </c>
      <c r="F47" s="922">
        <f>'Table 4 Level 3'!P45</f>
        <v>700.2700000000001</v>
      </c>
      <c r="G47" s="922">
        <f t="shared" si="22"/>
        <v>0</v>
      </c>
      <c r="H47" s="906">
        <f t="shared" si="23"/>
        <v>0</v>
      </c>
      <c r="I47" s="1735">
        <f>+'[3]Oct midyear Delta Charter'!K46</f>
        <v>0</v>
      </c>
      <c r="J47" s="1735">
        <f>'[3]Feb midyear Delta Charter'!K46</f>
        <v>0</v>
      </c>
      <c r="K47" s="1546">
        <f t="shared" si="24"/>
        <v>0</v>
      </c>
      <c r="L47" s="1490">
        <f t="shared" si="25"/>
        <v>0</v>
      </c>
      <c r="M47" s="932">
        <f t="shared" si="26"/>
        <v>0</v>
      </c>
      <c r="N47" s="906">
        <f t="shared" si="27"/>
        <v>0</v>
      </c>
      <c r="O47" s="883">
        <v>0</v>
      </c>
      <c r="P47" s="1553">
        <f t="shared" si="28"/>
        <v>0</v>
      </c>
      <c r="Q47" s="1735">
        <f>+'[4]Table 5C1N-Delta Charter'!M46*8</f>
        <v>0</v>
      </c>
      <c r="R47" s="1735">
        <f t="shared" si="29"/>
        <v>0</v>
      </c>
      <c r="S47" s="1553">
        <f t="shared" si="30"/>
        <v>0</v>
      </c>
      <c r="T47" s="1807">
        <f>'Table 5C1A-Madison Prep'!T47</f>
        <v>3019</v>
      </c>
      <c r="U47" s="1556">
        <f t="shared" si="31"/>
        <v>0</v>
      </c>
      <c r="V47" s="1762">
        <f>+'[3]Oct midyear Delta Charter'!E46</f>
        <v>0</v>
      </c>
      <c r="W47" s="1763">
        <f t="shared" si="32"/>
        <v>0</v>
      </c>
      <c r="X47" s="1762">
        <f>'[3]Feb midyear Delta Charter'!E46</f>
        <v>0</v>
      </c>
      <c r="Y47" s="1763">
        <f t="shared" si="33"/>
        <v>0</v>
      </c>
      <c r="Z47" s="1654">
        <f t="shared" si="34"/>
        <v>0</v>
      </c>
      <c r="AA47" s="1488">
        <f t="shared" si="35"/>
        <v>0</v>
      </c>
      <c r="AB47" s="938">
        <f t="shared" si="36"/>
        <v>0</v>
      </c>
      <c r="AC47" s="903">
        <f t="shared" si="37"/>
        <v>0</v>
      </c>
      <c r="AD47" s="1831">
        <v>0</v>
      </c>
      <c r="AE47" s="903">
        <f t="shared" si="38"/>
        <v>0</v>
      </c>
      <c r="AF47" s="1835">
        <f>+'[4]Table 5C1N-Delta Charter'!T46*8</f>
        <v>0</v>
      </c>
      <c r="AG47" s="1835">
        <f t="shared" si="39"/>
        <v>0</v>
      </c>
      <c r="AH47" s="903">
        <f t="shared" si="40"/>
        <v>0</v>
      </c>
      <c r="AI47" s="904">
        <f t="shared" si="44"/>
        <v>0</v>
      </c>
      <c r="AJ47" s="904">
        <f t="shared" si="41"/>
        <v>0</v>
      </c>
      <c r="AL47" s="2034">
        <f>-'[4]Table 5C1N-Delta Charter'!P46</f>
        <v>0</v>
      </c>
      <c r="AM47" s="2034">
        <f t="shared" si="42"/>
        <v>0</v>
      </c>
      <c r="AN47" s="2034">
        <f t="shared" si="43"/>
        <v>0</v>
      </c>
    </row>
    <row r="48" spans="1:40">
      <c r="A48" s="870">
        <v>41</v>
      </c>
      <c r="B48" s="871" t="s">
        <v>132</v>
      </c>
      <c r="C48" s="974">
        <v>0</v>
      </c>
      <c r="D48" s="884">
        <f>'Table 3 Levels 1&amp;2'!AL48</f>
        <v>1615.6013465627216</v>
      </c>
      <c r="E48" s="923">
        <f t="shared" si="21"/>
        <v>0</v>
      </c>
      <c r="F48" s="923">
        <f>'Table 4 Level 3'!P46</f>
        <v>886.22</v>
      </c>
      <c r="G48" s="923">
        <f t="shared" si="22"/>
        <v>0</v>
      </c>
      <c r="H48" s="907">
        <f t="shared" si="23"/>
        <v>0</v>
      </c>
      <c r="I48" s="1723">
        <f>+'[3]Oct midyear Delta Charter'!K47</f>
        <v>0</v>
      </c>
      <c r="J48" s="1723">
        <f>'[3]Feb midyear Delta Charter'!K47</f>
        <v>0</v>
      </c>
      <c r="K48" s="1547">
        <f t="shared" si="24"/>
        <v>0</v>
      </c>
      <c r="L48" s="1491">
        <f t="shared" si="25"/>
        <v>0</v>
      </c>
      <c r="M48" s="933">
        <f t="shared" si="26"/>
        <v>0</v>
      </c>
      <c r="N48" s="907">
        <f t="shared" si="27"/>
        <v>0</v>
      </c>
      <c r="O48" s="884">
        <v>0</v>
      </c>
      <c r="P48" s="996">
        <f t="shared" si="28"/>
        <v>0</v>
      </c>
      <c r="Q48" s="1723">
        <f>+'[4]Table 5C1N-Delta Charter'!M47*8</f>
        <v>0</v>
      </c>
      <c r="R48" s="1723">
        <f t="shared" si="29"/>
        <v>0</v>
      </c>
      <c r="S48" s="996">
        <f t="shared" si="30"/>
        <v>0</v>
      </c>
      <c r="T48" s="1802">
        <f>'Table 5C1A-Madison Prep'!T48</f>
        <v>8964</v>
      </c>
      <c r="U48" s="999">
        <f t="shared" si="31"/>
        <v>0</v>
      </c>
      <c r="V48" s="1754">
        <f>+'[3]Oct midyear Delta Charter'!E47</f>
        <v>0</v>
      </c>
      <c r="W48" s="1755">
        <f t="shared" si="32"/>
        <v>0</v>
      </c>
      <c r="X48" s="1754">
        <f>'[3]Feb midyear Delta Charter'!E47</f>
        <v>0</v>
      </c>
      <c r="Y48" s="1755">
        <f t="shared" si="33"/>
        <v>0</v>
      </c>
      <c r="Z48" s="1652">
        <f t="shared" si="34"/>
        <v>0</v>
      </c>
      <c r="AA48" s="1521">
        <f t="shared" si="35"/>
        <v>0</v>
      </c>
      <c r="AB48" s="936">
        <f t="shared" si="36"/>
        <v>0</v>
      </c>
      <c r="AC48" s="874">
        <f t="shared" si="37"/>
        <v>0</v>
      </c>
      <c r="AD48" s="1829">
        <v>0</v>
      </c>
      <c r="AE48" s="874">
        <f t="shared" si="38"/>
        <v>0</v>
      </c>
      <c r="AF48" s="1829">
        <f>+'[4]Table 5C1N-Delta Charter'!T47*8</f>
        <v>0</v>
      </c>
      <c r="AG48" s="1829">
        <f t="shared" si="39"/>
        <v>0</v>
      </c>
      <c r="AH48" s="874">
        <f t="shared" si="40"/>
        <v>0</v>
      </c>
      <c r="AI48" s="875">
        <f t="shared" si="44"/>
        <v>0</v>
      </c>
      <c r="AJ48" s="875">
        <f t="shared" si="41"/>
        <v>0</v>
      </c>
      <c r="AL48" s="2034">
        <f>-'[4]Table 5C1N-Delta Charter'!P47</f>
        <v>0</v>
      </c>
      <c r="AM48" s="2034">
        <f t="shared" si="42"/>
        <v>0</v>
      </c>
      <c r="AN48" s="2034">
        <f t="shared" si="43"/>
        <v>0</v>
      </c>
    </row>
    <row r="49" spans="1:40">
      <c r="A49" s="876">
        <v>42</v>
      </c>
      <c r="B49" s="877" t="s">
        <v>133</v>
      </c>
      <c r="C49" s="972">
        <v>0</v>
      </c>
      <c r="D49" s="882">
        <f>'Table 3 Levels 1&amp;2'!AL49</f>
        <v>5087.4730460987803</v>
      </c>
      <c r="E49" s="921">
        <f t="shared" si="21"/>
        <v>0</v>
      </c>
      <c r="F49" s="921">
        <f>'Table 4 Level 3'!P47</f>
        <v>534.28</v>
      </c>
      <c r="G49" s="921">
        <f t="shared" si="22"/>
        <v>0</v>
      </c>
      <c r="H49" s="905">
        <f t="shared" si="23"/>
        <v>0</v>
      </c>
      <c r="I49" s="1734">
        <f>+'[3]Oct midyear Delta Charter'!K48</f>
        <v>0</v>
      </c>
      <c r="J49" s="1734">
        <f>'[3]Feb midyear Delta Charter'!K48</f>
        <v>0</v>
      </c>
      <c r="K49" s="1545">
        <f t="shared" si="24"/>
        <v>0</v>
      </c>
      <c r="L49" s="1489">
        <f t="shared" si="25"/>
        <v>0</v>
      </c>
      <c r="M49" s="931">
        <f t="shared" si="26"/>
        <v>0</v>
      </c>
      <c r="N49" s="905">
        <f t="shared" si="27"/>
        <v>0</v>
      </c>
      <c r="O49" s="882">
        <v>0</v>
      </c>
      <c r="P49" s="1552">
        <f t="shared" si="28"/>
        <v>0</v>
      </c>
      <c r="Q49" s="1734">
        <f>+'[4]Table 5C1N-Delta Charter'!M48*8</f>
        <v>0</v>
      </c>
      <c r="R49" s="1734">
        <f t="shared" si="29"/>
        <v>0</v>
      </c>
      <c r="S49" s="1552">
        <f t="shared" si="30"/>
        <v>0</v>
      </c>
      <c r="T49" s="1802">
        <f>'Table 5C1A-Madison Prep'!T49</f>
        <v>3535</v>
      </c>
      <c r="U49" s="1555">
        <f t="shared" si="31"/>
        <v>0</v>
      </c>
      <c r="V49" s="1758">
        <f>+'[3]Oct midyear Delta Charter'!E48</f>
        <v>0</v>
      </c>
      <c r="W49" s="1759">
        <f t="shared" si="32"/>
        <v>0</v>
      </c>
      <c r="X49" s="1758">
        <f>'[3]Feb midyear Delta Charter'!E48</f>
        <v>0</v>
      </c>
      <c r="Y49" s="1759">
        <f t="shared" si="33"/>
        <v>0</v>
      </c>
      <c r="Z49" s="1653">
        <f t="shared" si="34"/>
        <v>0</v>
      </c>
      <c r="AA49" s="1486">
        <f t="shared" si="35"/>
        <v>0</v>
      </c>
      <c r="AB49" s="937">
        <f t="shared" si="36"/>
        <v>0</v>
      </c>
      <c r="AC49" s="899">
        <f t="shared" si="37"/>
        <v>0</v>
      </c>
      <c r="AD49" s="1830">
        <v>0</v>
      </c>
      <c r="AE49" s="899">
        <f t="shared" si="38"/>
        <v>0</v>
      </c>
      <c r="AF49" s="1834">
        <f>+'[4]Table 5C1N-Delta Charter'!T48*8</f>
        <v>0</v>
      </c>
      <c r="AG49" s="1834">
        <f t="shared" si="39"/>
        <v>0</v>
      </c>
      <c r="AH49" s="899">
        <f t="shared" si="40"/>
        <v>0</v>
      </c>
      <c r="AI49" s="900">
        <f t="shared" si="44"/>
        <v>0</v>
      </c>
      <c r="AJ49" s="900">
        <f t="shared" si="41"/>
        <v>0</v>
      </c>
      <c r="AL49" s="2034">
        <f>-'[4]Table 5C1N-Delta Charter'!P48</f>
        <v>0</v>
      </c>
      <c r="AM49" s="2034">
        <f t="shared" si="42"/>
        <v>0</v>
      </c>
      <c r="AN49" s="2034">
        <f t="shared" si="43"/>
        <v>0</v>
      </c>
    </row>
    <row r="50" spans="1:40">
      <c r="A50" s="876">
        <v>43</v>
      </c>
      <c r="B50" s="877" t="s">
        <v>134</v>
      </c>
      <c r="C50" s="972">
        <v>0</v>
      </c>
      <c r="D50" s="882">
        <f>'Table 3 Levels 1&amp;2'!AL50</f>
        <v>4717.8414352725031</v>
      </c>
      <c r="E50" s="921">
        <f t="shared" si="21"/>
        <v>0</v>
      </c>
      <c r="F50" s="921">
        <f>'Table 4 Level 3'!P48</f>
        <v>574.6099999999999</v>
      </c>
      <c r="G50" s="921">
        <f t="shared" si="22"/>
        <v>0</v>
      </c>
      <c r="H50" s="905">
        <f t="shared" si="23"/>
        <v>0</v>
      </c>
      <c r="I50" s="1734">
        <f>+'[3]Oct midyear Delta Charter'!K49</f>
        <v>0</v>
      </c>
      <c r="J50" s="1734">
        <f>'[3]Feb midyear Delta Charter'!K49</f>
        <v>0</v>
      </c>
      <c r="K50" s="1545">
        <f t="shared" si="24"/>
        <v>0</v>
      </c>
      <c r="L50" s="1489">
        <f t="shared" si="25"/>
        <v>0</v>
      </c>
      <c r="M50" s="931">
        <f t="shared" si="26"/>
        <v>0</v>
      </c>
      <c r="N50" s="905">
        <f t="shared" si="27"/>
        <v>0</v>
      </c>
      <c r="O50" s="882">
        <v>0</v>
      </c>
      <c r="P50" s="1552">
        <f t="shared" si="28"/>
        <v>0</v>
      </c>
      <c r="Q50" s="1734">
        <f>+'[4]Table 5C1N-Delta Charter'!M49*8</f>
        <v>0</v>
      </c>
      <c r="R50" s="1734">
        <f t="shared" si="29"/>
        <v>0</v>
      </c>
      <c r="S50" s="1552">
        <f t="shared" si="30"/>
        <v>0</v>
      </c>
      <c r="T50" s="1802">
        <f>'Table 5C1A-Madison Prep'!T50</f>
        <v>3593</v>
      </c>
      <c r="U50" s="1555">
        <f t="shared" si="31"/>
        <v>0</v>
      </c>
      <c r="V50" s="1758">
        <f>+'[3]Oct midyear Delta Charter'!E49</f>
        <v>0</v>
      </c>
      <c r="W50" s="1759">
        <f t="shared" si="32"/>
        <v>0</v>
      </c>
      <c r="X50" s="1758">
        <f>'[3]Feb midyear Delta Charter'!E49</f>
        <v>0</v>
      </c>
      <c r="Y50" s="1759">
        <f t="shared" si="33"/>
        <v>0</v>
      </c>
      <c r="Z50" s="1653">
        <f t="shared" si="34"/>
        <v>0</v>
      </c>
      <c r="AA50" s="1486">
        <f t="shared" si="35"/>
        <v>0</v>
      </c>
      <c r="AB50" s="937">
        <f t="shared" si="36"/>
        <v>0</v>
      </c>
      <c r="AC50" s="899">
        <f t="shared" si="37"/>
        <v>0</v>
      </c>
      <c r="AD50" s="1830">
        <v>0</v>
      </c>
      <c r="AE50" s="899">
        <f t="shared" si="38"/>
        <v>0</v>
      </c>
      <c r="AF50" s="1834">
        <f>+'[4]Table 5C1N-Delta Charter'!T49*8</f>
        <v>0</v>
      </c>
      <c r="AG50" s="1834">
        <f t="shared" si="39"/>
        <v>0</v>
      </c>
      <c r="AH50" s="899">
        <f t="shared" si="40"/>
        <v>0</v>
      </c>
      <c r="AI50" s="900">
        <f t="shared" si="44"/>
        <v>0</v>
      </c>
      <c r="AJ50" s="900">
        <f t="shared" si="41"/>
        <v>0</v>
      </c>
      <c r="AL50" s="2034">
        <f>-'[4]Table 5C1N-Delta Charter'!P49</f>
        <v>0</v>
      </c>
      <c r="AM50" s="2034">
        <f t="shared" si="42"/>
        <v>0</v>
      </c>
      <c r="AN50" s="2034">
        <f t="shared" si="43"/>
        <v>0</v>
      </c>
    </row>
    <row r="51" spans="1:40">
      <c r="A51" s="876">
        <v>44</v>
      </c>
      <c r="B51" s="877" t="s">
        <v>135</v>
      </c>
      <c r="C51" s="972">
        <v>0</v>
      </c>
      <c r="D51" s="882">
        <f>'Table 3 Levels 1&amp;2'!AL51</f>
        <v>4696.6221228259064</v>
      </c>
      <c r="E51" s="921">
        <f t="shared" si="21"/>
        <v>0</v>
      </c>
      <c r="F51" s="921">
        <f>'Table 4 Level 3'!P49</f>
        <v>663.16000000000008</v>
      </c>
      <c r="G51" s="921">
        <f t="shared" si="22"/>
        <v>0</v>
      </c>
      <c r="H51" s="905">
        <f t="shared" si="23"/>
        <v>0</v>
      </c>
      <c r="I51" s="1734">
        <f>+'[3]Oct midyear Delta Charter'!K50</f>
        <v>0</v>
      </c>
      <c r="J51" s="1734">
        <f>'[3]Feb midyear Delta Charter'!K50</f>
        <v>0</v>
      </c>
      <c r="K51" s="1545">
        <f t="shared" si="24"/>
        <v>0</v>
      </c>
      <c r="L51" s="1489">
        <f t="shared" si="25"/>
        <v>0</v>
      </c>
      <c r="M51" s="931">
        <f t="shared" si="26"/>
        <v>0</v>
      </c>
      <c r="N51" s="905">
        <f t="shared" si="27"/>
        <v>0</v>
      </c>
      <c r="O51" s="882">
        <v>0</v>
      </c>
      <c r="P51" s="1552">
        <f t="shared" si="28"/>
        <v>0</v>
      </c>
      <c r="Q51" s="1734">
        <f>+'[4]Table 5C1N-Delta Charter'!M50*8</f>
        <v>0</v>
      </c>
      <c r="R51" s="1734">
        <f t="shared" si="29"/>
        <v>0</v>
      </c>
      <c r="S51" s="1552">
        <f t="shared" si="30"/>
        <v>0</v>
      </c>
      <c r="T51" s="1802">
        <f>'Table 5C1A-Madison Prep'!T51</f>
        <v>4323</v>
      </c>
      <c r="U51" s="1555">
        <f t="shared" si="31"/>
        <v>0</v>
      </c>
      <c r="V51" s="1758">
        <f>+'[3]Oct midyear Delta Charter'!E50</f>
        <v>0</v>
      </c>
      <c r="W51" s="1759">
        <f t="shared" si="32"/>
        <v>0</v>
      </c>
      <c r="X51" s="1758">
        <f>'[3]Feb midyear Delta Charter'!E50</f>
        <v>0</v>
      </c>
      <c r="Y51" s="1759">
        <f t="shared" si="33"/>
        <v>0</v>
      </c>
      <c r="Z51" s="1653">
        <f t="shared" si="34"/>
        <v>0</v>
      </c>
      <c r="AA51" s="1486">
        <f t="shared" si="35"/>
        <v>0</v>
      </c>
      <c r="AB51" s="937">
        <f t="shared" si="36"/>
        <v>0</v>
      </c>
      <c r="AC51" s="899">
        <f t="shared" si="37"/>
        <v>0</v>
      </c>
      <c r="AD51" s="1830">
        <v>0</v>
      </c>
      <c r="AE51" s="899">
        <f t="shared" si="38"/>
        <v>0</v>
      </c>
      <c r="AF51" s="1834">
        <f>+'[4]Table 5C1N-Delta Charter'!T50*8</f>
        <v>0</v>
      </c>
      <c r="AG51" s="1834">
        <f t="shared" si="39"/>
        <v>0</v>
      </c>
      <c r="AH51" s="899">
        <f t="shared" si="40"/>
        <v>0</v>
      </c>
      <c r="AI51" s="900">
        <f t="shared" si="44"/>
        <v>0</v>
      </c>
      <c r="AJ51" s="900">
        <f t="shared" si="41"/>
        <v>0</v>
      </c>
      <c r="AL51" s="2034">
        <f>-'[4]Table 5C1N-Delta Charter'!P50</f>
        <v>0</v>
      </c>
      <c r="AM51" s="2034">
        <f t="shared" si="42"/>
        <v>0</v>
      </c>
      <c r="AN51" s="2034">
        <f t="shared" si="43"/>
        <v>0</v>
      </c>
    </row>
    <row r="52" spans="1:40">
      <c r="A52" s="879">
        <v>45</v>
      </c>
      <c r="B52" s="880" t="s">
        <v>136</v>
      </c>
      <c r="C52" s="973">
        <v>0</v>
      </c>
      <c r="D52" s="883">
        <f>'Table 3 Levels 1&amp;2'!AL52</f>
        <v>2192.4914538932262</v>
      </c>
      <c r="E52" s="922">
        <f t="shared" si="21"/>
        <v>0</v>
      </c>
      <c r="F52" s="922">
        <f>'Table 4 Level 3'!P50</f>
        <v>753.96000000000015</v>
      </c>
      <c r="G52" s="922">
        <f t="shared" si="22"/>
        <v>0</v>
      </c>
      <c r="H52" s="906">
        <f t="shared" si="23"/>
        <v>0</v>
      </c>
      <c r="I52" s="1735">
        <f>+'[3]Oct midyear Delta Charter'!K51</f>
        <v>0</v>
      </c>
      <c r="J52" s="1735">
        <f>'[3]Feb midyear Delta Charter'!K51</f>
        <v>0</v>
      </c>
      <c r="K52" s="1546">
        <f t="shared" si="24"/>
        <v>0</v>
      </c>
      <c r="L52" s="1490">
        <f t="shared" si="25"/>
        <v>0</v>
      </c>
      <c r="M52" s="932">
        <f t="shared" si="26"/>
        <v>0</v>
      </c>
      <c r="N52" s="906">
        <f t="shared" si="27"/>
        <v>0</v>
      </c>
      <c r="O52" s="883">
        <v>0</v>
      </c>
      <c r="P52" s="1553">
        <f t="shared" si="28"/>
        <v>0</v>
      </c>
      <c r="Q52" s="1735">
        <f>+'[4]Table 5C1N-Delta Charter'!M51*8</f>
        <v>0</v>
      </c>
      <c r="R52" s="1735">
        <f t="shared" si="29"/>
        <v>0</v>
      </c>
      <c r="S52" s="1553">
        <f t="shared" si="30"/>
        <v>0</v>
      </c>
      <c r="T52" s="1807">
        <f>'Table 5C1A-Madison Prep'!T52</f>
        <v>12792</v>
      </c>
      <c r="U52" s="1556">
        <f t="shared" si="31"/>
        <v>0</v>
      </c>
      <c r="V52" s="1762">
        <f>+'[3]Oct midyear Delta Charter'!E51</f>
        <v>0</v>
      </c>
      <c r="W52" s="1763">
        <f t="shared" si="32"/>
        <v>0</v>
      </c>
      <c r="X52" s="1762">
        <f>'[3]Feb midyear Delta Charter'!E51</f>
        <v>0</v>
      </c>
      <c r="Y52" s="1763">
        <f t="shared" si="33"/>
        <v>0</v>
      </c>
      <c r="Z52" s="1654">
        <f t="shared" si="34"/>
        <v>0</v>
      </c>
      <c r="AA52" s="1488">
        <f t="shared" si="35"/>
        <v>0</v>
      </c>
      <c r="AB52" s="938">
        <f t="shared" si="36"/>
        <v>0</v>
      </c>
      <c r="AC52" s="903">
        <f t="shared" si="37"/>
        <v>0</v>
      </c>
      <c r="AD52" s="1831">
        <v>0</v>
      </c>
      <c r="AE52" s="903">
        <f t="shared" si="38"/>
        <v>0</v>
      </c>
      <c r="AF52" s="1835">
        <f>+'[4]Table 5C1N-Delta Charter'!T51*8</f>
        <v>0</v>
      </c>
      <c r="AG52" s="1835">
        <f t="shared" si="39"/>
        <v>0</v>
      </c>
      <c r="AH52" s="903">
        <f t="shared" si="40"/>
        <v>0</v>
      </c>
      <c r="AI52" s="904">
        <f t="shared" si="44"/>
        <v>0</v>
      </c>
      <c r="AJ52" s="904">
        <f t="shared" si="41"/>
        <v>0</v>
      </c>
      <c r="AL52" s="2034">
        <f>-'[4]Table 5C1N-Delta Charter'!P51</f>
        <v>0</v>
      </c>
      <c r="AM52" s="2034">
        <f t="shared" si="42"/>
        <v>0</v>
      </c>
      <c r="AN52" s="2034">
        <f t="shared" si="43"/>
        <v>0</v>
      </c>
    </row>
    <row r="53" spans="1:40">
      <c r="A53" s="870">
        <v>46</v>
      </c>
      <c r="B53" s="871" t="s">
        <v>137</v>
      </c>
      <c r="C53" s="974">
        <v>0</v>
      </c>
      <c r="D53" s="884">
        <f>'Table 3 Levels 1&amp;2'!AL53</f>
        <v>5644.6599115241634</v>
      </c>
      <c r="E53" s="923">
        <f t="shared" si="21"/>
        <v>0</v>
      </c>
      <c r="F53" s="923">
        <f>'Table 4 Level 3'!P51</f>
        <v>728.06</v>
      </c>
      <c r="G53" s="923">
        <f t="shared" si="22"/>
        <v>0</v>
      </c>
      <c r="H53" s="907">
        <f t="shared" si="23"/>
        <v>0</v>
      </c>
      <c r="I53" s="1723">
        <f>+'[3]Oct midyear Delta Charter'!K52</f>
        <v>0</v>
      </c>
      <c r="J53" s="1723">
        <f>'[3]Feb midyear Delta Charter'!K52</f>
        <v>0</v>
      </c>
      <c r="K53" s="1547">
        <f t="shared" si="24"/>
        <v>0</v>
      </c>
      <c r="L53" s="1491">
        <f t="shared" si="25"/>
        <v>0</v>
      </c>
      <c r="M53" s="933">
        <f t="shared" si="26"/>
        <v>0</v>
      </c>
      <c r="N53" s="907">
        <f t="shared" si="27"/>
        <v>0</v>
      </c>
      <c r="O53" s="884">
        <v>0</v>
      </c>
      <c r="P53" s="996">
        <f t="shared" si="28"/>
        <v>0</v>
      </c>
      <c r="Q53" s="1723">
        <f>+'[4]Table 5C1N-Delta Charter'!M52*8</f>
        <v>0</v>
      </c>
      <c r="R53" s="1723">
        <f t="shared" si="29"/>
        <v>0</v>
      </c>
      <c r="S53" s="996">
        <f t="shared" si="30"/>
        <v>0</v>
      </c>
      <c r="T53" s="1802">
        <f>'Table 5C1A-Madison Prep'!T53</f>
        <v>2423</v>
      </c>
      <c r="U53" s="999">
        <f t="shared" si="31"/>
        <v>0</v>
      </c>
      <c r="V53" s="1754">
        <f>+'[3]Oct midyear Delta Charter'!E52</f>
        <v>0</v>
      </c>
      <c r="W53" s="1755">
        <f t="shared" si="32"/>
        <v>0</v>
      </c>
      <c r="X53" s="1754">
        <f>'[3]Feb midyear Delta Charter'!E52</f>
        <v>0</v>
      </c>
      <c r="Y53" s="1755">
        <f t="shared" si="33"/>
        <v>0</v>
      </c>
      <c r="Z53" s="1652">
        <f t="shared" si="34"/>
        <v>0</v>
      </c>
      <c r="AA53" s="1521">
        <f t="shared" si="35"/>
        <v>0</v>
      </c>
      <c r="AB53" s="936">
        <f t="shared" si="36"/>
        <v>0</v>
      </c>
      <c r="AC53" s="874">
        <f t="shared" si="37"/>
        <v>0</v>
      </c>
      <c r="AD53" s="1829">
        <v>0</v>
      </c>
      <c r="AE53" s="874">
        <f t="shared" si="38"/>
        <v>0</v>
      </c>
      <c r="AF53" s="1829">
        <f>+'[4]Table 5C1N-Delta Charter'!T52*8</f>
        <v>0</v>
      </c>
      <c r="AG53" s="1829">
        <f t="shared" si="39"/>
        <v>0</v>
      </c>
      <c r="AH53" s="874">
        <f t="shared" si="40"/>
        <v>0</v>
      </c>
      <c r="AI53" s="875">
        <f t="shared" si="44"/>
        <v>0</v>
      </c>
      <c r="AJ53" s="875">
        <f t="shared" si="41"/>
        <v>0</v>
      </c>
      <c r="AL53" s="2034">
        <f>-'[4]Table 5C1N-Delta Charter'!P52</f>
        <v>0</v>
      </c>
      <c r="AM53" s="2034">
        <f t="shared" si="42"/>
        <v>0</v>
      </c>
      <c r="AN53" s="2034">
        <f t="shared" si="43"/>
        <v>0</v>
      </c>
    </row>
    <row r="54" spans="1:40">
      <c r="A54" s="876">
        <v>47</v>
      </c>
      <c r="B54" s="877" t="s">
        <v>138</v>
      </c>
      <c r="C54" s="972">
        <v>0</v>
      </c>
      <c r="D54" s="882">
        <f>'Table 3 Levels 1&amp;2'!AL54</f>
        <v>2731.2444076222037</v>
      </c>
      <c r="E54" s="921">
        <f t="shared" si="21"/>
        <v>0</v>
      </c>
      <c r="F54" s="921">
        <f>'Table 4 Level 3'!P52</f>
        <v>910.76</v>
      </c>
      <c r="G54" s="921">
        <f t="shared" si="22"/>
        <v>0</v>
      </c>
      <c r="H54" s="905">
        <f t="shared" si="23"/>
        <v>0</v>
      </c>
      <c r="I54" s="1734">
        <f>+'[3]Oct midyear Delta Charter'!K53</f>
        <v>0</v>
      </c>
      <c r="J54" s="1734">
        <f>'[3]Feb midyear Delta Charter'!K53</f>
        <v>0</v>
      </c>
      <c r="K54" s="1545">
        <f t="shared" si="24"/>
        <v>0</v>
      </c>
      <c r="L54" s="1489">
        <f t="shared" si="25"/>
        <v>0</v>
      </c>
      <c r="M54" s="931">
        <f t="shared" si="26"/>
        <v>0</v>
      </c>
      <c r="N54" s="905">
        <f t="shared" si="27"/>
        <v>0</v>
      </c>
      <c r="O54" s="882">
        <v>0</v>
      </c>
      <c r="P54" s="1552">
        <f t="shared" si="28"/>
        <v>0</v>
      </c>
      <c r="Q54" s="1734">
        <f>+'[4]Table 5C1N-Delta Charter'!M53*8</f>
        <v>0</v>
      </c>
      <c r="R54" s="1734">
        <f t="shared" si="29"/>
        <v>0</v>
      </c>
      <c r="S54" s="1552">
        <f t="shared" si="30"/>
        <v>0</v>
      </c>
      <c r="T54" s="1802">
        <f>'Table 5C1A-Madison Prep'!T54</f>
        <v>12963</v>
      </c>
      <c r="U54" s="1555">
        <f t="shared" si="31"/>
        <v>0</v>
      </c>
      <c r="V54" s="1758">
        <f>+'[3]Oct midyear Delta Charter'!E53</f>
        <v>0</v>
      </c>
      <c r="W54" s="1759">
        <f t="shared" si="32"/>
        <v>0</v>
      </c>
      <c r="X54" s="1758">
        <f>'[3]Feb midyear Delta Charter'!E53</f>
        <v>0</v>
      </c>
      <c r="Y54" s="1759">
        <f t="shared" si="33"/>
        <v>0</v>
      </c>
      <c r="Z54" s="1653">
        <f t="shared" si="34"/>
        <v>0</v>
      </c>
      <c r="AA54" s="1486">
        <f t="shared" si="35"/>
        <v>0</v>
      </c>
      <c r="AB54" s="937">
        <f t="shared" si="36"/>
        <v>0</v>
      </c>
      <c r="AC54" s="899">
        <f t="shared" si="37"/>
        <v>0</v>
      </c>
      <c r="AD54" s="1830">
        <v>0</v>
      </c>
      <c r="AE54" s="899">
        <f t="shared" si="38"/>
        <v>0</v>
      </c>
      <c r="AF54" s="1834">
        <f>+'[4]Table 5C1N-Delta Charter'!T53*8</f>
        <v>0</v>
      </c>
      <c r="AG54" s="1834">
        <f t="shared" si="39"/>
        <v>0</v>
      </c>
      <c r="AH54" s="899">
        <f t="shared" si="40"/>
        <v>0</v>
      </c>
      <c r="AI54" s="900">
        <f t="shared" si="44"/>
        <v>0</v>
      </c>
      <c r="AJ54" s="900">
        <f t="shared" si="41"/>
        <v>0</v>
      </c>
      <c r="AL54" s="2034">
        <f>-'[4]Table 5C1N-Delta Charter'!P53</f>
        <v>0</v>
      </c>
      <c r="AM54" s="2034">
        <f t="shared" si="42"/>
        <v>0</v>
      </c>
      <c r="AN54" s="2034">
        <f t="shared" si="43"/>
        <v>0</v>
      </c>
    </row>
    <row r="55" spans="1:40">
      <c r="A55" s="876">
        <v>48</v>
      </c>
      <c r="B55" s="877" t="s">
        <v>195</v>
      </c>
      <c r="C55" s="972">
        <v>0</v>
      </c>
      <c r="D55" s="882">
        <f>'Table 3 Levels 1&amp;2'!AL55</f>
        <v>4272.723323083942</v>
      </c>
      <c r="E55" s="921">
        <f t="shared" si="21"/>
        <v>0</v>
      </c>
      <c r="F55" s="921">
        <f>'Table 4 Level 3'!P53</f>
        <v>871.07</v>
      </c>
      <c r="G55" s="921">
        <f t="shared" si="22"/>
        <v>0</v>
      </c>
      <c r="H55" s="905">
        <f t="shared" si="23"/>
        <v>0</v>
      </c>
      <c r="I55" s="1734">
        <f>+'[3]Oct midyear Delta Charter'!K54</f>
        <v>0</v>
      </c>
      <c r="J55" s="1734">
        <f>'[3]Feb midyear Delta Charter'!K54</f>
        <v>0</v>
      </c>
      <c r="K55" s="1545">
        <f t="shared" si="24"/>
        <v>0</v>
      </c>
      <c r="L55" s="1489">
        <f t="shared" si="25"/>
        <v>0</v>
      </c>
      <c r="M55" s="931">
        <f t="shared" si="26"/>
        <v>0</v>
      </c>
      <c r="N55" s="905">
        <f t="shared" si="27"/>
        <v>0</v>
      </c>
      <c r="O55" s="882">
        <v>0</v>
      </c>
      <c r="P55" s="1552">
        <f t="shared" si="28"/>
        <v>0</v>
      </c>
      <c r="Q55" s="1734">
        <f>+'[4]Table 5C1N-Delta Charter'!M54*8</f>
        <v>0</v>
      </c>
      <c r="R55" s="1734">
        <f t="shared" si="29"/>
        <v>0</v>
      </c>
      <c r="S55" s="1552">
        <f t="shared" si="30"/>
        <v>0</v>
      </c>
      <c r="T55" s="1802">
        <f>'Table 5C1A-Madison Prep'!T55</f>
        <v>6585</v>
      </c>
      <c r="U55" s="1555">
        <f t="shared" si="31"/>
        <v>0</v>
      </c>
      <c r="V55" s="1758">
        <f>+'[3]Oct midyear Delta Charter'!E54</f>
        <v>0</v>
      </c>
      <c r="W55" s="1759">
        <f t="shared" si="32"/>
        <v>0</v>
      </c>
      <c r="X55" s="1758">
        <f>'[3]Feb midyear Delta Charter'!E54</f>
        <v>0</v>
      </c>
      <c r="Y55" s="1759">
        <f t="shared" si="33"/>
        <v>0</v>
      </c>
      <c r="Z55" s="1653">
        <f t="shared" si="34"/>
        <v>0</v>
      </c>
      <c r="AA55" s="1486">
        <f t="shared" si="35"/>
        <v>0</v>
      </c>
      <c r="AB55" s="937">
        <f t="shared" si="36"/>
        <v>0</v>
      </c>
      <c r="AC55" s="899">
        <f t="shared" si="37"/>
        <v>0</v>
      </c>
      <c r="AD55" s="1830">
        <v>0</v>
      </c>
      <c r="AE55" s="899">
        <f t="shared" si="38"/>
        <v>0</v>
      </c>
      <c r="AF55" s="1834">
        <f>+'[4]Table 5C1N-Delta Charter'!T54*8</f>
        <v>0</v>
      </c>
      <c r="AG55" s="1834">
        <f t="shared" si="39"/>
        <v>0</v>
      </c>
      <c r="AH55" s="899">
        <f t="shared" si="40"/>
        <v>0</v>
      </c>
      <c r="AI55" s="900">
        <f t="shared" si="44"/>
        <v>0</v>
      </c>
      <c r="AJ55" s="900">
        <f t="shared" si="41"/>
        <v>0</v>
      </c>
      <c r="AL55" s="2034">
        <f>-'[4]Table 5C1N-Delta Charter'!P54</f>
        <v>0</v>
      </c>
      <c r="AM55" s="2034">
        <f t="shared" si="42"/>
        <v>0</v>
      </c>
      <c r="AN55" s="2034">
        <f t="shared" si="43"/>
        <v>0</v>
      </c>
    </row>
    <row r="56" spans="1:40">
      <c r="A56" s="876">
        <v>49</v>
      </c>
      <c r="B56" s="877" t="s">
        <v>139</v>
      </c>
      <c r="C56" s="972">
        <v>0</v>
      </c>
      <c r="D56" s="882">
        <f>'Table 3 Levels 1&amp;2'!AL56</f>
        <v>4836.7092570332552</v>
      </c>
      <c r="E56" s="921">
        <f t="shared" si="21"/>
        <v>0</v>
      </c>
      <c r="F56" s="921">
        <f>'Table 4 Level 3'!P54</f>
        <v>574.43999999999994</v>
      </c>
      <c r="G56" s="921">
        <f t="shared" si="22"/>
        <v>0</v>
      </c>
      <c r="H56" s="905">
        <f t="shared" si="23"/>
        <v>0</v>
      </c>
      <c r="I56" s="1734">
        <f>+'[3]Oct midyear Delta Charter'!K55</f>
        <v>0</v>
      </c>
      <c r="J56" s="1734">
        <f>'[3]Feb midyear Delta Charter'!K55</f>
        <v>0</v>
      </c>
      <c r="K56" s="1545">
        <f t="shared" si="24"/>
        <v>0</v>
      </c>
      <c r="L56" s="1489">
        <f t="shared" si="25"/>
        <v>0</v>
      </c>
      <c r="M56" s="931">
        <f t="shared" si="26"/>
        <v>0</v>
      </c>
      <c r="N56" s="905">
        <f t="shared" si="27"/>
        <v>0</v>
      </c>
      <c r="O56" s="882">
        <v>0</v>
      </c>
      <c r="P56" s="1552">
        <f t="shared" si="28"/>
        <v>0</v>
      </c>
      <c r="Q56" s="1734">
        <f>+'[4]Table 5C1N-Delta Charter'!M55*8</f>
        <v>0</v>
      </c>
      <c r="R56" s="1734">
        <f t="shared" si="29"/>
        <v>0</v>
      </c>
      <c r="S56" s="1552">
        <f t="shared" si="30"/>
        <v>0</v>
      </c>
      <c r="T56" s="1802">
        <f>'Table 5C1A-Madison Prep'!T56</f>
        <v>2402</v>
      </c>
      <c r="U56" s="1555">
        <f t="shared" si="31"/>
        <v>0</v>
      </c>
      <c r="V56" s="1758">
        <f>+'[3]Oct midyear Delta Charter'!E55</f>
        <v>0</v>
      </c>
      <c r="W56" s="1759">
        <f t="shared" si="32"/>
        <v>0</v>
      </c>
      <c r="X56" s="1758">
        <f>'[3]Feb midyear Delta Charter'!E55</f>
        <v>0</v>
      </c>
      <c r="Y56" s="1759">
        <f t="shared" si="33"/>
        <v>0</v>
      </c>
      <c r="Z56" s="1653">
        <f t="shared" si="34"/>
        <v>0</v>
      </c>
      <c r="AA56" s="1486">
        <f t="shared" si="35"/>
        <v>0</v>
      </c>
      <c r="AB56" s="937">
        <f t="shared" si="36"/>
        <v>0</v>
      </c>
      <c r="AC56" s="899">
        <f t="shared" si="37"/>
        <v>0</v>
      </c>
      <c r="AD56" s="1830">
        <v>0</v>
      </c>
      <c r="AE56" s="899">
        <f t="shared" si="38"/>
        <v>0</v>
      </c>
      <c r="AF56" s="1834">
        <f>+'[4]Table 5C1N-Delta Charter'!T55*8</f>
        <v>0</v>
      </c>
      <c r="AG56" s="1834">
        <f t="shared" si="39"/>
        <v>0</v>
      </c>
      <c r="AH56" s="899">
        <f t="shared" si="40"/>
        <v>0</v>
      </c>
      <c r="AI56" s="900">
        <f t="shared" si="44"/>
        <v>0</v>
      </c>
      <c r="AJ56" s="900">
        <f t="shared" si="41"/>
        <v>0</v>
      </c>
      <c r="AL56" s="2034">
        <f>-'[4]Table 5C1N-Delta Charter'!P55</f>
        <v>0</v>
      </c>
      <c r="AM56" s="2034">
        <f t="shared" si="42"/>
        <v>0</v>
      </c>
      <c r="AN56" s="2034">
        <f t="shared" si="43"/>
        <v>0</v>
      </c>
    </row>
    <row r="57" spans="1:40">
      <c r="A57" s="879">
        <v>50</v>
      </c>
      <c r="B57" s="880" t="s">
        <v>140</v>
      </c>
      <c r="C57" s="973">
        <v>0</v>
      </c>
      <c r="D57" s="883">
        <f>'Table 3 Levels 1&amp;2'!AL57</f>
        <v>5032.6862895017111</v>
      </c>
      <c r="E57" s="922">
        <f t="shared" si="21"/>
        <v>0</v>
      </c>
      <c r="F57" s="922">
        <f>'Table 4 Level 3'!P55</f>
        <v>634.46</v>
      </c>
      <c r="G57" s="922">
        <f t="shared" si="22"/>
        <v>0</v>
      </c>
      <c r="H57" s="906">
        <f t="shared" si="23"/>
        <v>0</v>
      </c>
      <c r="I57" s="1735">
        <f>+'[3]Oct midyear Delta Charter'!K56</f>
        <v>0</v>
      </c>
      <c r="J57" s="1735">
        <f>'[3]Feb midyear Delta Charter'!K56</f>
        <v>0</v>
      </c>
      <c r="K57" s="1546">
        <f t="shared" si="24"/>
        <v>0</v>
      </c>
      <c r="L57" s="1490">
        <f t="shared" si="25"/>
        <v>0</v>
      </c>
      <c r="M57" s="932">
        <f t="shared" si="26"/>
        <v>0</v>
      </c>
      <c r="N57" s="906">
        <f t="shared" si="27"/>
        <v>0</v>
      </c>
      <c r="O57" s="883">
        <v>0</v>
      </c>
      <c r="P57" s="1553">
        <f t="shared" si="28"/>
        <v>0</v>
      </c>
      <c r="Q57" s="1735">
        <f>+'[4]Table 5C1N-Delta Charter'!M56*8</f>
        <v>0</v>
      </c>
      <c r="R57" s="1735">
        <f t="shared" si="29"/>
        <v>0</v>
      </c>
      <c r="S57" s="1553">
        <f t="shared" si="30"/>
        <v>0</v>
      </c>
      <c r="T57" s="1807">
        <f>'Table 5C1A-Madison Prep'!T57</f>
        <v>3143</v>
      </c>
      <c r="U57" s="1556">
        <f t="shared" si="31"/>
        <v>0</v>
      </c>
      <c r="V57" s="1762">
        <f>+'[3]Oct midyear Delta Charter'!E56</f>
        <v>0</v>
      </c>
      <c r="W57" s="1763">
        <f t="shared" si="32"/>
        <v>0</v>
      </c>
      <c r="X57" s="1762">
        <f>'[3]Feb midyear Delta Charter'!E56</f>
        <v>0</v>
      </c>
      <c r="Y57" s="1763">
        <f t="shared" si="33"/>
        <v>0</v>
      </c>
      <c r="Z57" s="1654">
        <f t="shared" si="34"/>
        <v>0</v>
      </c>
      <c r="AA57" s="1488">
        <f t="shared" si="35"/>
        <v>0</v>
      </c>
      <c r="AB57" s="938">
        <f t="shared" si="36"/>
        <v>0</v>
      </c>
      <c r="AC57" s="903">
        <f t="shared" si="37"/>
        <v>0</v>
      </c>
      <c r="AD57" s="1831">
        <v>0</v>
      </c>
      <c r="AE57" s="903">
        <f t="shared" si="38"/>
        <v>0</v>
      </c>
      <c r="AF57" s="1835">
        <f>+'[4]Table 5C1N-Delta Charter'!T56*8</f>
        <v>0</v>
      </c>
      <c r="AG57" s="1835">
        <f t="shared" si="39"/>
        <v>0</v>
      </c>
      <c r="AH57" s="903">
        <f t="shared" si="40"/>
        <v>0</v>
      </c>
      <c r="AI57" s="904">
        <f t="shared" si="44"/>
        <v>0</v>
      </c>
      <c r="AJ57" s="904">
        <f t="shared" si="41"/>
        <v>0</v>
      </c>
      <c r="AL57" s="2034">
        <f>-'[4]Table 5C1N-Delta Charter'!P56</f>
        <v>0</v>
      </c>
      <c r="AM57" s="2034">
        <f t="shared" si="42"/>
        <v>0</v>
      </c>
      <c r="AN57" s="2034">
        <f t="shared" si="43"/>
        <v>0</v>
      </c>
    </row>
    <row r="58" spans="1:40">
      <c r="A58" s="870">
        <v>51</v>
      </c>
      <c r="B58" s="871" t="s">
        <v>141</v>
      </c>
      <c r="C58" s="974">
        <v>0</v>
      </c>
      <c r="D58" s="884">
        <f>'Table 3 Levels 1&amp;2'!AL58</f>
        <v>4246.0339872793602</v>
      </c>
      <c r="E58" s="923">
        <f t="shared" si="21"/>
        <v>0</v>
      </c>
      <c r="F58" s="923">
        <f>'Table 4 Level 3'!P56</f>
        <v>706.66</v>
      </c>
      <c r="G58" s="923">
        <f t="shared" si="22"/>
        <v>0</v>
      </c>
      <c r="H58" s="907">
        <f t="shared" si="23"/>
        <v>0</v>
      </c>
      <c r="I58" s="1723">
        <f>+'[3]Oct midyear Delta Charter'!K57</f>
        <v>0</v>
      </c>
      <c r="J58" s="1723">
        <f>'[3]Feb midyear Delta Charter'!K57</f>
        <v>0</v>
      </c>
      <c r="K58" s="1547">
        <f t="shared" si="24"/>
        <v>0</v>
      </c>
      <c r="L58" s="1491">
        <f t="shared" si="25"/>
        <v>0</v>
      </c>
      <c r="M58" s="933">
        <f t="shared" si="26"/>
        <v>0</v>
      </c>
      <c r="N58" s="907">
        <f t="shared" si="27"/>
        <v>0</v>
      </c>
      <c r="O58" s="884">
        <v>0</v>
      </c>
      <c r="P58" s="996">
        <f t="shared" si="28"/>
        <v>0</v>
      </c>
      <c r="Q58" s="1723">
        <f>+'[4]Table 5C1N-Delta Charter'!M57*8</f>
        <v>0</v>
      </c>
      <c r="R58" s="1723">
        <f t="shared" si="29"/>
        <v>0</v>
      </c>
      <c r="S58" s="996">
        <f t="shared" si="30"/>
        <v>0</v>
      </c>
      <c r="T58" s="1802">
        <f>'Table 5C1A-Madison Prep'!T58</f>
        <v>4370</v>
      </c>
      <c r="U58" s="999">
        <f t="shared" si="31"/>
        <v>0</v>
      </c>
      <c r="V58" s="1754">
        <f>+'[3]Oct midyear Delta Charter'!E57</f>
        <v>0</v>
      </c>
      <c r="W58" s="1755">
        <f t="shared" si="32"/>
        <v>0</v>
      </c>
      <c r="X58" s="1754">
        <f>'[3]Feb midyear Delta Charter'!E57</f>
        <v>0</v>
      </c>
      <c r="Y58" s="1755">
        <f t="shared" si="33"/>
        <v>0</v>
      </c>
      <c r="Z58" s="1652">
        <f t="shared" si="34"/>
        <v>0</v>
      </c>
      <c r="AA58" s="1521">
        <f t="shared" si="35"/>
        <v>0</v>
      </c>
      <c r="AB58" s="936">
        <f t="shared" si="36"/>
        <v>0</v>
      </c>
      <c r="AC58" s="874">
        <f t="shared" si="37"/>
        <v>0</v>
      </c>
      <c r="AD58" s="1829">
        <v>0</v>
      </c>
      <c r="AE58" s="874">
        <f t="shared" si="38"/>
        <v>0</v>
      </c>
      <c r="AF58" s="1829">
        <f>+'[4]Table 5C1N-Delta Charter'!T57*8</f>
        <v>0</v>
      </c>
      <c r="AG58" s="1829">
        <f t="shared" si="39"/>
        <v>0</v>
      </c>
      <c r="AH58" s="874">
        <f t="shared" si="40"/>
        <v>0</v>
      </c>
      <c r="AI58" s="875">
        <f t="shared" si="44"/>
        <v>0</v>
      </c>
      <c r="AJ58" s="875">
        <f t="shared" si="41"/>
        <v>0</v>
      </c>
      <c r="AL58" s="2034">
        <f>-'[4]Table 5C1N-Delta Charter'!P57</f>
        <v>0</v>
      </c>
      <c r="AM58" s="2034">
        <f t="shared" si="42"/>
        <v>0</v>
      </c>
      <c r="AN58" s="2034">
        <f t="shared" si="43"/>
        <v>0</v>
      </c>
    </row>
    <row r="59" spans="1:40">
      <c r="A59" s="876">
        <v>52</v>
      </c>
      <c r="B59" s="877" t="s">
        <v>142</v>
      </c>
      <c r="C59" s="972">
        <v>0</v>
      </c>
      <c r="D59" s="882">
        <f>'Table 3 Levels 1&amp;2'!AL59</f>
        <v>5013.4438050113249</v>
      </c>
      <c r="E59" s="921">
        <f t="shared" si="21"/>
        <v>0</v>
      </c>
      <c r="F59" s="921">
        <f>'Table 4 Level 3'!P57</f>
        <v>658.37</v>
      </c>
      <c r="G59" s="921">
        <f t="shared" si="22"/>
        <v>0</v>
      </c>
      <c r="H59" s="905">
        <f t="shared" si="23"/>
        <v>0</v>
      </c>
      <c r="I59" s="1734">
        <f>+'[3]Oct midyear Delta Charter'!K58</f>
        <v>0</v>
      </c>
      <c r="J59" s="1734">
        <f>'[3]Feb midyear Delta Charter'!K58</f>
        <v>0</v>
      </c>
      <c r="K59" s="1545">
        <f t="shared" si="24"/>
        <v>0</v>
      </c>
      <c r="L59" s="1489">
        <f t="shared" si="25"/>
        <v>0</v>
      </c>
      <c r="M59" s="931">
        <f t="shared" si="26"/>
        <v>0</v>
      </c>
      <c r="N59" s="905">
        <f t="shared" si="27"/>
        <v>0</v>
      </c>
      <c r="O59" s="882">
        <v>0</v>
      </c>
      <c r="P59" s="1552">
        <f t="shared" si="28"/>
        <v>0</v>
      </c>
      <c r="Q59" s="1734">
        <f>+'[4]Table 5C1N-Delta Charter'!M58*8</f>
        <v>0</v>
      </c>
      <c r="R59" s="1734">
        <f t="shared" si="29"/>
        <v>0</v>
      </c>
      <c r="S59" s="1552">
        <f t="shared" si="30"/>
        <v>0</v>
      </c>
      <c r="T59" s="1802">
        <f>'Table 5C1A-Madison Prep'!T59</f>
        <v>5143</v>
      </c>
      <c r="U59" s="1555">
        <f t="shared" si="31"/>
        <v>0</v>
      </c>
      <c r="V59" s="1758">
        <f>+'[3]Oct midyear Delta Charter'!E58</f>
        <v>0</v>
      </c>
      <c r="W59" s="1759">
        <f t="shared" si="32"/>
        <v>0</v>
      </c>
      <c r="X59" s="1758">
        <f>'[3]Feb midyear Delta Charter'!E58</f>
        <v>0</v>
      </c>
      <c r="Y59" s="1759">
        <f t="shared" si="33"/>
        <v>0</v>
      </c>
      <c r="Z59" s="1653">
        <f t="shared" si="34"/>
        <v>0</v>
      </c>
      <c r="AA59" s="1486">
        <f t="shared" si="35"/>
        <v>0</v>
      </c>
      <c r="AB59" s="937">
        <f t="shared" si="36"/>
        <v>0</v>
      </c>
      <c r="AC59" s="899">
        <f t="shared" si="37"/>
        <v>0</v>
      </c>
      <c r="AD59" s="1830">
        <v>0</v>
      </c>
      <c r="AE59" s="899">
        <f t="shared" si="38"/>
        <v>0</v>
      </c>
      <c r="AF59" s="1834">
        <f>+'[4]Table 5C1N-Delta Charter'!T58*8</f>
        <v>0</v>
      </c>
      <c r="AG59" s="1834">
        <f t="shared" si="39"/>
        <v>0</v>
      </c>
      <c r="AH59" s="899">
        <f t="shared" si="40"/>
        <v>0</v>
      </c>
      <c r="AI59" s="900">
        <f t="shared" si="44"/>
        <v>0</v>
      </c>
      <c r="AJ59" s="900">
        <f t="shared" si="41"/>
        <v>0</v>
      </c>
      <c r="AL59" s="2034">
        <f>-'[4]Table 5C1N-Delta Charter'!P58</f>
        <v>0</v>
      </c>
      <c r="AM59" s="2034">
        <f t="shared" si="42"/>
        <v>0</v>
      </c>
      <c r="AN59" s="2034">
        <f t="shared" si="43"/>
        <v>0</v>
      </c>
    </row>
    <row r="60" spans="1:40">
      <c r="A60" s="876">
        <v>53</v>
      </c>
      <c r="B60" s="877" t="s">
        <v>143</v>
      </c>
      <c r="C60" s="972">
        <v>0</v>
      </c>
      <c r="D60" s="882">
        <f>'Table 3 Levels 1&amp;2'!AL60</f>
        <v>4775.5877635581091</v>
      </c>
      <c r="E60" s="921">
        <f t="shared" si="21"/>
        <v>0</v>
      </c>
      <c r="F60" s="921">
        <f>'Table 4 Level 3'!P58</f>
        <v>689.74</v>
      </c>
      <c r="G60" s="921">
        <f t="shared" si="22"/>
        <v>0</v>
      </c>
      <c r="H60" s="905">
        <f t="shared" si="23"/>
        <v>0</v>
      </c>
      <c r="I60" s="1734">
        <f>+'[3]Oct midyear Delta Charter'!K59</f>
        <v>0</v>
      </c>
      <c r="J60" s="1734">
        <f>'[3]Feb midyear Delta Charter'!K59</f>
        <v>0</v>
      </c>
      <c r="K60" s="1545">
        <f t="shared" si="24"/>
        <v>0</v>
      </c>
      <c r="L60" s="1489">
        <f t="shared" si="25"/>
        <v>0</v>
      </c>
      <c r="M60" s="931">
        <f t="shared" si="26"/>
        <v>0</v>
      </c>
      <c r="N60" s="905">
        <f t="shared" si="27"/>
        <v>0</v>
      </c>
      <c r="O60" s="882">
        <v>0</v>
      </c>
      <c r="P60" s="1552">
        <f t="shared" si="28"/>
        <v>0</v>
      </c>
      <c r="Q60" s="1734">
        <f>+'[4]Table 5C1N-Delta Charter'!M59*8</f>
        <v>0</v>
      </c>
      <c r="R60" s="1734">
        <f t="shared" si="29"/>
        <v>0</v>
      </c>
      <c r="S60" s="1552">
        <f t="shared" si="30"/>
        <v>0</v>
      </c>
      <c r="T60" s="1802">
        <f>'Table 5C1A-Madison Prep'!T60</f>
        <v>2109</v>
      </c>
      <c r="U60" s="1555">
        <f t="shared" si="31"/>
        <v>0</v>
      </c>
      <c r="V60" s="1758">
        <f>+'[3]Oct midyear Delta Charter'!E59</f>
        <v>0</v>
      </c>
      <c r="W60" s="1759">
        <f t="shared" si="32"/>
        <v>0</v>
      </c>
      <c r="X60" s="1758">
        <f>'[3]Feb midyear Delta Charter'!E59</f>
        <v>0</v>
      </c>
      <c r="Y60" s="1759">
        <f t="shared" si="33"/>
        <v>0</v>
      </c>
      <c r="Z60" s="1653">
        <f t="shared" si="34"/>
        <v>0</v>
      </c>
      <c r="AA60" s="1486">
        <f t="shared" si="35"/>
        <v>0</v>
      </c>
      <c r="AB60" s="937">
        <f t="shared" si="36"/>
        <v>0</v>
      </c>
      <c r="AC60" s="899">
        <f t="shared" si="37"/>
        <v>0</v>
      </c>
      <c r="AD60" s="1830">
        <v>0</v>
      </c>
      <c r="AE60" s="899">
        <f t="shared" si="38"/>
        <v>0</v>
      </c>
      <c r="AF60" s="1834">
        <f>+'[4]Table 5C1N-Delta Charter'!T59*8</f>
        <v>0</v>
      </c>
      <c r="AG60" s="1834">
        <f t="shared" si="39"/>
        <v>0</v>
      </c>
      <c r="AH60" s="899">
        <f t="shared" si="40"/>
        <v>0</v>
      </c>
      <c r="AI60" s="900">
        <f t="shared" si="44"/>
        <v>0</v>
      </c>
      <c r="AJ60" s="900">
        <f t="shared" si="41"/>
        <v>0</v>
      </c>
      <c r="AL60" s="2034">
        <f>-'[4]Table 5C1N-Delta Charter'!P59</f>
        <v>0</v>
      </c>
      <c r="AM60" s="2034">
        <f t="shared" si="42"/>
        <v>0</v>
      </c>
      <c r="AN60" s="2034">
        <f t="shared" si="43"/>
        <v>0</v>
      </c>
    </row>
    <row r="61" spans="1:40">
      <c r="A61" s="876">
        <v>54</v>
      </c>
      <c r="B61" s="877" t="s">
        <v>144</v>
      </c>
      <c r="C61" s="972">
        <v>0</v>
      </c>
      <c r="D61" s="882">
        <f>'Table 3 Levels 1&amp;2'!AL61</f>
        <v>5951.8009386275662</v>
      </c>
      <c r="E61" s="921">
        <f t="shared" si="21"/>
        <v>0</v>
      </c>
      <c r="F61" s="921">
        <f>'Table 4 Level 3'!P59</f>
        <v>951.45</v>
      </c>
      <c r="G61" s="921">
        <f t="shared" si="22"/>
        <v>0</v>
      </c>
      <c r="H61" s="905">
        <f t="shared" si="23"/>
        <v>0</v>
      </c>
      <c r="I61" s="1734">
        <f>+'[3]Oct midyear Delta Charter'!K60</f>
        <v>62129.258447648092</v>
      </c>
      <c r="J61" s="1734">
        <f>'[3]Feb midyear Delta Charter'!K60</f>
        <v>-3451.625469313783</v>
      </c>
      <c r="K61" s="1545">
        <f t="shared" si="24"/>
        <v>58677.63297833431</v>
      </c>
      <c r="L61" s="1489">
        <f t="shared" si="25"/>
        <v>58677.63297833431</v>
      </c>
      <c r="M61" s="931">
        <f t="shared" si="26"/>
        <v>-146.69408244583579</v>
      </c>
      <c r="N61" s="905">
        <f t="shared" si="27"/>
        <v>58530.938895888474</v>
      </c>
      <c r="O61" s="882">
        <v>0</v>
      </c>
      <c r="P61" s="1552">
        <f t="shared" si="28"/>
        <v>58530.938895888474</v>
      </c>
      <c r="Q61" s="1734">
        <f>+'[4]Table 5C1N-Delta Charter'!M60*8</f>
        <v>0</v>
      </c>
      <c r="R61" s="1734">
        <f t="shared" si="29"/>
        <v>58530.938895888474</v>
      </c>
      <c r="S61" s="1552">
        <f t="shared" si="30"/>
        <v>14633</v>
      </c>
      <c r="T61" s="1802">
        <f>'Table 5C1A-Madison Prep'!T61</f>
        <v>3760</v>
      </c>
      <c r="U61" s="1555">
        <f t="shared" si="31"/>
        <v>0</v>
      </c>
      <c r="V61" s="1758">
        <f>+'[3]Oct midyear Delta Charter'!E60</f>
        <v>9</v>
      </c>
      <c r="W61" s="1759">
        <f t="shared" si="32"/>
        <v>33840</v>
      </c>
      <c r="X61" s="1758">
        <f>'[3]Feb midyear Delta Charter'!E60</f>
        <v>-1</v>
      </c>
      <c r="Y61" s="1759">
        <f t="shared" si="33"/>
        <v>-1880</v>
      </c>
      <c r="Z61" s="1653">
        <f t="shared" si="34"/>
        <v>31960</v>
      </c>
      <c r="AA61" s="1486">
        <f t="shared" si="35"/>
        <v>31960</v>
      </c>
      <c r="AB61" s="937">
        <f t="shared" si="36"/>
        <v>-79.900000000000006</v>
      </c>
      <c r="AC61" s="899">
        <f t="shared" si="37"/>
        <v>31880.1</v>
      </c>
      <c r="AD61" s="1830">
        <v>0</v>
      </c>
      <c r="AE61" s="899">
        <f t="shared" si="38"/>
        <v>31880.1</v>
      </c>
      <c r="AF61" s="1834">
        <f>+'[4]Table 5C1N-Delta Charter'!T60*8</f>
        <v>0</v>
      </c>
      <c r="AG61" s="1834">
        <f t="shared" si="39"/>
        <v>31880.1</v>
      </c>
      <c r="AH61" s="899">
        <f t="shared" si="40"/>
        <v>7970</v>
      </c>
      <c r="AI61" s="900">
        <f t="shared" si="44"/>
        <v>90411.038895888472</v>
      </c>
      <c r="AJ61" s="900">
        <f t="shared" si="41"/>
        <v>22603</v>
      </c>
      <c r="AL61" s="2034">
        <f>-'[4]Table 5C1N-Delta Charter'!P60</f>
        <v>0</v>
      </c>
      <c r="AM61" s="2034">
        <f t="shared" si="42"/>
        <v>-79.900000000000006</v>
      </c>
      <c r="AN61" s="2034">
        <f t="shared" si="43"/>
        <v>-79.900000000000006</v>
      </c>
    </row>
    <row r="62" spans="1:40">
      <c r="A62" s="879">
        <v>55</v>
      </c>
      <c r="B62" s="880" t="s">
        <v>145</v>
      </c>
      <c r="C62" s="973">
        <v>0</v>
      </c>
      <c r="D62" s="883">
        <f>'Table 3 Levels 1&amp;2'!AL62</f>
        <v>4171.0434735233157</v>
      </c>
      <c r="E62" s="922">
        <f t="shared" si="21"/>
        <v>0</v>
      </c>
      <c r="F62" s="922">
        <f>'Table 4 Level 3'!P60</f>
        <v>795.14</v>
      </c>
      <c r="G62" s="922">
        <f t="shared" si="22"/>
        <v>0</v>
      </c>
      <c r="H62" s="906">
        <f t="shared" si="23"/>
        <v>0</v>
      </c>
      <c r="I62" s="1735">
        <f>+'[3]Oct midyear Delta Charter'!K61</f>
        <v>0</v>
      </c>
      <c r="J62" s="1735">
        <f>'[3]Feb midyear Delta Charter'!K61</f>
        <v>0</v>
      </c>
      <c r="K62" s="1546">
        <f t="shared" si="24"/>
        <v>0</v>
      </c>
      <c r="L62" s="1490">
        <f t="shared" si="25"/>
        <v>0</v>
      </c>
      <c r="M62" s="932">
        <f t="shared" si="26"/>
        <v>0</v>
      </c>
      <c r="N62" s="906">
        <f t="shared" si="27"/>
        <v>0</v>
      </c>
      <c r="O62" s="883">
        <v>0</v>
      </c>
      <c r="P62" s="1553">
        <f t="shared" si="28"/>
        <v>0</v>
      </c>
      <c r="Q62" s="1735">
        <f>+'[4]Table 5C1N-Delta Charter'!M61*8</f>
        <v>0</v>
      </c>
      <c r="R62" s="1735">
        <f t="shared" si="29"/>
        <v>0</v>
      </c>
      <c r="S62" s="1553">
        <f t="shared" si="30"/>
        <v>0</v>
      </c>
      <c r="T62" s="1807">
        <f>'Table 5C1A-Madison Prep'!T62</f>
        <v>3359</v>
      </c>
      <c r="U62" s="1556">
        <f t="shared" si="31"/>
        <v>0</v>
      </c>
      <c r="V62" s="1762">
        <f>+'[3]Oct midyear Delta Charter'!E61</f>
        <v>0</v>
      </c>
      <c r="W62" s="1763">
        <f t="shared" si="32"/>
        <v>0</v>
      </c>
      <c r="X62" s="1762">
        <f>'[3]Feb midyear Delta Charter'!E61</f>
        <v>0</v>
      </c>
      <c r="Y62" s="1763">
        <f t="shared" si="33"/>
        <v>0</v>
      </c>
      <c r="Z62" s="1654">
        <f t="shared" si="34"/>
        <v>0</v>
      </c>
      <c r="AA62" s="1488">
        <f t="shared" si="35"/>
        <v>0</v>
      </c>
      <c r="AB62" s="938">
        <f t="shared" si="36"/>
        <v>0</v>
      </c>
      <c r="AC62" s="903">
        <f t="shared" si="37"/>
        <v>0</v>
      </c>
      <c r="AD62" s="1831">
        <v>0</v>
      </c>
      <c r="AE62" s="903">
        <f t="shared" si="38"/>
        <v>0</v>
      </c>
      <c r="AF62" s="1835">
        <f>+'[4]Table 5C1N-Delta Charter'!T61*8</f>
        <v>0</v>
      </c>
      <c r="AG62" s="1835">
        <f t="shared" si="39"/>
        <v>0</v>
      </c>
      <c r="AH62" s="903">
        <f t="shared" si="40"/>
        <v>0</v>
      </c>
      <c r="AI62" s="904">
        <f t="shared" si="44"/>
        <v>0</v>
      </c>
      <c r="AJ62" s="904">
        <f t="shared" si="41"/>
        <v>0</v>
      </c>
      <c r="AL62" s="2034">
        <f>-'[4]Table 5C1N-Delta Charter'!P61</f>
        <v>0</v>
      </c>
      <c r="AM62" s="2034">
        <f t="shared" si="42"/>
        <v>0</v>
      </c>
      <c r="AN62" s="2034">
        <f t="shared" si="43"/>
        <v>0</v>
      </c>
    </row>
    <row r="63" spans="1:40">
      <c r="A63" s="870">
        <v>56</v>
      </c>
      <c r="B63" s="871" t="s">
        <v>146</v>
      </c>
      <c r="C63" s="974">
        <v>0</v>
      </c>
      <c r="D63" s="884">
        <f>'Table 3 Levels 1&amp;2'!AL63</f>
        <v>4968.593189672727</v>
      </c>
      <c r="E63" s="923">
        <f t="shared" si="21"/>
        <v>0</v>
      </c>
      <c r="F63" s="923">
        <f>'Table 4 Level 3'!P61</f>
        <v>614.66000000000008</v>
      </c>
      <c r="G63" s="923">
        <f t="shared" si="22"/>
        <v>0</v>
      </c>
      <c r="H63" s="907">
        <f t="shared" si="23"/>
        <v>0</v>
      </c>
      <c r="I63" s="1723">
        <f>+'[3]Oct midyear Delta Charter'!K62</f>
        <v>0</v>
      </c>
      <c r="J63" s="1723">
        <f>'[3]Feb midyear Delta Charter'!K62</f>
        <v>0</v>
      </c>
      <c r="K63" s="1547">
        <f t="shared" si="24"/>
        <v>0</v>
      </c>
      <c r="L63" s="1491">
        <f t="shared" si="25"/>
        <v>0</v>
      </c>
      <c r="M63" s="933">
        <f t="shared" si="26"/>
        <v>0</v>
      </c>
      <c r="N63" s="907">
        <f t="shared" si="27"/>
        <v>0</v>
      </c>
      <c r="O63" s="884">
        <v>0</v>
      </c>
      <c r="P63" s="996">
        <f t="shared" si="28"/>
        <v>0</v>
      </c>
      <c r="Q63" s="1723">
        <f>+'[4]Table 5C1N-Delta Charter'!M62*8</f>
        <v>0</v>
      </c>
      <c r="R63" s="1723">
        <f t="shared" si="29"/>
        <v>0</v>
      </c>
      <c r="S63" s="996">
        <f t="shared" si="30"/>
        <v>0</v>
      </c>
      <c r="T63" s="1802">
        <f>'Table 5C1A-Madison Prep'!T63</f>
        <v>2853</v>
      </c>
      <c r="U63" s="999">
        <f t="shared" si="31"/>
        <v>0</v>
      </c>
      <c r="V63" s="1754">
        <f>+'[3]Oct midyear Delta Charter'!E62</f>
        <v>0</v>
      </c>
      <c r="W63" s="1755">
        <f t="shared" si="32"/>
        <v>0</v>
      </c>
      <c r="X63" s="1754">
        <f>'[3]Feb midyear Delta Charter'!E62</f>
        <v>0</v>
      </c>
      <c r="Y63" s="1755">
        <f t="shared" si="33"/>
        <v>0</v>
      </c>
      <c r="Z63" s="1652">
        <f t="shared" si="34"/>
        <v>0</v>
      </c>
      <c r="AA63" s="1521">
        <f t="shared" si="35"/>
        <v>0</v>
      </c>
      <c r="AB63" s="936">
        <f t="shared" si="36"/>
        <v>0</v>
      </c>
      <c r="AC63" s="874">
        <f t="shared" si="37"/>
        <v>0</v>
      </c>
      <c r="AD63" s="1829">
        <v>0</v>
      </c>
      <c r="AE63" s="874">
        <f t="shared" si="38"/>
        <v>0</v>
      </c>
      <c r="AF63" s="1829">
        <f>+'[4]Table 5C1N-Delta Charter'!T62*8</f>
        <v>0</v>
      </c>
      <c r="AG63" s="1829">
        <f t="shared" si="39"/>
        <v>0</v>
      </c>
      <c r="AH63" s="874">
        <f t="shared" si="40"/>
        <v>0</v>
      </c>
      <c r="AI63" s="875">
        <f t="shared" si="44"/>
        <v>0</v>
      </c>
      <c r="AJ63" s="875">
        <f t="shared" si="41"/>
        <v>0</v>
      </c>
      <c r="AL63" s="2034">
        <f>-'[4]Table 5C1N-Delta Charter'!P62</f>
        <v>0</v>
      </c>
      <c r="AM63" s="2034">
        <f t="shared" si="42"/>
        <v>0</v>
      </c>
      <c r="AN63" s="2034">
        <f t="shared" si="43"/>
        <v>0</v>
      </c>
    </row>
    <row r="64" spans="1:40">
      <c r="A64" s="876">
        <v>57</v>
      </c>
      <c r="B64" s="877" t="s">
        <v>147</v>
      </c>
      <c r="C64" s="972">
        <v>0</v>
      </c>
      <c r="D64" s="882">
        <f>'Table 3 Levels 1&amp;2'!AL64</f>
        <v>4485.7073020218859</v>
      </c>
      <c r="E64" s="921">
        <f t="shared" si="21"/>
        <v>0</v>
      </c>
      <c r="F64" s="921">
        <f>'Table 4 Level 3'!P62</f>
        <v>764.51</v>
      </c>
      <c r="G64" s="921">
        <f t="shared" si="22"/>
        <v>0</v>
      </c>
      <c r="H64" s="905">
        <f t="shared" si="23"/>
        <v>0</v>
      </c>
      <c r="I64" s="1734">
        <f>+'[3]Oct midyear Delta Charter'!K63</f>
        <v>0</v>
      </c>
      <c r="J64" s="1734">
        <f>'[3]Feb midyear Delta Charter'!K63</f>
        <v>0</v>
      </c>
      <c r="K64" s="1545">
        <f t="shared" si="24"/>
        <v>0</v>
      </c>
      <c r="L64" s="1489">
        <f t="shared" si="25"/>
        <v>0</v>
      </c>
      <c r="M64" s="931">
        <f t="shared" si="26"/>
        <v>0</v>
      </c>
      <c r="N64" s="905">
        <f t="shared" si="27"/>
        <v>0</v>
      </c>
      <c r="O64" s="882">
        <v>0</v>
      </c>
      <c r="P64" s="1552">
        <f t="shared" si="28"/>
        <v>0</v>
      </c>
      <c r="Q64" s="1734">
        <f>+'[4]Table 5C1N-Delta Charter'!M63*8</f>
        <v>0</v>
      </c>
      <c r="R64" s="1734">
        <f t="shared" si="29"/>
        <v>0</v>
      </c>
      <c r="S64" s="1552">
        <f t="shared" si="30"/>
        <v>0</v>
      </c>
      <c r="T64" s="1802">
        <f>'Table 5C1A-Madison Prep'!T64</f>
        <v>3178</v>
      </c>
      <c r="U64" s="1555">
        <f t="shared" si="31"/>
        <v>0</v>
      </c>
      <c r="V64" s="1758">
        <f>+'[3]Oct midyear Delta Charter'!E63</f>
        <v>0</v>
      </c>
      <c r="W64" s="1759">
        <f t="shared" si="32"/>
        <v>0</v>
      </c>
      <c r="X64" s="1758">
        <f>'[3]Feb midyear Delta Charter'!E63</f>
        <v>0</v>
      </c>
      <c r="Y64" s="1759">
        <f t="shared" si="33"/>
        <v>0</v>
      </c>
      <c r="Z64" s="1653">
        <f t="shared" si="34"/>
        <v>0</v>
      </c>
      <c r="AA64" s="1486">
        <f t="shared" si="35"/>
        <v>0</v>
      </c>
      <c r="AB64" s="937">
        <f t="shared" si="36"/>
        <v>0</v>
      </c>
      <c r="AC64" s="899">
        <f t="shared" si="37"/>
        <v>0</v>
      </c>
      <c r="AD64" s="1830">
        <v>0</v>
      </c>
      <c r="AE64" s="899">
        <f t="shared" si="38"/>
        <v>0</v>
      </c>
      <c r="AF64" s="1834">
        <f>+'[4]Table 5C1N-Delta Charter'!T63*8</f>
        <v>0</v>
      </c>
      <c r="AG64" s="1834">
        <f t="shared" si="39"/>
        <v>0</v>
      </c>
      <c r="AH64" s="899">
        <f t="shared" si="40"/>
        <v>0</v>
      </c>
      <c r="AI64" s="900">
        <f t="shared" si="44"/>
        <v>0</v>
      </c>
      <c r="AJ64" s="900">
        <f t="shared" si="41"/>
        <v>0</v>
      </c>
      <c r="AL64" s="2034">
        <f>-'[4]Table 5C1N-Delta Charter'!P63</f>
        <v>0</v>
      </c>
      <c r="AM64" s="2034">
        <f t="shared" si="42"/>
        <v>0</v>
      </c>
      <c r="AN64" s="2034">
        <f t="shared" si="43"/>
        <v>0</v>
      </c>
    </row>
    <row r="65" spans="1:40">
      <c r="A65" s="876">
        <v>58</v>
      </c>
      <c r="B65" s="877" t="s">
        <v>148</v>
      </c>
      <c r="C65" s="972">
        <v>0</v>
      </c>
      <c r="D65" s="882">
        <f>'Table 3 Levels 1&amp;2'!AL65</f>
        <v>5457.8662803476354</v>
      </c>
      <c r="E65" s="921">
        <f t="shared" si="21"/>
        <v>0</v>
      </c>
      <c r="F65" s="921">
        <f>'Table 4 Level 3'!P63</f>
        <v>697.04</v>
      </c>
      <c r="G65" s="921">
        <f t="shared" si="22"/>
        <v>0</v>
      </c>
      <c r="H65" s="905">
        <f t="shared" si="23"/>
        <v>0</v>
      </c>
      <c r="I65" s="1734">
        <f>+'[3]Oct midyear Delta Charter'!K64</f>
        <v>0</v>
      </c>
      <c r="J65" s="1734">
        <f>'[3]Feb midyear Delta Charter'!K64</f>
        <v>0</v>
      </c>
      <c r="K65" s="1545">
        <f t="shared" si="24"/>
        <v>0</v>
      </c>
      <c r="L65" s="1489">
        <f t="shared" si="25"/>
        <v>0</v>
      </c>
      <c r="M65" s="931">
        <f t="shared" si="26"/>
        <v>0</v>
      </c>
      <c r="N65" s="905">
        <f t="shared" si="27"/>
        <v>0</v>
      </c>
      <c r="O65" s="882">
        <v>0</v>
      </c>
      <c r="P65" s="1552">
        <f t="shared" si="28"/>
        <v>0</v>
      </c>
      <c r="Q65" s="1734">
        <f>+'[4]Table 5C1N-Delta Charter'!M64*8</f>
        <v>0</v>
      </c>
      <c r="R65" s="1734">
        <f t="shared" si="29"/>
        <v>0</v>
      </c>
      <c r="S65" s="1552">
        <f t="shared" si="30"/>
        <v>0</v>
      </c>
      <c r="T65" s="1802">
        <f>'Table 5C1A-Madison Prep'!T65</f>
        <v>2127</v>
      </c>
      <c r="U65" s="1555">
        <f t="shared" si="31"/>
        <v>0</v>
      </c>
      <c r="V65" s="1758">
        <f>+'[3]Oct midyear Delta Charter'!E64</f>
        <v>0</v>
      </c>
      <c r="W65" s="1759">
        <f t="shared" si="32"/>
        <v>0</v>
      </c>
      <c r="X65" s="1758">
        <f>'[3]Feb midyear Delta Charter'!E64</f>
        <v>0</v>
      </c>
      <c r="Y65" s="1759">
        <f t="shared" si="33"/>
        <v>0</v>
      </c>
      <c r="Z65" s="1653">
        <f t="shared" si="34"/>
        <v>0</v>
      </c>
      <c r="AA65" s="1486">
        <f t="shared" si="35"/>
        <v>0</v>
      </c>
      <c r="AB65" s="937">
        <f t="shared" si="36"/>
        <v>0</v>
      </c>
      <c r="AC65" s="899">
        <f t="shared" si="37"/>
        <v>0</v>
      </c>
      <c r="AD65" s="1830">
        <v>0</v>
      </c>
      <c r="AE65" s="899">
        <f t="shared" si="38"/>
        <v>0</v>
      </c>
      <c r="AF65" s="1834">
        <f>+'[4]Table 5C1N-Delta Charter'!T64*8</f>
        <v>0</v>
      </c>
      <c r="AG65" s="1834">
        <f t="shared" si="39"/>
        <v>0</v>
      </c>
      <c r="AH65" s="899">
        <f t="shared" si="40"/>
        <v>0</v>
      </c>
      <c r="AI65" s="900">
        <f t="shared" si="44"/>
        <v>0</v>
      </c>
      <c r="AJ65" s="900">
        <f t="shared" si="41"/>
        <v>0</v>
      </c>
      <c r="AL65" s="2034">
        <f>-'[4]Table 5C1N-Delta Charter'!P64</f>
        <v>0</v>
      </c>
      <c r="AM65" s="2034">
        <f t="shared" si="42"/>
        <v>0</v>
      </c>
      <c r="AN65" s="2034">
        <f t="shared" si="43"/>
        <v>0</v>
      </c>
    </row>
    <row r="66" spans="1:40">
      <c r="A66" s="876">
        <v>59</v>
      </c>
      <c r="B66" s="877" t="s">
        <v>149</v>
      </c>
      <c r="C66" s="972">
        <v>0</v>
      </c>
      <c r="D66" s="882">
        <f>'Table 3 Levels 1&amp;2'!AL66</f>
        <v>6274.2786338006481</v>
      </c>
      <c r="E66" s="921">
        <f t="shared" si="21"/>
        <v>0</v>
      </c>
      <c r="F66" s="921">
        <f>'Table 4 Level 3'!P64</f>
        <v>689.52</v>
      </c>
      <c r="G66" s="921">
        <f t="shared" si="22"/>
        <v>0</v>
      </c>
      <c r="H66" s="905">
        <f t="shared" si="23"/>
        <v>0</v>
      </c>
      <c r="I66" s="1734">
        <f>+'[3]Oct midyear Delta Charter'!K65</f>
        <v>0</v>
      </c>
      <c r="J66" s="1734">
        <f>'[3]Feb midyear Delta Charter'!K65</f>
        <v>0</v>
      </c>
      <c r="K66" s="1545">
        <f t="shared" si="24"/>
        <v>0</v>
      </c>
      <c r="L66" s="1489">
        <f t="shared" si="25"/>
        <v>0</v>
      </c>
      <c r="M66" s="931">
        <f t="shared" si="26"/>
        <v>0</v>
      </c>
      <c r="N66" s="905">
        <f t="shared" si="27"/>
        <v>0</v>
      </c>
      <c r="O66" s="882">
        <v>0</v>
      </c>
      <c r="P66" s="1552">
        <f t="shared" si="28"/>
        <v>0</v>
      </c>
      <c r="Q66" s="1734">
        <f>+'[4]Table 5C1N-Delta Charter'!M65*8</f>
        <v>0</v>
      </c>
      <c r="R66" s="1734">
        <f t="shared" si="29"/>
        <v>0</v>
      </c>
      <c r="S66" s="1552">
        <f t="shared" si="30"/>
        <v>0</v>
      </c>
      <c r="T66" s="1802">
        <f>'Table 5C1A-Madison Prep'!T66</f>
        <v>1729</v>
      </c>
      <c r="U66" s="1555">
        <f t="shared" si="31"/>
        <v>0</v>
      </c>
      <c r="V66" s="1758">
        <f>+'[3]Oct midyear Delta Charter'!E65</f>
        <v>0</v>
      </c>
      <c r="W66" s="1759">
        <f t="shared" si="32"/>
        <v>0</v>
      </c>
      <c r="X66" s="1758">
        <f>'[3]Feb midyear Delta Charter'!E65</f>
        <v>0</v>
      </c>
      <c r="Y66" s="1759">
        <f t="shared" si="33"/>
        <v>0</v>
      </c>
      <c r="Z66" s="1653">
        <f t="shared" si="34"/>
        <v>0</v>
      </c>
      <c r="AA66" s="1486">
        <f t="shared" si="35"/>
        <v>0</v>
      </c>
      <c r="AB66" s="937">
        <f t="shared" si="36"/>
        <v>0</v>
      </c>
      <c r="AC66" s="899">
        <f t="shared" si="37"/>
        <v>0</v>
      </c>
      <c r="AD66" s="1830">
        <v>0</v>
      </c>
      <c r="AE66" s="899">
        <f t="shared" si="38"/>
        <v>0</v>
      </c>
      <c r="AF66" s="1834">
        <f>+'[4]Table 5C1N-Delta Charter'!T65*8</f>
        <v>0</v>
      </c>
      <c r="AG66" s="1834">
        <f t="shared" si="39"/>
        <v>0</v>
      </c>
      <c r="AH66" s="899">
        <f t="shared" si="40"/>
        <v>0</v>
      </c>
      <c r="AI66" s="900">
        <f t="shared" si="44"/>
        <v>0</v>
      </c>
      <c r="AJ66" s="900">
        <f t="shared" si="41"/>
        <v>0</v>
      </c>
      <c r="AL66" s="2034">
        <f>-'[4]Table 5C1N-Delta Charter'!P65</f>
        <v>0</v>
      </c>
      <c r="AM66" s="2034">
        <f t="shared" si="42"/>
        <v>0</v>
      </c>
      <c r="AN66" s="2034">
        <f t="shared" si="43"/>
        <v>0</v>
      </c>
    </row>
    <row r="67" spans="1:40">
      <c r="A67" s="879">
        <v>60</v>
      </c>
      <c r="B67" s="880" t="s">
        <v>150</v>
      </c>
      <c r="C67" s="973">
        <v>0</v>
      </c>
      <c r="D67" s="883">
        <f>'Table 3 Levels 1&amp;2'!AL67</f>
        <v>4940.9166775610411</v>
      </c>
      <c r="E67" s="922">
        <f t="shared" si="21"/>
        <v>0</v>
      </c>
      <c r="F67" s="922">
        <f>'Table 4 Level 3'!P65</f>
        <v>594.04</v>
      </c>
      <c r="G67" s="922">
        <f t="shared" si="22"/>
        <v>0</v>
      </c>
      <c r="H67" s="906">
        <f t="shared" si="23"/>
        <v>0</v>
      </c>
      <c r="I67" s="1735">
        <f>+'[3]Oct midyear Delta Charter'!K66</f>
        <v>0</v>
      </c>
      <c r="J67" s="1735">
        <f>'[3]Feb midyear Delta Charter'!K66</f>
        <v>0</v>
      </c>
      <c r="K67" s="1546">
        <f t="shared" si="24"/>
        <v>0</v>
      </c>
      <c r="L67" s="1490">
        <f t="shared" si="25"/>
        <v>0</v>
      </c>
      <c r="M67" s="932">
        <f t="shared" si="26"/>
        <v>0</v>
      </c>
      <c r="N67" s="906">
        <f t="shared" si="27"/>
        <v>0</v>
      </c>
      <c r="O67" s="883">
        <v>0</v>
      </c>
      <c r="P67" s="1553">
        <f t="shared" si="28"/>
        <v>0</v>
      </c>
      <c r="Q67" s="1735">
        <f>+'[4]Table 5C1N-Delta Charter'!M66*8</f>
        <v>0</v>
      </c>
      <c r="R67" s="1735">
        <f t="shared" si="29"/>
        <v>0</v>
      </c>
      <c r="S67" s="1553">
        <f t="shared" si="30"/>
        <v>0</v>
      </c>
      <c r="T67" s="1807">
        <f>'Table 5C1A-Madison Prep'!T67</f>
        <v>3801</v>
      </c>
      <c r="U67" s="1556">
        <f t="shared" si="31"/>
        <v>0</v>
      </c>
      <c r="V67" s="1762">
        <f>+'[3]Oct midyear Delta Charter'!E66</f>
        <v>0</v>
      </c>
      <c r="W67" s="1763">
        <f t="shared" si="32"/>
        <v>0</v>
      </c>
      <c r="X67" s="1762">
        <f>'[3]Feb midyear Delta Charter'!E66</f>
        <v>0</v>
      </c>
      <c r="Y67" s="1763">
        <f t="shared" si="33"/>
        <v>0</v>
      </c>
      <c r="Z67" s="1654">
        <f t="shared" si="34"/>
        <v>0</v>
      </c>
      <c r="AA67" s="1488">
        <f t="shared" si="35"/>
        <v>0</v>
      </c>
      <c r="AB67" s="938">
        <f t="shared" si="36"/>
        <v>0</v>
      </c>
      <c r="AC67" s="903">
        <f t="shared" si="37"/>
        <v>0</v>
      </c>
      <c r="AD67" s="1831">
        <v>0</v>
      </c>
      <c r="AE67" s="903">
        <f t="shared" si="38"/>
        <v>0</v>
      </c>
      <c r="AF67" s="1835">
        <f>+'[4]Table 5C1N-Delta Charter'!T66*8</f>
        <v>0</v>
      </c>
      <c r="AG67" s="1835">
        <f t="shared" si="39"/>
        <v>0</v>
      </c>
      <c r="AH67" s="903">
        <f t="shared" si="40"/>
        <v>0</v>
      </c>
      <c r="AI67" s="904">
        <f t="shared" si="44"/>
        <v>0</v>
      </c>
      <c r="AJ67" s="904">
        <f t="shared" si="41"/>
        <v>0</v>
      </c>
      <c r="AL67" s="2034">
        <f>-'[4]Table 5C1N-Delta Charter'!P66</f>
        <v>0</v>
      </c>
      <c r="AM67" s="2034">
        <f t="shared" si="42"/>
        <v>0</v>
      </c>
      <c r="AN67" s="2034">
        <f t="shared" si="43"/>
        <v>0</v>
      </c>
    </row>
    <row r="68" spans="1:40">
      <c r="A68" s="870">
        <v>61</v>
      </c>
      <c r="B68" s="871" t="s">
        <v>151</v>
      </c>
      <c r="C68" s="974">
        <v>0</v>
      </c>
      <c r="D68" s="884">
        <f>'Table 3 Levels 1&amp;2'!AL68</f>
        <v>2908.0344869339228</v>
      </c>
      <c r="E68" s="923">
        <f t="shared" si="21"/>
        <v>0</v>
      </c>
      <c r="F68" s="923">
        <f>'Table 4 Level 3'!P66</f>
        <v>833.70999999999992</v>
      </c>
      <c r="G68" s="923">
        <f t="shared" si="22"/>
        <v>0</v>
      </c>
      <c r="H68" s="907">
        <f t="shared" si="23"/>
        <v>0</v>
      </c>
      <c r="I68" s="1723">
        <f>+'[3]Oct midyear Delta Charter'!K67</f>
        <v>0</v>
      </c>
      <c r="J68" s="1723">
        <f>'[3]Feb midyear Delta Charter'!K67</f>
        <v>0</v>
      </c>
      <c r="K68" s="1547">
        <f t="shared" si="24"/>
        <v>0</v>
      </c>
      <c r="L68" s="1491">
        <f t="shared" si="25"/>
        <v>0</v>
      </c>
      <c r="M68" s="933">
        <f t="shared" si="26"/>
        <v>0</v>
      </c>
      <c r="N68" s="907">
        <f t="shared" si="27"/>
        <v>0</v>
      </c>
      <c r="O68" s="884">
        <v>0</v>
      </c>
      <c r="P68" s="996">
        <f t="shared" si="28"/>
        <v>0</v>
      </c>
      <c r="Q68" s="1723">
        <f>+'[4]Table 5C1N-Delta Charter'!M67*8</f>
        <v>0</v>
      </c>
      <c r="R68" s="1723">
        <f t="shared" si="29"/>
        <v>0</v>
      </c>
      <c r="S68" s="996">
        <f t="shared" si="30"/>
        <v>0</v>
      </c>
      <c r="T68" s="1802">
        <f>'Table 5C1A-Madison Prep'!T68</f>
        <v>6597</v>
      </c>
      <c r="U68" s="999">
        <f t="shared" si="31"/>
        <v>0</v>
      </c>
      <c r="V68" s="1754">
        <f>+'[3]Oct midyear Delta Charter'!E67</f>
        <v>0</v>
      </c>
      <c r="W68" s="1755">
        <f t="shared" si="32"/>
        <v>0</v>
      </c>
      <c r="X68" s="1754">
        <f>'[3]Feb midyear Delta Charter'!E67</f>
        <v>0</v>
      </c>
      <c r="Y68" s="1755">
        <f t="shared" si="33"/>
        <v>0</v>
      </c>
      <c r="Z68" s="1652">
        <f t="shared" si="34"/>
        <v>0</v>
      </c>
      <c r="AA68" s="1521">
        <f t="shared" si="35"/>
        <v>0</v>
      </c>
      <c r="AB68" s="936">
        <f t="shared" si="36"/>
        <v>0</v>
      </c>
      <c r="AC68" s="874">
        <f t="shared" si="37"/>
        <v>0</v>
      </c>
      <c r="AD68" s="1829">
        <v>0</v>
      </c>
      <c r="AE68" s="874">
        <f t="shared" si="38"/>
        <v>0</v>
      </c>
      <c r="AF68" s="1829">
        <f>+'[4]Table 5C1N-Delta Charter'!T67*8</f>
        <v>0</v>
      </c>
      <c r="AG68" s="1829">
        <f t="shared" si="39"/>
        <v>0</v>
      </c>
      <c r="AH68" s="874">
        <f t="shared" si="40"/>
        <v>0</v>
      </c>
      <c r="AI68" s="875">
        <f t="shared" si="44"/>
        <v>0</v>
      </c>
      <c r="AJ68" s="875">
        <f t="shared" si="41"/>
        <v>0</v>
      </c>
      <c r="AL68" s="2034">
        <f>-'[4]Table 5C1N-Delta Charter'!P67</f>
        <v>0</v>
      </c>
      <c r="AM68" s="2034">
        <f t="shared" si="42"/>
        <v>0</v>
      </c>
      <c r="AN68" s="2034">
        <f t="shared" si="43"/>
        <v>0</v>
      </c>
    </row>
    <row r="69" spans="1:40">
      <c r="A69" s="876">
        <v>62</v>
      </c>
      <c r="B69" s="877" t="s">
        <v>152</v>
      </c>
      <c r="C69" s="972">
        <v>0</v>
      </c>
      <c r="D69" s="882">
        <f>'Table 3 Levels 1&amp;2'!AL69</f>
        <v>5652.1730736722093</v>
      </c>
      <c r="E69" s="921">
        <f t="shared" si="21"/>
        <v>0</v>
      </c>
      <c r="F69" s="921">
        <f>'Table 4 Level 3'!P67</f>
        <v>516.08000000000004</v>
      </c>
      <c r="G69" s="921">
        <f t="shared" si="22"/>
        <v>0</v>
      </c>
      <c r="H69" s="905">
        <f t="shared" si="23"/>
        <v>0</v>
      </c>
      <c r="I69" s="1734">
        <f>+'[3]Oct midyear Delta Charter'!K68</f>
        <v>0</v>
      </c>
      <c r="J69" s="1734">
        <f>'[3]Feb midyear Delta Charter'!K68</f>
        <v>0</v>
      </c>
      <c r="K69" s="1545">
        <f t="shared" si="24"/>
        <v>0</v>
      </c>
      <c r="L69" s="1489">
        <f t="shared" si="25"/>
        <v>0</v>
      </c>
      <c r="M69" s="931">
        <f t="shared" si="26"/>
        <v>0</v>
      </c>
      <c r="N69" s="905">
        <f t="shared" si="27"/>
        <v>0</v>
      </c>
      <c r="O69" s="882">
        <v>0</v>
      </c>
      <c r="P69" s="1552">
        <f t="shared" si="28"/>
        <v>0</v>
      </c>
      <c r="Q69" s="1734">
        <f>+'[4]Table 5C1N-Delta Charter'!M68*8</f>
        <v>0</v>
      </c>
      <c r="R69" s="1734">
        <f t="shared" si="29"/>
        <v>0</v>
      </c>
      <c r="S69" s="1552">
        <f t="shared" si="30"/>
        <v>0</v>
      </c>
      <c r="T69" s="1802">
        <f>'Table 5C1A-Madison Prep'!T69</f>
        <v>1998</v>
      </c>
      <c r="U69" s="1555">
        <f t="shared" si="31"/>
        <v>0</v>
      </c>
      <c r="V69" s="1758">
        <f>+'[3]Oct midyear Delta Charter'!E68</f>
        <v>0</v>
      </c>
      <c r="W69" s="1759">
        <f t="shared" si="32"/>
        <v>0</v>
      </c>
      <c r="X69" s="1758">
        <f>'[3]Feb midyear Delta Charter'!E68</f>
        <v>0</v>
      </c>
      <c r="Y69" s="1759">
        <f t="shared" si="33"/>
        <v>0</v>
      </c>
      <c r="Z69" s="1653">
        <f t="shared" si="34"/>
        <v>0</v>
      </c>
      <c r="AA69" s="1486">
        <f t="shared" si="35"/>
        <v>0</v>
      </c>
      <c r="AB69" s="937">
        <f t="shared" si="36"/>
        <v>0</v>
      </c>
      <c r="AC69" s="899">
        <f t="shared" si="37"/>
        <v>0</v>
      </c>
      <c r="AD69" s="1830">
        <v>0</v>
      </c>
      <c r="AE69" s="899">
        <f t="shared" si="38"/>
        <v>0</v>
      </c>
      <c r="AF69" s="1834">
        <f>+'[4]Table 5C1N-Delta Charter'!T68*8</f>
        <v>0</v>
      </c>
      <c r="AG69" s="1834">
        <f t="shared" si="39"/>
        <v>0</v>
      </c>
      <c r="AH69" s="899">
        <f t="shared" si="40"/>
        <v>0</v>
      </c>
      <c r="AI69" s="900">
        <f t="shared" si="44"/>
        <v>0</v>
      </c>
      <c r="AJ69" s="900">
        <f t="shared" si="41"/>
        <v>0</v>
      </c>
      <c r="AL69" s="2034">
        <f>-'[4]Table 5C1N-Delta Charter'!P68</f>
        <v>0</v>
      </c>
      <c r="AM69" s="2034">
        <f t="shared" si="42"/>
        <v>0</v>
      </c>
      <c r="AN69" s="2034">
        <f t="shared" si="43"/>
        <v>0</v>
      </c>
    </row>
    <row r="70" spans="1:40">
      <c r="A70" s="876">
        <v>63</v>
      </c>
      <c r="B70" s="877" t="s">
        <v>153</v>
      </c>
      <c r="C70" s="972">
        <v>0</v>
      </c>
      <c r="D70" s="882">
        <f>'Table 3 Levels 1&amp;2'!AL70</f>
        <v>4362.300753810403</v>
      </c>
      <c r="E70" s="921">
        <f t="shared" si="21"/>
        <v>0</v>
      </c>
      <c r="F70" s="921">
        <f>'Table 4 Level 3'!P68</f>
        <v>756.79</v>
      </c>
      <c r="G70" s="921">
        <f t="shared" si="22"/>
        <v>0</v>
      </c>
      <c r="H70" s="905">
        <f t="shared" si="23"/>
        <v>0</v>
      </c>
      <c r="I70" s="1734">
        <f>+'[3]Oct midyear Delta Charter'!K69</f>
        <v>0</v>
      </c>
      <c r="J70" s="1734">
        <f>'[3]Feb midyear Delta Charter'!K69</f>
        <v>0</v>
      </c>
      <c r="K70" s="1545">
        <f t="shared" si="24"/>
        <v>0</v>
      </c>
      <c r="L70" s="1489">
        <f t="shared" si="25"/>
        <v>0</v>
      </c>
      <c r="M70" s="931">
        <f t="shared" si="26"/>
        <v>0</v>
      </c>
      <c r="N70" s="905">
        <f t="shared" si="27"/>
        <v>0</v>
      </c>
      <c r="O70" s="882">
        <v>0</v>
      </c>
      <c r="P70" s="1552">
        <f t="shared" si="28"/>
        <v>0</v>
      </c>
      <c r="Q70" s="1734">
        <f>+'[4]Table 5C1N-Delta Charter'!M69*8</f>
        <v>0</v>
      </c>
      <c r="R70" s="1734">
        <f t="shared" si="29"/>
        <v>0</v>
      </c>
      <c r="S70" s="1552">
        <f t="shared" si="30"/>
        <v>0</v>
      </c>
      <c r="T70" s="1802">
        <f>'Table 5C1A-Madison Prep'!T70</f>
        <v>7391</v>
      </c>
      <c r="U70" s="1555">
        <f t="shared" si="31"/>
        <v>0</v>
      </c>
      <c r="V70" s="1758">
        <f>+'[3]Oct midyear Delta Charter'!E69</f>
        <v>0</v>
      </c>
      <c r="W70" s="1759">
        <f t="shared" si="32"/>
        <v>0</v>
      </c>
      <c r="X70" s="1758">
        <f>'[3]Feb midyear Delta Charter'!E69</f>
        <v>0</v>
      </c>
      <c r="Y70" s="1759">
        <f t="shared" si="33"/>
        <v>0</v>
      </c>
      <c r="Z70" s="1653">
        <f t="shared" si="34"/>
        <v>0</v>
      </c>
      <c r="AA70" s="1486">
        <f t="shared" si="35"/>
        <v>0</v>
      </c>
      <c r="AB70" s="937">
        <f t="shared" si="36"/>
        <v>0</v>
      </c>
      <c r="AC70" s="899">
        <f t="shared" si="37"/>
        <v>0</v>
      </c>
      <c r="AD70" s="1830">
        <v>0</v>
      </c>
      <c r="AE70" s="899">
        <f t="shared" si="38"/>
        <v>0</v>
      </c>
      <c r="AF70" s="1834">
        <f>+'[4]Table 5C1N-Delta Charter'!T69*8</f>
        <v>0</v>
      </c>
      <c r="AG70" s="1834">
        <f t="shared" si="39"/>
        <v>0</v>
      </c>
      <c r="AH70" s="899">
        <f t="shared" si="40"/>
        <v>0</v>
      </c>
      <c r="AI70" s="900">
        <f t="shared" si="44"/>
        <v>0</v>
      </c>
      <c r="AJ70" s="900">
        <f t="shared" si="41"/>
        <v>0</v>
      </c>
      <c r="AL70" s="2034">
        <f>-'[4]Table 5C1N-Delta Charter'!P69</f>
        <v>0</v>
      </c>
      <c r="AM70" s="2034">
        <f t="shared" si="42"/>
        <v>0</v>
      </c>
      <c r="AN70" s="2034">
        <f t="shared" si="43"/>
        <v>0</v>
      </c>
    </row>
    <row r="71" spans="1:40">
      <c r="A71" s="876">
        <v>64</v>
      </c>
      <c r="B71" s="877" t="s">
        <v>154</v>
      </c>
      <c r="C71" s="972">
        <v>0</v>
      </c>
      <c r="D71" s="882">
        <f>'Table 3 Levels 1&amp;2'!AL71</f>
        <v>5960.2049072003338</v>
      </c>
      <c r="E71" s="921">
        <f t="shared" si="21"/>
        <v>0</v>
      </c>
      <c r="F71" s="921">
        <f>'Table 4 Level 3'!P69</f>
        <v>592.66</v>
      </c>
      <c r="G71" s="921">
        <f t="shared" si="22"/>
        <v>0</v>
      </c>
      <c r="H71" s="905">
        <f t="shared" si="23"/>
        <v>0</v>
      </c>
      <c r="I71" s="1734">
        <f>+'[3]Oct midyear Delta Charter'!K70</f>
        <v>0</v>
      </c>
      <c r="J71" s="1734">
        <f>'[3]Feb midyear Delta Charter'!K70</f>
        <v>0</v>
      </c>
      <c r="K71" s="1545">
        <f t="shared" si="24"/>
        <v>0</v>
      </c>
      <c r="L71" s="1489">
        <f t="shared" si="25"/>
        <v>0</v>
      </c>
      <c r="M71" s="931">
        <f t="shared" si="26"/>
        <v>0</v>
      </c>
      <c r="N71" s="905">
        <f t="shared" si="27"/>
        <v>0</v>
      </c>
      <c r="O71" s="882">
        <v>0</v>
      </c>
      <c r="P71" s="1552">
        <f t="shared" si="28"/>
        <v>0</v>
      </c>
      <c r="Q71" s="1734">
        <f>+'[4]Table 5C1N-Delta Charter'!M70*8</f>
        <v>0</v>
      </c>
      <c r="R71" s="1734">
        <f t="shared" si="29"/>
        <v>0</v>
      </c>
      <c r="S71" s="1552">
        <f t="shared" si="30"/>
        <v>0</v>
      </c>
      <c r="T71" s="1802">
        <f>'Table 5C1A-Madison Prep'!T71</f>
        <v>2902</v>
      </c>
      <c r="U71" s="1555">
        <f t="shared" si="31"/>
        <v>0</v>
      </c>
      <c r="V71" s="1758">
        <f>+'[3]Oct midyear Delta Charter'!E70</f>
        <v>0</v>
      </c>
      <c r="W71" s="1759">
        <f t="shared" si="32"/>
        <v>0</v>
      </c>
      <c r="X71" s="1758">
        <f>'[3]Feb midyear Delta Charter'!E70</f>
        <v>0</v>
      </c>
      <c r="Y71" s="1759">
        <f t="shared" si="33"/>
        <v>0</v>
      </c>
      <c r="Z71" s="1653">
        <f t="shared" si="34"/>
        <v>0</v>
      </c>
      <c r="AA71" s="1486">
        <f t="shared" si="35"/>
        <v>0</v>
      </c>
      <c r="AB71" s="937">
        <f t="shared" si="36"/>
        <v>0</v>
      </c>
      <c r="AC71" s="899">
        <f t="shared" si="37"/>
        <v>0</v>
      </c>
      <c r="AD71" s="1830">
        <v>0</v>
      </c>
      <c r="AE71" s="899">
        <f t="shared" si="38"/>
        <v>0</v>
      </c>
      <c r="AF71" s="1834">
        <f>+'[4]Table 5C1N-Delta Charter'!T70*8</f>
        <v>0</v>
      </c>
      <c r="AG71" s="1834">
        <f t="shared" si="39"/>
        <v>0</v>
      </c>
      <c r="AH71" s="899">
        <f t="shared" si="40"/>
        <v>0</v>
      </c>
      <c r="AI71" s="900">
        <f t="shared" si="44"/>
        <v>0</v>
      </c>
      <c r="AJ71" s="900">
        <f t="shared" si="41"/>
        <v>0</v>
      </c>
      <c r="AL71" s="2034">
        <f>-'[4]Table 5C1N-Delta Charter'!P70</f>
        <v>0</v>
      </c>
      <c r="AM71" s="2034">
        <f t="shared" si="42"/>
        <v>0</v>
      </c>
      <c r="AN71" s="2034">
        <f t="shared" si="43"/>
        <v>0</v>
      </c>
    </row>
    <row r="72" spans="1:40">
      <c r="A72" s="879">
        <v>65</v>
      </c>
      <c r="B72" s="880" t="s">
        <v>155</v>
      </c>
      <c r="C72" s="973">
        <v>0</v>
      </c>
      <c r="D72" s="883">
        <f>'Table 3 Levels 1&amp;2'!AL72</f>
        <v>4579.2772303106676</v>
      </c>
      <c r="E72" s="922">
        <f t="shared" si="21"/>
        <v>0</v>
      </c>
      <c r="F72" s="922">
        <f>'Table 4 Level 3'!P70</f>
        <v>829.12</v>
      </c>
      <c r="G72" s="922">
        <f t="shared" si="22"/>
        <v>0</v>
      </c>
      <c r="H72" s="906">
        <f t="shared" si="23"/>
        <v>0</v>
      </c>
      <c r="I72" s="1735">
        <f>+'[3]Oct midyear Delta Charter'!K71</f>
        <v>0</v>
      </c>
      <c r="J72" s="1735">
        <f>'[3]Feb midyear Delta Charter'!K71</f>
        <v>0</v>
      </c>
      <c r="K72" s="1546">
        <f t="shared" si="24"/>
        <v>0</v>
      </c>
      <c r="L72" s="1490">
        <f t="shared" si="25"/>
        <v>0</v>
      </c>
      <c r="M72" s="932">
        <f t="shared" si="26"/>
        <v>0</v>
      </c>
      <c r="N72" s="906">
        <f t="shared" si="27"/>
        <v>0</v>
      </c>
      <c r="O72" s="883">
        <v>0</v>
      </c>
      <c r="P72" s="1553">
        <f t="shared" si="28"/>
        <v>0</v>
      </c>
      <c r="Q72" s="1735">
        <f>+'[4]Table 5C1N-Delta Charter'!M71*8</f>
        <v>0</v>
      </c>
      <c r="R72" s="1735">
        <f t="shared" si="29"/>
        <v>0</v>
      </c>
      <c r="S72" s="1553">
        <f t="shared" si="30"/>
        <v>0</v>
      </c>
      <c r="T72" s="1807">
        <f>'Table 5C1A-Madison Prep'!T72</f>
        <v>4823</v>
      </c>
      <c r="U72" s="1556">
        <f t="shared" si="31"/>
        <v>0</v>
      </c>
      <c r="V72" s="1762">
        <f>+'[3]Oct midyear Delta Charter'!E71</f>
        <v>0</v>
      </c>
      <c r="W72" s="1763">
        <f t="shared" si="32"/>
        <v>0</v>
      </c>
      <c r="X72" s="1762">
        <f>'[3]Feb midyear Delta Charter'!E71</f>
        <v>0</v>
      </c>
      <c r="Y72" s="1763">
        <f t="shared" si="33"/>
        <v>0</v>
      </c>
      <c r="Z72" s="1654">
        <f t="shared" si="34"/>
        <v>0</v>
      </c>
      <c r="AA72" s="1488">
        <f t="shared" si="35"/>
        <v>0</v>
      </c>
      <c r="AB72" s="938">
        <f t="shared" si="36"/>
        <v>0</v>
      </c>
      <c r="AC72" s="903">
        <f t="shared" si="37"/>
        <v>0</v>
      </c>
      <c r="AD72" s="1831">
        <v>0</v>
      </c>
      <c r="AE72" s="903">
        <f t="shared" si="38"/>
        <v>0</v>
      </c>
      <c r="AF72" s="1835">
        <f>+'[4]Table 5C1N-Delta Charter'!T71*8</f>
        <v>0</v>
      </c>
      <c r="AG72" s="1835">
        <f t="shared" si="39"/>
        <v>0</v>
      </c>
      <c r="AH72" s="903">
        <f t="shared" si="40"/>
        <v>0</v>
      </c>
      <c r="AI72" s="904">
        <f t="shared" si="44"/>
        <v>0</v>
      </c>
      <c r="AJ72" s="904">
        <f t="shared" si="41"/>
        <v>0</v>
      </c>
      <c r="AL72" s="2034">
        <f>-'[4]Table 5C1N-Delta Charter'!P71</f>
        <v>0</v>
      </c>
      <c r="AM72" s="2034">
        <f t="shared" si="42"/>
        <v>0</v>
      </c>
      <c r="AN72" s="2034">
        <f t="shared" si="43"/>
        <v>0</v>
      </c>
    </row>
    <row r="73" spans="1:40">
      <c r="A73" s="870">
        <v>66</v>
      </c>
      <c r="B73" s="871" t="s">
        <v>156</v>
      </c>
      <c r="C73" s="974">
        <v>0</v>
      </c>
      <c r="D73" s="884">
        <f>'Table 3 Levels 1&amp;2'!AL73</f>
        <v>6370.8108195713585</v>
      </c>
      <c r="E73" s="923">
        <f t="shared" ref="E73:E76" si="45">C73*D73</f>
        <v>0</v>
      </c>
      <c r="F73" s="923">
        <f>'Table 4 Level 3'!P71</f>
        <v>730.06</v>
      </c>
      <c r="G73" s="923">
        <f t="shared" ref="G73:G76" si="46">C73*F73</f>
        <v>0</v>
      </c>
      <c r="H73" s="907">
        <f t="shared" ref="H73:H76" si="47">E73+G73</f>
        <v>0</v>
      </c>
      <c r="I73" s="1723">
        <f>+'[3]Oct midyear Delta Charter'!K72</f>
        <v>0</v>
      </c>
      <c r="J73" s="1723">
        <f>'[3]Feb midyear Delta Charter'!K72</f>
        <v>0</v>
      </c>
      <c r="K73" s="1547">
        <f t="shared" ref="K73:K76" si="48">+I73+J73</f>
        <v>0</v>
      </c>
      <c r="L73" s="1491">
        <f t="shared" ref="L73:L76" si="49">+H73+K73</f>
        <v>0</v>
      </c>
      <c r="M73" s="933">
        <f t="shared" ref="M73:M76" si="50">-(0.25%*L73)</f>
        <v>0</v>
      </c>
      <c r="N73" s="907">
        <f t="shared" ref="N73:N76" si="51">SUM(L73:M73)</f>
        <v>0</v>
      </c>
      <c r="O73" s="884">
        <v>0</v>
      </c>
      <c r="P73" s="996">
        <f t="shared" ref="P73:P76" si="52">SUM(N73:O73)</f>
        <v>0</v>
      </c>
      <c r="Q73" s="1723">
        <f>+'[4]Table 5C1N-Delta Charter'!M72*8</f>
        <v>0</v>
      </c>
      <c r="R73" s="1723">
        <f t="shared" ref="R73:R76" si="53">+P73-Q73</f>
        <v>0</v>
      </c>
      <c r="S73" s="996">
        <f t="shared" ref="S73:S76" si="54">ROUND(R73/4,0)</f>
        <v>0</v>
      </c>
      <c r="T73" s="1802">
        <f>'Table 5C1A-Madison Prep'!T73</f>
        <v>3524</v>
      </c>
      <c r="U73" s="999">
        <f t="shared" ref="U73:U76" si="55">C73*T73</f>
        <v>0</v>
      </c>
      <c r="V73" s="1754">
        <f>+'[3]Oct midyear Delta Charter'!E72</f>
        <v>0</v>
      </c>
      <c r="W73" s="1755">
        <f t="shared" ref="W73:W76" si="56">+T73*V73</f>
        <v>0</v>
      </c>
      <c r="X73" s="1754">
        <f>'[3]Feb midyear Delta Charter'!E72</f>
        <v>0</v>
      </c>
      <c r="Y73" s="1755">
        <f t="shared" ref="Y73:Y76" si="57">(T73*X73)*0.5</f>
        <v>0</v>
      </c>
      <c r="Z73" s="1652">
        <f t="shared" ref="Z73:Z76" si="58">+W73+Y73</f>
        <v>0</v>
      </c>
      <c r="AA73" s="1521">
        <f t="shared" ref="AA73:AA76" si="59">+U73+Z73</f>
        <v>0</v>
      </c>
      <c r="AB73" s="936">
        <f t="shared" ref="AB73:AB76" si="60">-(0.25%*AA73)</f>
        <v>0</v>
      </c>
      <c r="AC73" s="874">
        <f t="shared" ref="AC73:AC76" si="61">SUM(AA73:AB73)</f>
        <v>0</v>
      </c>
      <c r="AD73" s="1829">
        <v>0</v>
      </c>
      <c r="AE73" s="874">
        <f t="shared" ref="AE73:AE76" si="62">SUM(AC73:AD73)</f>
        <v>0</v>
      </c>
      <c r="AF73" s="1829">
        <f>+'[4]Table 5C1N-Delta Charter'!T72*8</f>
        <v>0</v>
      </c>
      <c r="AG73" s="1829">
        <f t="shared" ref="AG73:AG76" si="63">+AE73-AF73</f>
        <v>0</v>
      </c>
      <c r="AH73" s="874">
        <f t="shared" ref="AH73:AH76" si="64">ROUND(AG73/4,0)</f>
        <v>0</v>
      </c>
      <c r="AI73" s="875">
        <f t="shared" si="44"/>
        <v>0</v>
      </c>
      <c r="AJ73" s="875">
        <f t="shared" ref="AJ73:AJ76" si="65">S73+AH73</f>
        <v>0</v>
      </c>
      <c r="AL73" s="2034">
        <f>-'[4]Table 5C1N-Delta Charter'!P72</f>
        <v>0</v>
      </c>
      <c r="AM73" s="2034">
        <f t="shared" ref="AM73:AM76" si="66">AB73</f>
        <v>0</v>
      </c>
      <c r="AN73" s="2034">
        <f t="shared" ref="AN73:AN76" si="67">SUM(AL73:AM73)</f>
        <v>0</v>
      </c>
    </row>
    <row r="74" spans="1:40">
      <c r="A74" s="876">
        <v>67</v>
      </c>
      <c r="B74" s="877" t="s">
        <v>32</v>
      </c>
      <c r="C74" s="972">
        <v>0</v>
      </c>
      <c r="D74" s="882">
        <f>'Table 3 Levels 1&amp;2'!AL74</f>
        <v>4951.6009932106244</v>
      </c>
      <c r="E74" s="921">
        <f t="shared" si="45"/>
        <v>0</v>
      </c>
      <c r="F74" s="921">
        <f>'Table 4 Level 3'!P72</f>
        <v>715.61</v>
      </c>
      <c r="G74" s="921">
        <f t="shared" si="46"/>
        <v>0</v>
      </c>
      <c r="H74" s="905">
        <f t="shared" si="47"/>
        <v>0</v>
      </c>
      <c r="I74" s="1734">
        <f>+'[3]Oct midyear Delta Charter'!K73</f>
        <v>0</v>
      </c>
      <c r="J74" s="1734">
        <f>'[3]Feb midyear Delta Charter'!K73</f>
        <v>0</v>
      </c>
      <c r="K74" s="1545">
        <f t="shared" si="48"/>
        <v>0</v>
      </c>
      <c r="L74" s="1489">
        <f t="shared" si="49"/>
        <v>0</v>
      </c>
      <c r="M74" s="931">
        <f t="shared" si="50"/>
        <v>0</v>
      </c>
      <c r="N74" s="905">
        <f t="shared" si="51"/>
        <v>0</v>
      </c>
      <c r="O74" s="882">
        <v>0</v>
      </c>
      <c r="P74" s="1552">
        <f t="shared" si="52"/>
        <v>0</v>
      </c>
      <c r="Q74" s="1734">
        <f>+'[4]Table 5C1N-Delta Charter'!M73*8</f>
        <v>0</v>
      </c>
      <c r="R74" s="1734">
        <f t="shared" si="53"/>
        <v>0</v>
      </c>
      <c r="S74" s="1552">
        <f t="shared" si="54"/>
        <v>0</v>
      </c>
      <c r="T74" s="1802">
        <f>'Table 5C1A-Madison Prep'!T74</f>
        <v>5007</v>
      </c>
      <c r="U74" s="1555">
        <f t="shared" si="55"/>
        <v>0</v>
      </c>
      <c r="V74" s="1758">
        <f>+'[3]Oct midyear Delta Charter'!E73</f>
        <v>0</v>
      </c>
      <c r="W74" s="1759">
        <f t="shared" si="56"/>
        <v>0</v>
      </c>
      <c r="X74" s="1758">
        <f>'[3]Feb midyear Delta Charter'!E73</f>
        <v>0</v>
      </c>
      <c r="Y74" s="1759">
        <f t="shared" si="57"/>
        <v>0</v>
      </c>
      <c r="Z74" s="1653">
        <f t="shared" si="58"/>
        <v>0</v>
      </c>
      <c r="AA74" s="1486">
        <f t="shared" si="59"/>
        <v>0</v>
      </c>
      <c r="AB74" s="937">
        <f t="shared" si="60"/>
        <v>0</v>
      </c>
      <c r="AC74" s="899">
        <f t="shared" si="61"/>
        <v>0</v>
      </c>
      <c r="AD74" s="1830">
        <v>0</v>
      </c>
      <c r="AE74" s="899">
        <f t="shared" si="62"/>
        <v>0</v>
      </c>
      <c r="AF74" s="1834">
        <f>+'[4]Table 5C1N-Delta Charter'!T73*8</f>
        <v>0</v>
      </c>
      <c r="AG74" s="1834">
        <f t="shared" si="63"/>
        <v>0</v>
      </c>
      <c r="AH74" s="899">
        <f t="shared" si="64"/>
        <v>0</v>
      </c>
      <c r="AI74" s="900">
        <f t="shared" si="44"/>
        <v>0</v>
      </c>
      <c r="AJ74" s="900">
        <f t="shared" si="65"/>
        <v>0</v>
      </c>
      <c r="AL74" s="2034">
        <f>-'[4]Table 5C1N-Delta Charter'!P73</f>
        <v>0</v>
      </c>
      <c r="AM74" s="2034">
        <f t="shared" si="66"/>
        <v>0</v>
      </c>
      <c r="AN74" s="2034">
        <f t="shared" si="67"/>
        <v>0</v>
      </c>
    </row>
    <row r="75" spans="1:40">
      <c r="A75" s="876">
        <v>68</v>
      </c>
      <c r="B75" s="877" t="s">
        <v>30</v>
      </c>
      <c r="C75" s="972">
        <v>0</v>
      </c>
      <c r="D75" s="882">
        <f>'Table 3 Levels 1&amp;2'!AL75</f>
        <v>6077.2398733698947</v>
      </c>
      <c r="E75" s="921">
        <f t="shared" si="45"/>
        <v>0</v>
      </c>
      <c r="F75" s="921">
        <f>'Table 4 Level 3'!P73</f>
        <v>798.7</v>
      </c>
      <c r="G75" s="921">
        <f t="shared" si="46"/>
        <v>0</v>
      </c>
      <c r="H75" s="905">
        <f t="shared" si="47"/>
        <v>0</v>
      </c>
      <c r="I75" s="1734">
        <f>+'[3]Oct midyear Delta Charter'!K74</f>
        <v>0</v>
      </c>
      <c r="J75" s="1734">
        <f>'[3]Feb midyear Delta Charter'!K74</f>
        <v>0</v>
      </c>
      <c r="K75" s="1545">
        <f t="shared" si="48"/>
        <v>0</v>
      </c>
      <c r="L75" s="1489">
        <f t="shared" si="49"/>
        <v>0</v>
      </c>
      <c r="M75" s="931">
        <f t="shared" si="50"/>
        <v>0</v>
      </c>
      <c r="N75" s="905">
        <f t="shared" si="51"/>
        <v>0</v>
      </c>
      <c r="O75" s="882">
        <v>0</v>
      </c>
      <c r="P75" s="1552">
        <f t="shared" si="52"/>
        <v>0</v>
      </c>
      <c r="Q75" s="1734">
        <f>+'[4]Table 5C1N-Delta Charter'!M74*8</f>
        <v>0</v>
      </c>
      <c r="R75" s="1734">
        <f t="shared" si="53"/>
        <v>0</v>
      </c>
      <c r="S75" s="1552">
        <f t="shared" si="54"/>
        <v>0</v>
      </c>
      <c r="T75" s="1802">
        <f>'Table 5C1A-Madison Prep'!T75</f>
        <v>2927</v>
      </c>
      <c r="U75" s="1555">
        <f t="shared" si="55"/>
        <v>0</v>
      </c>
      <c r="V75" s="1758">
        <f>+'[3]Oct midyear Delta Charter'!E74</f>
        <v>0</v>
      </c>
      <c r="W75" s="1759">
        <f t="shared" si="56"/>
        <v>0</v>
      </c>
      <c r="X75" s="1758">
        <f>'[3]Feb midyear Delta Charter'!E74</f>
        <v>0</v>
      </c>
      <c r="Y75" s="1759">
        <f t="shared" si="57"/>
        <v>0</v>
      </c>
      <c r="Z75" s="1653">
        <f t="shared" si="58"/>
        <v>0</v>
      </c>
      <c r="AA75" s="1486">
        <f t="shared" si="59"/>
        <v>0</v>
      </c>
      <c r="AB75" s="937">
        <f t="shared" si="60"/>
        <v>0</v>
      </c>
      <c r="AC75" s="899">
        <f t="shared" si="61"/>
        <v>0</v>
      </c>
      <c r="AD75" s="1830">
        <v>0</v>
      </c>
      <c r="AE75" s="899">
        <f t="shared" si="62"/>
        <v>0</v>
      </c>
      <c r="AF75" s="1834">
        <f>+'[4]Table 5C1N-Delta Charter'!T74*8</f>
        <v>0</v>
      </c>
      <c r="AG75" s="1834">
        <f t="shared" si="63"/>
        <v>0</v>
      </c>
      <c r="AH75" s="899">
        <f t="shared" si="64"/>
        <v>0</v>
      </c>
      <c r="AI75" s="900">
        <f t="shared" si="44"/>
        <v>0</v>
      </c>
      <c r="AJ75" s="900">
        <f t="shared" si="65"/>
        <v>0</v>
      </c>
      <c r="AL75" s="2034">
        <f>-'[4]Table 5C1N-Delta Charter'!P74</f>
        <v>0</v>
      </c>
      <c r="AM75" s="2034">
        <f t="shared" si="66"/>
        <v>0</v>
      </c>
      <c r="AN75" s="2034">
        <f t="shared" si="67"/>
        <v>0</v>
      </c>
    </row>
    <row r="76" spans="1:40">
      <c r="A76" s="885">
        <v>69</v>
      </c>
      <c r="B76" s="886" t="s">
        <v>205</v>
      </c>
      <c r="C76" s="975">
        <v>0</v>
      </c>
      <c r="D76" s="887">
        <f>'Table 3 Levels 1&amp;2'!AL76</f>
        <v>5585.8253106686579</v>
      </c>
      <c r="E76" s="924">
        <f t="shared" si="45"/>
        <v>0</v>
      </c>
      <c r="F76" s="924">
        <f>'Table 4 Level 3'!P74</f>
        <v>705.67</v>
      </c>
      <c r="G76" s="924">
        <f t="shared" si="46"/>
        <v>0</v>
      </c>
      <c r="H76" s="908">
        <f t="shared" si="47"/>
        <v>0</v>
      </c>
      <c r="I76" s="1736">
        <f>+'[3]Oct midyear Delta Charter'!K75</f>
        <v>0</v>
      </c>
      <c r="J76" s="1736">
        <f>'[3]Feb midyear Delta Charter'!K75</f>
        <v>0</v>
      </c>
      <c r="K76" s="1548">
        <f t="shared" si="48"/>
        <v>0</v>
      </c>
      <c r="L76" s="1492">
        <f t="shared" si="49"/>
        <v>0</v>
      </c>
      <c r="M76" s="934">
        <f t="shared" si="50"/>
        <v>0</v>
      </c>
      <c r="N76" s="908">
        <f t="shared" si="51"/>
        <v>0</v>
      </c>
      <c r="O76" s="887">
        <v>0</v>
      </c>
      <c r="P76" s="1554">
        <f t="shared" si="52"/>
        <v>0</v>
      </c>
      <c r="Q76" s="1736">
        <f>+'[4]Table 5C1N-Delta Charter'!M75*8</f>
        <v>0</v>
      </c>
      <c r="R76" s="1736">
        <f t="shared" si="53"/>
        <v>0</v>
      </c>
      <c r="S76" s="1554">
        <f t="shared" si="54"/>
        <v>0</v>
      </c>
      <c r="T76" s="1802">
        <f>'Table 5C1A-Madison Prep'!T76</f>
        <v>3404</v>
      </c>
      <c r="U76" s="1557">
        <f t="shared" si="55"/>
        <v>0</v>
      </c>
      <c r="V76" s="1766">
        <f>+'[3]Oct midyear Delta Charter'!E75</f>
        <v>0</v>
      </c>
      <c r="W76" s="1767">
        <f t="shared" si="56"/>
        <v>0</v>
      </c>
      <c r="X76" s="1766">
        <f>'[3]Feb midyear Delta Charter'!E75</f>
        <v>0</v>
      </c>
      <c r="Y76" s="1767">
        <f t="shared" si="57"/>
        <v>0</v>
      </c>
      <c r="Z76" s="1655">
        <f t="shared" si="58"/>
        <v>0</v>
      </c>
      <c r="AA76" s="1493">
        <f t="shared" si="59"/>
        <v>0</v>
      </c>
      <c r="AB76" s="939">
        <f t="shared" si="60"/>
        <v>0</v>
      </c>
      <c r="AC76" s="909">
        <f t="shared" si="61"/>
        <v>0</v>
      </c>
      <c r="AD76" s="1832">
        <v>0</v>
      </c>
      <c r="AE76" s="909">
        <f t="shared" si="62"/>
        <v>0</v>
      </c>
      <c r="AF76" s="1836">
        <f>+'[4]Table 5C1N-Delta Charter'!T75*8</f>
        <v>0</v>
      </c>
      <c r="AG76" s="1836">
        <f t="shared" si="63"/>
        <v>0</v>
      </c>
      <c r="AH76" s="909">
        <f t="shared" si="64"/>
        <v>0</v>
      </c>
      <c r="AI76" s="910">
        <f t="shared" si="44"/>
        <v>0</v>
      </c>
      <c r="AJ76" s="910">
        <f t="shared" si="65"/>
        <v>0</v>
      </c>
      <c r="AL76" s="2034">
        <f>-'[4]Table 5C1N-Delta Charter'!P75</f>
        <v>0</v>
      </c>
      <c r="AM76" s="2034">
        <f t="shared" si="66"/>
        <v>0</v>
      </c>
      <c r="AN76" s="2034">
        <f t="shared" si="67"/>
        <v>0</v>
      </c>
    </row>
    <row r="77" spans="1:40" ht="13.5" thickBot="1">
      <c r="A77" s="888"/>
      <c r="B77" s="889" t="s">
        <v>157</v>
      </c>
      <c r="C77" s="890">
        <f>SUM(C8:C76)</f>
        <v>330</v>
      </c>
      <c r="D77" s="891"/>
      <c r="E77" s="925">
        <f>SUM(E8:E76)</f>
        <v>1855395.9155138754</v>
      </c>
      <c r="F77" s="925">
        <f>'[33]Table 4 Level 3'!P75</f>
        <v>703.90028204588873</v>
      </c>
      <c r="G77" s="925">
        <f t="shared" ref="G77:R77" si="68">SUM(G8:G76)</f>
        <v>191166.08999999997</v>
      </c>
      <c r="H77" s="892">
        <f t="shared" si="68"/>
        <v>2046562.0055138753</v>
      </c>
      <c r="I77" s="1737">
        <f t="shared" si="68"/>
        <v>-15014.510631795034</v>
      </c>
      <c r="J77" s="1737">
        <f t="shared" si="68"/>
        <v>-11552.560494600446</v>
      </c>
      <c r="K77" s="1549">
        <f t="shared" si="68"/>
        <v>-26567.071126395502</v>
      </c>
      <c r="L77" s="1482">
        <f t="shared" si="68"/>
        <v>2019994.9343874794</v>
      </c>
      <c r="M77" s="935">
        <f t="shared" si="68"/>
        <v>-5049.9873359686999</v>
      </c>
      <c r="N77" s="892">
        <f t="shared" si="68"/>
        <v>2014944.9470515109</v>
      </c>
      <c r="O77" s="891">
        <f t="shared" si="68"/>
        <v>0</v>
      </c>
      <c r="P77" s="997">
        <f t="shared" si="68"/>
        <v>2014944.9470515109</v>
      </c>
      <c r="Q77" s="1737">
        <f t="shared" si="68"/>
        <v>1360963.7336667269</v>
      </c>
      <c r="R77" s="1737">
        <f t="shared" si="68"/>
        <v>653981.21338478406</v>
      </c>
      <c r="S77" s="997">
        <f>SUM(S8:S76)</f>
        <v>163495</v>
      </c>
      <c r="T77" s="1812">
        <f>'Table 5C1A-Madison Prep'!T77</f>
        <v>4626</v>
      </c>
      <c r="U77" s="1000">
        <f t="shared" ref="U77:AJ77" si="69">SUM(U8:U76)</f>
        <v>918453</v>
      </c>
      <c r="V77" s="1770">
        <f t="shared" si="69"/>
        <v>-3</v>
      </c>
      <c r="W77" s="1771">
        <f t="shared" si="69"/>
        <v>4704</v>
      </c>
      <c r="X77" s="1770">
        <f t="shared" si="69"/>
        <v>-4</v>
      </c>
      <c r="Y77" s="1771">
        <f t="shared" si="69"/>
        <v>-7858</v>
      </c>
      <c r="Z77" s="1665">
        <f t="shared" si="69"/>
        <v>-3154</v>
      </c>
      <c r="AA77" s="1717">
        <f t="shared" si="69"/>
        <v>915299</v>
      </c>
      <c r="AB77" s="940">
        <f t="shared" si="69"/>
        <v>-2288.2474999999999</v>
      </c>
      <c r="AC77" s="1000">
        <f t="shared" si="69"/>
        <v>913010.75250000006</v>
      </c>
      <c r="AD77" s="1828">
        <f t="shared" si="69"/>
        <v>0</v>
      </c>
      <c r="AE77" s="1000">
        <f t="shared" si="69"/>
        <v>913010.75250000006</v>
      </c>
      <c r="AF77" s="1771">
        <f t="shared" si="69"/>
        <v>557546.6399999999</v>
      </c>
      <c r="AG77" s="1771">
        <f t="shared" si="69"/>
        <v>355464.11250000005</v>
      </c>
      <c r="AH77" s="1000">
        <f t="shared" si="69"/>
        <v>88866</v>
      </c>
      <c r="AI77" s="894">
        <f t="shared" si="69"/>
        <v>2927955.6995515106</v>
      </c>
      <c r="AJ77" s="894">
        <f t="shared" si="69"/>
        <v>252361</v>
      </c>
      <c r="AL77" s="2034">
        <f t="shared" ref="AL77:AM77" si="70">SUM(AL8:AL76)</f>
        <v>2096.04</v>
      </c>
      <c r="AM77" s="2034">
        <f t="shared" si="70"/>
        <v>-2288.2474999999999</v>
      </c>
      <c r="AN77" s="2034">
        <f>SUM(AN8:AN76)</f>
        <v>-192.20750000000004</v>
      </c>
    </row>
    <row r="78" spans="1:40" ht="13.5" thickTop="1"/>
    <row r="79" spans="1:40" hidden="1"/>
    <row r="80" spans="1:40" hidden="1">
      <c r="M80" s="1464" t="s">
        <v>951</v>
      </c>
      <c r="N80" s="2034">
        <f>-'[4]Table 5C1N-Delta Charter'!$I$76</f>
        <v>5116.405013784688</v>
      </c>
    </row>
    <row r="81" spans="13:14" hidden="1">
      <c r="M81" s="1464" t="s">
        <v>952</v>
      </c>
      <c r="N81" s="2034">
        <f>M77</f>
        <v>-5049.9873359686999</v>
      </c>
    </row>
    <row r="82" spans="13:14" hidden="1">
      <c r="M82" s="1464" t="s">
        <v>953</v>
      </c>
      <c r="N82" s="2034">
        <f>SUM(N80:N81)</f>
        <v>66.4176778159881</v>
      </c>
    </row>
  </sheetData>
  <mergeCells count="30">
    <mergeCell ref="A2:B5"/>
    <mergeCell ref="C2:S2"/>
    <mergeCell ref="T2:AH2"/>
    <mergeCell ref="AI2:AI5"/>
    <mergeCell ref="AJ2:AJ5"/>
    <mergeCell ref="C4:C5"/>
    <mergeCell ref="D4:D5"/>
    <mergeCell ref="E4:E5"/>
    <mergeCell ref="F4:F5"/>
    <mergeCell ref="G4:G5"/>
    <mergeCell ref="AC4:AC5"/>
    <mergeCell ref="AD4:AD5"/>
    <mergeCell ref="AE4:AE5"/>
    <mergeCell ref="H4:H5"/>
    <mergeCell ref="N4:N5"/>
    <mergeCell ref="O4:O5"/>
    <mergeCell ref="P4:P5"/>
    <mergeCell ref="S4:S5"/>
    <mergeCell ref="T4:T5"/>
    <mergeCell ref="I3:K3"/>
    <mergeCell ref="I4:I5"/>
    <mergeCell ref="J4:J5"/>
    <mergeCell ref="K4:K5"/>
    <mergeCell ref="L4:L5"/>
    <mergeCell ref="AA4:AA5"/>
    <mergeCell ref="V3:Z3"/>
    <mergeCell ref="V4:V5"/>
    <mergeCell ref="W4:W5"/>
    <mergeCell ref="X4:X5"/>
    <mergeCell ref="Y4:Y5"/>
  </mergeCells>
  <pageMargins left="0.32" right="0.32" top="0.75" bottom="0.75" header="0.3" footer="0.3"/>
  <pageSetup paperSize="5" scale="60" firstPageNumber="56" orientation="portrait" useFirstPageNumber="1" r:id="rId1"/>
  <headerFooter>
    <oddHeader>&amp;L&amp;"Arial,Bold"&amp;20Table 5C1-N: FY2013-14 MFP Budget Letter (March 2014) 
Delta Charter School</oddHeader>
    <oddFooter>&amp;R&amp;P</oddFooter>
  </headerFooter>
  <colBreaks count="3" manualBreakCount="3">
    <brk id="12" max="1048575" man="1"/>
    <brk id="19" max="1048575" man="1"/>
    <brk id="31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O85"/>
  <sheetViews>
    <sheetView view="pageBreakPreview" zoomScale="70" zoomScaleNormal="85" zoomScaleSheetLayoutView="70" workbookViewId="0">
      <pane xSplit="2" ySplit="5" topLeftCell="C6" activePane="bottomRight" state="frozen"/>
      <selection activeCell="A2" sqref="A2:B4"/>
      <selection pane="topRight" activeCell="A2" sqref="A2:B4"/>
      <selection pane="bottomLeft" activeCell="A2" sqref="A2:B4"/>
      <selection pane="bottomRight" sqref="A1:A4"/>
    </sheetView>
  </sheetViews>
  <sheetFormatPr defaultColWidth="9.140625" defaultRowHeight="28.5" customHeight="1"/>
  <cols>
    <col min="1" max="1" width="3.140625" style="528" customWidth="1"/>
    <col min="2" max="2" width="21.42578125" style="528" customWidth="1"/>
    <col min="3" max="3" width="12.140625" style="528" bestFit="1" customWidth="1"/>
    <col min="4" max="4" width="13.7109375" style="528" bestFit="1" customWidth="1"/>
    <col min="5" max="6" width="13.28515625" style="537" bestFit="1" customWidth="1"/>
    <col min="7" max="7" width="12.28515625" style="537" bestFit="1" customWidth="1"/>
    <col min="8" max="8" width="13.28515625" style="528" bestFit="1" customWidth="1"/>
    <col min="9" max="9" width="11.28515625" style="528" bestFit="1" customWidth="1"/>
    <col min="10" max="10" width="13.28515625" style="528" bestFit="1" customWidth="1"/>
    <col min="11" max="11" width="11.85546875" style="528" bestFit="1" customWidth="1"/>
    <col min="12" max="13" width="13.28515625" style="528" bestFit="1" customWidth="1"/>
    <col min="14" max="14" width="16.28515625" style="528" customWidth="1"/>
    <col min="15" max="15" width="18.5703125" style="528" customWidth="1"/>
    <col min="16" max="16" width="17.5703125" style="528" customWidth="1"/>
    <col min="17" max="17" width="15.5703125" style="528" bestFit="1" customWidth="1"/>
    <col min="18" max="18" width="13.28515625" style="1499" customWidth="1"/>
    <col min="19" max="19" width="15.5703125" style="1499" bestFit="1" customWidth="1"/>
    <col min="20" max="20" width="16.28515625" style="528" bestFit="1" customWidth="1"/>
    <col min="21" max="21" width="12.85546875" style="528" customWidth="1"/>
    <col min="22" max="22" width="17.7109375" style="528" bestFit="1" customWidth="1"/>
    <col min="23" max="23" width="12.140625" style="1501" bestFit="1" customWidth="1"/>
    <col min="24" max="24" width="13" style="1501" bestFit="1" customWidth="1"/>
    <col min="25" max="26" width="12.140625" style="1511" bestFit="1" customWidth="1"/>
    <col min="27" max="27" width="16" style="1511" customWidth="1"/>
    <col min="28" max="28" width="15.5703125" style="1501" bestFit="1" customWidth="1"/>
    <col min="29" max="29" width="12.7109375" style="528" bestFit="1" customWidth="1"/>
    <col min="30" max="30" width="16.28515625" style="528" bestFit="1" customWidth="1"/>
    <col min="31" max="31" width="15.42578125" style="528" bestFit="1" customWidth="1"/>
    <col min="32" max="32" width="16.28515625" style="528" bestFit="1" customWidth="1"/>
    <col min="33" max="34" width="16.28515625" style="1504" customWidth="1"/>
    <col min="35" max="35" width="14" style="528" customWidth="1"/>
    <col min="36" max="36" width="16.42578125" style="528" customWidth="1"/>
    <col min="37" max="37" width="14.140625" style="528" customWidth="1"/>
    <col min="38" max="38" width="1.85546875" style="528" customWidth="1"/>
    <col min="39" max="39" width="10.28515625" style="528" hidden="1" customWidth="1"/>
    <col min="40" max="41" width="11" style="528" hidden="1" customWidth="1"/>
    <col min="42" max="16384" width="9.140625" style="528"/>
  </cols>
  <sheetData>
    <row r="1" spans="1:41" s="1511" customFormat="1" ht="45.6" customHeight="1">
      <c r="A1" s="2414" t="s">
        <v>372</v>
      </c>
      <c r="B1" s="2415" t="s">
        <v>849</v>
      </c>
      <c r="C1" s="2332" t="s">
        <v>837</v>
      </c>
      <c r="D1" s="2333"/>
      <c r="E1" s="2333"/>
      <c r="F1" s="2333"/>
      <c r="G1" s="2333"/>
      <c r="H1" s="2333"/>
      <c r="I1" s="2333"/>
      <c r="J1" s="2333"/>
      <c r="K1" s="2333"/>
      <c r="L1" s="2333"/>
      <c r="M1" s="2333"/>
      <c r="N1" s="2333"/>
      <c r="O1" s="2333"/>
      <c r="P1" s="2333"/>
      <c r="Q1" s="2333"/>
      <c r="R1" s="2333"/>
      <c r="S1" s="2333"/>
      <c r="T1" s="2334"/>
      <c r="U1" s="2416" t="s">
        <v>842</v>
      </c>
      <c r="V1" s="2417"/>
      <c r="W1" s="2417"/>
      <c r="X1" s="2417"/>
      <c r="Y1" s="2417"/>
      <c r="Z1" s="2417"/>
      <c r="AA1" s="2417"/>
      <c r="AB1" s="2417"/>
      <c r="AC1" s="2417"/>
      <c r="AD1" s="2417"/>
      <c r="AE1" s="2417"/>
      <c r="AF1" s="2417"/>
      <c r="AG1" s="2417"/>
      <c r="AH1" s="2417"/>
      <c r="AI1" s="2418"/>
    </row>
    <row r="2" spans="1:41" s="1511" customFormat="1" ht="22.15" customHeight="1">
      <c r="A2" s="2326"/>
      <c r="B2" s="2327"/>
      <c r="C2" s="1620"/>
      <c r="D2" s="1615"/>
      <c r="E2" s="1622"/>
      <c r="F2" s="1622"/>
      <c r="G2" s="1622"/>
      <c r="H2" s="1615"/>
      <c r="I2" s="1615"/>
      <c r="J2" s="2347" t="s">
        <v>772</v>
      </c>
      <c r="K2" s="2348"/>
      <c r="L2" s="2349"/>
      <c r="M2" s="1615"/>
      <c r="N2" s="1615"/>
      <c r="O2" s="1615"/>
      <c r="P2" s="1615"/>
      <c r="Q2" s="1615"/>
      <c r="R2" s="1615"/>
      <c r="S2" s="1615"/>
      <c r="T2" s="1616"/>
      <c r="U2" s="1613"/>
      <c r="V2" s="1623"/>
      <c r="W2" s="2379" t="s">
        <v>772</v>
      </c>
      <c r="X2" s="2380"/>
      <c r="Y2" s="2380"/>
      <c r="Z2" s="2380"/>
      <c r="AA2" s="2381"/>
      <c r="AB2" s="1623"/>
      <c r="AC2" s="1623"/>
      <c r="AD2" s="1623"/>
      <c r="AE2" s="1623"/>
      <c r="AF2" s="1623"/>
      <c r="AG2" s="1623"/>
      <c r="AH2" s="1623"/>
      <c r="AI2" s="1618"/>
    </row>
    <row r="3" spans="1:41" ht="135.6" customHeight="1">
      <c r="A3" s="2326"/>
      <c r="B3" s="2327"/>
      <c r="C3" s="2397" t="s">
        <v>501</v>
      </c>
      <c r="D3" s="2207" t="s">
        <v>835</v>
      </c>
      <c r="E3" s="2399" t="s">
        <v>544</v>
      </c>
      <c r="F3" s="2400" t="s">
        <v>848</v>
      </c>
      <c r="G3" s="2281" t="s">
        <v>400</v>
      </c>
      <c r="H3" s="2399" t="s">
        <v>836</v>
      </c>
      <c r="I3" s="2411" t="s">
        <v>457</v>
      </c>
      <c r="J3" s="2412" t="s">
        <v>846</v>
      </c>
      <c r="K3" s="2412" t="s">
        <v>845</v>
      </c>
      <c r="L3" s="2412" t="s">
        <v>847</v>
      </c>
      <c r="M3" s="2413" t="s">
        <v>838</v>
      </c>
      <c r="N3" s="1611" t="s">
        <v>839</v>
      </c>
      <c r="O3" s="2399" t="s">
        <v>824</v>
      </c>
      <c r="P3" s="2409" t="s">
        <v>794</v>
      </c>
      <c r="Q3" s="2399" t="s">
        <v>823</v>
      </c>
      <c r="R3" s="2404" t="s">
        <v>781</v>
      </c>
      <c r="S3" s="2404" t="s">
        <v>795</v>
      </c>
      <c r="T3" s="2411" t="s">
        <v>840</v>
      </c>
      <c r="U3" s="2401" t="s">
        <v>841</v>
      </c>
      <c r="V3" s="2401" t="s">
        <v>843</v>
      </c>
      <c r="W3" s="2407" t="s">
        <v>819</v>
      </c>
      <c r="X3" s="2407" t="s">
        <v>787</v>
      </c>
      <c r="Y3" s="2407" t="s">
        <v>820</v>
      </c>
      <c r="Z3" s="2407" t="s">
        <v>844</v>
      </c>
      <c r="AA3" s="1614" t="s">
        <v>791</v>
      </c>
      <c r="AB3" s="2406" t="s">
        <v>799</v>
      </c>
      <c r="AC3" s="1617" t="s">
        <v>808</v>
      </c>
      <c r="AD3" s="2402" t="s">
        <v>805</v>
      </c>
      <c r="AE3" s="2419" t="s">
        <v>814</v>
      </c>
      <c r="AF3" s="2421" t="s">
        <v>806</v>
      </c>
      <c r="AG3" s="1507" t="s">
        <v>807</v>
      </c>
      <c r="AH3" s="1507" t="s">
        <v>795</v>
      </c>
      <c r="AI3" s="1507" t="s">
        <v>540</v>
      </c>
      <c r="AJ3" s="2301" t="s">
        <v>546</v>
      </c>
      <c r="AK3" s="2301" t="s">
        <v>547</v>
      </c>
      <c r="AM3" s="2394" t="s">
        <v>949</v>
      </c>
      <c r="AN3" s="2395" t="s">
        <v>950</v>
      </c>
      <c r="AO3" s="2035" t="s">
        <v>947</v>
      </c>
    </row>
    <row r="4" spans="1:41" ht="22.9" customHeight="1">
      <c r="A4" s="2329"/>
      <c r="B4" s="2330"/>
      <c r="C4" s="2398"/>
      <c r="D4" s="2153"/>
      <c r="E4" s="2399"/>
      <c r="F4" s="2400"/>
      <c r="G4" s="2282"/>
      <c r="H4" s="2399"/>
      <c r="I4" s="2405"/>
      <c r="J4" s="2287"/>
      <c r="K4" s="2287"/>
      <c r="L4" s="2287"/>
      <c r="M4" s="2312"/>
      <c r="N4" s="1612">
        <v>2.5000000000000001E-3</v>
      </c>
      <c r="O4" s="2399"/>
      <c r="P4" s="2410"/>
      <c r="Q4" s="2399"/>
      <c r="R4" s="2405"/>
      <c r="S4" s="2405"/>
      <c r="T4" s="2405"/>
      <c r="U4" s="2239"/>
      <c r="V4" s="2239"/>
      <c r="W4" s="2285"/>
      <c r="X4" s="2285"/>
      <c r="Y4" s="2285"/>
      <c r="Z4" s="2285"/>
      <c r="AA4" s="1624"/>
      <c r="AB4" s="2287"/>
      <c r="AC4" s="1612">
        <v>2.5000000000000001E-3</v>
      </c>
      <c r="AD4" s="2403"/>
      <c r="AE4" s="2420"/>
      <c r="AF4" s="2422"/>
      <c r="AG4" s="1604"/>
      <c r="AH4" s="1604"/>
      <c r="AI4" s="1604"/>
      <c r="AJ4" s="2302"/>
      <c r="AK4" s="2302"/>
      <c r="AM4" s="2394"/>
      <c r="AN4" s="2396"/>
    </row>
    <row r="5" spans="1:41" s="532" customFormat="1" ht="18" customHeight="1">
      <c r="A5" s="529"/>
      <c r="B5" s="529"/>
      <c r="C5" s="530">
        <v>1</v>
      </c>
      <c r="D5" s="531">
        <f>C5+1</f>
        <v>2</v>
      </c>
      <c r="E5" s="531">
        <f>D5+1</f>
        <v>3</v>
      </c>
      <c r="F5" s="531">
        <f>E5+1</f>
        <v>4</v>
      </c>
      <c r="G5" s="531">
        <f>F5+1</f>
        <v>5</v>
      </c>
      <c r="H5" s="531">
        <f t="shared" ref="H5" si="0">G5+1</f>
        <v>6</v>
      </c>
      <c r="I5" s="531">
        <f t="shared" ref="I5:J5" si="1">H5+1</f>
        <v>7</v>
      </c>
      <c r="J5" s="531">
        <f t="shared" si="1"/>
        <v>8</v>
      </c>
      <c r="K5" s="531">
        <f t="shared" ref="K5" si="2">J5+1</f>
        <v>9</v>
      </c>
      <c r="L5" s="531">
        <f t="shared" ref="L5" si="3">K5+1</f>
        <v>10</v>
      </c>
      <c r="M5" s="531">
        <f t="shared" ref="M5:N5" si="4">L5+1</f>
        <v>11</v>
      </c>
      <c r="N5" s="531">
        <f t="shared" si="4"/>
        <v>12</v>
      </c>
      <c r="O5" s="531">
        <f t="shared" ref="O5" si="5">N5+1</f>
        <v>13</v>
      </c>
      <c r="P5" s="531">
        <f t="shared" ref="P5" si="6">O5+1</f>
        <v>14</v>
      </c>
      <c r="Q5" s="531">
        <f t="shared" ref="Q5" si="7">P5+1</f>
        <v>15</v>
      </c>
      <c r="R5" s="531">
        <f t="shared" ref="R5" si="8">Q5+1</f>
        <v>16</v>
      </c>
      <c r="S5" s="531">
        <f t="shared" ref="S5" si="9">R5+1</f>
        <v>17</v>
      </c>
      <c r="T5" s="531">
        <f t="shared" ref="T5" si="10">S5+1</f>
        <v>18</v>
      </c>
      <c r="U5" s="531">
        <f t="shared" ref="U5" si="11">T5+1</f>
        <v>19</v>
      </c>
      <c r="V5" s="531">
        <f t="shared" ref="V5" si="12">U5+1</f>
        <v>20</v>
      </c>
      <c r="W5" s="531">
        <f t="shared" ref="W5" si="13">V5+1</f>
        <v>21</v>
      </c>
      <c r="X5" s="531">
        <f t="shared" ref="X5" si="14">W5+1</f>
        <v>22</v>
      </c>
      <c r="Y5" s="531">
        <f t="shared" ref="Y5" si="15">X5+1</f>
        <v>23</v>
      </c>
      <c r="Z5" s="531">
        <f t="shared" ref="Z5" si="16">Y5+1</f>
        <v>24</v>
      </c>
      <c r="AA5" s="531">
        <f t="shared" ref="AA5" si="17">Z5+1</f>
        <v>25</v>
      </c>
      <c r="AB5" s="531">
        <f t="shared" ref="AB5" si="18">AA5+1</f>
        <v>26</v>
      </c>
      <c r="AC5" s="531">
        <f t="shared" ref="AC5" si="19">AB5+1</f>
        <v>27</v>
      </c>
      <c r="AD5" s="531">
        <f t="shared" ref="AD5" si="20">AC5+1</f>
        <v>28</v>
      </c>
      <c r="AE5" s="531">
        <f t="shared" ref="AE5" si="21">AD5+1</f>
        <v>29</v>
      </c>
      <c r="AF5" s="531">
        <f t="shared" ref="AF5" si="22">AE5+1</f>
        <v>30</v>
      </c>
      <c r="AG5" s="531">
        <f t="shared" ref="AG5" si="23">AF5+1</f>
        <v>31</v>
      </c>
      <c r="AH5" s="531">
        <f t="shared" ref="AH5" si="24">AG5+1</f>
        <v>32</v>
      </c>
      <c r="AI5" s="531">
        <f t="shared" ref="AI5" si="25">AH5+1</f>
        <v>33</v>
      </c>
      <c r="AJ5" s="531">
        <f t="shared" ref="AJ5" si="26">AI5+1</f>
        <v>34</v>
      </c>
      <c r="AK5" s="531">
        <f t="shared" ref="AK5" si="27">AJ5+1</f>
        <v>35</v>
      </c>
    </row>
    <row r="6" spans="1:41" s="533" customFormat="1" ht="17.25" customHeight="1">
      <c r="A6" s="101">
        <v>1</v>
      </c>
      <c r="B6" s="772" t="s">
        <v>92</v>
      </c>
      <c r="C6" s="1859">
        <f>'2-1-13 SIS'!J7</f>
        <v>14</v>
      </c>
      <c r="D6" s="1860">
        <f>'Table 3 Levels 1&amp;2'!AL8*90%</f>
        <v>4137.8294406509494</v>
      </c>
      <c r="E6" s="1860">
        <f>C6*D6</f>
        <v>57929.612169113294</v>
      </c>
      <c r="F6" s="1861">
        <f>'Table 4 Level 3'!P6*90%</f>
        <v>699.73200000000008</v>
      </c>
      <c r="G6" s="1861">
        <f>F6*C6</f>
        <v>9796.2480000000014</v>
      </c>
      <c r="H6" s="1861">
        <f>E6+G6</f>
        <v>67725.860169113294</v>
      </c>
      <c r="I6" s="1861">
        <f>(('Table 3 Levels 1&amp;2'!AL8-D6)+('Table 4 Level 3'!P6-F6))*C6</f>
        <v>7525.0955743459244</v>
      </c>
      <c r="J6" s="1861">
        <f>+'[3]Oct midyear LA Virtual Admy'!K4</f>
        <v>19350.245762603798</v>
      </c>
      <c r="K6" s="1861">
        <f>'[3]Feb midyear LA Virtual Admy'!K4</f>
        <v>0</v>
      </c>
      <c r="L6" s="1861">
        <f>+J6+K6</f>
        <v>19350.245762603798</v>
      </c>
      <c r="M6" s="1861">
        <f t="shared" ref="M6:M37" si="28">H6+L6</f>
        <v>87076.105931717088</v>
      </c>
      <c r="N6" s="1861">
        <f t="shared" ref="N6:N37" si="29">-0.25%*M6</f>
        <v>-217.69026482929272</v>
      </c>
      <c r="O6" s="1862">
        <f t="shared" ref="O6:O37" si="30">M6+N6</f>
        <v>86858.415666887799</v>
      </c>
      <c r="P6" s="1863">
        <f>'[34]LAVCA Adjustment'!X5++'[32]Oct midyear LA Virtual Admy'!K4+'[35]Feb midyear adj_LA virtual '!M6</f>
        <v>-464.33756053426259</v>
      </c>
      <c r="Q6" s="1864">
        <f>SUM(O6:P6)</f>
        <v>86394.07810635354</v>
      </c>
      <c r="R6" s="1864">
        <f>'[4]Table 5C2 - LA Virtual Admy'!N4+'[27]Table 5C2 - LA Virtual Admy'!V4+('[26]Table 5C2 - LA Virtual Admy'!V4*6)</f>
        <v>82715</v>
      </c>
      <c r="S6" s="1864">
        <f>Q6-R6</f>
        <v>3679.0781063535396</v>
      </c>
      <c r="T6" s="1864">
        <f>ROUND(S6/4,0)</f>
        <v>920</v>
      </c>
      <c r="U6" s="1865">
        <f>'Table 5C1A-Madison Prep'!T8*90%</f>
        <v>1962</v>
      </c>
      <c r="V6" s="1866">
        <f t="shared" ref="V6:V37" si="31">U6*C6</f>
        <v>27468</v>
      </c>
      <c r="W6" s="2059">
        <f>+'[3]Oct midyear LA Virtual Admy'!E4</f>
        <v>4</v>
      </c>
      <c r="X6" s="1866">
        <f>W6*U6</f>
        <v>7848</v>
      </c>
      <c r="Y6" s="1932">
        <f>'[3]Feb midyear LA Virtual Admy'!E4</f>
        <v>0</v>
      </c>
      <c r="Z6" s="1866">
        <f>(U6*Y6)*0.5</f>
        <v>0</v>
      </c>
      <c r="AA6" s="1866">
        <f>+X6+Z6</f>
        <v>7848</v>
      </c>
      <c r="AB6" s="1866">
        <f>AA6+V6</f>
        <v>35316</v>
      </c>
      <c r="AC6" s="1866">
        <f>AB6*-0.25%</f>
        <v>-88.29</v>
      </c>
      <c r="AD6" s="1866">
        <f>SUM(AB6:AC6)</f>
        <v>35227.71</v>
      </c>
      <c r="AE6" s="1865">
        <f>'[34]LAVCA Adjustment'!AB5+'[32]Oct midyear LA Virtual Admy'!P4+'[35]Feb midyear adj_LA virtual '!S6</f>
        <v>-1824.3</v>
      </c>
      <c r="AF6" s="1867">
        <f>SUM(AD6:AE6)</f>
        <v>33403.409999999996</v>
      </c>
      <c r="AG6" s="1868">
        <f>'[4]Table 5C2 - LA Virtual Admy'!U4+'[27]Table 5C2 - LA Virtual Admy'!AH4+('[26]Table 5C2 - LA Virtual Admy'!AH4*6)</f>
        <v>32270</v>
      </c>
      <c r="AH6" s="1867">
        <f>AF6-AG6</f>
        <v>1133.4099999999962</v>
      </c>
      <c r="AI6" s="1867">
        <f>ROUND(AH6/4,0)</f>
        <v>283</v>
      </c>
      <c r="AJ6" s="1869">
        <f>AF6+Q6</f>
        <v>119797.48810635353</v>
      </c>
      <c r="AK6" s="1869">
        <f>T6+AI6</f>
        <v>1203</v>
      </c>
      <c r="AM6" s="2042">
        <f>-'[4]Table 5C2 - LA Virtual Admy'!Q4</f>
        <v>68</v>
      </c>
      <c r="AN6" s="2042">
        <f>AC6</f>
        <v>-88.29</v>
      </c>
      <c r="AO6" s="2042">
        <f>SUM(AM6:AN6)</f>
        <v>-20.290000000000006</v>
      </c>
    </row>
    <row r="7" spans="1:41" s="533" customFormat="1" ht="17.25" customHeight="1">
      <c r="A7" s="101">
        <v>2</v>
      </c>
      <c r="B7" s="772" t="s">
        <v>93</v>
      </c>
      <c r="C7" s="1870">
        <f>'2-1-13 SIS'!J8</f>
        <v>4</v>
      </c>
      <c r="D7" s="1871">
        <f>'Table 3 Levels 1&amp;2'!AL9*90%</f>
        <v>5564.1882190624538</v>
      </c>
      <c r="E7" s="1871">
        <f t="shared" ref="E7:E70" si="32">C7*D7</f>
        <v>22256.752876249815</v>
      </c>
      <c r="F7" s="1872">
        <f>'Table 4 Level 3'!P7*90%</f>
        <v>758.08800000000008</v>
      </c>
      <c r="G7" s="1872">
        <f t="shared" ref="G7:G70" si="33">F7*C7</f>
        <v>3032.3520000000003</v>
      </c>
      <c r="H7" s="1872">
        <f t="shared" ref="H7:H70" si="34">E7+G7</f>
        <v>25289.104876249814</v>
      </c>
      <c r="I7" s="1872">
        <f>(('Table 3 Levels 1&amp;2'!AL9-D7)+('Table 4 Level 3'!P7-F7))*C7</f>
        <v>2809.9005418055349</v>
      </c>
      <c r="J7" s="1872">
        <f>+'[3]Oct midyear LA Virtual Admy'!K5</f>
        <v>12644.552438124907</v>
      </c>
      <c r="K7" s="1872">
        <f>'[3]Feb midyear LA Virtual Admy'!K5</f>
        <v>6322.2762190624535</v>
      </c>
      <c r="L7" s="1872">
        <f t="shared" ref="L7:L70" si="35">+J7+K7</f>
        <v>18966.828657187361</v>
      </c>
      <c r="M7" s="1872">
        <f t="shared" si="28"/>
        <v>44255.933533437172</v>
      </c>
      <c r="N7" s="1872">
        <f t="shared" si="29"/>
        <v>-110.63983383359293</v>
      </c>
      <c r="O7" s="1873">
        <f t="shared" si="30"/>
        <v>44145.293699603579</v>
      </c>
      <c r="P7" s="1873">
        <f>'[34]LAVCA Adjustment'!X6++'[32]Oct midyear LA Virtual Admy'!K5+'[35]Feb midyear adj_LA virtual '!M7</f>
        <v>3101.4270449050746</v>
      </c>
      <c r="Q7" s="1874">
        <f t="shared" ref="Q7:Q70" si="36">SUM(O7:P7)</f>
        <v>47246.720744508653</v>
      </c>
      <c r="R7" s="1874">
        <f>'[4]Table 5C2 - LA Virtual Admy'!N5+'[27]Table 5C2 - LA Virtual Admy'!V5+('[26]Table 5C2 - LA Virtual Admy'!V5*6)</f>
        <v>41817</v>
      </c>
      <c r="S7" s="1874">
        <f t="shared" ref="S7:S70" si="37">Q7-R7</f>
        <v>5429.7207445086533</v>
      </c>
      <c r="T7" s="1874">
        <f t="shared" ref="T7:T70" si="38">ROUND(S7/4,0)</f>
        <v>1357</v>
      </c>
      <c r="U7" s="1875">
        <f>'Table 5C1A-Madison Prep'!T9*90%</f>
        <v>2483.1</v>
      </c>
      <c r="V7" s="1876">
        <f t="shared" si="31"/>
        <v>9932.4</v>
      </c>
      <c r="W7" s="2060">
        <f>+'[3]Oct midyear LA Virtual Admy'!E5</f>
        <v>2</v>
      </c>
      <c r="X7" s="1876">
        <f t="shared" ref="X7:X70" si="39">W7*U7</f>
        <v>4966.2</v>
      </c>
      <c r="Y7" s="1933">
        <f>'[3]Feb midyear LA Virtual Admy'!E5</f>
        <v>2</v>
      </c>
      <c r="Z7" s="1876">
        <f t="shared" ref="Z7:Z70" si="40">(U7*Y7)*0.5</f>
        <v>2483.1</v>
      </c>
      <c r="AA7" s="1876">
        <f t="shared" ref="AA7:AA70" si="41">+X7+Z7</f>
        <v>7449.2999999999993</v>
      </c>
      <c r="AB7" s="1876">
        <f t="shared" ref="AB7:AB70" si="42">AA7+V7</f>
        <v>17381.699999999997</v>
      </c>
      <c r="AC7" s="1876">
        <f t="shared" ref="AC7:AC70" si="43">AB7*-0.25%</f>
        <v>-43.454249999999995</v>
      </c>
      <c r="AD7" s="1876">
        <f t="shared" ref="AD7:AD70" si="44">SUM(AB7:AC7)</f>
        <v>17338.245749999998</v>
      </c>
      <c r="AE7" s="1875">
        <f>'[34]LAVCA Adjustment'!AB6+'[32]Oct midyear LA Virtual Admy'!P5+'[35]Feb midyear adj_LA virtual '!S7</f>
        <v>1154.25</v>
      </c>
      <c r="AF7" s="1877">
        <f t="shared" ref="AF7:AF70" si="45">SUM(AD7:AE7)</f>
        <v>18492.495749999998</v>
      </c>
      <c r="AG7" s="1877">
        <f>'[4]Table 5C2 - LA Virtual Admy'!U5+'[27]Table 5C2 - LA Virtual Admy'!AH5+('[26]Table 5C2 - LA Virtual Admy'!AH5*6)</f>
        <v>15635</v>
      </c>
      <c r="AH7" s="1877">
        <f t="shared" ref="AH7:AH70" si="46">AF7-AG7</f>
        <v>2857.4957499999982</v>
      </c>
      <c r="AI7" s="1877">
        <f t="shared" ref="AI7:AI70" si="47">ROUND(AH7/4,0)</f>
        <v>714</v>
      </c>
      <c r="AJ7" s="1878">
        <f t="shared" ref="AJ7:AJ70" si="48">AF7+Q7</f>
        <v>65739.216494508655</v>
      </c>
      <c r="AK7" s="1878">
        <f t="shared" ref="AK7:AK70" si="49">T7+AI7</f>
        <v>2071</v>
      </c>
      <c r="AM7" s="2042">
        <f>-'[4]Table 5C2 - LA Virtual Admy'!Q5</f>
        <v>24</v>
      </c>
      <c r="AN7" s="2042">
        <f t="shared" ref="AN7:AN70" si="50">AC7</f>
        <v>-43.454249999999995</v>
      </c>
      <c r="AO7" s="2042">
        <f t="shared" ref="AO7:AO70" si="51">SUM(AM7:AN7)</f>
        <v>-19.454249999999995</v>
      </c>
    </row>
    <row r="8" spans="1:41" s="533" customFormat="1" ht="17.25" customHeight="1">
      <c r="A8" s="101">
        <v>3</v>
      </c>
      <c r="B8" s="772" t="s">
        <v>94</v>
      </c>
      <c r="C8" s="1870">
        <f>'2-1-13 SIS'!J9</f>
        <v>40</v>
      </c>
      <c r="D8" s="1871">
        <f>'Table 3 Levels 1&amp;2'!AL10*90%</f>
        <v>3786.0396639168248</v>
      </c>
      <c r="E8" s="1871">
        <f t="shared" si="32"/>
        <v>151441.58655667299</v>
      </c>
      <c r="F8" s="1872">
        <f>'Table 4 Level 3'!P8*90%</f>
        <v>537.15600000000006</v>
      </c>
      <c r="G8" s="1872">
        <f t="shared" si="33"/>
        <v>21486.240000000002</v>
      </c>
      <c r="H8" s="1872">
        <f t="shared" si="34"/>
        <v>172927.82655667298</v>
      </c>
      <c r="I8" s="1872">
        <f>(('Table 3 Levels 1&amp;2'!AL10-D8)+('Table 4 Level 3'!P8-F8))*C8</f>
        <v>19214.202950741448</v>
      </c>
      <c r="J8" s="1872">
        <f>+'[3]Oct midyear LA Virtual Admy'!K6</f>
        <v>51878.347967001901</v>
      </c>
      <c r="K8" s="1872">
        <f>'[3]Feb midyear LA Virtual Admy'!K6</f>
        <v>2161.5978319584124</v>
      </c>
      <c r="L8" s="1872">
        <f t="shared" si="35"/>
        <v>54039.945798960311</v>
      </c>
      <c r="M8" s="1872">
        <f t="shared" si="28"/>
        <v>226967.77235563329</v>
      </c>
      <c r="N8" s="1872">
        <f t="shared" si="29"/>
        <v>-567.41943088908329</v>
      </c>
      <c r="O8" s="1873">
        <f t="shared" si="30"/>
        <v>226400.35292474422</v>
      </c>
      <c r="P8" s="1873">
        <f>'[34]LAVCA Adjustment'!X7++'[32]Oct midyear LA Virtual Admy'!K6+'[35]Feb midyear adj_LA virtual '!M8</f>
        <v>6373.8695586895901</v>
      </c>
      <c r="Q8" s="1874">
        <f t="shared" si="36"/>
        <v>232774.22248343381</v>
      </c>
      <c r="R8" s="1874">
        <f>'[4]Table 5C2 - LA Virtual Admy'!N6+'[27]Table 5C2 - LA Virtual Admy'!V6+('[26]Table 5C2 - LA Virtual Admy'!V6*6)</f>
        <v>153668</v>
      </c>
      <c r="S8" s="1874">
        <f t="shared" si="37"/>
        <v>79106.222483433812</v>
      </c>
      <c r="T8" s="1874">
        <f t="shared" si="38"/>
        <v>19777</v>
      </c>
      <c r="U8" s="1875">
        <f>'Table 5C1A-Madison Prep'!T10*90%</f>
        <v>4984.2</v>
      </c>
      <c r="V8" s="1876">
        <f t="shared" si="31"/>
        <v>199368</v>
      </c>
      <c r="W8" s="2060">
        <f>+'[3]Oct midyear LA Virtual Admy'!E6</f>
        <v>12</v>
      </c>
      <c r="X8" s="1876">
        <f t="shared" si="39"/>
        <v>59810.399999999994</v>
      </c>
      <c r="Y8" s="1933">
        <f>'[3]Feb midyear LA Virtual Admy'!E6</f>
        <v>1</v>
      </c>
      <c r="Z8" s="1876">
        <f t="shared" si="40"/>
        <v>2492.1</v>
      </c>
      <c r="AA8" s="1876">
        <f t="shared" si="41"/>
        <v>62302.499999999993</v>
      </c>
      <c r="AB8" s="1876">
        <f t="shared" si="42"/>
        <v>261670.5</v>
      </c>
      <c r="AC8" s="1876">
        <f t="shared" si="43"/>
        <v>-654.17624999999998</v>
      </c>
      <c r="AD8" s="1876">
        <f t="shared" si="44"/>
        <v>261016.32375000001</v>
      </c>
      <c r="AE8" s="1875">
        <f>'[34]LAVCA Adjustment'!AB7+'[32]Oct midyear LA Virtual Admy'!P6+'[35]Feb midyear adj_LA virtual '!S8</f>
        <v>6211.35</v>
      </c>
      <c r="AF8" s="1877">
        <f t="shared" si="45"/>
        <v>267227.67375000002</v>
      </c>
      <c r="AG8" s="1877">
        <f>'[4]Table 5C2 - LA Virtual Admy'!U6+'[27]Table 5C2 - LA Virtual Admy'!AH6+('[26]Table 5C2 - LA Virtual Admy'!AH6*6)</f>
        <v>173078</v>
      </c>
      <c r="AH8" s="1877">
        <f t="shared" si="46"/>
        <v>94149.673750000016</v>
      </c>
      <c r="AI8" s="1877">
        <f t="shared" si="47"/>
        <v>23537</v>
      </c>
      <c r="AJ8" s="1878">
        <f t="shared" si="48"/>
        <v>500001.89623343386</v>
      </c>
      <c r="AK8" s="1878">
        <f t="shared" si="49"/>
        <v>43314</v>
      </c>
      <c r="AM8" s="2042">
        <f>-'[4]Table 5C2 - LA Virtual Admy'!Q6</f>
        <v>489</v>
      </c>
      <c r="AN8" s="2042">
        <f t="shared" si="50"/>
        <v>-654.17624999999998</v>
      </c>
      <c r="AO8" s="2042">
        <f t="shared" si="51"/>
        <v>-165.17624999999998</v>
      </c>
    </row>
    <row r="9" spans="1:41" s="533" customFormat="1" ht="17.25" customHeight="1">
      <c r="A9" s="101">
        <v>4</v>
      </c>
      <c r="B9" s="772" t="s">
        <v>95</v>
      </c>
      <c r="C9" s="1870">
        <f>'2-1-13 SIS'!J10</f>
        <v>3</v>
      </c>
      <c r="D9" s="1871">
        <f>'Table 3 Levels 1&amp;2'!AL11*90%</f>
        <v>5388.7494181907905</v>
      </c>
      <c r="E9" s="1871">
        <f t="shared" si="32"/>
        <v>16166.248254572372</v>
      </c>
      <c r="F9" s="1872">
        <f>'Table 4 Level 3'!P9*90%</f>
        <v>527.18399999999997</v>
      </c>
      <c r="G9" s="1872">
        <f t="shared" si="33"/>
        <v>1581.5519999999999</v>
      </c>
      <c r="H9" s="1872">
        <f t="shared" si="34"/>
        <v>17747.800254572372</v>
      </c>
      <c r="I9" s="1872">
        <f>(('Table 3 Levels 1&amp;2'!AL11-D9)+('Table 4 Level 3'!P9-F9))*C9</f>
        <v>1971.9778060635954</v>
      </c>
      <c r="J9" s="1872">
        <f>+'[3]Oct midyear LA Virtual Admy'!K7</f>
        <v>-5915.9334181907907</v>
      </c>
      <c r="K9" s="1872">
        <f>'[3]Feb midyear LA Virtual Admy'!K7</f>
        <v>-2957.9667090953953</v>
      </c>
      <c r="L9" s="1872">
        <f t="shared" si="35"/>
        <v>-8873.900127286186</v>
      </c>
      <c r="M9" s="1872">
        <f t="shared" si="28"/>
        <v>8873.900127286186</v>
      </c>
      <c r="N9" s="1872">
        <f t="shared" si="29"/>
        <v>-22.184750318215464</v>
      </c>
      <c r="O9" s="1873">
        <f t="shared" si="30"/>
        <v>8851.7153769679699</v>
      </c>
      <c r="P9" s="1873">
        <f>'[34]LAVCA Adjustment'!X8++'[32]Oct midyear LA Virtual Admy'!K7+'[35]Feb midyear adj_LA virtual '!M9</f>
        <v>-23859.7613176333</v>
      </c>
      <c r="Q9" s="1874">
        <f t="shared" si="36"/>
        <v>-15008.04594066533</v>
      </c>
      <c r="R9" s="1874">
        <f>'[4]Table 5C2 - LA Virtual Admy'!N7+'[27]Table 5C2 - LA Virtual Admy'!V7+('[26]Table 5C2 - LA Virtual Admy'!V7*6)</f>
        <v>-11827</v>
      </c>
      <c r="S9" s="1874">
        <f t="shared" si="37"/>
        <v>-3181.0459406653299</v>
      </c>
      <c r="T9" s="1874">
        <f t="shared" si="38"/>
        <v>-795</v>
      </c>
      <c r="U9" s="1875">
        <f>'Table 5C1A-Madison Prep'!T11*90%</f>
        <v>3156.3</v>
      </c>
      <c r="V9" s="1876">
        <f t="shared" si="31"/>
        <v>9468.9000000000015</v>
      </c>
      <c r="W9" s="2060">
        <f>+'[3]Oct midyear LA Virtual Admy'!E7</f>
        <v>-1</v>
      </c>
      <c r="X9" s="1876">
        <f t="shared" si="39"/>
        <v>-3156.3</v>
      </c>
      <c r="Y9" s="1933">
        <f>'[3]Feb midyear LA Virtual Admy'!E7</f>
        <v>-1</v>
      </c>
      <c r="Z9" s="1876">
        <f t="shared" si="40"/>
        <v>-1578.15</v>
      </c>
      <c r="AA9" s="1876">
        <f t="shared" si="41"/>
        <v>-4734.4500000000007</v>
      </c>
      <c r="AB9" s="1876">
        <f t="shared" si="42"/>
        <v>4734.4500000000007</v>
      </c>
      <c r="AC9" s="1876">
        <f t="shared" si="43"/>
        <v>-11.836125000000003</v>
      </c>
      <c r="AD9" s="1876">
        <f t="shared" si="44"/>
        <v>4722.6138750000009</v>
      </c>
      <c r="AE9" s="1875">
        <f>'[34]LAVCA Adjustment'!AB8+'[32]Oct midyear LA Virtual Admy'!P7+'[35]Feb midyear adj_LA virtual '!S9</f>
        <v>-11502</v>
      </c>
      <c r="AF9" s="1877">
        <f t="shared" si="45"/>
        <v>-6779.3861249999991</v>
      </c>
      <c r="AG9" s="1877">
        <f>'[4]Table 5C2 - LA Virtual Admy'!U7+'[27]Table 5C2 - LA Virtual Admy'!AH7+('[26]Table 5C2 - LA Virtual Admy'!AH7*6)</f>
        <v>-5787</v>
      </c>
      <c r="AH9" s="1877">
        <f t="shared" si="46"/>
        <v>-992.38612499999908</v>
      </c>
      <c r="AI9" s="1877">
        <f t="shared" si="47"/>
        <v>-248</v>
      </c>
      <c r="AJ9" s="1878">
        <f t="shared" si="48"/>
        <v>-21787.432065665329</v>
      </c>
      <c r="AK9" s="1878">
        <f t="shared" si="49"/>
        <v>-1043</v>
      </c>
      <c r="AM9" s="2042">
        <f>-'[4]Table 5C2 - LA Virtual Admy'!Q7</f>
        <v>20</v>
      </c>
      <c r="AN9" s="2042">
        <f t="shared" si="50"/>
        <v>-11.836125000000003</v>
      </c>
      <c r="AO9" s="2042">
        <f t="shared" si="51"/>
        <v>8.1638749999999973</v>
      </c>
    </row>
    <row r="10" spans="1:41" s="533" customFormat="1" ht="17.25" customHeight="1">
      <c r="A10" s="102">
        <v>5</v>
      </c>
      <c r="B10" s="773" t="s">
        <v>96</v>
      </c>
      <c r="C10" s="1879">
        <f>'2-1-13 SIS'!J11</f>
        <v>20</v>
      </c>
      <c r="D10" s="1880">
        <f>'Table 3 Levels 1&amp;2'!AL12*90%</f>
        <v>4488.1350234372067</v>
      </c>
      <c r="E10" s="1880">
        <f t="shared" si="32"/>
        <v>89762.700468744137</v>
      </c>
      <c r="F10" s="1881">
        <f>'Table 4 Level 3'!P10*90%</f>
        <v>500.31899999999996</v>
      </c>
      <c r="G10" s="1881">
        <f t="shared" si="33"/>
        <v>10006.379999999999</v>
      </c>
      <c r="H10" s="1881">
        <f t="shared" si="34"/>
        <v>99769.080468744141</v>
      </c>
      <c r="I10" s="1881">
        <f>(('Table 3 Levels 1&amp;2'!AL12-D10)+('Table 4 Level 3'!P10-F10))*C10</f>
        <v>11085.453385416014</v>
      </c>
      <c r="J10" s="1881">
        <f>+'[3]Oct midyear LA Virtual Admy'!K8</f>
        <v>44896.086210934867</v>
      </c>
      <c r="K10" s="1881">
        <f>'[3]Feb midyear LA Virtual Admy'!K8</f>
        <v>-2494.2270117186035</v>
      </c>
      <c r="L10" s="1881">
        <f t="shared" si="35"/>
        <v>42401.859199216262</v>
      </c>
      <c r="M10" s="1881">
        <f t="shared" si="28"/>
        <v>142170.9396679604</v>
      </c>
      <c r="N10" s="1881">
        <f t="shared" si="29"/>
        <v>-355.42734916990099</v>
      </c>
      <c r="O10" s="1882">
        <f t="shared" si="30"/>
        <v>141815.51231879048</v>
      </c>
      <c r="P10" s="1882">
        <f>'[34]LAVCA Adjustment'!X9++'[32]Oct midyear LA Virtual Admy'!K8+'[35]Feb midyear adj_LA virtual '!M10</f>
        <v>12232.446880240954</v>
      </c>
      <c r="Q10" s="1883">
        <f t="shared" si="36"/>
        <v>154047.95919903144</v>
      </c>
      <c r="R10" s="1883">
        <f>'[4]Table 5C2 - LA Virtual Admy'!N8+'[27]Table 5C2 - LA Virtual Admy'!V8+('[26]Table 5C2 - LA Virtual Admy'!V8*6)</f>
        <v>89067</v>
      </c>
      <c r="S10" s="1883">
        <f t="shared" si="37"/>
        <v>64980.959199031437</v>
      </c>
      <c r="T10" s="1883">
        <f t="shared" si="38"/>
        <v>16245</v>
      </c>
      <c r="U10" s="1884">
        <f>'Table 5C1A-Madison Prep'!T12*90%</f>
        <v>1877.4</v>
      </c>
      <c r="V10" s="1885">
        <f t="shared" si="31"/>
        <v>37548</v>
      </c>
      <c r="W10" s="2061">
        <f>+'[3]Oct midyear LA Virtual Admy'!E8</f>
        <v>9</v>
      </c>
      <c r="X10" s="1885">
        <f t="shared" si="39"/>
        <v>16896.600000000002</v>
      </c>
      <c r="Y10" s="1934">
        <f>'[3]Feb midyear LA Virtual Admy'!E8</f>
        <v>-1</v>
      </c>
      <c r="Z10" s="1885">
        <f t="shared" si="40"/>
        <v>-938.7</v>
      </c>
      <c r="AA10" s="1885">
        <f t="shared" si="41"/>
        <v>15957.900000000001</v>
      </c>
      <c r="AB10" s="1885">
        <f t="shared" si="42"/>
        <v>53505.9</v>
      </c>
      <c r="AC10" s="1885">
        <f t="shared" si="43"/>
        <v>-133.76474999999999</v>
      </c>
      <c r="AD10" s="1885">
        <f t="shared" si="44"/>
        <v>53372.135249999999</v>
      </c>
      <c r="AE10" s="1884">
        <f>'[34]LAVCA Adjustment'!AB9+'[32]Oct midyear LA Virtual Admy'!P8+'[35]Feb midyear adj_LA virtual '!S10</f>
        <v>2900.2500000000005</v>
      </c>
      <c r="AF10" s="1886">
        <f t="shared" si="45"/>
        <v>56272.385249999999</v>
      </c>
      <c r="AG10" s="1886">
        <f>'[4]Table 5C2 - LA Virtual Admy'!U8+'[27]Table 5C2 - LA Virtual Admy'!AH8+('[26]Table 5C2 - LA Virtual Admy'!AH8*6)</f>
        <v>27494</v>
      </c>
      <c r="AH10" s="1886">
        <f t="shared" si="46"/>
        <v>28778.385249999999</v>
      </c>
      <c r="AI10" s="1886">
        <f t="shared" si="47"/>
        <v>7195</v>
      </c>
      <c r="AJ10" s="1887">
        <f t="shared" si="48"/>
        <v>210320.34444903143</v>
      </c>
      <c r="AK10" s="1887">
        <f t="shared" si="49"/>
        <v>23440</v>
      </c>
      <c r="AM10" s="2042">
        <f>-'[4]Table 5C2 - LA Virtual Admy'!Q8</f>
        <v>79</v>
      </c>
      <c r="AN10" s="2042">
        <f t="shared" si="50"/>
        <v>-133.76474999999999</v>
      </c>
      <c r="AO10" s="2042">
        <f t="shared" si="51"/>
        <v>-54.764749999999992</v>
      </c>
    </row>
    <row r="11" spans="1:41" s="533" customFormat="1" ht="17.25" customHeight="1">
      <c r="A11" s="101">
        <v>6</v>
      </c>
      <c r="B11" s="772" t="s">
        <v>97</v>
      </c>
      <c r="C11" s="1859">
        <f>'2-1-13 SIS'!J12</f>
        <v>17</v>
      </c>
      <c r="D11" s="1860">
        <f>'Table 3 Levels 1&amp;2'!AL13*90%</f>
        <v>4871.5095063834533</v>
      </c>
      <c r="E11" s="1860">
        <f t="shared" si="32"/>
        <v>82815.661608518712</v>
      </c>
      <c r="F11" s="1861">
        <f>'Table 4 Level 3'!P11*90%</f>
        <v>490.9319999999999</v>
      </c>
      <c r="G11" s="1861">
        <f t="shared" si="33"/>
        <v>8345.8439999999991</v>
      </c>
      <c r="H11" s="1861">
        <f t="shared" si="34"/>
        <v>91161.50560851871</v>
      </c>
      <c r="I11" s="1861">
        <f>(('Table 3 Levels 1&amp;2'!AL13-D11)+('Table 4 Level 3'!P11-F11))*C11</f>
        <v>10129.0561787243</v>
      </c>
      <c r="J11" s="1861">
        <f>+'[3]Oct midyear LA Virtual Admy'!K9</f>
        <v>64349.298076601437</v>
      </c>
      <c r="K11" s="1861">
        <f>'[3]Feb midyear LA Virtual Admy'!K9</f>
        <v>-21449.766025533812</v>
      </c>
      <c r="L11" s="1861">
        <f t="shared" si="35"/>
        <v>42899.532051067625</v>
      </c>
      <c r="M11" s="1861">
        <f t="shared" si="28"/>
        <v>134061.03765958635</v>
      </c>
      <c r="N11" s="1861">
        <f t="shared" si="29"/>
        <v>-335.15259414896587</v>
      </c>
      <c r="O11" s="1862">
        <f t="shared" si="30"/>
        <v>133725.88506543738</v>
      </c>
      <c r="P11" s="1862">
        <f>'[34]LAVCA Adjustment'!X10++'[32]Oct midyear LA Virtual Admy'!K9+'[35]Feb midyear adj_LA virtual '!M11</f>
        <v>0</v>
      </c>
      <c r="Q11" s="1864">
        <f t="shared" si="36"/>
        <v>133725.88506543738</v>
      </c>
      <c r="R11" s="1888">
        <f>'[4]Table 5C2 - LA Virtual Admy'!N9+'[27]Table 5C2 - LA Virtual Admy'!V9+('[26]Table 5C2 - LA Virtual Admy'!V9*6)</f>
        <v>100303</v>
      </c>
      <c r="S11" s="1864">
        <f t="shared" si="37"/>
        <v>33422.885065437382</v>
      </c>
      <c r="T11" s="1888">
        <f t="shared" si="38"/>
        <v>8356</v>
      </c>
      <c r="U11" s="1865">
        <f>'Table 5C1A-Madison Prep'!T13*90%</f>
        <v>3314.7000000000003</v>
      </c>
      <c r="V11" s="1866">
        <f t="shared" si="31"/>
        <v>56349.9</v>
      </c>
      <c r="W11" s="2059">
        <f>+'[3]Oct midyear LA Virtual Admy'!E9</f>
        <v>12</v>
      </c>
      <c r="X11" s="1866">
        <f t="shared" si="39"/>
        <v>39776.400000000001</v>
      </c>
      <c r="Y11" s="1932">
        <f>'[3]Feb midyear LA Virtual Admy'!E9</f>
        <v>-8</v>
      </c>
      <c r="Z11" s="1866">
        <f t="shared" si="40"/>
        <v>-13258.800000000001</v>
      </c>
      <c r="AA11" s="1866">
        <f t="shared" si="41"/>
        <v>26517.599999999999</v>
      </c>
      <c r="AB11" s="1866">
        <f t="shared" si="42"/>
        <v>82867.5</v>
      </c>
      <c r="AC11" s="1866">
        <f t="shared" si="43"/>
        <v>-207.16875000000002</v>
      </c>
      <c r="AD11" s="1866">
        <f t="shared" si="44"/>
        <v>82660.331250000003</v>
      </c>
      <c r="AE11" s="1865">
        <f>'[34]LAVCA Adjustment'!AB10+'[32]Oct midyear LA Virtual Admy'!P9+'[35]Feb midyear adj_LA virtual '!S11</f>
        <v>0</v>
      </c>
      <c r="AF11" s="1867">
        <f t="shared" si="45"/>
        <v>82660.331250000003</v>
      </c>
      <c r="AG11" s="1889">
        <f>'[4]Table 5C2 - LA Virtual Admy'!U9+'[27]Table 5C2 - LA Virtual Admy'!AH9+('[26]Table 5C2 - LA Virtual Admy'!AH9*6)</f>
        <v>62875</v>
      </c>
      <c r="AH11" s="1867">
        <f t="shared" si="46"/>
        <v>19785.331250000003</v>
      </c>
      <c r="AI11" s="1889">
        <f t="shared" si="47"/>
        <v>4946</v>
      </c>
      <c r="AJ11" s="1869">
        <f t="shared" si="48"/>
        <v>216386.2163154374</v>
      </c>
      <c r="AK11" s="1869">
        <f t="shared" si="49"/>
        <v>13302</v>
      </c>
      <c r="AM11" s="2042">
        <f>-'[4]Table 5C2 - LA Virtual Admy'!Q9</f>
        <v>143</v>
      </c>
      <c r="AN11" s="2042">
        <f t="shared" si="50"/>
        <v>-207.16875000000002</v>
      </c>
      <c r="AO11" s="2042">
        <f t="shared" si="51"/>
        <v>-64.168750000000017</v>
      </c>
    </row>
    <row r="12" spans="1:41" s="533" customFormat="1" ht="17.25" customHeight="1">
      <c r="A12" s="101">
        <v>7</v>
      </c>
      <c r="B12" s="772" t="s">
        <v>98</v>
      </c>
      <c r="C12" s="1870">
        <f>'2-1-13 SIS'!J13</f>
        <v>4</v>
      </c>
      <c r="D12" s="1871">
        <f>'Table 3 Levels 1&amp;2'!AL14*90%</f>
        <v>1589.4921243758511</v>
      </c>
      <c r="E12" s="1871">
        <f t="shared" si="32"/>
        <v>6357.9684975034043</v>
      </c>
      <c r="F12" s="1872">
        <f>'Table 4 Level 3'!P12*90%</f>
        <v>681.22799999999984</v>
      </c>
      <c r="G12" s="1872">
        <f t="shared" si="33"/>
        <v>2724.9119999999994</v>
      </c>
      <c r="H12" s="1872">
        <f t="shared" si="34"/>
        <v>9082.8804975034036</v>
      </c>
      <c r="I12" s="1872">
        <f>(('Table 3 Levels 1&amp;2'!AL14-D12)+('Table 4 Level 3'!P12-F12))*C12</f>
        <v>1009.208944167045</v>
      </c>
      <c r="J12" s="1872">
        <f>+'[3]Oct midyear LA Virtual Admy'!K10</f>
        <v>6812.1603731275527</v>
      </c>
      <c r="K12" s="1872">
        <f>'[3]Feb midyear LA Virtual Admy'!K10</f>
        <v>-1135.3600621879255</v>
      </c>
      <c r="L12" s="1872">
        <f t="shared" si="35"/>
        <v>5676.8003109396268</v>
      </c>
      <c r="M12" s="1872">
        <f t="shared" si="28"/>
        <v>14759.68080844303</v>
      </c>
      <c r="N12" s="1872">
        <f t="shared" si="29"/>
        <v>-36.899202021107577</v>
      </c>
      <c r="O12" s="1873">
        <f t="shared" si="30"/>
        <v>14722.781606421922</v>
      </c>
      <c r="P12" s="1873">
        <f>'[34]LAVCA Adjustment'!X11++'[32]Oct midyear LA Virtual Admy'!K10+'[35]Feb midyear adj_LA virtual '!M12</f>
        <v>-4959.2499758303347</v>
      </c>
      <c r="Q12" s="1874">
        <f t="shared" si="36"/>
        <v>9763.5316305915876</v>
      </c>
      <c r="R12" s="1874">
        <f>'[4]Table 5C2 - LA Virtual Admy'!N10+'[27]Table 5C2 - LA Virtual Admy'!V10+('[26]Table 5C2 - LA Virtual Admy'!V10*6)</f>
        <v>6810</v>
      </c>
      <c r="S12" s="1874">
        <f t="shared" si="37"/>
        <v>2953.5316305915876</v>
      </c>
      <c r="T12" s="1874">
        <f t="shared" si="38"/>
        <v>738</v>
      </c>
      <c r="U12" s="1875">
        <f>'Table 5C1A-Madison Prep'!T14*90%</f>
        <v>10620.9</v>
      </c>
      <c r="V12" s="1876">
        <f t="shared" si="31"/>
        <v>42483.6</v>
      </c>
      <c r="W12" s="2060">
        <f>+'[3]Oct midyear LA Virtual Admy'!E10</f>
        <v>3</v>
      </c>
      <c r="X12" s="1876">
        <f t="shared" si="39"/>
        <v>31862.699999999997</v>
      </c>
      <c r="Y12" s="1933">
        <f>'[3]Feb midyear LA Virtual Admy'!E10</f>
        <v>-1</v>
      </c>
      <c r="Z12" s="1876">
        <f t="shared" si="40"/>
        <v>-5310.45</v>
      </c>
      <c r="AA12" s="1876">
        <f t="shared" si="41"/>
        <v>26552.249999999996</v>
      </c>
      <c r="AB12" s="1876">
        <f t="shared" si="42"/>
        <v>69035.849999999991</v>
      </c>
      <c r="AC12" s="1876">
        <f t="shared" si="43"/>
        <v>-172.58962499999998</v>
      </c>
      <c r="AD12" s="1876">
        <f t="shared" si="44"/>
        <v>68863.260374999998</v>
      </c>
      <c r="AE12" s="1875">
        <f>'[34]LAVCA Adjustment'!AB11+'[32]Oct midyear LA Virtual Admy'!P10+'[35]Feb midyear adj_LA virtual '!S12</f>
        <v>-28370.25</v>
      </c>
      <c r="AF12" s="1877">
        <f t="shared" si="45"/>
        <v>40493.010374999998</v>
      </c>
      <c r="AG12" s="1877">
        <f>'[4]Table 5C2 - LA Virtual Admy'!U10+'[27]Table 5C2 - LA Virtual Admy'!AH10+('[26]Table 5C2 - LA Virtual Admy'!AH10*6)</f>
        <v>26514</v>
      </c>
      <c r="AH12" s="1877">
        <f t="shared" si="46"/>
        <v>13979.010374999998</v>
      </c>
      <c r="AI12" s="1877">
        <f t="shared" si="47"/>
        <v>3495</v>
      </c>
      <c r="AJ12" s="1878">
        <f t="shared" si="48"/>
        <v>50256.542005591589</v>
      </c>
      <c r="AK12" s="1878">
        <f t="shared" si="49"/>
        <v>4233</v>
      </c>
      <c r="AM12" s="2042">
        <f>-'[4]Table 5C2 - LA Virtual Admy'!Q10</f>
        <v>102</v>
      </c>
      <c r="AN12" s="2042">
        <f t="shared" si="50"/>
        <v>-172.58962499999998</v>
      </c>
      <c r="AO12" s="2042">
        <f t="shared" si="51"/>
        <v>-70.589624999999984</v>
      </c>
    </row>
    <row r="13" spans="1:41" s="533" customFormat="1" ht="17.25" customHeight="1">
      <c r="A13" s="101">
        <v>8</v>
      </c>
      <c r="B13" s="772" t="s">
        <v>99</v>
      </c>
      <c r="C13" s="1870">
        <f>'2-1-13 SIS'!J14</f>
        <v>35</v>
      </c>
      <c r="D13" s="1871">
        <f>'Table 3 Levels 1&amp;2'!AL15*90%</f>
        <v>3860.5566246041099</v>
      </c>
      <c r="E13" s="1871">
        <f t="shared" si="32"/>
        <v>135119.48186114384</v>
      </c>
      <c r="F13" s="1872">
        <f>'Table 4 Level 3'!P13*90%</f>
        <v>653.18399999999997</v>
      </c>
      <c r="G13" s="1872">
        <f t="shared" si="33"/>
        <v>22861.439999999999</v>
      </c>
      <c r="H13" s="1872">
        <f t="shared" si="34"/>
        <v>157980.92186114384</v>
      </c>
      <c r="I13" s="1872">
        <f>(('Table 3 Levels 1&amp;2'!AL15-D13)+('Table 4 Level 3'!P13-F13))*C13</f>
        <v>17553.435762349312</v>
      </c>
      <c r="J13" s="1872">
        <f>+'[3]Oct midyear LA Virtual Admy'!K11</f>
        <v>171522.14373495619</v>
      </c>
      <c r="K13" s="1872">
        <f>'[3]Feb midyear LA Virtual Admy'!K11</f>
        <v>-11284.351561510275</v>
      </c>
      <c r="L13" s="1872">
        <f t="shared" si="35"/>
        <v>160237.79217344592</v>
      </c>
      <c r="M13" s="1872">
        <f t="shared" si="28"/>
        <v>318218.71403458976</v>
      </c>
      <c r="N13" s="1872">
        <f t="shared" si="29"/>
        <v>-795.54678508647442</v>
      </c>
      <c r="O13" s="1873">
        <f t="shared" si="30"/>
        <v>317423.16724950331</v>
      </c>
      <c r="P13" s="1873">
        <f>'[34]LAVCA Adjustment'!X12++'[32]Oct midyear LA Virtual Admy'!K11+'[35]Feb midyear adj_LA virtual '!M13</f>
        <v>0</v>
      </c>
      <c r="Q13" s="1874">
        <f t="shared" si="36"/>
        <v>317423.16724950331</v>
      </c>
      <c r="R13" s="1874">
        <f>'[4]Table 5C2 - LA Virtual Admy'!N11+'[27]Table 5C2 - LA Virtual Admy'!V11+('[26]Table 5C2 - LA Virtual Admy'!V11*6)</f>
        <v>252166</v>
      </c>
      <c r="S13" s="1874">
        <f t="shared" si="37"/>
        <v>65257.167249503313</v>
      </c>
      <c r="T13" s="1874">
        <f t="shared" si="38"/>
        <v>16314</v>
      </c>
      <c r="U13" s="1875">
        <f>'Table 5C1A-Madison Prep'!T15*90%</f>
        <v>3589.2000000000003</v>
      </c>
      <c r="V13" s="1876">
        <f t="shared" si="31"/>
        <v>125622.00000000001</v>
      </c>
      <c r="W13" s="2060">
        <f>+'[3]Oct midyear LA Virtual Admy'!E11</f>
        <v>38</v>
      </c>
      <c r="X13" s="1876">
        <f t="shared" si="39"/>
        <v>136389.6</v>
      </c>
      <c r="Y13" s="1933">
        <f>'[3]Feb midyear LA Virtual Admy'!E11</f>
        <v>-5</v>
      </c>
      <c r="Z13" s="1876">
        <f t="shared" si="40"/>
        <v>-8973</v>
      </c>
      <c r="AA13" s="1876">
        <f t="shared" si="41"/>
        <v>127416.6</v>
      </c>
      <c r="AB13" s="1876">
        <f t="shared" si="42"/>
        <v>253038.60000000003</v>
      </c>
      <c r="AC13" s="1876">
        <f t="shared" si="43"/>
        <v>-632.59650000000011</v>
      </c>
      <c r="AD13" s="1876">
        <f t="shared" si="44"/>
        <v>252406.00350000002</v>
      </c>
      <c r="AE13" s="1875">
        <f>'[34]LAVCA Adjustment'!AB12+'[32]Oct midyear LA Virtual Admy'!P11+'[35]Feb midyear adj_LA virtual '!S13</f>
        <v>0</v>
      </c>
      <c r="AF13" s="1877">
        <f t="shared" si="45"/>
        <v>252406.00350000002</v>
      </c>
      <c r="AG13" s="1877">
        <f>'[4]Table 5C2 - LA Virtual Admy'!U11+'[27]Table 5C2 - LA Virtual Admy'!AH11+('[26]Table 5C2 - LA Virtual Admy'!AH11*6)</f>
        <v>196843</v>
      </c>
      <c r="AH13" s="1877">
        <f t="shared" si="46"/>
        <v>55563.003500000021</v>
      </c>
      <c r="AI13" s="1877">
        <f t="shared" si="47"/>
        <v>13891</v>
      </c>
      <c r="AJ13" s="1878">
        <f t="shared" si="48"/>
        <v>569829.1707495033</v>
      </c>
      <c r="AK13" s="1878">
        <f t="shared" si="49"/>
        <v>30205</v>
      </c>
      <c r="AM13" s="2042">
        <f>-'[4]Table 5C2 - LA Virtual Admy'!Q11</f>
        <v>308</v>
      </c>
      <c r="AN13" s="2042">
        <f t="shared" si="50"/>
        <v>-632.59650000000011</v>
      </c>
      <c r="AO13" s="2042">
        <f t="shared" si="51"/>
        <v>-324.59650000000011</v>
      </c>
    </row>
    <row r="14" spans="1:41" s="533" customFormat="1" ht="17.25" customHeight="1">
      <c r="A14" s="101">
        <v>9</v>
      </c>
      <c r="B14" s="772" t="s">
        <v>100</v>
      </c>
      <c r="C14" s="1870">
        <f>'2-1-13 SIS'!J15</f>
        <v>87</v>
      </c>
      <c r="D14" s="1871">
        <f>'Table 3 Levels 1&amp;2'!AL16*90%</f>
        <v>3956.0539065200396</v>
      </c>
      <c r="E14" s="1871">
        <f t="shared" si="32"/>
        <v>344176.68986724346</v>
      </c>
      <c r="F14" s="1872">
        <f>'Table 4 Level 3'!P14*90%</f>
        <v>670.28399999999999</v>
      </c>
      <c r="G14" s="1872">
        <f t="shared" si="33"/>
        <v>58314.707999999999</v>
      </c>
      <c r="H14" s="1872">
        <f t="shared" si="34"/>
        <v>402491.39786724345</v>
      </c>
      <c r="I14" s="1872">
        <f>(('Table 3 Levels 1&amp;2'!AL16-D14)+('Table 4 Level 3'!P14-F14))*C14</f>
        <v>44721.266429693707</v>
      </c>
      <c r="J14" s="1872">
        <f>+'[3]Oct midyear LA Virtual Admy'!K12</f>
        <v>9252.6758130400794</v>
      </c>
      <c r="K14" s="1872">
        <f>'[3]Feb midyear LA Virtual Admy'!K12</f>
        <v>27758.02743912024</v>
      </c>
      <c r="L14" s="1872">
        <f t="shared" si="35"/>
        <v>37010.703252160318</v>
      </c>
      <c r="M14" s="1872">
        <f t="shared" si="28"/>
        <v>439502.10111940379</v>
      </c>
      <c r="N14" s="1872">
        <f t="shared" si="29"/>
        <v>-1098.7552527985094</v>
      </c>
      <c r="O14" s="1873">
        <f t="shared" si="30"/>
        <v>438403.34586660529</v>
      </c>
      <c r="P14" s="1873">
        <f>'[34]LAVCA Adjustment'!X13++'[32]Oct midyear LA Virtual Admy'!K12+'[35]Feb midyear adj_LA virtual '!M14</f>
        <v>3274.2239892255402</v>
      </c>
      <c r="Q14" s="1874">
        <f t="shared" si="36"/>
        <v>441677.56985583081</v>
      </c>
      <c r="R14" s="1874">
        <f>'[4]Table 5C2 - LA Virtual Admy'!N12+'[27]Table 5C2 - LA Virtual Admy'!V12+('[26]Table 5C2 - LA Virtual Admy'!V12*6)</f>
        <v>297195</v>
      </c>
      <c r="S14" s="1874">
        <f t="shared" si="37"/>
        <v>144482.56985583081</v>
      </c>
      <c r="T14" s="1874">
        <f t="shared" si="38"/>
        <v>36121</v>
      </c>
      <c r="U14" s="1875">
        <f>'Table 5C1A-Madison Prep'!T16*90%</f>
        <v>4209.3</v>
      </c>
      <c r="V14" s="1876">
        <f t="shared" si="31"/>
        <v>366209.10000000003</v>
      </c>
      <c r="W14" s="2060">
        <f>+'[3]Oct midyear LA Virtual Admy'!E12</f>
        <v>2</v>
      </c>
      <c r="X14" s="1876">
        <f t="shared" si="39"/>
        <v>8418.6</v>
      </c>
      <c r="Y14" s="1933">
        <f>'[3]Feb midyear LA Virtual Admy'!E12</f>
        <v>12</v>
      </c>
      <c r="Z14" s="1876">
        <f t="shared" si="40"/>
        <v>25255.800000000003</v>
      </c>
      <c r="AA14" s="1876">
        <f t="shared" si="41"/>
        <v>33674.400000000001</v>
      </c>
      <c r="AB14" s="1876">
        <f t="shared" si="42"/>
        <v>399883.50000000006</v>
      </c>
      <c r="AC14" s="1876">
        <f t="shared" si="43"/>
        <v>-999.70875000000012</v>
      </c>
      <c r="AD14" s="1876">
        <f t="shared" si="44"/>
        <v>398883.79125000007</v>
      </c>
      <c r="AE14" s="1875">
        <f>'[34]LAVCA Adjustment'!AB13+'[32]Oct midyear LA Virtual Admy'!P12+'[35]Feb midyear adj_LA virtual '!S14</f>
        <v>4122</v>
      </c>
      <c r="AF14" s="1877">
        <f t="shared" si="45"/>
        <v>403005.79125000007</v>
      </c>
      <c r="AG14" s="1877">
        <f>'[4]Table 5C2 - LA Virtual Admy'!U12+'[27]Table 5C2 - LA Virtual Admy'!AH12+('[26]Table 5C2 - LA Virtual Admy'!AH12*6)</f>
        <v>268297</v>
      </c>
      <c r="AH14" s="1877">
        <f t="shared" si="46"/>
        <v>134708.79125000007</v>
      </c>
      <c r="AI14" s="1877">
        <f t="shared" si="47"/>
        <v>33677</v>
      </c>
      <c r="AJ14" s="1878">
        <f t="shared" si="48"/>
        <v>844683.36110583087</v>
      </c>
      <c r="AK14" s="1878">
        <f t="shared" si="49"/>
        <v>69798</v>
      </c>
      <c r="AM14" s="2042">
        <f>-'[4]Table 5C2 - LA Virtual Admy'!Q12</f>
        <v>906</v>
      </c>
      <c r="AN14" s="2042">
        <f t="shared" si="50"/>
        <v>-999.70875000000012</v>
      </c>
      <c r="AO14" s="2042">
        <f t="shared" si="51"/>
        <v>-93.708750000000123</v>
      </c>
    </row>
    <row r="15" spans="1:41" s="533" customFormat="1" ht="17.25" customHeight="1">
      <c r="A15" s="102">
        <v>10</v>
      </c>
      <c r="B15" s="773" t="s">
        <v>101</v>
      </c>
      <c r="C15" s="1879">
        <f>'2-1-13 SIS'!J16</f>
        <v>57</v>
      </c>
      <c r="D15" s="1880">
        <f>'Table 3 Levels 1&amp;2'!AL17*90%</f>
        <v>3828.2382557093201</v>
      </c>
      <c r="E15" s="1880">
        <f t="shared" si="32"/>
        <v>218209.58057543126</v>
      </c>
      <c r="F15" s="1881">
        <f>'Table 4 Level 3'!P15*90%</f>
        <v>547.2360000000001</v>
      </c>
      <c r="G15" s="1881">
        <f t="shared" si="33"/>
        <v>31192.452000000005</v>
      </c>
      <c r="H15" s="1881">
        <f t="shared" si="34"/>
        <v>249402.03257543128</v>
      </c>
      <c r="I15" s="1881">
        <f>(('Table 3 Levels 1&amp;2'!AL17-D15)+('Table 4 Level 3'!P15-F15))*C15</f>
        <v>27711.336952825681</v>
      </c>
      <c r="J15" s="1881">
        <f>+'[3]Oct midyear LA Virtual Admy'!K13</f>
        <v>74383.062347058454</v>
      </c>
      <c r="K15" s="1881">
        <f>'[3]Feb midyear LA Virtual Admy'!K13</f>
        <v>8750.9485114186409</v>
      </c>
      <c r="L15" s="1881">
        <f t="shared" si="35"/>
        <v>83134.010858477093</v>
      </c>
      <c r="M15" s="1881">
        <f t="shared" si="28"/>
        <v>332536.04343390837</v>
      </c>
      <c r="N15" s="1881">
        <f t="shared" si="29"/>
        <v>-831.34010858477097</v>
      </c>
      <c r="O15" s="1882">
        <f t="shared" si="30"/>
        <v>331704.70332532359</v>
      </c>
      <c r="P15" s="1882">
        <f>'[34]LAVCA Adjustment'!X14++'[32]Oct midyear LA Virtual Admy'!K13+'[35]Feb midyear adj_LA virtual '!M15</f>
        <v>-12305.027538310864</v>
      </c>
      <c r="Q15" s="1883">
        <f t="shared" si="36"/>
        <v>319399.67578701273</v>
      </c>
      <c r="R15" s="1883">
        <f>'[4]Table 5C2 - LA Virtual Admy'!N13+'[27]Table 5C2 - LA Virtual Admy'!V13+('[26]Table 5C2 - LA Virtual Admy'!V13*6)</f>
        <v>170583</v>
      </c>
      <c r="S15" s="1883">
        <f t="shared" si="37"/>
        <v>148816.67578701273</v>
      </c>
      <c r="T15" s="1883">
        <f t="shared" si="38"/>
        <v>37204</v>
      </c>
      <c r="U15" s="1884">
        <f>'Table 5C1A-Madison Prep'!T17*90%</f>
        <v>4051.8</v>
      </c>
      <c r="V15" s="1885">
        <f t="shared" si="31"/>
        <v>230952.6</v>
      </c>
      <c r="W15" s="2061">
        <f>+'[3]Oct midyear LA Virtual Admy'!E13</f>
        <v>17</v>
      </c>
      <c r="X15" s="1885">
        <f t="shared" si="39"/>
        <v>68880.600000000006</v>
      </c>
      <c r="Y15" s="1934">
        <f>'[3]Feb midyear LA Virtual Admy'!E13</f>
        <v>4</v>
      </c>
      <c r="Z15" s="1885">
        <f t="shared" si="40"/>
        <v>8103.6</v>
      </c>
      <c r="AA15" s="1885">
        <f t="shared" si="41"/>
        <v>76984.200000000012</v>
      </c>
      <c r="AB15" s="1885">
        <f t="shared" si="42"/>
        <v>307936.80000000005</v>
      </c>
      <c r="AC15" s="1885">
        <f t="shared" si="43"/>
        <v>-769.8420000000001</v>
      </c>
      <c r="AD15" s="1885">
        <f t="shared" si="44"/>
        <v>307166.95800000004</v>
      </c>
      <c r="AE15" s="1884">
        <f>'[34]LAVCA Adjustment'!AB14+'[32]Oct midyear LA Virtual Admy'!P13+'[35]Feb midyear adj_LA virtual '!S15</f>
        <v>-11240.1</v>
      </c>
      <c r="AF15" s="1886">
        <f t="shared" si="45"/>
        <v>295926.85800000007</v>
      </c>
      <c r="AG15" s="1886">
        <f>'[4]Table 5C2 - LA Virtual Admy'!U13+'[27]Table 5C2 - LA Virtual Admy'!AH13+('[26]Table 5C2 - LA Virtual Admy'!AH13*6)</f>
        <v>157555</v>
      </c>
      <c r="AH15" s="1886">
        <f t="shared" si="46"/>
        <v>138371.85800000007</v>
      </c>
      <c r="AI15" s="1886">
        <f t="shared" si="47"/>
        <v>34593</v>
      </c>
      <c r="AJ15" s="1887">
        <f t="shared" si="48"/>
        <v>615326.5337870128</v>
      </c>
      <c r="AK15" s="1887">
        <f t="shared" si="49"/>
        <v>71797</v>
      </c>
      <c r="AM15" s="2042">
        <f>-'[4]Table 5C2 - LA Virtual Admy'!Q13</f>
        <v>576</v>
      </c>
      <c r="AN15" s="2042">
        <f t="shared" si="50"/>
        <v>-769.8420000000001</v>
      </c>
      <c r="AO15" s="2042">
        <f t="shared" si="51"/>
        <v>-193.8420000000001</v>
      </c>
    </row>
    <row r="16" spans="1:41" s="533" customFormat="1" ht="17.25" customHeight="1">
      <c r="A16" s="101">
        <v>11</v>
      </c>
      <c r="B16" s="772" t="s">
        <v>102</v>
      </c>
      <c r="C16" s="1859">
        <f>'2-1-13 SIS'!J17</f>
        <v>7</v>
      </c>
      <c r="D16" s="1860">
        <f>'Table 3 Levels 1&amp;2'!AL18*90%</f>
        <v>6167.6224591845157</v>
      </c>
      <c r="E16" s="1860">
        <f t="shared" si="32"/>
        <v>43173.357214291609</v>
      </c>
      <c r="F16" s="1861">
        <f>'Table 4 Level 3'!P16*90%</f>
        <v>635.89499999999998</v>
      </c>
      <c r="G16" s="1861">
        <f t="shared" si="33"/>
        <v>4451.2649999999994</v>
      </c>
      <c r="H16" s="1861">
        <f t="shared" si="34"/>
        <v>47624.622214291609</v>
      </c>
      <c r="I16" s="1861">
        <f>(('Table 3 Levels 1&amp;2'!AL18-D16)+('Table 4 Level 3'!P16-F16))*C16</f>
        <v>5291.6246904768414</v>
      </c>
      <c r="J16" s="1861">
        <f>+'[3]Oct midyear LA Virtual Admy'!K14</f>
        <v>-34017.587295922574</v>
      </c>
      <c r="K16" s="1861">
        <f>'[3]Feb midyear LA Virtual Admy'!K14</f>
        <v>6803.5174591845152</v>
      </c>
      <c r="L16" s="1861">
        <f t="shared" si="35"/>
        <v>-27214.069836738061</v>
      </c>
      <c r="M16" s="1861">
        <f t="shared" si="28"/>
        <v>20410.552377553548</v>
      </c>
      <c r="N16" s="1861">
        <f t="shared" si="29"/>
        <v>-51.026380943883872</v>
      </c>
      <c r="O16" s="1862">
        <f t="shared" si="30"/>
        <v>20359.525996609664</v>
      </c>
      <c r="P16" s="1862">
        <f>'[34]LAVCA Adjustment'!X15++'[32]Oct midyear LA Virtual Admy'!K14+'[35]Feb midyear adj_LA virtual '!M16</f>
        <v>3318.2613741818695</v>
      </c>
      <c r="Q16" s="1864">
        <f t="shared" si="36"/>
        <v>23677.787370791535</v>
      </c>
      <c r="R16" s="1888">
        <f>'[4]Table 5C2 - LA Virtual Admy'!N14+'[27]Table 5C2 - LA Virtual Admy'!V14+('[26]Table 5C2 - LA Virtual Admy'!V14*6)</f>
        <v>33880</v>
      </c>
      <c r="S16" s="1864">
        <f t="shared" si="37"/>
        <v>-10202.212629208465</v>
      </c>
      <c r="T16" s="1888">
        <f t="shared" si="38"/>
        <v>-2551</v>
      </c>
      <c r="U16" s="1865">
        <f>'Table 5C1A-Madison Prep'!T18*90%</f>
        <v>3398.4</v>
      </c>
      <c r="V16" s="1866">
        <f t="shared" si="31"/>
        <v>23788.799999999999</v>
      </c>
      <c r="W16" s="2059">
        <f>+'[3]Oct midyear LA Virtual Admy'!E14</f>
        <v>-5</v>
      </c>
      <c r="X16" s="1866">
        <f t="shared" si="39"/>
        <v>-16992</v>
      </c>
      <c r="Y16" s="1932">
        <f>'[3]Feb midyear LA Virtual Admy'!E14</f>
        <v>2</v>
      </c>
      <c r="Z16" s="1866">
        <f t="shared" si="40"/>
        <v>3398.4</v>
      </c>
      <c r="AA16" s="1866">
        <f t="shared" si="41"/>
        <v>-13593.6</v>
      </c>
      <c r="AB16" s="1866">
        <f t="shared" si="42"/>
        <v>10195.199999999999</v>
      </c>
      <c r="AC16" s="1866">
        <f t="shared" si="43"/>
        <v>-25.488</v>
      </c>
      <c r="AD16" s="1866">
        <f t="shared" si="44"/>
        <v>10169.712</v>
      </c>
      <c r="AE16" s="1865">
        <f>'[34]LAVCA Adjustment'!AB15+'[32]Oct midyear LA Virtual Admy'!P14+'[35]Feb midyear adj_LA virtual '!S16</f>
        <v>1484.1000000000001</v>
      </c>
      <c r="AF16" s="1867">
        <f t="shared" si="45"/>
        <v>11653.812</v>
      </c>
      <c r="AG16" s="1889">
        <f>'[4]Table 5C2 - LA Virtual Admy'!U14+'[27]Table 5C2 - LA Virtual Admy'!AH14+('[26]Table 5C2 - LA Virtual Admy'!AH14*6)</f>
        <v>16296</v>
      </c>
      <c r="AH16" s="1867">
        <f t="shared" si="46"/>
        <v>-4642.1880000000001</v>
      </c>
      <c r="AI16" s="1889">
        <f t="shared" si="47"/>
        <v>-1161</v>
      </c>
      <c r="AJ16" s="1869">
        <f t="shared" si="48"/>
        <v>35331.599370791533</v>
      </c>
      <c r="AK16" s="1869">
        <f t="shared" si="49"/>
        <v>-3712</v>
      </c>
      <c r="AM16" s="2042">
        <f>-'[4]Table 5C2 - LA Virtual Admy'!Q14</f>
        <v>58</v>
      </c>
      <c r="AN16" s="2042">
        <f t="shared" si="50"/>
        <v>-25.488</v>
      </c>
      <c r="AO16" s="2042">
        <f t="shared" si="51"/>
        <v>32.512</v>
      </c>
    </row>
    <row r="17" spans="1:41" s="533" customFormat="1" ht="17.25" customHeight="1">
      <c r="A17" s="101">
        <v>12</v>
      </c>
      <c r="B17" s="772" t="s">
        <v>103</v>
      </c>
      <c r="C17" s="1870">
        <f>'2-1-13 SIS'!J18</f>
        <v>0</v>
      </c>
      <c r="D17" s="1871">
        <f>'Table 3 Levels 1&amp;2'!AL19*90%</f>
        <v>1560.515045342127</v>
      </c>
      <c r="E17" s="1871">
        <f t="shared" si="32"/>
        <v>0</v>
      </c>
      <c r="F17" s="1872">
        <f>'Table 4 Level 3'!P17*90%</f>
        <v>956.97899999999993</v>
      </c>
      <c r="G17" s="1872">
        <f t="shared" si="33"/>
        <v>0</v>
      </c>
      <c r="H17" s="1872">
        <f t="shared" si="34"/>
        <v>0</v>
      </c>
      <c r="I17" s="1872">
        <f>(('Table 3 Levels 1&amp;2'!AL19-D17)+('Table 4 Level 3'!P17-F17))*C17</f>
        <v>0</v>
      </c>
      <c r="J17" s="1872">
        <f>+'[3]Oct midyear LA Virtual Admy'!K15</f>
        <v>2517.4940453421268</v>
      </c>
      <c r="K17" s="1872">
        <f>'[3]Feb midyear LA Virtual Admy'!K15</f>
        <v>1258.7470226710634</v>
      </c>
      <c r="L17" s="1872">
        <f t="shared" si="35"/>
        <v>3776.2410680131902</v>
      </c>
      <c r="M17" s="1872">
        <f t="shared" si="28"/>
        <v>3776.2410680131902</v>
      </c>
      <c r="N17" s="1872">
        <f t="shared" si="29"/>
        <v>-9.440602670032975</v>
      </c>
      <c r="O17" s="1873">
        <f t="shared" si="30"/>
        <v>3766.8004653431572</v>
      </c>
      <c r="P17" s="1873">
        <f>'[34]LAVCA Adjustment'!X16++'[32]Oct midyear LA Virtual Admy'!K15+'[35]Feb midyear adj_LA virtual '!M17</f>
        <v>0</v>
      </c>
      <c r="Q17" s="1874">
        <f t="shared" si="36"/>
        <v>3766.8004653431572</v>
      </c>
      <c r="R17" s="1874">
        <f>'[4]Table 5C2 - LA Virtual Admy'!N15+'[27]Table 5C2 - LA Virtual Admy'!V15+('[26]Table 5C2 - LA Virtual Admy'!V15*6)</f>
        <v>1596</v>
      </c>
      <c r="S17" s="1874">
        <f t="shared" si="37"/>
        <v>2170.8004653431572</v>
      </c>
      <c r="T17" s="1874">
        <f t="shared" si="38"/>
        <v>543</v>
      </c>
      <c r="U17" s="1875">
        <f>'Table 5C1A-Madison Prep'!T19*90%</f>
        <v>11980.800000000001</v>
      </c>
      <c r="V17" s="1876">
        <f t="shared" si="31"/>
        <v>0</v>
      </c>
      <c r="W17" s="2060">
        <f>+'[3]Oct midyear LA Virtual Admy'!E15</f>
        <v>1</v>
      </c>
      <c r="X17" s="1876">
        <f t="shared" si="39"/>
        <v>11980.800000000001</v>
      </c>
      <c r="Y17" s="1933">
        <f>'[3]Feb midyear LA Virtual Admy'!E15</f>
        <v>1</v>
      </c>
      <c r="Z17" s="1876">
        <f t="shared" si="40"/>
        <v>5990.4000000000005</v>
      </c>
      <c r="AA17" s="1876">
        <f t="shared" si="41"/>
        <v>17971.2</v>
      </c>
      <c r="AB17" s="1876">
        <f t="shared" si="42"/>
        <v>17971.2</v>
      </c>
      <c r="AC17" s="1876">
        <f t="shared" si="43"/>
        <v>-44.928000000000004</v>
      </c>
      <c r="AD17" s="1876">
        <f t="shared" si="44"/>
        <v>17926.272000000001</v>
      </c>
      <c r="AE17" s="1875">
        <f>'[34]LAVCA Adjustment'!AB16+'[32]Oct midyear LA Virtual Admy'!P15+'[35]Feb midyear adj_LA virtual '!S17</f>
        <v>0</v>
      </c>
      <c r="AF17" s="1877">
        <f t="shared" si="45"/>
        <v>17926.272000000001</v>
      </c>
      <c r="AG17" s="1877">
        <f>'[4]Table 5C2 - LA Virtual Admy'!U15+'[27]Table 5C2 - LA Virtual Admy'!AH15+('[26]Table 5C2 - LA Virtual Admy'!AH15*6)</f>
        <v>7868</v>
      </c>
      <c r="AH17" s="1877">
        <f t="shared" si="46"/>
        <v>10058.272000000001</v>
      </c>
      <c r="AI17" s="1877">
        <f t="shared" si="47"/>
        <v>2515</v>
      </c>
      <c r="AJ17" s="1878">
        <f t="shared" si="48"/>
        <v>21693.072465343157</v>
      </c>
      <c r="AK17" s="1878">
        <f t="shared" si="49"/>
        <v>3058</v>
      </c>
      <c r="AM17" s="2042">
        <f>-'[4]Table 5C2 - LA Virtual Admy'!Q15</f>
        <v>0</v>
      </c>
      <c r="AN17" s="2042">
        <f t="shared" si="50"/>
        <v>-44.928000000000004</v>
      </c>
      <c r="AO17" s="2042">
        <f t="shared" si="51"/>
        <v>-44.928000000000004</v>
      </c>
    </row>
    <row r="18" spans="1:41" s="533" customFormat="1" ht="17.25" customHeight="1">
      <c r="A18" s="101">
        <v>13</v>
      </c>
      <c r="B18" s="772" t="s">
        <v>104</v>
      </c>
      <c r="C18" s="1870">
        <f>'2-1-13 SIS'!J19</f>
        <v>10</v>
      </c>
      <c r="D18" s="1871">
        <f>'Table 3 Levels 1&amp;2'!AL20*90%</f>
        <v>5628.7114773957792</v>
      </c>
      <c r="E18" s="1871">
        <f t="shared" si="32"/>
        <v>56287.114773957794</v>
      </c>
      <c r="F18" s="1872">
        <f>'Table 4 Level 3'!P18*90%</f>
        <v>674.48700000000008</v>
      </c>
      <c r="G18" s="1872">
        <f t="shared" si="33"/>
        <v>6744.8700000000008</v>
      </c>
      <c r="H18" s="1872">
        <f t="shared" si="34"/>
        <v>63031.984773957796</v>
      </c>
      <c r="I18" s="1872">
        <f>(('Table 3 Levels 1&amp;2'!AL20-D18)+('Table 4 Level 3'!P18-F18))*C18</f>
        <v>7003.5538637730842</v>
      </c>
      <c r="J18" s="1872">
        <f>+'[3]Oct midyear LA Virtual Admy'!K16</f>
        <v>-18909.595432187336</v>
      </c>
      <c r="K18" s="1872">
        <f>'[3]Feb midyear LA Virtual Admy'!K16</f>
        <v>0</v>
      </c>
      <c r="L18" s="1872">
        <f t="shared" si="35"/>
        <v>-18909.595432187336</v>
      </c>
      <c r="M18" s="1872">
        <f t="shared" si="28"/>
        <v>44122.38934177046</v>
      </c>
      <c r="N18" s="1872">
        <f t="shared" si="29"/>
        <v>-110.30597335442616</v>
      </c>
      <c r="O18" s="1873">
        <f t="shared" si="30"/>
        <v>44012.083368416032</v>
      </c>
      <c r="P18" s="1873">
        <f>'[34]LAVCA Adjustment'!X17++'[32]Oct midyear LA Virtual Admy'!K16+'[35]Feb midyear adj_LA virtual '!M18</f>
        <v>-41275.491976127945</v>
      </c>
      <c r="Q18" s="1874">
        <f t="shared" si="36"/>
        <v>2736.5913922880864</v>
      </c>
      <c r="R18" s="1874">
        <f>'[4]Table 5C2 - LA Virtual Admy'!N16+'[27]Table 5C2 - LA Virtual Admy'!V16+('[26]Table 5C2 - LA Virtual Admy'!V16*6)</f>
        <v>14170</v>
      </c>
      <c r="S18" s="1874">
        <f t="shared" si="37"/>
        <v>-11433.408607711914</v>
      </c>
      <c r="T18" s="1874">
        <f t="shared" si="38"/>
        <v>-2858</v>
      </c>
      <c r="U18" s="1875">
        <f>'Table 5C1A-Madison Prep'!T20*90%</f>
        <v>2403.9</v>
      </c>
      <c r="V18" s="1876">
        <f t="shared" si="31"/>
        <v>24039</v>
      </c>
      <c r="W18" s="2060">
        <f>+'[3]Oct midyear LA Virtual Admy'!E16</f>
        <v>-3</v>
      </c>
      <c r="X18" s="1876">
        <f t="shared" si="39"/>
        <v>-7211.7000000000007</v>
      </c>
      <c r="Y18" s="1933">
        <f>'[3]Feb midyear LA Virtual Admy'!E16</f>
        <v>0</v>
      </c>
      <c r="Z18" s="1876">
        <f t="shared" si="40"/>
        <v>0</v>
      </c>
      <c r="AA18" s="1876">
        <f t="shared" si="41"/>
        <v>-7211.7000000000007</v>
      </c>
      <c r="AB18" s="1876">
        <f t="shared" si="42"/>
        <v>16827.3</v>
      </c>
      <c r="AC18" s="1876">
        <f t="shared" si="43"/>
        <v>-42.068249999999999</v>
      </c>
      <c r="AD18" s="1876">
        <f t="shared" si="44"/>
        <v>16785.231749999999</v>
      </c>
      <c r="AE18" s="1875">
        <f>'[34]LAVCA Adjustment'!AB17+'[32]Oct midyear LA Virtual Admy'!P16+'[35]Feb midyear adj_LA virtual '!S18</f>
        <v>-15164.100000000002</v>
      </c>
      <c r="AF18" s="1877">
        <f t="shared" si="45"/>
        <v>1621.1317499999968</v>
      </c>
      <c r="AG18" s="1877">
        <f>'[4]Table 5C2 - LA Virtual Admy'!U16+'[27]Table 5C2 - LA Virtual Admy'!AH16+('[26]Table 5C2 - LA Virtual Admy'!AH16*6)</f>
        <v>4920</v>
      </c>
      <c r="AH18" s="1877">
        <f t="shared" si="46"/>
        <v>-3298.8682500000032</v>
      </c>
      <c r="AI18" s="1877">
        <f t="shared" si="47"/>
        <v>-825</v>
      </c>
      <c r="AJ18" s="1878">
        <f t="shared" si="48"/>
        <v>4357.7231422880832</v>
      </c>
      <c r="AK18" s="1878">
        <f t="shared" si="49"/>
        <v>-3683</v>
      </c>
      <c r="AM18" s="2042">
        <f>-'[4]Table 5C2 - LA Virtual Admy'!Q16</f>
        <v>57</v>
      </c>
      <c r="AN18" s="2042">
        <f t="shared" si="50"/>
        <v>-42.068249999999999</v>
      </c>
      <c r="AO18" s="2042">
        <f t="shared" si="51"/>
        <v>14.931750000000001</v>
      </c>
    </row>
    <row r="19" spans="1:41" s="533" customFormat="1" ht="17.25" customHeight="1">
      <c r="A19" s="101">
        <v>14</v>
      </c>
      <c r="B19" s="772" t="s">
        <v>105</v>
      </c>
      <c r="C19" s="1870">
        <f>'2-1-13 SIS'!J20</f>
        <v>1</v>
      </c>
      <c r="D19" s="1871">
        <f>'Table 3 Levels 1&amp;2'!AL21*90%</f>
        <v>4840.1268694690916</v>
      </c>
      <c r="E19" s="1871">
        <f t="shared" si="32"/>
        <v>4840.1268694690916</v>
      </c>
      <c r="F19" s="1872">
        <f>'Table 4 Level 3'!P19*90%</f>
        <v>728.98199999999997</v>
      </c>
      <c r="G19" s="1872">
        <f t="shared" si="33"/>
        <v>728.98199999999997</v>
      </c>
      <c r="H19" s="1872">
        <f t="shared" si="34"/>
        <v>5569.1088694690916</v>
      </c>
      <c r="I19" s="1872">
        <f>(('Table 3 Levels 1&amp;2'!AL21-D19)+('Table 4 Level 3'!P19-F19))*C19</f>
        <v>618.78987438545425</v>
      </c>
      <c r="J19" s="1872">
        <f>+'[3]Oct midyear LA Virtual Admy'!K17</f>
        <v>0</v>
      </c>
      <c r="K19" s="1872">
        <f>'[3]Feb midyear LA Virtual Admy'!K17</f>
        <v>-2784.5544347345458</v>
      </c>
      <c r="L19" s="1872">
        <f t="shared" si="35"/>
        <v>-2784.5544347345458</v>
      </c>
      <c r="M19" s="1872">
        <f t="shared" si="28"/>
        <v>2784.5544347345458</v>
      </c>
      <c r="N19" s="1872">
        <f t="shared" si="29"/>
        <v>-6.9613860868363648</v>
      </c>
      <c r="O19" s="1873">
        <f t="shared" si="30"/>
        <v>2777.5930486477096</v>
      </c>
      <c r="P19" s="1873">
        <f>'[34]LAVCA Adjustment'!X18++'[32]Oct midyear LA Virtual Admy'!K17+'[35]Feb midyear adj_LA virtual '!M19</f>
        <v>-2951.5311575333399</v>
      </c>
      <c r="Q19" s="1874">
        <f t="shared" si="36"/>
        <v>-173.9381088856303</v>
      </c>
      <c r="R19" s="1874">
        <f>'[4]Table 5C2 - LA Virtual Admy'!N17+'[27]Table 5C2 - LA Virtual Admy'!V17+('[26]Table 5C2 - LA Virtual Admy'!V17*6)</f>
        <v>11738</v>
      </c>
      <c r="S19" s="1874">
        <f t="shared" si="37"/>
        <v>-11911.93810888563</v>
      </c>
      <c r="T19" s="1874">
        <f t="shared" si="38"/>
        <v>-2978</v>
      </c>
      <c r="U19" s="1875">
        <f>'Table 5C1A-Madison Prep'!T21*90%</f>
        <v>3995.1</v>
      </c>
      <c r="V19" s="1876">
        <f t="shared" si="31"/>
        <v>3995.1</v>
      </c>
      <c r="W19" s="2060">
        <f>+'[3]Oct midyear LA Virtual Admy'!E17</f>
        <v>0</v>
      </c>
      <c r="X19" s="1876">
        <f t="shared" si="39"/>
        <v>0</v>
      </c>
      <c r="Y19" s="1933">
        <f>'[3]Feb midyear LA Virtual Admy'!E17</f>
        <v>-1</v>
      </c>
      <c r="Z19" s="1876">
        <f t="shared" si="40"/>
        <v>-1997.55</v>
      </c>
      <c r="AA19" s="1876">
        <f t="shared" si="41"/>
        <v>-1997.55</v>
      </c>
      <c r="AB19" s="1876">
        <f t="shared" si="42"/>
        <v>1997.55</v>
      </c>
      <c r="AC19" s="1876">
        <f t="shared" si="43"/>
        <v>-4.9938750000000001</v>
      </c>
      <c r="AD19" s="1876">
        <f t="shared" si="44"/>
        <v>1992.5561250000001</v>
      </c>
      <c r="AE19" s="1875">
        <f>'[34]LAVCA Adjustment'!AB18+'[32]Oct midyear LA Virtual Admy'!P17+'[35]Feb midyear adj_LA virtual '!S19</f>
        <v>-1508.4</v>
      </c>
      <c r="AF19" s="1877">
        <f t="shared" si="45"/>
        <v>484.15612499999997</v>
      </c>
      <c r="AG19" s="1877">
        <f>'[4]Table 5C2 - LA Virtual Admy'!U17+'[27]Table 5C2 - LA Virtual Admy'!AH17+('[26]Table 5C2 - LA Virtual Admy'!AH17*6)</f>
        <v>7821</v>
      </c>
      <c r="AH19" s="1877">
        <f t="shared" si="46"/>
        <v>-7336.8438750000005</v>
      </c>
      <c r="AI19" s="1877">
        <f t="shared" si="47"/>
        <v>-1834</v>
      </c>
      <c r="AJ19" s="1878">
        <f t="shared" si="48"/>
        <v>310.21801611436968</v>
      </c>
      <c r="AK19" s="1878">
        <f t="shared" si="49"/>
        <v>-4812</v>
      </c>
      <c r="AM19" s="2042">
        <f>-'[4]Table 5C2 - LA Virtual Admy'!Q17</f>
        <v>9</v>
      </c>
      <c r="AN19" s="2042">
        <f t="shared" si="50"/>
        <v>-4.9938750000000001</v>
      </c>
      <c r="AO19" s="2042">
        <f t="shared" si="51"/>
        <v>4.0061249999999999</v>
      </c>
    </row>
    <row r="20" spans="1:41" s="533" customFormat="1" ht="17.25" customHeight="1">
      <c r="A20" s="102">
        <v>15</v>
      </c>
      <c r="B20" s="773" t="s">
        <v>106</v>
      </c>
      <c r="C20" s="1879">
        <f>'2-1-13 SIS'!J21</f>
        <v>4</v>
      </c>
      <c r="D20" s="1880">
        <f>'Table 3 Levels 1&amp;2'!AL22*90%</f>
        <v>4974.9886077856072</v>
      </c>
      <c r="E20" s="1880">
        <f t="shared" si="32"/>
        <v>19899.954431142429</v>
      </c>
      <c r="F20" s="1881">
        <f>'Table 4 Level 3'!P20*90%</f>
        <v>498.41999999999996</v>
      </c>
      <c r="G20" s="1881">
        <f t="shared" si="33"/>
        <v>1993.6799999999998</v>
      </c>
      <c r="H20" s="1881">
        <f t="shared" si="34"/>
        <v>21893.634431142429</v>
      </c>
      <c r="I20" s="1881">
        <f>(('Table 3 Levels 1&amp;2'!AL22-D20)+('Table 4 Level 3'!P20-F20))*C20</f>
        <v>2432.6260479047155</v>
      </c>
      <c r="J20" s="1881">
        <f>+'[3]Oct midyear LA Virtual Admy'!K18</f>
        <v>109468.17215571215</v>
      </c>
      <c r="K20" s="1881">
        <f>'[3]Feb midyear LA Virtual Admy'!K18</f>
        <v>-5473.4086077856073</v>
      </c>
      <c r="L20" s="1881">
        <f t="shared" si="35"/>
        <v>103994.76354792654</v>
      </c>
      <c r="M20" s="1881">
        <f t="shared" si="28"/>
        <v>125888.39797906898</v>
      </c>
      <c r="N20" s="1881">
        <f t="shared" si="29"/>
        <v>-314.72099494767247</v>
      </c>
      <c r="O20" s="1882">
        <f t="shared" si="30"/>
        <v>125573.67698412131</v>
      </c>
      <c r="P20" s="1882">
        <f>'[34]LAVCA Adjustment'!X19++'[32]Oct midyear LA Virtual Admy'!K18+'[35]Feb midyear adj_LA virtual '!M20</f>
        <v>-5357.1392769100767</v>
      </c>
      <c r="Q20" s="1883">
        <f t="shared" si="36"/>
        <v>120216.53770721123</v>
      </c>
      <c r="R20" s="1883">
        <f>'[4]Table 5C2 - LA Virtual Admy'!N18+'[27]Table 5C2 - LA Virtual Admy'!V18+('[26]Table 5C2 - LA Virtual Admy'!V18*6)</f>
        <v>56849</v>
      </c>
      <c r="S20" s="1883">
        <f t="shared" si="37"/>
        <v>63367.537707211231</v>
      </c>
      <c r="T20" s="1883">
        <f t="shared" si="38"/>
        <v>15842</v>
      </c>
      <c r="U20" s="1884">
        <f>'Table 5C1A-Madison Prep'!T22*90%</f>
        <v>2520</v>
      </c>
      <c r="V20" s="1885">
        <f t="shared" si="31"/>
        <v>10080</v>
      </c>
      <c r="W20" s="2061">
        <f>+'[3]Oct midyear LA Virtual Admy'!E18</f>
        <v>20</v>
      </c>
      <c r="X20" s="1885">
        <f t="shared" si="39"/>
        <v>50400</v>
      </c>
      <c r="Y20" s="1934">
        <f>'[3]Feb midyear LA Virtual Admy'!E18</f>
        <v>-2</v>
      </c>
      <c r="Z20" s="1885">
        <f t="shared" si="40"/>
        <v>-2520</v>
      </c>
      <c r="AA20" s="1885">
        <f t="shared" si="41"/>
        <v>47880</v>
      </c>
      <c r="AB20" s="1885">
        <f t="shared" si="42"/>
        <v>57960</v>
      </c>
      <c r="AC20" s="1885">
        <f t="shared" si="43"/>
        <v>-144.9</v>
      </c>
      <c r="AD20" s="1885">
        <f t="shared" si="44"/>
        <v>57815.1</v>
      </c>
      <c r="AE20" s="1884">
        <f>'[34]LAVCA Adjustment'!AB19+'[32]Oct midyear LA Virtual Admy'!P18+'[35]Feb midyear adj_LA virtual '!S20</f>
        <v>-2295</v>
      </c>
      <c r="AF20" s="1886">
        <f t="shared" si="45"/>
        <v>55520.1</v>
      </c>
      <c r="AG20" s="1886">
        <f>'[4]Table 5C2 - LA Virtual Admy'!U18+'[27]Table 5C2 - LA Virtual Admy'!AH18+('[26]Table 5C2 - LA Virtual Admy'!AH18*6)</f>
        <v>23736</v>
      </c>
      <c r="AH20" s="1886">
        <f t="shared" si="46"/>
        <v>31784.1</v>
      </c>
      <c r="AI20" s="1886">
        <f t="shared" si="47"/>
        <v>7946</v>
      </c>
      <c r="AJ20" s="1887">
        <f t="shared" si="48"/>
        <v>175736.63770721122</v>
      </c>
      <c r="AK20" s="1887">
        <f t="shared" si="49"/>
        <v>23788</v>
      </c>
      <c r="AM20" s="2042">
        <f>-'[4]Table 5C2 - LA Virtual Admy'!Q18</f>
        <v>23</v>
      </c>
      <c r="AN20" s="2042">
        <f t="shared" si="50"/>
        <v>-144.9</v>
      </c>
      <c r="AO20" s="2042">
        <f t="shared" si="51"/>
        <v>-121.9</v>
      </c>
    </row>
    <row r="21" spans="1:41" s="533" customFormat="1" ht="17.25" customHeight="1">
      <c r="A21" s="101">
        <v>16</v>
      </c>
      <c r="B21" s="772" t="s">
        <v>107</v>
      </c>
      <c r="C21" s="1859">
        <f>'2-1-13 SIS'!J22</f>
        <v>11</v>
      </c>
      <c r="D21" s="1860">
        <f>'Table 3 Levels 1&amp;2'!AL23*90%</f>
        <v>1377.3310960839726</v>
      </c>
      <c r="E21" s="1860">
        <f t="shared" si="32"/>
        <v>15150.642056923698</v>
      </c>
      <c r="F21" s="1861">
        <f>'Table 4 Level 3'!P21*90%</f>
        <v>618.05700000000002</v>
      </c>
      <c r="G21" s="1861">
        <f t="shared" si="33"/>
        <v>6798.6270000000004</v>
      </c>
      <c r="H21" s="1861">
        <f t="shared" si="34"/>
        <v>21949.269056923698</v>
      </c>
      <c r="I21" s="1861">
        <f>(('Table 3 Levels 1&amp;2'!AL23-D21)+('Table 4 Level 3'!P21-F21))*C21</f>
        <v>2438.8076729915224</v>
      </c>
      <c r="J21" s="1861">
        <f>+'[3]Oct midyear LA Virtual Admy'!K19</f>
        <v>15963.104768671781</v>
      </c>
      <c r="K21" s="1861">
        <f>'[3]Feb midyear LA Virtual Admy'!K19</f>
        <v>0</v>
      </c>
      <c r="L21" s="1861">
        <f t="shared" si="35"/>
        <v>15963.104768671781</v>
      </c>
      <c r="M21" s="1861">
        <f t="shared" si="28"/>
        <v>37912.373825595481</v>
      </c>
      <c r="N21" s="1861">
        <f t="shared" si="29"/>
        <v>-94.780934563988708</v>
      </c>
      <c r="O21" s="1862">
        <f t="shared" si="30"/>
        <v>37817.592891031491</v>
      </c>
      <c r="P21" s="1862">
        <f>'[34]LAVCA Adjustment'!X20++'[32]Oct midyear LA Virtual Admy'!K19+'[35]Feb midyear adj_LA virtual '!M21</f>
        <v>0</v>
      </c>
      <c r="Q21" s="1864">
        <f t="shared" si="36"/>
        <v>37817.592891031491</v>
      </c>
      <c r="R21" s="1888">
        <f>'[4]Table 5C2 - LA Virtual Admy'!N19+'[27]Table 5C2 - LA Virtual Admy'!V19+('[26]Table 5C2 - LA Virtual Admy'!V19*6)</f>
        <v>20715</v>
      </c>
      <c r="S21" s="1864">
        <f t="shared" si="37"/>
        <v>17102.592891031491</v>
      </c>
      <c r="T21" s="1888">
        <f t="shared" si="38"/>
        <v>4276</v>
      </c>
      <c r="U21" s="1865">
        <f>'Table 5C1A-Madison Prep'!T23*90%</f>
        <v>11080.800000000001</v>
      </c>
      <c r="V21" s="1866">
        <f t="shared" si="31"/>
        <v>121888.80000000002</v>
      </c>
      <c r="W21" s="2059">
        <f>+'[3]Oct midyear LA Virtual Admy'!E19</f>
        <v>8</v>
      </c>
      <c r="X21" s="1866">
        <f t="shared" si="39"/>
        <v>88646.400000000009</v>
      </c>
      <c r="Y21" s="1932">
        <f>'[3]Feb midyear LA Virtual Admy'!E19</f>
        <v>0</v>
      </c>
      <c r="Z21" s="1866">
        <f t="shared" si="40"/>
        <v>0</v>
      </c>
      <c r="AA21" s="1866">
        <f t="shared" si="41"/>
        <v>88646.400000000009</v>
      </c>
      <c r="AB21" s="1866">
        <f t="shared" si="42"/>
        <v>210535.2</v>
      </c>
      <c r="AC21" s="1866">
        <f t="shared" si="43"/>
        <v>-526.33800000000008</v>
      </c>
      <c r="AD21" s="1866">
        <f t="shared" si="44"/>
        <v>210008.86200000002</v>
      </c>
      <c r="AE21" s="1865">
        <f>'[34]LAVCA Adjustment'!AB20+'[32]Oct midyear LA Virtual Admy'!P19+'[35]Feb midyear adj_LA virtual '!S21</f>
        <v>0</v>
      </c>
      <c r="AF21" s="1867">
        <f t="shared" si="45"/>
        <v>210008.86200000002</v>
      </c>
      <c r="AG21" s="1889">
        <f>'[4]Table 5C2 - LA Virtual Admy'!U19+'[27]Table 5C2 - LA Virtual Admy'!AH19+('[26]Table 5C2 - LA Virtual Admy'!AH19*6)</f>
        <v>113340</v>
      </c>
      <c r="AH21" s="1867">
        <f t="shared" si="46"/>
        <v>96668.862000000023</v>
      </c>
      <c r="AI21" s="1889">
        <f t="shared" si="47"/>
        <v>24167</v>
      </c>
      <c r="AJ21" s="1869">
        <f t="shared" si="48"/>
        <v>247826.45489103152</v>
      </c>
      <c r="AK21" s="1869">
        <f t="shared" si="49"/>
        <v>28443</v>
      </c>
      <c r="AM21" s="2042">
        <f>-'[4]Table 5C2 - LA Virtual Admy'!Q19</f>
        <v>300</v>
      </c>
      <c r="AN21" s="2042">
        <f t="shared" si="50"/>
        <v>-526.33800000000008</v>
      </c>
      <c r="AO21" s="2042">
        <f t="shared" si="51"/>
        <v>-226.33800000000008</v>
      </c>
    </row>
    <row r="22" spans="1:41" s="533" customFormat="1" ht="17.25" customHeight="1">
      <c r="A22" s="101">
        <v>17</v>
      </c>
      <c r="B22" s="772" t="s">
        <v>108</v>
      </c>
      <c r="C22" s="1870">
        <f>'2-1-13 SIS'!J23</f>
        <v>69</v>
      </c>
      <c r="D22" s="1871">
        <f>'Table 3 Levels 1&amp;2'!AL24*90%</f>
        <v>2981.7599681716024</v>
      </c>
      <c r="E22" s="1871">
        <f t="shared" si="32"/>
        <v>205741.43780384056</v>
      </c>
      <c r="F22" s="1872">
        <f>'Table 5B2_RSD_LA'!F7*90%</f>
        <v>721.32986175126121</v>
      </c>
      <c r="G22" s="1872">
        <f t="shared" si="33"/>
        <v>49771.760460837024</v>
      </c>
      <c r="H22" s="1872">
        <f t="shared" si="34"/>
        <v>255513.19826467757</v>
      </c>
      <c r="I22" s="1872">
        <f>(('Table 3 Levels 1&amp;2'!AL24-D22)+('Table 4 Level 3'!P22-F22))*C22</f>
        <v>28390.355362741957</v>
      </c>
      <c r="J22" s="1872">
        <f>+'[3]Oct midyear LA Virtual Admy'!K20</f>
        <v>162935.95251660602</v>
      </c>
      <c r="K22" s="1872">
        <f>'[3]Feb midyear LA Virtual Admy'!K20</f>
        <v>-16663.904234652888</v>
      </c>
      <c r="L22" s="1872">
        <f t="shared" si="35"/>
        <v>146272.04828195315</v>
      </c>
      <c r="M22" s="1872">
        <f t="shared" si="28"/>
        <v>401785.24654663075</v>
      </c>
      <c r="N22" s="1872">
        <f t="shared" si="29"/>
        <v>-1004.4631163665769</v>
      </c>
      <c r="O22" s="1873">
        <f t="shared" si="30"/>
        <v>400780.78343026416</v>
      </c>
      <c r="P22" s="1873">
        <f>'[34]LAVCA Adjustment'!X21++'[32]Oct midyear LA Virtual Admy'!K20+'[35]Feb midyear adj_LA virtual '!M22</f>
        <v>13442.894428745374</v>
      </c>
      <c r="Q22" s="1874">
        <f t="shared" si="36"/>
        <v>414223.67785900953</v>
      </c>
      <c r="R22" s="1874">
        <f>'[4]Table 5C2 - LA Virtual Admy'!N20+'[27]Table 5C2 - LA Virtual Admy'!V20+('[26]Table 5C2 - LA Virtual Admy'!V20*6)</f>
        <v>324350</v>
      </c>
      <c r="S22" s="1874">
        <f t="shared" si="37"/>
        <v>89873.677859009535</v>
      </c>
      <c r="T22" s="1874">
        <f t="shared" si="38"/>
        <v>22468</v>
      </c>
      <c r="U22" s="1875">
        <f>'Table 5C1A-Madison Prep'!T24*90%</f>
        <v>6179.4000000000005</v>
      </c>
      <c r="V22" s="1876">
        <f t="shared" si="31"/>
        <v>426378.60000000003</v>
      </c>
      <c r="W22" s="2060">
        <f>+'[3]Oct midyear LA Virtual Admy'!E20</f>
        <v>44</v>
      </c>
      <c r="X22" s="1876">
        <f t="shared" si="39"/>
        <v>271893.60000000003</v>
      </c>
      <c r="Y22" s="1933">
        <f>'[3]Feb midyear LA Virtual Admy'!E20</f>
        <v>-9</v>
      </c>
      <c r="Z22" s="1876">
        <f t="shared" si="40"/>
        <v>-27807.300000000003</v>
      </c>
      <c r="AA22" s="1876">
        <f t="shared" si="41"/>
        <v>244086.30000000005</v>
      </c>
      <c r="AB22" s="1876">
        <f t="shared" si="42"/>
        <v>670464.90000000014</v>
      </c>
      <c r="AC22" s="1876">
        <f t="shared" si="43"/>
        <v>-1676.1622500000003</v>
      </c>
      <c r="AD22" s="1876">
        <f t="shared" si="44"/>
        <v>668788.73775000009</v>
      </c>
      <c r="AE22" s="1875">
        <f>'[34]LAVCA Adjustment'!AB21+'[32]Oct midyear LA Virtual Admy'!P20+'[35]Feb midyear adj_LA virtual '!S22</f>
        <v>19674.900000000001</v>
      </c>
      <c r="AF22" s="1877">
        <f t="shared" si="45"/>
        <v>688463.63775000011</v>
      </c>
      <c r="AG22" s="1877">
        <f>'[4]Table 5C2 - LA Virtual Admy'!U20+'[27]Table 5C2 - LA Virtual Admy'!AH20+('[26]Table 5C2 - LA Virtual Admy'!AH20*6)</f>
        <v>531512</v>
      </c>
      <c r="AH22" s="1877">
        <f t="shared" si="46"/>
        <v>156951.63775000011</v>
      </c>
      <c r="AI22" s="1877">
        <f t="shared" si="47"/>
        <v>39238</v>
      </c>
      <c r="AJ22" s="1878">
        <f t="shared" si="48"/>
        <v>1102687.3156090097</v>
      </c>
      <c r="AK22" s="1878">
        <f t="shared" si="49"/>
        <v>61706</v>
      </c>
      <c r="AM22" s="2042">
        <f>-'[4]Table 5C2 - LA Virtual Admy'!Q20</f>
        <v>1050</v>
      </c>
      <c r="AN22" s="2042">
        <f t="shared" si="50"/>
        <v>-1676.1622500000003</v>
      </c>
      <c r="AO22" s="2042">
        <f t="shared" si="51"/>
        <v>-626.16225000000031</v>
      </c>
    </row>
    <row r="23" spans="1:41" s="533" customFormat="1" ht="17.25" customHeight="1">
      <c r="A23" s="101">
        <v>18</v>
      </c>
      <c r="B23" s="772" t="s">
        <v>109</v>
      </c>
      <c r="C23" s="1870">
        <f>'2-1-13 SIS'!J24</f>
        <v>1</v>
      </c>
      <c r="D23" s="1871">
        <f>'Table 3 Levels 1&amp;2'!AL25*90%</f>
        <v>5390.221670356912</v>
      </c>
      <c r="E23" s="1871">
        <f t="shared" si="32"/>
        <v>5390.221670356912</v>
      </c>
      <c r="F23" s="1872">
        <f>'Table 4 Level 3'!P23*90%</f>
        <v>761.3549999999999</v>
      </c>
      <c r="G23" s="1872">
        <f t="shared" si="33"/>
        <v>761.3549999999999</v>
      </c>
      <c r="H23" s="1872">
        <f t="shared" si="34"/>
        <v>6151.5766703569116</v>
      </c>
      <c r="I23" s="1872">
        <f>(('Table 3 Levels 1&amp;2'!AL25-D23)+('Table 4 Level 3'!P23-F23))*C23</f>
        <v>683.5085189285453</v>
      </c>
      <c r="J23" s="1872">
        <f>+'[3]Oct midyear LA Virtual Admy'!K21</f>
        <v>12303.153340713823</v>
      </c>
      <c r="K23" s="1872">
        <f>'[3]Feb midyear LA Virtual Admy'!K21</f>
        <v>0</v>
      </c>
      <c r="L23" s="1872">
        <f t="shared" si="35"/>
        <v>12303.153340713823</v>
      </c>
      <c r="M23" s="1872">
        <f t="shared" si="28"/>
        <v>18454.730011070737</v>
      </c>
      <c r="N23" s="1872">
        <f t="shared" si="29"/>
        <v>-46.136825027676842</v>
      </c>
      <c r="O23" s="1873">
        <f t="shared" si="30"/>
        <v>18408.593186043061</v>
      </c>
      <c r="P23" s="1873">
        <f>'[34]LAVCA Adjustment'!X22++'[32]Oct midyear LA Virtual Admy'!K21+'[35]Feb midyear adj_LA virtual '!M23</f>
        <v>0</v>
      </c>
      <c r="Q23" s="1874">
        <f t="shared" si="36"/>
        <v>18408.593186043061</v>
      </c>
      <c r="R23" s="1874">
        <f>'[4]Table 5C2 - LA Virtual Admy'!N21+'[27]Table 5C2 - LA Virtual Admy'!V21+('[26]Table 5C2 - LA Virtual Admy'!V21*6)</f>
        <v>11900</v>
      </c>
      <c r="S23" s="1874">
        <f t="shared" si="37"/>
        <v>6508.593186043061</v>
      </c>
      <c r="T23" s="1874">
        <f t="shared" si="38"/>
        <v>1627</v>
      </c>
      <c r="U23" s="1875">
        <f>'Table 5C1A-Madison Prep'!T25*90%</f>
        <v>2763.9</v>
      </c>
      <c r="V23" s="1876">
        <f t="shared" si="31"/>
        <v>2763.9</v>
      </c>
      <c r="W23" s="2060">
        <f>+'[3]Oct midyear LA Virtual Admy'!E21</f>
        <v>2</v>
      </c>
      <c r="X23" s="1876">
        <f t="shared" si="39"/>
        <v>5527.8</v>
      </c>
      <c r="Y23" s="1933">
        <f>'[3]Feb midyear LA Virtual Admy'!E21</f>
        <v>0</v>
      </c>
      <c r="Z23" s="1876">
        <f t="shared" si="40"/>
        <v>0</v>
      </c>
      <c r="AA23" s="1876">
        <f t="shared" si="41"/>
        <v>5527.8</v>
      </c>
      <c r="AB23" s="1876">
        <f t="shared" si="42"/>
        <v>8291.7000000000007</v>
      </c>
      <c r="AC23" s="1876">
        <f t="shared" si="43"/>
        <v>-20.729250000000004</v>
      </c>
      <c r="AD23" s="1876">
        <f t="shared" si="44"/>
        <v>8270.9707500000004</v>
      </c>
      <c r="AE23" s="1875">
        <f>'[34]LAVCA Adjustment'!AB22+'[32]Oct midyear LA Virtual Admy'!P21+'[35]Feb midyear adj_LA virtual '!S23</f>
        <v>0</v>
      </c>
      <c r="AF23" s="1877">
        <f t="shared" si="45"/>
        <v>8270.9707500000004</v>
      </c>
      <c r="AG23" s="1877">
        <f>'[4]Table 5C2 - LA Virtual Admy'!U21+'[27]Table 5C2 - LA Virtual Admy'!AH21+('[26]Table 5C2 - LA Virtual Admy'!AH21*6)</f>
        <v>5091</v>
      </c>
      <c r="AH23" s="1877">
        <f t="shared" si="46"/>
        <v>3179.9707500000004</v>
      </c>
      <c r="AI23" s="1877">
        <f t="shared" si="47"/>
        <v>795</v>
      </c>
      <c r="AJ23" s="1878">
        <f t="shared" si="48"/>
        <v>26679.563936043061</v>
      </c>
      <c r="AK23" s="1878">
        <f t="shared" si="49"/>
        <v>2422</v>
      </c>
      <c r="AM23" s="2042">
        <f>-'[4]Table 5C2 - LA Virtual Admy'!Q21</f>
        <v>7</v>
      </c>
      <c r="AN23" s="2042">
        <f t="shared" si="50"/>
        <v>-20.729250000000004</v>
      </c>
      <c r="AO23" s="2042">
        <f t="shared" si="51"/>
        <v>-13.729250000000004</v>
      </c>
    </row>
    <row r="24" spans="1:41" s="533" customFormat="1" ht="17.25" customHeight="1">
      <c r="A24" s="101">
        <v>19</v>
      </c>
      <c r="B24" s="772" t="s">
        <v>110</v>
      </c>
      <c r="C24" s="1870">
        <f>'2-1-13 SIS'!J25</f>
        <v>5</v>
      </c>
      <c r="D24" s="1871">
        <f>'Table 3 Levels 1&amp;2'!AL26*90%</f>
        <v>4784.3022059737232</v>
      </c>
      <c r="E24" s="1871">
        <f t="shared" si="32"/>
        <v>23921.511029868616</v>
      </c>
      <c r="F24" s="1872">
        <f>'Table 4 Level 3'!P24*90%</f>
        <v>814.88699999999994</v>
      </c>
      <c r="G24" s="1872">
        <f t="shared" si="33"/>
        <v>4074.4349999999995</v>
      </c>
      <c r="H24" s="1872">
        <f t="shared" si="34"/>
        <v>27995.946029868617</v>
      </c>
      <c r="I24" s="1872">
        <f>(('Table 3 Levels 1&amp;2'!AL26-D24)+('Table 4 Level 3'!P24-F24))*C24</f>
        <v>3110.6606699854019</v>
      </c>
      <c r="J24" s="1872">
        <f>+'[3]Oct midyear LA Virtual Admy'!K22</f>
        <v>44793.513647789783</v>
      </c>
      <c r="K24" s="1872">
        <f>'[3]Feb midyear LA Virtual Admy'!K22</f>
        <v>2799.5946029868614</v>
      </c>
      <c r="L24" s="1872">
        <f t="shared" si="35"/>
        <v>47593.108250776648</v>
      </c>
      <c r="M24" s="1872">
        <f t="shared" si="28"/>
        <v>75589.054280645272</v>
      </c>
      <c r="N24" s="1872">
        <f t="shared" si="29"/>
        <v>-188.97263570161317</v>
      </c>
      <c r="O24" s="1873">
        <f t="shared" si="30"/>
        <v>75400.081644943653</v>
      </c>
      <c r="P24" s="1873">
        <f>'[34]LAVCA Adjustment'!X23++'[32]Oct midyear LA Virtual Admy'!K22+'[35]Feb midyear adj_LA virtual '!M24</f>
        <v>2749.3168264032684</v>
      </c>
      <c r="Q24" s="1874">
        <f t="shared" si="36"/>
        <v>78149.398471346925</v>
      </c>
      <c r="R24" s="1874">
        <f>'[4]Table 5C2 - LA Virtual Admy'!N22+'[27]Table 5C2 - LA Virtual Admy'!V22+('[26]Table 5C2 - LA Virtual Admy'!V22*6)</f>
        <v>48479</v>
      </c>
      <c r="S24" s="1874">
        <f t="shared" si="37"/>
        <v>29670.398471346925</v>
      </c>
      <c r="T24" s="1874">
        <f t="shared" si="38"/>
        <v>7418</v>
      </c>
      <c r="U24" s="1875">
        <f>'Table 5C1A-Madison Prep'!T26*90%</f>
        <v>2309.4</v>
      </c>
      <c r="V24" s="1876">
        <f t="shared" si="31"/>
        <v>11547</v>
      </c>
      <c r="W24" s="2060">
        <f>+'[3]Oct midyear LA Virtual Admy'!E22</f>
        <v>8</v>
      </c>
      <c r="X24" s="1876">
        <f t="shared" si="39"/>
        <v>18475.2</v>
      </c>
      <c r="Y24" s="1933">
        <f>'[3]Feb midyear LA Virtual Admy'!E22</f>
        <v>1</v>
      </c>
      <c r="Z24" s="1876">
        <f t="shared" si="40"/>
        <v>1154.7</v>
      </c>
      <c r="AA24" s="1876">
        <f t="shared" si="41"/>
        <v>19629.900000000001</v>
      </c>
      <c r="AB24" s="1876">
        <f t="shared" si="42"/>
        <v>31176.9</v>
      </c>
      <c r="AC24" s="1876">
        <f t="shared" si="43"/>
        <v>-77.942250000000001</v>
      </c>
      <c r="AD24" s="1876">
        <f t="shared" si="44"/>
        <v>31098.957750000001</v>
      </c>
      <c r="AE24" s="1875">
        <f>'[34]LAVCA Adjustment'!AB23+'[32]Oct midyear LA Virtual Admy'!P22+'[35]Feb midyear adj_LA virtual '!S24</f>
        <v>1011.15</v>
      </c>
      <c r="AF24" s="1877">
        <f t="shared" si="45"/>
        <v>32110.107750000003</v>
      </c>
      <c r="AG24" s="1877">
        <f>'[4]Table 5C2 - LA Virtual Admy'!U22+'[27]Table 5C2 - LA Virtual Admy'!AH22+('[26]Table 5C2 - LA Virtual Admy'!AH22*6)</f>
        <v>19938</v>
      </c>
      <c r="AH24" s="1877">
        <f t="shared" si="46"/>
        <v>12172.107750000003</v>
      </c>
      <c r="AI24" s="1877">
        <f t="shared" si="47"/>
        <v>3043</v>
      </c>
      <c r="AJ24" s="1878">
        <f t="shared" si="48"/>
        <v>110259.50622134694</v>
      </c>
      <c r="AK24" s="1878">
        <f t="shared" si="49"/>
        <v>10461</v>
      </c>
      <c r="AM24" s="2042">
        <f>-'[4]Table 5C2 - LA Virtual Admy'!Q22</f>
        <v>29</v>
      </c>
      <c r="AN24" s="2042">
        <f t="shared" si="50"/>
        <v>-77.942250000000001</v>
      </c>
      <c r="AO24" s="2042">
        <f t="shared" si="51"/>
        <v>-48.942250000000001</v>
      </c>
    </row>
    <row r="25" spans="1:41" s="533" customFormat="1" ht="17.25" customHeight="1">
      <c r="A25" s="102">
        <v>20</v>
      </c>
      <c r="B25" s="773" t="s">
        <v>111</v>
      </c>
      <c r="C25" s="1879">
        <f>'2-1-13 SIS'!J26</f>
        <v>6</v>
      </c>
      <c r="D25" s="1880">
        <f>'Table 3 Levels 1&amp;2'!AL27*90%</f>
        <v>4878.1838627285251</v>
      </c>
      <c r="E25" s="1880">
        <f t="shared" si="32"/>
        <v>29269.103176371151</v>
      </c>
      <c r="F25" s="1881">
        <f>'Table 4 Level 3'!P25*90%</f>
        <v>527.553</v>
      </c>
      <c r="G25" s="1881">
        <f t="shared" si="33"/>
        <v>3165.3180000000002</v>
      </c>
      <c r="H25" s="1881">
        <f t="shared" si="34"/>
        <v>32434.42117637115</v>
      </c>
      <c r="I25" s="1881">
        <f>(('Table 3 Levels 1&amp;2'!AL27-D25)+('Table 4 Level 3'!P25-F25))*C25</f>
        <v>3603.8245751523486</v>
      </c>
      <c r="J25" s="1881">
        <f>+'[3]Oct midyear LA Virtual Admy'!K23</f>
        <v>5405.736862728525</v>
      </c>
      <c r="K25" s="1881">
        <f>'[3]Feb midyear LA Virtual Admy'!K23</f>
        <v>2702.8684313642625</v>
      </c>
      <c r="L25" s="1881">
        <f t="shared" si="35"/>
        <v>8108.6052940927875</v>
      </c>
      <c r="M25" s="1881">
        <f t="shared" si="28"/>
        <v>40543.026470463941</v>
      </c>
      <c r="N25" s="1881">
        <f t="shared" si="29"/>
        <v>-101.35756617615985</v>
      </c>
      <c r="O25" s="1882">
        <f t="shared" si="30"/>
        <v>40441.668904287784</v>
      </c>
      <c r="P25" s="1882">
        <f>'[34]LAVCA Adjustment'!X24++'[32]Oct midyear LA Virtual Admy'!K23+'[35]Feb midyear adj_LA virtual '!M25</f>
        <v>2710.9645208720476</v>
      </c>
      <c r="Q25" s="1883">
        <f t="shared" si="36"/>
        <v>43152.633425159831</v>
      </c>
      <c r="R25" s="1883">
        <f>'[4]Table 5C2 - LA Virtual Admy'!N23+'[27]Table 5C2 - LA Virtual Admy'!V23+('[26]Table 5C2 - LA Virtual Admy'!V23*6)</f>
        <v>30040</v>
      </c>
      <c r="S25" s="1883">
        <f t="shared" si="37"/>
        <v>13112.633425159831</v>
      </c>
      <c r="T25" s="1883">
        <f t="shared" si="38"/>
        <v>3278</v>
      </c>
      <c r="U25" s="1884">
        <f>'Table 5C1A-Madison Prep'!T27*90%</f>
        <v>2358.9</v>
      </c>
      <c r="V25" s="1885">
        <f t="shared" si="31"/>
        <v>14153.400000000001</v>
      </c>
      <c r="W25" s="2061">
        <f>+'[3]Oct midyear LA Virtual Admy'!E23</f>
        <v>1</v>
      </c>
      <c r="X25" s="1885">
        <f t="shared" si="39"/>
        <v>2358.9</v>
      </c>
      <c r="Y25" s="1934">
        <f>'[3]Feb midyear LA Virtual Admy'!E23</f>
        <v>1</v>
      </c>
      <c r="Z25" s="1885">
        <f t="shared" si="40"/>
        <v>1179.45</v>
      </c>
      <c r="AA25" s="1885">
        <f t="shared" si="41"/>
        <v>3538.3500000000004</v>
      </c>
      <c r="AB25" s="1885">
        <f t="shared" si="42"/>
        <v>17691.75</v>
      </c>
      <c r="AC25" s="1885">
        <f t="shared" si="43"/>
        <v>-44.229374999999997</v>
      </c>
      <c r="AD25" s="1885">
        <f t="shared" si="44"/>
        <v>17647.520625000001</v>
      </c>
      <c r="AE25" s="1884">
        <f>'[34]LAVCA Adjustment'!AB24+'[32]Oct midyear LA Virtual Admy'!P23+'[35]Feb midyear adj_LA virtual '!S25</f>
        <v>971.1</v>
      </c>
      <c r="AF25" s="1886">
        <f t="shared" si="45"/>
        <v>18618.620625</v>
      </c>
      <c r="AG25" s="1886">
        <f>'[4]Table 5C2 - LA Virtual Admy'!U23+'[27]Table 5C2 - LA Virtual Admy'!AH23+('[26]Table 5C2 - LA Virtual Admy'!AH23*6)</f>
        <v>12017</v>
      </c>
      <c r="AH25" s="1886">
        <f t="shared" si="46"/>
        <v>6601.6206249999996</v>
      </c>
      <c r="AI25" s="1886">
        <f t="shared" si="47"/>
        <v>1650</v>
      </c>
      <c r="AJ25" s="1887">
        <f t="shared" si="48"/>
        <v>61771.254050159827</v>
      </c>
      <c r="AK25" s="1887">
        <f t="shared" si="49"/>
        <v>4928</v>
      </c>
      <c r="AM25" s="2042">
        <f>-'[4]Table 5C2 - LA Virtual Admy'!Q23</f>
        <v>33</v>
      </c>
      <c r="AN25" s="2042">
        <f t="shared" si="50"/>
        <v>-44.229374999999997</v>
      </c>
      <c r="AO25" s="2042">
        <f t="shared" si="51"/>
        <v>-11.229374999999997</v>
      </c>
    </row>
    <row r="26" spans="1:41" s="533" customFormat="1" ht="17.25" customHeight="1">
      <c r="A26" s="101">
        <v>21</v>
      </c>
      <c r="B26" s="772" t="s">
        <v>112</v>
      </c>
      <c r="C26" s="1859">
        <f>'2-1-13 SIS'!J27</f>
        <v>3</v>
      </c>
      <c r="D26" s="1860">
        <f>'Table 3 Levels 1&amp;2'!AL28*90%</f>
        <v>5152.0864424651163</v>
      </c>
      <c r="E26" s="1860">
        <f t="shared" si="32"/>
        <v>15456.25932739535</v>
      </c>
      <c r="F26" s="1861">
        <f>'Table 4 Level 3'!P26*90%</f>
        <v>549.31500000000005</v>
      </c>
      <c r="G26" s="1861">
        <f t="shared" si="33"/>
        <v>1647.9450000000002</v>
      </c>
      <c r="H26" s="1861">
        <f t="shared" si="34"/>
        <v>17104.20432739535</v>
      </c>
      <c r="I26" s="1861">
        <f>(('Table 3 Levels 1&amp;2'!AL28-D26)+('Table 4 Level 3'!P26-F26))*C26</f>
        <v>1900.4671474883712</v>
      </c>
      <c r="J26" s="1861">
        <f>+'[3]Oct midyear LA Virtual Admy'!K24</f>
        <v>17104.204327395346</v>
      </c>
      <c r="K26" s="1861">
        <f>'[3]Feb midyear LA Virtual Admy'!K24</f>
        <v>0</v>
      </c>
      <c r="L26" s="1861">
        <f t="shared" si="35"/>
        <v>17104.204327395346</v>
      </c>
      <c r="M26" s="1861">
        <f t="shared" si="28"/>
        <v>34208.408654790692</v>
      </c>
      <c r="N26" s="1861">
        <f t="shared" si="29"/>
        <v>-85.521021636976727</v>
      </c>
      <c r="O26" s="1862">
        <f t="shared" si="30"/>
        <v>34122.887633153718</v>
      </c>
      <c r="P26" s="1862">
        <f>'[34]LAVCA Adjustment'!X25++'[32]Oct midyear LA Virtual Admy'!K24+'[35]Feb midyear adj_LA virtual '!M26</f>
        <v>8409.7656201337013</v>
      </c>
      <c r="Q26" s="1864">
        <f t="shared" si="36"/>
        <v>42532.653253287419</v>
      </c>
      <c r="R26" s="1888">
        <f>'[4]Table 5C2 - LA Virtual Admy'!N24+'[27]Table 5C2 - LA Virtual Admy'!V24+('[26]Table 5C2 - LA Virtual Admy'!V24*6)</f>
        <v>26804</v>
      </c>
      <c r="S26" s="1864">
        <f t="shared" si="37"/>
        <v>15728.653253287419</v>
      </c>
      <c r="T26" s="1888">
        <f t="shared" si="38"/>
        <v>3932</v>
      </c>
      <c r="U26" s="1865">
        <f>'Table 5C1A-Madison Prep'!T28*90%</f>
        <v>2200.5</v>
      </c>
      <c r="V26" s="1866">
        <f t="shared" si="31"/>
        <v>6601.5</v>
      </c>
      <c r="W26" s="2059">
        <f>+'[3]Oct midyear LA Virtual Admy'!E24</f>
        <v>3</v>
      </c>
      <c r="X26" s="1866">
        <f t="shared" si="39"/>
        <v>6601.5</v>
      </c>
      <c r="Y26" s="1932">
        <f>'[3]Feb midyear LA Virtual Admy'!E24</f>
        <v>0</v>
      </c>
      <c r="Z26" s="1866">
        <f t="shared" si="40"/>
        <v>0</v>
      </c>
      <c r="AA26" s="1866">
        <f t="shared" si="41"/>
        <v>6601.5</v>
      </c>
      <c r="AB26" s="1866">
        <f t="shared" si="42"/>
        <v>13203</v>
      </c>
      <c r="AC26" s="1866">
        <f t="shared" si="43"/>
        <v>-33.0075</v>
      </c>
      <c r="AD26" s="1866">
        <f t="shared" si="44"/>
        <v>13169.9925</v>
      </c>
      <c r="AE26" s="1865">
        <f>'[34]LAVCA Adjustment'!AB25+'[32]Oct midyear LA Virtual Admy'!P24+'[35]Feb midyear adj_LA virtual '!S26</f>
        <v>2789.1000000000004</v>
      </c>
      <c r="AF26" s="1867">
        <f t="shared" si="45"/>
        <v>15959.092500000001</v>
      </c>
      <c r="AG26" s="1889">
        <f>'[4]Table 5C2 - LA Virtual Admy'!U24+'[27]Table 5C2 - LA Virtual Admy'!AH24+('[26]Table 5C2 - LA Virtual Admy'!AH24*6)</f>
        <v>9434</v>
      </c>
      <c r="AH26" s="1867">
        <f t="shared" si="46"/>
        <v>6525.0925000000007</v>
      </c>
      <c r="AI26" s="1889">
        <f t="shared" si="47"/>
        <v>1631</v>
      </c>
      <c r="AJ26" s="1869">
        <f t="shared" si="48"/>
        <v>58491.745753287418</v>
      </c>
      <c r="AK26" s="1869">
        <f t="shared" si="49"/>
        <v>5563</v>
      </c>
      <c r="AM26" s="2042">
        <f>-'[4]Table 5C2 - LA Virtual Admy'!Q24</f>
        <v>15</v>
      </c>
      <c r="AN26" s="2042">
        <f t="shared" si="50"/>
        <v>-33.0075</v>
      </c>
      <c r="AO26" s="2042">
        <f t="shared" si="51"/>
        <v>-18.0075</v>
      </c>
    </row>
    <row r="27" spans="1:41" s="533" customFormat="1" ht="17.25" customHeight="1">
      <c r="A27" s="101">
        <v>22</v>
      </c>
      <c r="B27" s="772" t="s">
        <v>113</v>
      </c>
      <c r="C27" s="1870">
        <f>'2-1-13 SIS'!J28</f>
        <v>2</v>
      </c>
      <c r="D27" s="1871">
        <f>'Table 3 Levels 1&amp;2'!AL29*90%</f>
        <v>5582.9640391850471</v>
      </c>
      <c r="E27" s="1871">
        <f t="shared" si="32"/>
        <v>11165.928078370094</v>
      </c>
      <c r="F27" s="1872">
        <f>'Table 4 Level 3'!P27*90%</f>
        <v>446.72400000000005</v>
      </c>
      <c r="G27" s="1872">
        <f t="shared" si="33"/>
        <v>893.44800000000009</v>
      </c>
      <c r="H27" s="1872">
        <f t="shared" si="34"/>
        <v>12059.376078370095</v>
      </c>
      <c r="I27" s="1872">
        <f>(('Table 3 Levels 1&amp;2'!AL29-D27)+('Table 4 Level 3'!P27-F27))*C27</f>
        <v>1339.930675374454</v>
      </c>
      <c r="J27" s="1872">
        <f>+'[3]Oct midyear LA Virtual Admy'!K25</f>
        <v>30148.440195925235</v>
      </c>
      <c r="K27" s="1872">
        <f>'[3]Feb midyear LA Virtual Admy'!K25</f>
        <v>3014.8440195925236</v>
      </c>
      <c r="L27" s="1872">
        <f t="shared" si="35"/>
        <v>33163.284215517757</v>
      </c>
      <c r="M27" s="1872">
        <f t="shared" si="28"/>
        <v>45222.66029388785</v>
      </c>
      <c r="N27" s="1872">
        <f t="shared" si="29"/>
        <v>-113.05665073471963</v>
      </c>
      <c r="O27" s="1873">
        <f t="shared" si="30"/>
        <v>45109.603643153132</v>
      </c>
      <c r="P27" s="1873">
        <f>'[34]LAVCA Adjustment'!X26++'[32]Oct midyear LA Virtual Admy'!K25+'[35]Feb midyear adj_LA virtual '!M27</f>
        <v>0</v>
      </c>
      <c r="Q27" s="1874">
        <f t="shared" si="36"/>
        <v>45109.603643153132</v>
      </c>
      <c r="R27" s="1874">
        <f>'[4]Table 5C2 - LA Virtual Admy'!N25+'[27]Table 5C2 - LA Virtual Admy'!V25+('[26]Table 5C2 - LA Virtual Admy'!V25*6)</f>
        <v>34372</v>
      </c>
      <c r="S27" s="1874">
        <f t="shared" si="37"/>
        <v>10737.603643153132</v>
      </c>
      <c r="T27" s="1874">
        <f t="shared" si="38"/>
        <v>2684</v>
      </c>
      <c r="U27" s="1875">
        <f>'Table 5C1A-Madison Prep'!T29*90%</f>
        <v>1367.1000000000001</v>
      </c>
      <c r="V27" s="1876">
        <f t="shared" si="31"/>
        <v>2734.2000000000003</v>
      </c>
      <c r="W27" s="2060">
        <f>+'[3]Oct midyear LA Virtual Admy'!E25</f>
        <v>5</v>
      </c>
      <c r="X27" s="1876">
        <f t="shared" si="39"/>
        <v>6835.5000000000009</v>
      </c>
      <c r="Y27" s="1933">
        <f>'[3]Feb midyear LA Virtual Admy'!E25</f>
        <v>1</v>
      </c>
      <c r="Z27" s="1876">
        <f t="shared" si="40"/>
        <v>683.55000000000007</v>
      </c>
      <c r="AA27" s="1876">
        <f t="shared" si="41"/>
        <v>7519.0500000000011</v>
      </c>
      <c r="AB27" s="1876">
        <f t="shared" si="42"/>
        <v>10253.250000000002</v>
      </c>
      <c r="AC27" s="1876">
        <f t="shared" si="43"/>
        <v>-25.633125000000007</v>
      </c>
      <c r="AD27" s="1876">
        <f t="shared" si="44"/>
        <v>10227.616875000002</v>
      </c>
      <c r="AE27" s="1875">
        <f>'[34]LAVCA Adjustment'!AB26+'[32]Oct midyear LA Virtual Admy'!P25+'[35]Feb midyear adj_LA virtual '!S27</f>
        <v>0</v>
      </c>
      <c r="AF27" s="1877">
        <f t="shared" si="45"/>
        <v>10227.616875000002</v>
      </c>
      <c r="AG27" s="1877">
        <f>'[4]Table 5C2 - LA Virtual Admy'!U25+'[27]Table 5C2 - LA Virtual Admy'!AH25+('[26]Table 5C2 - LA Virtual Admy'!AH25*6)</f>
        <v>7377</v>
      </c>
      <c r="AH27" s="1877">
        <f t="shared" si="46"/>
        <v>2850.6168750000015</v>
      </c>
      <c r="AI27" s="1877">
        <f t="shared" si="47"/>
        <v>713</v>
      </c>
      <c r="AJ27" s="1878">
        <f t="shared" si="48"/>
        <v>55337.220518153132</v>
      </c>
      <c r="AK27" s="1878">
        <f t="shared" si="49"/>
        <v>3397</v>
      </c>
      <c r="AM27" s="2042">
        <f>-'[4]Table 5C2 - LA Virtual Admy'!Q25</f>
        <v>6</v>
      </c>
      <c r="AN27" s="2042">
        <f t="shared" si="50"/>
        <v>-25.633125000000007</v>
      </c>
      <c r="AO27" s="2042">
        <f t="shared" si="51"/>
        <v>-19.633125000000007</v>
      </c>
    </row>
    <row r="28" spans="1:41" s="533" customFormat="1" ht="17.25" customHeight="1">
      <c r="A28" s="101">
        <v>23</v>
      </c>
      <c r="B28" s="772" t="s">
        <v>114</v>
      </c>
      <c r="C28" s="1870">
        <f>'2-1-13 SIS'!J29</f>
        <v>12</v>
      </c>
      <c r="D28" s="1871">
        <f>'Table 3 Levels 1&amp;2'!AL30*90%</f>
        <v>4361.4722241060917</v>
      </c>
      <c r="E28" s="1871">
        <f t="shared" si="32"/>
        <v>52337.666689273101</v>
      </c>
      <c r="F28" s="1872">
        <f>'Table 4 Level 3'!P28*90%</f>
        <v>619.72200000000009</v>
      </c>
      <c r="G28" s="1872">
        <f t="shared" si="33"/>
        <v>7436.6640000000007</v>
      </c>
      <c r="H28" s="1872">
        <f t="shared" si="34"/>
        <v>59774.330689273105</v>
      </c>
      <c r="I28" s="1872">
        <f>(('Table 3 Levels 1&amp;2'!AL30-D28)+('Table 4 Level 3'!P28-F28))*C28</f>
        <v>6641.5922988081156</v>
      </c>
      <c r="J28" s="1872">
        <f>+'[3]Oct midyear LA Virtual Admy'!K26</f>
        <v>44830.748016954822</v>
      </c>
      <c r="K28" s="1872">
        <f>'[3]Feb midyear LA Virtual Admy'!K26</f>
        <v>-4981.1942241060915</v>
      </c>
      <c r="L28" s="1872">
        <f t="shared" si="35"/>
        <v>39849.553792848732</v>
      </c>
      <c r="M28" s="1872">
        <f t="shared" si="28"/>
        <v>99623.884482121837</v>
      </c>
      <c r="N28" s="1872">
        <f t="shared" si="29"/>
        <v>-249.05971120530461</v>
      </c>
      <c r="O28" s="1873">
        <f t="shared" si="30"/>
        <v>99374.82477091653</v>
      </c>
      <c r="P28" s="1873">
        <f>'[34]LAVCA Adjustment'!X27++'[32]Oct midyear LA Virtual Admy'!K26+'[35]Feb midyear adj_LA virtual '!M28</f>
        <v>4966.1007333311845</v>
      </c>
      <c r="Q28" s="1874">
        <f t="shared" si="36"/>
        <v>104340.92550424772</v>
      </c>
      <c r="R28" s="1874">
        <f>'[4]Table 5C2 - LA Virtual Admy'!N26+'[27]Table 5C2 - LA Virtual Admy'!V26+('[26]Table 5C2 - LA Virtual Admy'!V26*6)</f>
        <v>73956</v>
      </c>
      <c r="S28" s="1874">
        <f t="shared" si="37"/>
        <v>30384.925504247716</v>
      </c>
      <c r="T28" s="1874">
        <f t="shared" si="38"/>
        <v>7596</v>
      </c>
      <c r="U28" s="1875">
        <f>'Table 5C1A-Madison Prep'!T30*90%</f>
        <v>3028.5</v>
      </c>
      <c r="V28" s="1876">
        <f t="shared" si="31"/>
        <v>36342</v>
      </c>
      <c r="W28" s="2060">
        <f>+'[3]Oct midyear LA Virtual Admy'!E26</f>
        <v>9</v>
      </c>
      <c r="X28" s="1876">
        <f t="shared" si="39"/>
        <v>27256.5</v>
      </c>
      <c r="Y28" s="1933">
        <f>'[3]Feb midyear LA Virtual Admy'!E26</f>
        <v>-2</v>
      </c>
      <c r="Z28" s="1876">
        <f t="shared" si="40"/>
        <v>-3028.5</v>
      </c>
      <c r="AA28" s="1876">
        <f t="shared" si="41"/>
        <v>24228</v>
      </c>
      <c r="AB28" s="1876">
        <f t="shared" si="42"/>
        <v>60570</v>
      </c>
      <c r="AC28" s="1876">
        <f t="shared" si="43"/>
        <v>-151.42500000000001</v>
      </c>
      <c r="AD28" s="1876">
        <f t="shared" si="44"/>
        <v>60418.574999999997</v>
      </c>
      <c r="AE28" s="1875">
        <f>'[34]LAVCA Adjustment'!AB27+'[32]Oct midyear LA Virtual Admy'!P26+'[35]Feb midyear adj_LA virtual '!S28</f>
        <v>2762.1</v>
      </c>
      <c r="AF28" s="1877">
        <f t="shared" si="45"/>
        <v>63180.674999999996</v>
      </c>
      <c r="AG28" s="1877">
        <f>'[4]Table 5C2 - LA Virtual Admy'!U26+'[27]Table 5C2 - LA Virtual Admy'!AH26+('[26]Table 5C2 - LA Virtual Admy'!AH26*6)</f>
        <v>45062</v>
      </c>
      <c r="AH28" s="1877">
        <f t="shared" si="46"/>
        <v>18118.674999999996</v>
      </c>
      <c r="AI28" s="1877">
        <f t="shared" si="47"/>
        <v>4530</v>
      </c>
      <c r="AJ28" s="1878">
        <f t="shared" si="48"/>
        <v>167521.6005042477</v>
      </c>
      <c r="AK28" s="1878">
        <f t="shared" si="49"/>
        <v>12126</v>
      </c>
      <c r="AM28" s="2042">
        <f>-'[4]Table 5C2 - LA Virtual Admy'!Q26</f>
        <v>91</v>
      </c>
      <c r="AN28" s="2042">
        <f t="shared" si="50"/>
        <v>-151.42500000000001</v>
      </c>
      <c r="AO28" s="2042">
        <f t="shared" si="51"/>
        <v>-60.425000000000011</v>
      </c>
    </row>
    <row r="29" spans="1:41" s="533" customFormat="1" ht="17.25" customHeight="1">
      <c r="A29" s="101">
        <v>24</v>
      </c>
      <c r="B29" s="772" t="s">
        <v>115</v>
      </c>
      <c r="C29" s="1870">
        <f>'2-1-13 SIS'!J30</f>
        <v>10</v>
      </c>
      <c r="D29" s="1871">
        <f>'Table 3 Levels 1&amp;2'!AL31*90%</f>
        <v>2487.7095079787237</v>
      </c>
      <c r="E29" s="1871">
        <f t="shared" si="32"/>
        <v>24877.095079787236</v>
      </c>
      <c r="F29" s="1872">
        <f>'Table 4 Level 3'!P29*90%</f>
        <v>768.82499999999993</v>
      </c>
      <c r="G29" s="1872">
        <f t="shared" si="33"/>
        <v>7688.2499999999991</v>
      </c>
      <c r="H29" s="1872">
        <f t="shared" si="34"/>
        <v>32565.345079787236</v>
      </c>
      <c r="I29" s="1872">
        <f>(('Table 3 Levels 1&amp;2'!AL31-D29)+('Table 4 Level 3'!P29-F29))*C29</f>
        <v>3618.3716755319142</v>
      </c>
      <c r="J29" s="1872">
        <f>+'[3]Oct midyear LA Virtual Admy'!K27</f>
        <v>3256.5345079787235</v>
      </c>
      <c r="K29" s="1872">
        <f>'[3]Feb midyear LA Virtual Admy'!K27</f>
        <v>4884.801761968085</v>
      </c>
      <c r="L29" s="1872">
        <f t="shared" si="35"/>
        <v>8141.3362699468089</v>
      </c>
      <c r="M29" s="1872">
        <f t="shared" si="28"/>
        <v>40706.681349734048</v>
      </c>
      <c r="N29" s="1872">
        <f t="shared" si="29"/>
        <v>-101.76670337433512</v>
      </c>
      <c r="O29" s="1873">
        <f t="shared" si="30"/>
        <v>40604.914646359714</v>
      </c>
      <c r="P29" s="1873">
        <f>'[34]LAVCA Adjustment'!X28++'[32]Oct midyear LA Virtual Admy'!K27+'[35]Feb midyear adj_LA virtual '!M29</f>
        <v>-4226.8685526590489</v>
      </c>
      <c r="Q29" s="1874">
        <f t="shared" si="36"/>
        <v>36378.046093700665</v>
      </c>
      <c r="R29" s="1874">
        <f>'[4]Table 5C2 - LA Virtual Admy'!N27+'[27]Table 5C2 - LA Virtual Admy'!V27+('[26]Table 5C2 - LA Virtual Admy'!V27*6)</f>
        <v>22497</v>
      </c>
      <c r="S29" s="1874">
        <f t="shared" si="37"/>
        <v>13881.046093700665</v>
      </c>
      <c r="T29" s="1874">
        <f t="shared" si="38"/>
        <v>3470</v>
      </c>
      <c r="U29" s="1875">
        <f>'Table 5C1A-Madison Prep'!T31*90%</f>
        <v>9816.3000000000011</v>
      </c>
      <c r="V29" s="1876">
        <f t="shared" si="31"/>
        <v>98163.000000000015</v>
      </c>
      <c r="W29" s="2060">
        <f>+'[3]Oct midyear LA Virtual Admy'!E27</f>
        <v>1</v>
      </c>
      <c r="X29" s="1876">
        <f t="shared" si="39"/>
        <v>9816.3000000000011</v>
      </c>
      <c r="Y29" s="1933">
        <f>'[3]Feb midyear LA Virtual Admy'!E27</f>
        <v>3</v>
      </c>
      <c r="Z29" s="1876">
        <f t="shared" si="40"/>
        <v>14724.45</v>
      </c>
      <c r="AA29" s="1876">
        <f t="shared" si="41"/>
        <v>24540.75</v>
      </c>
      <c r="AB29" s="1876">
        <f t="shared" si="42"/>
        <v>122703.75000000001</v>
      </c>
      <c r="AC29" s="1876">
        <f t="shared" si="43"/>
        <v>-306.75937500000003</v>
      </c>
      <c r="AD29" s="1876">
        <f t="shared" si="44"/>
        <v>122396.99062500002</v>
      </c>
      <c r="AE29" s="1875">
        <f>'[34]LAVCA Adjustment'!AB28+'[32]Oct midyear LA Virtual Admy'!P27+'[35]Feb midyear adj_LA virtual '!S29</f>
        <v>-12590.099999999999</v>
      </c>
      <c r="AF29" s="1877">
        <f t="shared" si="45"/>
        <v>109806.89062500003</v>
      </c>
      <c r="AG29" s="1877">
        <f>'[4]Table 5C2 - LA Virtual Admy'!U27+'[27]Table 5C2 - LA Virtual Admy'!AH27+('[26]Table 5C2 - LA Virtual Admy'!AH27*6)</f>
        <v>59903</v>
      </c>
      <c r="AH29" s="1877">
        <f t="shared" si="46"/>
        <v>49903.890625000029</v>
      </c>
      <c r="AI29" s="1877">
        <f t="shared" si="47"/>
        <v>12476</v>
      </c>
      <c r="AJ29" s="1878">
        <f t="shared" si="48"/>
        <v>146184.93671870069</v>
      </c>
      <c r="AK29" s="1878">
        <f t="shared" si="49"/>
        <v>15946</v>
      </c>
      <c r="AM29" s="2042">
        <f>-'[4]Table 5C2 - LA Virtual Admy'!Q27</f>
        <v>220</v>
      </c>
      <c r="AN29" s="2042">
        <f t="shared" si="50"/>
        <v>-306.75937500000003</v>
      </c>
      <c r="AO29" s="2042">
        <f t="shared" si="51"/>
        <v>-86.759375000000034</v>
      </c>
    </row>
    <row r="30" spans="1:41" s="533" customFormat="1" ht="17.25" customHeight="1">
      <c r="A30" s="102">
        <v>25</v>
      </c>
      <c r="B30" s="773" t="s">
        <v>116</v>
      </c>
      <c r="C30" s="1879">
        <f>'2-1-13 SIS'!J31</f>
        <v>4</v>
      </c>
      <c r="D30" s="1880">
        <f>'Table 3 Levels 1&amp;2'!AL32*90%</f>
        <v>3480.7032622847933</v>
      </c>
      <c r="E30" s="1880">
        <f t="shared" si="32"/>
        <v>13922.813049139173</v>
      </c>
      <c r="F30" s="1881">
        <f>'Table 4 Level 3'!P30*90%</f>
        <v>588.35700000000008</v>
      </c>
      <c r="G30" s="1881">
        <f t="shared" si="33"/>
        <v>2353.4280000000003</v>
      </c>
      <c r="H30" s="1881">
        <f t="shared" si="34"/>
        <v>16276.241049139173</v>
      </c>
      <c r="I30" s="1881">
        <f>(('Table 3 Levels 1&amp;2'!AL32-D30)+('Table 4 Level 3'!P30-F30))*C30</f>
        <v>1808.4712276821297</v>
      </c>
      <c r="J30" s="1881">
        <f>+'[3]Oct midyear LA Virtual Admy'!K28</f>
        <v>-12207.18078685438</v>
      </c>
      <c r="K30" s="1881">
        <f>'[3]Feb midyear LA Virtual Admy'!K28</f>
        <v>0</v>
      </c>
      <c r="L30" s="1881">
        <f t="shared" si="35"/>
        <v>-12207.18078685438</v>
      </c>
      <c r="M30" s="1881">
        <f t="shared" si="28"/>
        <v>4069.0602622847928</v>
      </c>
      <c r="N30" s="1881">
        <f t="shared" si="29"/>
        <v>-10.172650655711982</v>
      </c>
      <c r="O30" s="1882">
        <f t="shared" si="30"/>
        <v>4058.8876116290808</v>
      </c>
      <c r="P30" s="1882">
        <f>'[34]LAVCA Adjustment'!X29++'[32]Oct midyear LA Virtual Admy'!K28+'[35]Feb midyear adj_LA virtual '!M30</f>
        <v>-1944.4689813277946</v>
      </c>
      <c r="Q30" s="1883">
        <f t="shared" si="36"/>
        <v>2114.4186303012862</v>
      </c>
      <c r="R30" s="1883">
        <f>'[4]Table 5C2 - LA Virtual Admy'!N28+'[27]Table 5C2 - LA Virtual Admy'!V28+('[26]Table 5C2 - LA Virtual Admy'!V28*6)</f>
        <v>11670</v>
      </c>
      <c r="S30" s="1883">
        <f t="shared" si="37"/>
        <v>-9555.5813696987134</v>
      </c>
      <c r="T30" s="1883">
        <f t="shared" si="38"/>
        <v>-2389</v>
      </c>
      <c r="U30" s="1884">
        <f>'Table 5C1A-Madison Prep'!T32*90%</f>
        <v>4640.4000000000005</v>
      </c>
      <c r="V30" s="1885">
        <f t="shared" si="31"/>
        <v>18561.600000000002</v>
      </c>
      <c r="W30" s="2061">
        <f>+'[3]Oct midyear LA Virtual Admy'!E28</f>
        <v>-3</v>
      </c>
      <c r="X30" s="1885">
        <f t="shared" si="39"/>
        <v>-13921.2</v>
      </c>
      <c r="Y30" s="1934">
        <f>'[3]Feb midyear LA Virtual Admy'!E28</f>
        <v>0</v>
      </c>
      <c r="Z30" s="1885">
        <f t="shared" si="40"/>
        <v>0</v>
      </c>
      <c r="AA30" s="1885">
        <f t="shared" si="41"/>
        <v>-13921.2</v>
      </c>
      <c r="AB30" s="1885">
        <f t="shared" si="42"/>
        <v>4640.4000000000015</v>
      </c>
      <c r="AC30" s="1885">
        <f t="shared" si="43"/>
        <v>-11.601000000000004</v>
      </c>
      <c r="AD30" s="1885">
        <f t="shared" si="44"/>
        <v>4628.7990000000018</v>
      </c>
      <c r="AE30" s="1884">
        <f>'[34]LAVCA Adjustment'!AB29+'[32]Oct midyear LA Virtual Admy'!P28+'[35]Feb midyear adj_LA virtual '!S30</f>
        <v>-2265.75</v>
      </c>
      <c r="AF30" s="1886">
        <f t="shared" si="45"/>
        <v>2363.0490000000018</v>
      </c>
      <c r="AG30" s="1886">
        <f>'[4]Table 5C2 - LA Virtual Admy'!U28+'[27]Table 5C2 - LA Virtual Admy'!AH28+('[26]Table 5C2 - LA Virtual Admy'!AH28*6)</f>
        <v>12374</v>
      </c>
      <c r="AH30" s="1886">
        <f t="shared" si="46"/>
        <v>-10010.950999999997</v>
      </c>
      <c r="AI30" s="1886">
        <f t="shared" si="47"/>
        <v>-2503</v>
      </c>
      <c r="AJ30" s="1887">
        <f t="shared" si="48"/>
        <v>4477.4676303012875</v>
      </c>
      <c r="AK30" s="1887">
        <f t="shared" si="49"/>
        <v>-4892</v>
      </c>
      <c r="AM30" s="2042">
        <f>-'[4]Table 5C2 - LA Virtual Admy'!Q28</f>
        <v>44</v>
      </c>
      <c r="AN30" s="2042">
        <f t="shared" si="50"/>
        <v>-11.601000000000004</v>
      </c>
      <c r="AO30" s="2042">
        <f t="shared" si="51"/>
        <v>32.398999999999994</v>
      </c>
    </row>
    <row r="31" spans="1:41" s="533" customFormat="1" ht="17.25" customHeight="1">
      <c r="A31" s="101">
        <v>26</v>
      </c>
      <c r="B31" s="772" t="s">
        <v>117</v>
      </c>
      <c r="C31" s="1859">
        <f>'2-1-13 SIS'!J32</f>
        <v>96</v>
      </c>
      <c r="D31" s="1860">
        <f>'Table 3 Levels 1&amp;2'!AL33*90%</f>
        <v>2964.1333741113194</v>
      </c>
      <c r="E31" s="1860">
        <f t="shared" si="32"/>
        <v>284556.80391468666</v>
      </c>
      <c r="F31" s="1861">
        <f>'Table 4 Level 3'!P31*90%</f>
        <v>753.14700000000005</v>
      </c>
      <c r="G31" s="1861">
        <f t="shared" si="33"/>
        <v>72302.112000000008</v>
      </c>
      <c r="H31" s="1861">
        <f t="shared" si="34"/>
        <v>356858.91591468669</v>
      </c>
      <c r="I31" s="1861">
        <f>(('Table 3 Levels 1&amp;2'!AL33-D31)+('Table 4 Level 3'!P31-F31))*C31</f>
        <v>39650.990657187416</v>
      </c>
      <c r="J31" s="1861">
        <f>+'[3]Oct midyear LA Virtual Admy'!K29</f>
        <v>241623.22431723576</v>
      </c>
      <c r="K31" s="1861">
        <f>'[3]Feb midyear LA Virtual Admy'!K29</f>
        <v>11151.841122333957</v>
      </c>
      <c r="L31" s="1861">
        <f t="shared" si="35"/>
        <v>252775.06543956971</v>
      </c>
      <c r="M31" s="1861">
        <f t="shared" si="28"/>
        <v>609633.98135425639</v>
      </c>
      <c r="N31" s="1861">
        <f t="shared" si="29"/>
        <v>-1524.084953385641</v>
      </c>
      <c r="O31" s="1862">
        <f t="shared" si="30"/>
        <v>608109.89640087076</v>
      </c>
      <c r="P31" s="1862">
        <f>'[34]LAVCA Adjustment'!X30++'[32]Oct midyear LA Virtual Admy'!K29+'[35]Feb midyear adj_LA virtual '!M31</f>
        <v>19400.184461864563</v>
      </c>
      <c r="Q31" s="1864">
        <f t="shared" si="36"/>
        <v>627510.08086273528</v>
      </c>
      <c r="R31" s="1888">
        <f>'[4]Table 5C2 - LA Virtual Admy'!N29+'[27]Table 5C2 - LA Virtual Admy'!V29+('[26]Table 5C2 - LA Virtual Admy'!V29*6)</f>
        <v>389730</v>
      </c>
      <c r="S31" s="1864">
        <f t="shared" si="37"/>
        <v>237780.08086273528</v>
      </c>
      <c r="T31" s="1888">
        <f t="shared" si="38"/>
        <v>59445</v>
      </c>
      <c r="U31" s="1865">
        <f>'Table 5C1A-Madison Prep'!T33*90%</f>
        <v>4809.6000000000004</v>
      </c>
      <c r="V31" s="1866">
        <f t="shared" si="31"/>
        <v>461721.60000000003</v>
      </c>
      <c r="W31" s="2059">
        <f>+'[3]Oct midyear LA Virtual Admy'!E29</f>
        <v>65</v>
      </c>
      <c r="X31" s="1866">
        <f t="shared" si="39"/>
        <v>312624</v>
      </c>
      <c r="Y31" s="1932">
        <f>'[3]Feb midyear LA Virtual Admy'!E29</f>
        <v>6</v>
      </c>
      <c r="Z31" s="1866">
        <f t="shared" si="40"/>
        <v>14428.800000000001</v>
      </c>
      <c r="AA31" s="1866">
        <f t="shared" si="41"/>
        <v>327052.79999999999</v>
      </c>
      <c r="AB31" s="1866">
        <f t="shared" si="42"/>
        <v>788774.40000000002</v>
      </c>
      <c r="AC31" s="1866">
        <f t="shared" si="43"/>
        <v>-1971.9360000000001</v>
      </c>
      <c r="AD31" s="1866">
        <f t="shared" si="44"/>
        <v>786802.46400000004</v>
      </c>
      <c r="AE31" s="1865">
        <f>'[34]LAVCA Adjustment'!AB30+'[32]Oct midyear LA Virtual Admy'!P29+'[35]Feb midyear adj_LA virtual '!S31</f>
        <v>28393.199999999997</v>
      </c>
      <c r="AF31" s="1867">
        <f t="shared" si="45"/>
        <v>815195.66399999999</v>
      </c>
      <c r="AG31" s="1889">
        <f>'[4]Table 5C2 - LA Virtual Admy'!U29+'[27]Table 5C2 - LA Virtual Admy'!AH29+('[26]Table 5C2 - LA Virtual Admy'!AH29*6)</f>
        <v>502437</v>
      </c>
      <c r="AH31" s="1867">
        <f t="shared" si="46"/>
        <v>312758.66399999999</v>
      </c>
      <c r="AI31" s="1889">
        <f t="shared" si="47"/>
        <v>78190</v>
      </c>
      <c r="AJ31" s="1869">
        <f t="shared" si="48"/>
        <v>1442705.7448627353</v>
      </c>
      <c r="AK31" s="1869">
        <f t="shared" si="49"/>
        <v>137635</v>
      </c>
      <c r="AM31" s="2042">
        <f>-'[4]Table 5C2 - LA Virtual Admy'!Q29</f>
        <v>1145</v>
      </c>
      <c r="AN31" s="2042">
        <f t="shared" si="50"/>
        <v>-1971.9360000000001</v>
      </c>
      <c r="AO31" s="2042">
        <f t="shared" si="51"/>
        <v>-826.93600000000015</v>
      </c>
    </row>
    <row r="32" spans="1:41" s="533" customFormat="1" ht="17.25" customHeight="1">
      <c r="A32" s="101">
        <v>27</v>
      </c>
      <c r="B32" s="772" t="s">
        <v>118</v>
      </c>
      <c r="C32" s="1870">
        <f>'2-1-13 SIS'!J33</f>
        <v>3</v>
      </c>
      <c r="D32" s="1871">
        <f>'Table 3 Levels 1&amp;2'!AL34*90%</f>
        <v>5112.6954765643777</v>
      </c>
      <c r="E32" s="1871">
        <f t="shared" si="32"/>
        <v>15338.086429693132</v>
      </c>
      <c r="F32" s="1872">
        <f>'Table 4 Level 3'!P32*90%</f>
        <v>623.75400000000002</v>
      </c>
      <c r="G32" s="1872">
        <f t="shared" si="33"/>
        <v>1871.2620000000002</v>
      </c>
      <c r="H32" s="1872">
        <f t="shared" si="34"/>
        <v>17209.348429693131</v>
      </c>
      <c r="I32" s="1872">
        <f>(('Table 3 Levels 1&amp;2'!AL34-D32)+('Table 4 Level 3'!P32-F32))*C32</f>
        <v>1912.1498255214583</v>
      </c>
      <c r="J32" s="1872">
        <f>+'[3]Oct midyear LA Virtual Admy'!K30</f>
        <v>34418.696859386269</v>
      </c>
      <c r="K32" s="1872">
        <f>'[3]Feb midyear LA Virtual Admy'!K30</f>
        <v>8604.6742148465673</v>
      </c>
      <c r="L32" s="1872">
        <f t="shared" si="35"/>
        <v>43023.37107423284</v>
      </c>
      <c r="M32" s="1872">
        <f t="shared" si="28"/>
        <v>60232.719503925968</v>
      </c>
      <c r="N32" s="1872">
        <f t="shared" si="29"/>
        <v>-150.58179875981492</v>
      </c>
      <c r="O32" s="1873">
        <f t="shared" si="30"/>
        <v>60082.137705166155</v>
      </c>
      <c r="P32" s="1873">
        <f>'[34]LAVCA Adjustment'!X31++'[32]Oct midyear LA Virtual Admy'!K30+'[35]Feb midyear adj_LA virtual '!M32</f>
        <v>14418.13922577246</v>
      </c>
      <c r="Q32" s="1874">
        <f t="shared" si="36"/>
        <v>74500.27693093862</v>
      </c>
      <c r="R32" s="1874">
        <f>'[4]Table 5C2 - LA Virtual Admy'!N30+'[27]Table 5C2 - LA Virtual Admy'!V30+('[26]Table 5C2 - LA Virtual Admy'!V30*6)</f>
        <v>49981</v>
      </c>
      <c r="S32" s="1874">
        <f t="shared" si="37"/>
        <v>24519.27693093862</v>
      </c>
      <c r="T32" s="1874">
        <f t="shared" si="38"/>
        <v>6130</v>
      </c>
      <c r="U32" s="1875">
        <f>'Table 5C1A-Madison Prep'!T34*90%</f>
        <v>2943.9</v>
      </c>
      <c r="V32" s="1876">
        <f t="shared" si="31"/>
        <v>8831.7000000000007</v>
      </c>
      <c r="W32" s="2060">
        <f>+'[3]Oct midyear LA Virtual Admy'!E30</f>
        <v>6</v>
      </c>
      <c r="X32" s="1876">
        <f t="shared" si="39"/>
        <v>17663.400000000001</v>
      </c>
      <c r="Y32" s="1933">
        <f>'[3]Feb midyear LA Virtual Admy'!E30</f>
        <v>3</v>
      </c>
      <c r="Z32" s="1876">
        <f t="shared" si="40"/>
        <v>4415.8500000000004</v>
      </c>
      <c r="AA32" s="1876">
        <f t="shared" si="41"/>
        <v>22079.25</v>
      </c>
      <c r="AB32" s="1876">
        <f t="shared" si="42"/>
        <v>30910.95</v>
      </c>
      <c r="AC32" s="1876">
        <f t="shared" si="43"/>
        <v>-77.277375000000006</v>
      </c>
      <c r="AD32" s="1876">
        <f t="shared" si="44"/>
        <v>30833.672624999999</v>
      </c>
      <c r="AE32" s="1875">
        <f>'[34]LAVCA Adjustment'!AB31+'[32]Oct midyear LA Virtual Admy'!P30+'[35]Feb midyear adj_LA virtual '!S32</f>
        <v>6644.2500000000009</v>
      </c>
      <c r="AF32" s="1877">
        <f t="shared" si="45"/>
        <v>37477.922624999999</v>
      </c>
      <c r="AG32" s="1877">
        <f>'[4]Table 5C2 - LA Virtual Admy'!U30+'[27]Table 5C2 - LA Virtual Admy'!AH30+('[26]Table 5C2 - LA Virtual Admy'!AH30*6)</f>
        <v>25016</v>
      </c>
      <c r="AH32" s="1877">
        <f t="shared" si="46"/>
        <v>12461.922624999999</v>
      </c>
      <c r="AI32" s="1877">
        <f t="shared" si="47"/>
        <v>3115</v>
      </c>
      <c r="AJ32" s="1878">
        <f t="shared" si="48"/>
        <v>111978.19955593863</v>
      </c>
      <c r="AK32" s="1878">
        <f t="shared" si="49"/>
        <v>9245</v>
      </c>
      <c r="AM32" s="2042">
        <f>-'[4]Table 5C2 - LA Virtual Admy'!Q30</f>
        <v>22</v>
      </c>
      <c r="AN32" s="2042">
        <f t="shared" si="50"/>
        <v>-77.277375000000006</v>
      </c>
      <c r="AO32" s="2042">
        <f t="shared" si="51"/>
        <v>-55.277375000000006</v>
      </c>
    </row>
    <row r="33" spans="1:41" s="533" customFormat="1" ht="17.25" customHeight="1">
      <c r="A33" s="101">
        <v>28</v>
      </c>
      <c r="B33" s="772" t="s">
        <v>119</v>
      </c>
      <c r="C33" s="1870">
        <f>'2-1-13 SIS'!J34</f>
        <v>39</v>
      </c>
      <c r="D33" s="1871">
        <f>'Table 3 Levels 1&amp;2'!AL35*90%</f>
        <v>2846.8524994634854</v>
      </c>
      <c r="E33" s="1871">
        <f t="shared" si="32"/>
        <v>111027.24747907593</v>
      </c>
      <c r="F33" s="1872">
        <f>'Table 4 Level 3'!P33*90%</f>
        <v>624.96</v>
      </c>
      <c r="G33" s="1872">
        <f t="shared" si="33"/>
        <v>24373.440000000002</v>
      </c>
      <c r="H33" s="1872">
        <f t="shared" si="34"/>
        <v>135400.68747907592</v>
      </c>
      <c r="I33" s="1872">
        <f>(('Table 3 Levels 1&amp;2'!AL35-D33)+('Table 4 Level 3'!P33-F33))*C33</f>
        <v>15044.520831008425</v>
      </c>
      <c r="J33" s="1872">
        <f>+'[3]Oct midyear LA Virtual Admy'!K31</f>
        <v>142344.31247800292</v>
      </c>
      <c r="K33" s="1872">
        <f>'[3]Feb midyear LA Virtual Admy'!K31</f>
        <v>12151.343748122199</v>
      </c>
      <c r="L33" s="1872">
        <f t="shared" si="35"/>
        <v>154495.65622612511</v>
      </c>
      <c r="M33" s="1872">
        <f t="shared" si="28"/>
        <v>289896.34370520106</v>
      </c>
      <c r="N33" s="1872">
        <f t="shared" si="29"/>
        <v>-724.74085926300268</v>
      </c>
      <c r="O33" s="1873">
        <f t="shared" si="30"/>
        <v>289171.60284593806</v>
      </c>
      <c r="P33" s="1873">
        <f>'[34]LAVCA Adjustment'!X32++'[32]Oct midyear LA Virtual Admy'!K31+'[35]Feb midyear adj_LA virtual '!M33</f>
        <v>2034.6534504075903</v>
      </c>
      <c r="Q33" s="1874">
        <f t="shared" si="36"/>
        <v>291206.25629634567</v>
      </c>
      <c r="R33" s="1874">
        <f>'[4]Table 5C2 - LA Virtual Admy'!N31+'[27]Table 5C2 - LA Virtual Admy'!V31+('[26]Table 5C2 - LA Virtual Admy'!V31*6)</f>
        <v>171489</v>
      </c>
      <c r="S33" s="1874">
        <f t="shared" si="37"/>
        <v>119717.25629634567</v>
      </c>
      <c r="T33" s="1874">
        <f t="shared" si="38"/>
        <v>29929</v>
      </c>
      <c r="U33" s="1875">
        <f>'Table 5C1A-Madison Prep'!T35*90%</f>
        <v>5082.3</v>
      </c>
      <c r="V33" s="1876">
        <f t="shared" si="31"/>
        <v>198209.7</v>
      </c>
      <c r="W33" s="2060">
        <f>+'[3]Oct midyear LA Virtual Admy'!E31</f>
        <v>41</v>
      </c>
      <c r="X33" s="1876">
        <f t="shared" si="39"/>
        <v>208374.30000000002</v>
      </c>
      <c r="Y33" s="1933">
        <f>'[3]Feb midyear LA Virtual Admy'!E31</f>
        <v>7</v>
      </c>
      <c r="Z33" s="1876">
        <f t="shared" si="40"/>
        <v>17788.05</v>
      </c>
      <c r="AA33" s="1876">
        <f t="shared" si="41"/>
        <v>226162.35</v>
      </c>
      <c r="AB33" s="1876">
        <f t="shared" si="42"/>
        <v>424372.05000000005</v>
      </c>
      <c r="AC33" s="1876">
        <f t="shared" si="43"/>
        <v>-1060.9301250000001</v>
      </c>
      <c r="AD33" s="1876">
        <f t="shared" si="44"/>
        <v>423311.11987500003</v>
      </c>
      <c r="AE33" s="1875">
        <f>'[34]LAVCA Adjustment'!AB32+'[32]Oct midyear LA Virtual Admy'!P31+'[35]Feb midyear adj_LA virtual '!S33</f>
        <v>2265.3000000000002</v>
      </c>
      <c r="AF33" s="1877">
        <f t="shared" si="45"/>
        <v>425576.41987500002</v>
      </c>
      <c r="AG33" s="1877">
        <f>'[4]Table 5C2 - LA Virtual Admy'!U31+'[27]Table 5C2 - LA Virtual Admy'!AH31+('[26]Table 5C2 - LA Virtual Admy'!AH31*6)</f>
        <v>237907</v>
      </c>
      <c r="AH33" s="1877">
        <f t="shared" si="46"/>
        <v>187669.41987500002</v>
      </c>
      <c r="AI33" s="1877">
        <f t="shared" si="47"/>
        <v>46917</v>
      </c>
      <c r="AJ33" s="1878">
        <f t="shared" si="48"/>
        <v>716782.67617134564</v>
      </c>
      <c r="AK33" s="1878">
        <f t="shared" si="49"/>
        <v>76846</v>
      </c>
      <c r="AM33" s="2042">
        <f>-'[4]Table 5C2 - LA Virtual Admy'!Q31</f>
        <v>470</v>
      </c>
      <c r="AN33" s="2042">
        <f t="shared" si="50"/>
        <v>-1060.9301250000001</v>
      </c>
      <c r="AO33" s="2042">
        <f t="shared" si="51"/>
        <v>-590.93012500000009</v>
      </c>
    </row>
    <row r="34" spans="1:41" s="533" customFormat="1" ht="17.25" customHeight="1">
      <c r="A34" s="101">
        <v>29</v>
      </c>
      <c r="B34" s="772" t="s">
        <v>120</v>
      </c>
      <c r="C34" s="1870">
        <f>'2-1-13 SIS'!J35</f>
        <v>12</v>
      </c>
      <c r="D34" s="1871">
        <f>'Table 3 Levels 1&amp;2'!AL36*90%</f>
        <v>3557.3027519747384</v>
      </c>
      <c r="E34" s="1871">
        <f t="shared" si="32"/>
        <v>42687.633023696864</v>
      </c>
      <c r="F34" s="1872">
        <f>'Table 4 Level 3'!P34*90%</f>
        <v>679.45499999999993</v>
      </c>
      <c r="G34" s="1872">
        <f t="shared" si="33"/>
        <v>8153.4599999999991</v>
      </c>
      <c r="H34" s="1872">
        <f t="shared" si="34"/>
        <v>50841.093023696863</v>
      </c>
      <c r="I34" s="1872">
        <f>(('Table 3 Levels 1&amp;2'!AL36-D34)+('Table 4 Level 3'!P34-F34))*C34</f>
        <v>5649.0103359663171</v>
      </c>
      <c r="J34" s="1872">
        <f>+'[3]Oct midyear LA Virtual Admy'!K32</f>
        <v>42367.577519747385</v>
      </c>
      <c r="K34" s="1872">
        <f>'[3]Feb midyear LA Virtual Admy'!K32</f>
        <v>4236.7577519747383</v>
      </c>
      <c r="L34" s="1872">
        <f t="shared" si="35"/>
        <v>46604.335271722121</v>
      </c>
      <c r="M34" s="1872">
        <f t="shared" si="28"/>
        <v>97445.428295418984</v>
      </c>
      <c r="N34" s="1872">
        <f t="shared" si="29"/>
        <v>-243.61357073854745</v>
      </c>
      <c r="O34" s="1873">
        <f t="shared" si="30"/>
        <v>97201.814724680429</v>
      </c>
      <c r="P34" s="1873">
        <f>'[34]LAVCA Adjustment'!X33++'[32]Oct midyear LA Virtual Admy'!K32+'[35]Feb midyear adj_LA virtual '!M34</f>
        <v>797.64505343467954</v>
      </c>
      <c r="Q34" s="1874">
        <f t="shared" si="36"/>
        <v>97999.45977811511</v>
      </c>
      <c r="R34" s="1874">
        <f>'[4]Table 5C2 - LA Virtual Admy'!N32+'[27]Table 5C2 - LA Virtual Admy'!V32+('[26]Table 5C2 - LA Virtual Admy'!V32*6)</f>
        <v>69302</v>
      </c>
      <c r="S34" s="1874">
        <f t="shared" si="37"/>
        <v>28697.45977811511</v>
      </c>
      <c r="T34" s="1874">
        <f t="shared" si="38"/>
        <v>7174</v>
      </c>
      <c r="U34" s="1875">
        <f>'Table 5C1A-Madison Prep'!T36*90%</f>
        <v>4343.4000000000005</v>
      </c>
      <c r="V34" s="1876">
        <f t="shared" si="31"/>
        <v>52120.800000000003</v>
      </c>
      <c r="W34" s="2060">
        <f>+'[3]Oct midyear LA Virtual Admy'!E32</f>
        <v>10</v>
      </c>
      <c r="X34" s="1876">
        <f t="shared" si="39"/>
        <v>43434.000000000007</v>
      </c>
      <c r="Y34" s="1933">
        <f>'[3]Feb midyear LA Virtual Admy'!E32</f>
        <v>2</v>
      </c>
      <c r="Z34" s="1876">
        <f t="shared" si="40"/>
        <v>4343.4000000000005</v>
      </c>
      <c r="AA34" s="1876">
        <f t="shared" si="41"/>
        <v>47777.400000000009</v>
      </c>
      <c r="AB34" s="1876">
        <f t="shared" si="42"/>
        <v>99898.200000000012</v>
      </c>
      <c r="AC34" s="1876">
        <f t="shared" si="43"/>
        <v>-249.74550000000002</v>
      </c>
      <c r="AD34" s="1876">
        <f t="shared" si="44"/>
        <v>99648.454500000007</v>
      </c>
      <c r="AE34" s="1875">
        <f>'[34]LAVCA Adjustment'!AB33+'[32]Oct midyear LA Virtual Admy'!P32+'[35]Feb midyear adj_LA virtual '!S34</f>
        <v>0</v>
      </c>
      <c r="AF34" s="1877">
        <f t="shared" si="45"/>
        <v>99648.454500000007</v>
      </c>
      <c r="AG34" s="1877">
        <f>'[4]Table 5C2 - LA Virtual Admy'!U32+'[27]Table 5C2 - LA Virtual Admy'!AH32+('[26]Table 5C2 - LA Virtual Admy'!AH32*6)</f>
        <v>69579</v>
      </c>
      <c r="AH34" s="1877">
        <f t="shared" si="46"/>
        <v>30069.454500000007</v>
      </c>
      <c r="AI34" s="1877">
        <f t="shared" si="47"/>
        <v>7517</v>
      </c>
      <c r="AJ34" s="1878">
        <f t="shared" si="48"/>
        <v>197647.91427811512</v>
      </c>
      <c r="AK34" s="1878">
        <f t="shared" si="49"/>
        <v>14691</v>
      </c>
      <c r="AM34" s="2042">
        <f>-'[4]Table 5C2 - LA Virtual Admy'!Q32</f>
        <v>129</v>
      </c>
      <c r="AN34" s="2042">
        <f t="shared" si="50"/>
        <v>-249.74550000000002</v>
      </c>
      <c r="AO34" s="2042">
        <f t="shared" si="51"/>
        <v>-120.74550000000002</v>
      </c>
    </row>
    <row r="35" spans="1:41" s="533" customFormat="1" ht="17.25" customHeight="1">
      <c r="A35" s="102">
        <v>30</v>
      </c>
      <c r="B35" s="773" t="s">
        <v>121</v>
      </c>
      <c r="C35" s="1879">
        <f>'2-1-13 SIS'!J36</f>
        <v>4</v>
      </c>
      <c r="D35" s="1880">
        <f>'Table 3 Levels 1&amp;2'!AL37*90%</f>
        <v>5083.7859419267688</v>
      </c>
      <c r="E35" s="1880">
        <f t="shared" si="32"/>
        <v>20335.143767707075</v>
      </c>
      <c r="F35" s="1881">
        <f>'Table 4 Level 3'!P35*90%</f>
        <v>654.45299999999997</v>
      </c>
      <c r="G35" s="1881">
        <f t="shared" si="33"/>
        <v>2617.8119999999999</v>
      </c>
      <c r="H35" s="1881">
        <f t="shared" si="34"/>
        <v>22952.955767707077</v>
      </c>
      <c r="I35" s="1881">
        <f>(('Table 3 Levels 1&amp;2'!AL37-D35)+('Table 4 Level 3'!P35-F35))*C35</f>
        <v>2550.3284186341202</v>
      </c>
      <c r="J35" s="1881">
        <f>+'[3]Oct midyear LA Virtual Admy'!K33</f>
        <v>-11476.477883853539</v>
      </c>
      <c r="K35" s="1881">
        <f>'[3]Feb midyear LA Virtual Admy'!K33</f>
        <v>8607.358412890153</v>
      </c>
      <c r="L35" s="1881">
        <f t="shared" si="35"/>
        <v>-2869.1194709633855</v>
      </c>
      <c r="M35" s="1881">
        <f t="shared" si="28"/>
        <v>20083.836296743691</v>
      </c>
      <c r="N35" s="1881">
        <f t="shared" si="29"/>
        <v>-50.20959074185923</v>
      </c>
      <c r="O35" s="1882">
        <f t="shared" si="30"/>
        <v>20033.626706001833</v>
      </c>
      <c r="P35" s="1882">
        <f>'[34]LAVCA Adjustment'!X34++'[32]Oct midyear LA Virtual Admy'!K33+'[35]Feb midyear adj_LA virtual '!M35</f>
        <v>0</v>
      </c>
      <c r="Q35" s="1883">
        <f t="shared" si="36"/>
        <v>20033.626706001833</v>
      </c>
      <c r="R35" s="1883">
        <f>'[4]Table 5C2 - LA Virtual Admy'!N33+'[27]Table 5C2 - LA Virtual Admy'!V33+('[26]Table 5C2 - LA Virtual Admy'!V33*6)</f>
        <v>22967</v>
      </c>
      <c r="S35" s="1883">
        <f t="shared" si="37"/>
        <v>-2933.3732939981674</v>
      </c>
      <c r="T35" s="1883">
        <f t="shared" si="38"/>
        <v>-733</v>
      </c>
      <c r="U35" s="1884">
        <f>'Table 5C1A-Madison Prep'!T37*90%</f>
        <v>3773.7000000000003</v>
      </c>
      <c r="V35" s="1885">
        <f t="shared" si="31"/>
        <v>15094.800000000001</v>
      </c>
      <c r="W35" s="2061">
        <f>+'[3]Oct midyear LA Virtual Admy'!E33</f>
        <v>-2</v>
      </c>
      <c r="X35" s="1885">
        <f t="shared" si="39"/>
        <v>-7547.4000000000005</v>
      </c>
      <c r="Y35" s="1934">
        <f>'[3]Feb midyear LA Virtual Admy'!E33</f>
        <v>3</v>
      </c>
      <c r="Z35" s="1885">
        <f t="shared" si="40"/>
        <v>5660.55</v>
      </c>
      <c r="AA35" s="1885">
        <f t="shared" si="41"/>
        <v>-1886.8500000000004</v>
      </c>
      <c r="AB35" s="1885">
        <f t="shared" si="42"/>
        <v>13207.95</v>
      </c>
      <c r="AC35" s="1885">
        <f t="shared" si="43"/>
        <v>-33.019874999999999</v>
      </c>
      <c r="AD35" s="1885">
        <f t="shared" si="44"/>
        <v>13174.930125000001</v>
      </c>
      <c r="AE35" s="1884">
        <f>'[34]LAVCA Adjustment'!AB34+'[32]Oct midyear LA Virtual Admy'!P33+'[35]Feb midyear adj_LA virtual '!S35</f>
        <v>0</v>
      </c>
      <c r="AF35" s="1886">
        <f t="shared" si="45"/>
        <v>13174.930125000001</v>
      </c>
      <c r="AG35" s="1886">
        <f>'[4]Table 5C2 - LA Virtual Admy'!U33+'[27]Table 5C2 - LA Virtual Admy'!AH33+('[26]Table 5C2 - LA Virtual Admy'!AH33*6)</f>
        <v>11657</v>
      </c>
      <c r="AH35" s="1886">
        <f t="shared" si="46"/>
        <v>1517.9301250000008</v>
      </c>
      <c r="AI35" s="1886">
        <f t="shared" si="47"/>
        <v>379</v>
      </c>
      <c r="AJ35" s="1887">
        <f t="shared" si="48"/>
        <v>33208.556831001835</v>
      </c>
      <c r="AK35" s="1887">
        <f t="shared" si="49"/>
        <v>-354</v>
      </c>
      <c r="AM35" s="2042">
        <f>-'[4]Table 5C2 - LA Virtual Admy'!Q33</f>
        <v>29</v>
      </c>
      <c r="AN35" s="2042">
        <f t="shared" si="50"/>
        <v>-33.019874999999999</v>
      </c>
      <c r="AO35" s="2042">
        <f t="shared" si="51"/>
        <v>-4.019874999999999</v>
      </c>
    </row>
    <row r="36" spans="1:41" s="533" customFormat="1" ht="17.25" customHeight="1">
      <c r="A36" s="101">
        <v>31</v>
      </c>
      <c r="B36" s="772" t="s">
        <v>122</v>
      </c>
      <c r="C36" s="1859">
        <f>'2-1-13 SIS'!J37</f>
        <v>2</v>
      </c>
      <c r="D36" s="1860">
        <f>'Table 3 Levels 1&amp;2'!AL38*90%</f>
        <v>3914.0377109309675</v>
      </c>
      <c r="E36" s="1860">
        <f t="shared" si="32"/>
        <v>7828.075421861935</v>
      </c>
      <c r="F36" s="1861">
        <f>'Table 4 Level 3'!P36*90%</f>
        <v>558.74700000000007</v>
      </c>
      <c r="G36" s="1861">
        <f t="shared" si="33"/>
        <v>1117.4940000000001</v>
      </c>
      <c r="H36" s="1861">
        <f t="shared" si="34"/>
        <v>8945.5694218619356</v>
      </c>
      <c r="I36" s="1861">
        <f>(('Table 3 Levels 1&amp;2'!AL38-D36)+('Table 4 Level 3'!P36-F36))*C36</f>
        <v>993.95215798465938</v>
      </c>
      <c r="J36" s="1861">
        <f>+'[3]Oct midyear LA Virtual Admy'!K34</f>
        <v>4472.7847109309678</v>
      </c>
      <c r="K36" s="1861">
        <f>'[3]Feb midyear LA Virtual Admy'!K34</f>
        <v>4472.7847109309678</v>
      </c>
      <c r="L36" s="1861">
        <f t="shared" si="35"/>
        <v>8945.5694218619356</v>
      </c>
      <c r="M36" s="1861">
        <f t="shared" si="28"/>
        <v>17891.138843723871</v>
      </c>
      <c r="N36" s="1861">
        <f t="shared" si="29"/>
        <v>-44.727847109309678</v>
      </c>
      <c r="O36" s="1862">
        <f t="shared" si="30"/>
        <v>17846.410996614562</v>
      </c>
      <c r="P36" s="1862">
        <f>'[34]LAVCA Adjustment'!X35++'[32]Oct midyear LA Virtual Admy'!K34+'[35]Feb midyear adj_LA virtual '!M36</f>
        <v>-6552.5138358897311</v>
      </c>
      <c r="Q36" s="1864">
        <f t="shared" si="36"/>
        <v>11293.897160724831</v>
      </c>
      <c r="R36" s="1888">
        <f>'[4]Table 5C2 - LA Virtual Admy'!N34+'[27]Table 5C2 - LA Virtual Admy'!V34+('[26]Table 5C2 - LA Virtual Admy'!V34*6)</f>
        <v>9612</v>
      </c>
      <c r="S36" s="1864">
        <f t="shared" si="37"/>
        <v>1681.8971607248313</v>
      </c>
      <c r="T36" s="1888">
        <f t="shared" si="38"/>
        <v>420</v>
      </c>
      <c r="U36" s="1865">
        <f>'Table 5C1A-Madison Prep'!T38*90%</f>
        <v>4410.9000000000005</v>
      </c>
      <c r="V36" s="1866">
        <f t="shared" si="31"/>
        <v>8821.8000000000011</v>
      </c>
      <c r="W36" s="2059">
        <f>+'[3]Oct midyear LA Virtual Admy'!E34</f>
        <v>1</v>
      </c>
      <c r="X36" s="1866">
        <f t="shared" si="39"/>
        <v>4410.9000000000005</v>
      </c>
      <c r="Y36" s="1932">
        <f>'[3]Feb midyear LA Virtual Admy'!E34</f>
        <v>2</v>
      </c>
      <c r="Z36" s="1866">
        <f t="shared" si="40"/>
        <v>4410.9000000000005</v>
      </c>
      <c r="AA36" s="1866">
        <f t="shared" si="41"/>
        <v>8821.8000000000011</v>
      </c>
      <c r="AB36" s="1866">
        <f t="shared" si="42"/>
        <v>17643.600000000002</v>
      </c>
      <c r="AC36" s="1866">
        <f t="shared" si="43"/>
        <v>-44.109000000000009</v>
      </c>
      <c r="AD36" s="1866">
        <f t="shared" si="44"/>
        <v>17599.491000000002</v>
      </c>
      <c r="AE36" s="1865">
        <f>'[34]LAVCA Adjustment'!AB35+'[32]Oct midyear LA Virtual Admy'!P34+'[35]Feb midyear adj_LA virtual '!S36</f>
        <v>-6313.9500000000007</v>
      </c>
      <c r="AF36" s="1867">
        <f t="shared" si="45"/>
        <v>11285.541000000001</v>
      </c>
      <c r="AG36" s="1889">
        <f>'[4]Table 5C2 - LA Virtual Admy'!U34+'[27]Table 5C2 - LA Virtual Admy'!AH34+('[26]Table 5C2 - LA Virtual Admy'!AH34*6)</f>
        <v>9280</v>
      </c>
      <c r="AH36" s="1867">
        <f t="shared" si="46"/>
        <v>2005.5410000000011</v>
      </c>
      <c r="AI36" s="1889">
        <f t="shared" si="47"/>
        <v>501</v>
      </c>
      <c r="AJ36" s="1869">
        <f t="shared" si="48"/>
        <v>22579.438160724832</v>
      </c>
      <c r="AK36" s="1869">
        <f t="shared" si="49"/>
        <v>921</v>
      </c>
      <c r="AM36" s="2042">
        <f>-'[4]Table 5C2 - LA Virtual Admy'!Q34</f>
        <v>22</v>
      </c>
      <c r="AN36" s="2042">
        <f t="shared" si="50"/>
        <v>-44.109000000000009</v>
      </c>
      <c r="AO36" s="2042">
        <f t="shared" si="51"/>
        <v>-22.109000000000009</v>
      </c>
    </row>
    <row r="37" spans="1:41" s="533" customFormat="1" ht="17.25" customHeight="1">
      <c r="A37" s="101">
        <v>32</v>
      </c>
      <c r="B37" s="772" t="s">
        <v>123</v>
      </c>
      <c r="C37" s="1870">
        <f>'2-1-13 SIS'!J38</f>
        <v>32</v>
      </c>
      <c r="D37" s="1871">
        <f>'Table 3 Levels 1&amp;2'!AL39*90%</f>
        <v>4978.3641889911114</v>
      </c>
      <c r="E37" s="1871">
        <f t="shared" si="32"/>
        <v>159307.65404771556</v>
      </c>
      <c r="F37" s="1872">
        <f>'Table 4 Level 3'!P37*90%</f>
        <v>503.79300000000001</v>
      </c>
      <c r="G37" s="1872">
        <f t="shared" si="33"/>
        <v>16121.376</v>
      </c>
      <c r="H37" s="1872">
        <f t="shared" si="34"/>
        <v>175429.03004771555</v>
      </c>
      <c r="I37" s="1872">
        <f>(('Table 3 Levels 1&amp;2'!AL39-D37)+('Table 4 Level 3'!P37-F37))*C37</f>
        <v>19492.114449746154</v>
      </c>
      <c r="J37" s="1872">
        <f>+'[3]Oct midyear LA Virtual Admy'!K35</f>
        <v>235732.75912661778</v>
      </c>
      <c r="K37" s="1872">
        <f>'[3]Feb midyear LA Virtual Admy'!K35</f>
        <v>10964.314377982222</v>
      </c>
      <c r="L37" s="1872">
        <f t="shared" si="35"/>
        <v>246697.0735046</v>
      </c>
      <c r="M37" s="1872">
        <f t="shared" si="28"/>
        <v>422126.10355231556</v>
      </c>
      <c r="N37" s="1872">
        <f t="shared" si="29"/>
        <v>-1055.3152588807889</v>
      </c>
      <c r="O37" s="1873">
        <f t="shared" si="30"/>
        <v>421070.78829343477</v>
      </c>
      <c r="P37" s="1873">
        <f>'[34]LAVCA Adjustment'!X36++'[32]Oct midyear LA Virtual Admy'!K35+'[35]Feb midyear adj_LA virtual '!M37</f>
        <v>8072.8479056944361</v>
      </c>
      <c r="Q37" s="1874">
        <f t="shared" si="36"/>
        <v>429143.63619912922</v>
      </c>
      <c r="R37" s="1874">
        <f>'[4]Table 5C2 - LA Virtual Admy'!N35+'[27]Table 5C2 - LA Virtual Admy'!V35+('[26]Table 5C2 - LA Virtual Admy'!V35*6)</f>
        <v>241751</v>
      </c>
      <c r="S37" s="1874">
        <f t="shared" si="37"/>
        <v>187392.63619912922</v>
      </c>
      <c r="T37" s="1874">
        <f t="shared" si="38"/>
        <v>46848</v>
      </c>
      <c r="U37" s="1875">
        <f>'Table 5C1A-Madison Prep'!T39*90%</f>
        <v>1866.6000000000001</v>
      </c>
      <c r="V37" s="1876">
        <f t="shared" si="31"/>
        <v>59731.200000000004</v>
      </c>
      <c r="W37" s="2060">
        <f>+'[3]Oct midyear LA Virtual Admy'!E35</f>
        <v>43</v>
      </c>
      <c r="X37" s="1876">
        <f t="shared" si="39"/>
        <v>80263.8</v>
      </c>
      <c r="Y37" s="1933">
        <f>'[3]Feb midyear LA Virtual Admy'!E35</f>
        <v>4</v>
      </c>
      <c r="Z37" s="1876">
        <f t="shared" si="40"/>
        <v>3733.2000000000003</v>
      </c>
      <c r="AA37" s="1876">
        <f t="shared" si="41"/>
        <v>83997</v>
      </c>
      <c r="AB37" s="1876">
        <f t="shared" si="42"/>
        <v>143728.20000000001</v>
      </c>
      <c r="AC37" s="1876">
        <f t="shared" si="43"/>
        <v>-359.32050000000004</v>
      </c>
      <c r="AD37" s="1876">
        <f t="shared" si="44"/>
        <v>143368.87950000001</v>
      </c>
      <c r="AE37" s="1875">
        <f>'[34]LAVCA Adjustment'!AB36+'[32]Oct midyear LA Virtual Admy'!P35+'[35]Feb midyear adj_LA virtual '!S37</f>
        <v>2531.25</v>
      </c>
      <c r="AF37" s="1877">
        <f t="shared" si="45"/>
        <v>145900.12950000001</v>
      </c>
      <c r="AG37" s="1877">
        <f>'[4]Table 5C2 - LA Virtual Admy'!U35+'[27]Table 5C2 - LA Virtual Admy'!AH35+('[26]Table 5C2 - LA Virtual Admy'!AH35*6)</f>
        <v>83525</v>
      </c>
      <c r="AH37" s="1877">
        <f t="shared" si="46"/>
        <v>62375.12950000001</v>
      </c>
      <c r="AI37" s="1877">
        <f t="shared" si="47"/>
        <v>15594</v>
      </c>
      <c r="AJ37" s="1878">
        <f t="shared" si="48"/>
        <v>575043.7656991292</v>
      </c>
      <c r="AK37" s="1878">
        <f t="shared" si="49"/>
        <v>62442</v>
      </c>
      <c r="AM37" s="2042">
        <f>-'[4]Table 5C2 - LA Virtual Admy'!Q35</f>
        <v>152</v>
      </c>
      <c r="AN37" s="2042">
        <f t="shared" si="50"/>
        <v>-359.32050000000004</v>
      </c>
      <c r="AO37" s="2042">
        <f t="shared" si="51"/>
        <v>-207.32050000000004</v>
      </c>
    </row>
    <row r="38" spans="1:41" s="533" customFormat="1" ht="17.25" customHeight="1">
      <c r="A38" s="101">
        <v>33</v>
      </c>
      <c r="B38" s="772" t="s">
        <v>124</v>
      </c>
      <c r="C38" s="1870">
        <f>'2-1-13 SIS'!J39</f>
        <v>2</v>
      </c>
      <c r="D38" s="1871">
        <f>'Table 3 Levels 1&amp;2'!AL40*90%</f>
        <v>4796.5899803866068</v>
      </c>
      <c r="E38" s="1871">
        <f t="shared" si="32"/>
        <v>9593.1799607732137</v>
      </c>
      <c r="F38" s="1872">
        <f>'Table 4 Level 3'!P38*90%</f>
        <v>589.77900000000011</v>
      </c>
      <c r="G38" s="1872">
        <f t="shared" si="33"/>
        <v>1179.5580000000002</v>
      </c>
      <c r="H38" s="1872">
        <f t="shared" si="34"/>
        <v>10772.737960773215</v>
      </c>
      <c r="I38" s="1872">
        <f>(('Table 3 Levels 1&amp;2'!AL40-D38)+('Table 4 Level 3'!P38-F38))*C38</f>
        <v>1196.9708845303576</v>
      </c>
      <c r="J38" s="1872">
        <f>+'[3]Oct midyear LA Virtual Admy'!K36</f>
        <v>-5386.3689803866073</v>
      </c>
      <c r="K38" s="1872">
        <f>'[3]Feb midyear LA Virtual Admy'!K36</f>
        <v>2693.1844901933036</v>
      </c>
      <c r="L38" s="1872">
        <f t="shared" si="35"/>
        <v>-2693.1844901933036</v>
      </c>
      <c r="M38" s="1872">
        <f t="shared" ref="M38:M69" si="52">H38+L38</f>
        <v>8079.5534705799109</v>
      </c>
      <c r="N38" s="1872">
        <f t="shared" ref="N38:N69" si="53">-0.25%*M38</f>
        <v>-20.198883676449778</v>
      </c>
      <c r="O38" s="1873">
        <f t="shared" ref="O38:O69" si="54">M38+N38</f>
        <v>8059.3545869034615</v>
      </c>
      <c r="P38" s="1873">
        <f>'[34]LAVCA Adjustment'!X37++'[32]Oct midyear LA Virtual Admy'!K36+'[35]Feb midyear adj_LA virtual '!M38</f>
        <v>-16223.420824313898</v>
      </c>
      <c r="Q38" s="1874">
        <f t="shared" si="36"/>
        <v>-8164.0662374104368</v>
      </c>
      <c r="R38" s="1874">
        <f>'[4]Table 5C2 - LA Virtual Admy'!N36+'[27]Table 5C2 - LA Virtual Admy'!V36+('[26]Table 5C2 - LA Virtual Admy'!V36*6)</f>
        <v>-3649</v>
      </c>
      <c r="S38" s="1874">
        <f t="shared" si="37"/>
        <v>-4515.0662374104368</v>
      </c>
      <c r="T38" s="1874">
        <f t="shared" si="38"/>
        <v>-1129</v>
      </c>
      <c r="U38" s="1875">
        <f>'Table 5C1A-Madison Prep'!T40*90%</f>
        <v>3150.9</v>
      </c>
      <c r="V38" s="1876">
        <f t="shared" ref="V38:V69" si="55">U38*C38</f>
        <v>6301.8</v>
      </c>
      <c r="W38" s="2060">
        <f>+'[3]Oct midyear LA Virtual Admy'!E36</f>
        <v>-1</v>
      </c>
      <c r="X38" s="1876">
        <f t="shared" si="39"/>
        <v>-3150.9</v>
      </c>
      <c r="Y38" s="1933">
        <f>'[3]Feb midyear LA Virtual Admy'!E36</f>
        <v>1</v>
      </c>
      <c r="Z38" s="1876">
        <f t="shared" si="40"/>
        <v>1575.45</v>
      </c>
      <c r="AA38" s="1876">
        <f t="shared" si="41"/>
        <v>-1575.45</v>
      </c>
      <c r="AB38" s="1876">
        <f t="shared" si="42"/>
        <v>4726.3500000000004</v>
      </c>
      <c r="AC38" s="1876">
        <f t="shared" si="43"/>
        <v>-11.815875000000002</v>
      </c>
      <c r="AD38" s="1876">
        <f t="shared" si="44"/>
        <v>4714.5341250000001</v>
      </c>
      <c r="AE38" s="1875">
        <f>'[34]LAVCA Adjustment'!AB37+'[32]Oct midyear LA Virtual Admy'!P36+'[35]Feb midyear adj_LA virtual '!S38</f>
        <v>-8221.5</v>
      </c>
      <c r="AF38" s="1877">
        <f t="shared" si="45"/>
        <v>-3506.9658749999999</v>
      </c>
      <c r="AG38" s="1877">
        <f>'[4]Table 5C2 - LA Virtual Admy'!U36+'[27]Table 5C2 - LA Virtual Admy'!AH36+('[26]Table 5C2 - LA Virtual Admy'!AH36*6)</f>
        <v>-2312</v>
      </c>
      <c r="AH38" s="1877">
        <f t="shared" si="46"/>
        <v>-1194.9658749999999</v>
      </c>
      <c r="AI38" s="1877">
        <f t="shared" si="47"/>
        <v>-299</v>
      </c>
      <c r="AJ38" s="1878">
        <f t="shared" si="48"/>
        <v>-11671.032112410438</v>
      </c>
      <c r="AK38" s="1878">
        <f t="shared" si="49"/>
        <v>-1428</v>
      </c>
      <c r="AM38" s="2042">
        <f>-'[4]Table 5C2 - LA Virtual Admy'!Q36</f>
        <v>12</v>
      </c>
      <c r="AN38" s="2042">
        <f t="shared" si="50"/>
        <v>-11.815875000000002</v>
      </c>
      <c r="AO38" s="2042">
        <f t="shared" si="51"/>
        <v>0.1841249999999981</v>
      </c>
    </row>
    <row r="39" spans="1:41" s="533" customFormat="1" ht="17.25" customHeight="1">
      <c r="A39" s="101">
        <v>34</v>
      </c>
      <c r="B39" s="772" t="s">
        <v>125</v>
      </c>
      <c r="C39" s="1870">
        <f>'2-1-13 SIS'!J40</f>
        <v>15</v>
      </c>
      <c r="D39" s="1871">
        <f>'Table 3 Levels 1&amp;2'!AL41*90%</f>
        <v>5403.2696388067425</v>
      </c>
      <c r="E39" s="1871">
        <f t="shared" si="32"/>
        <v>81049.044582101138</v>
      </c>
      <c r="F39" s="1872">
        <f>'Table 4 Level 3'!P39*90%</f>
        <v>579.69900000000018</v>
      </c>
      <c r="G39" s="1872">
        <f t="shared" si="33"/>
        <v>8695.4850000000024</v>
      </c>
      <c r="H39" s="1872">
        <f t="shared" si="34"/>
        <v>89744.529582101139</v>
      </c>
      <c r="I39" s="1872">
        <f>(('Table 3 Levels 1&amp;2'!AL41-D39)+('Table 4 Level 3'!P39-F39))*C39</f>
        <v>9971.6143980112283</v>
      </c>
      <c r="J39" s="1872">
        <f>+'[3]Oct midyear LA Virtual Admy'!K37</f>
        <v>53846.717749260686</v>
      </c>
      <c r="K39" s="1872">
        <f>'[3]Feb midyear LA Virtual Admy'!K37</f>
        <v>0</v>
      </c>
      <c r="L39" s="1872">
        <f t="shared" si="35"/>
        <v>53846.717749260686</v>
      </c>
      <c r="M39" s="1872">
        <f t="shared" si="52"/>
        <v>143591.24733136181</v>
      </c>
      <c r="N39" s="1872">
        <f t="shared" si="53"/>
        <v>-358.97811832840455</v>
      </c>
      <c r="O39" s="1873">
        <f t="shared" si="54"/>
        <v>143232.2692130334</v>
      </c>
      <c r="P39" s="1873">
        <f>'[34]LAVCA Adjustment'!X38++'[32]Oct midyear LA Virtual Admy'!K37+'[35]Feb midyear adj_LA virtual '!M39</f>
        <v>2884.0040853608243</v>
      </c>
      <c r="Q39" s="1874">
        <f t="shared" si="36"/>
        <v>146116.27329839423</v>
      </c>
      <c r="R39" s="1874">
        <f>'[4]Table 5C2 - LA Virtual Admy'!N37+'[27]Table 5C2 - LA Virtual Admy'!V37+('[26]Table 5C2 - LA Virtual Admy'!V37*6)</f>
        <v>105659</v>
      </c>
      <c r="S39" s="1874">
        <f t="shared" si="37"/>
        <v>40457.273298394226</v>
      </c>
      <c r="T39" s="1874">
        <f t="shared" si="38"/>
        <v>10114</v>
      </c>
      <c r="U39" s="1875">
        <f>'Table 5C1A-Madison Prep'!T41*90%</f>
        <v>2494.8000000000002</v>
      </c>
      <c r="V39" s="1876">
        <f t="shared" si="55"/>
        <v>37422</v>
      </c>
      <c r="W39" s="2060">
        <f>+'[3]Oct midyear LA Virtual Admy'!E37</f>
        <v>9</v>
      </c>
      <c r="X39" s="1876">
        <f t="shared" si="39"/>
        <v>22453.200000000001</v>
      </c>
      <c r="Y39" s="1933">
        <f>'[3]Feb midyear LA Virtual Admy'!E37</f>
        <v>0</v>
      </c>
      <c r="Z39" s="1876">
        <f t="shared" si="40"/>
        <v>0</v>
      </c>
      <c r="AA39" s="1876">
        <f t="shared" si="41"/>
        <v>22453.200000000001</v>
      </c>
      <c r="AB39" s="1876">
        <f t="shared" si="42"/>
        <v>59875.199999999997</v>
      </c>
      <c r="AC39" s="1876">
        <f t="shared" si="43"/>
        <v>-149.68799999999999</v>
      </c>
      <c r="AD39" s="1876">
        <f t="shared" si="44"/>
        <v>59725.511999999995</v>
      </c>
      <c r="AE39" s="1875">
        <f>'[34]LAVCA Adjustment'!AB38+'[32]Oct midyear LA Virtual Admy'!P37+'[35]Feb midyear adj_LA virtual '!S39</f>
        <v>1216.3500000000001</v>
      </c>
      <c r="AF39" s="1877">
        <f t="shared" si="45"/>
        <v>60941.861999999994</v>
      </c>
      <c r="AG39" s="1877">
        <f>'[4]Table 5C2 - LA Virtual Admy'!U37+'[27]Table 5C2 - LA Virtual Admy'!AH37+('[26]Table 5C2 - LA Virtual Admy'!AH37*6)</f>
        <v>44752</v>
      </c>
      <c r="AH39" s="1877">
        <f t="shared" si="46"/>
        <v>16189.861999999994</v>
      </c>
      <c r="AI39" s="1877">
        <f t="shared" si="47"/>
        <v>4047</v>
      </c>
      <c r="AJ39" s="1878">
        <f t="shared" si="48"/>
        <v>207058.13529839422</v>
      </c>
      <c r="AK39" s="1878">
        <f t="shared" si="49"/>
        <v>14161</v>
      </c>
      <c r="AM39" s="2042">
        <f>-'[4]Table 5C2 - LA Virtual Admy'!Q37</f>
        <v>95</v>
      </c>
      <c r="AN39" s="2042">
        <f t="shared" si="50"/>
        <v>-149.68799999999999</v>
      </c>
      <c r="AO39" s="2042">
        <f t="shared" si="51"/>
        <v>-54.687999999999988</v>
      </c>
    </row>
    <row r="40" spans="1:41" s="533" customFormat="1" ht="17.25" customHeight="1">
      <c r="A40" s="102">
        <v>35</v>
      </c>
      <c r="B40" s="773" t="s">
        <v>126</v>
      </c>
      <c r="C40" s="1879">
        <f>'2-1-13 SIS'!J41</f>
        <v>17</v>
      </c>
      <c r="D40" s="1880">
        <f>'Table 3 Levels 1&amp;2'!AL42*90%</f>
        <v>4146.4445774600581</v>
      </c>
      <c r="E40" s="1880">
        <f t="shared" si="32"/>
        <v>70489.55781682099</v>
      </c>
      <c r="F40" s="1881">
        <f>'Table 4 Level 3'!P40*90%</f>
        <v>484.16400000000004</v>
      </c>
      <c r="G40" s="1881">
        <f t="shared" si="33"/>
        <v>8230.7880000000005</v>
      </c>
      <c r="H40" s="1881">
        <f t="shared" si="34"/>
        <v>78720.345816820991</v>
      </c>
      <c r="I40" s="1881">
        <f>(('Table 3 Levels 1&amp;2'!AL42-D40)+('Table 4 Level 3'!P40-F40))*C40</f>
        <v>8746.7050907578869</v>
      </c>
      <c r="J40" s="1881">
        <f>+'[3]Oct midyear LA Virtual Admy'!K38</f>
        <v>9261.2171549201157</v>
      </c>
      <c r="K40" s="1881">
        <f>'[3]Feb midyear LA Virtual Admy'!K38</f>
        <v>-4630.6085774600579</v>
      </c>
      <c r="L40" s="1881">
        <f t="shared" si="35"/>
        <v>4630.6085774600579</v>
      </c>
      <c r="M40" s="1881">
        <f t="shared" si="52"/>
        <v>83350.954394281056</v>
      </c>
      <c r="N40" s="1881">
        <f t="shared" si="53"/>
        <v>-208.37738598570263</v>
      </c>
      <c r="O40" s="1882">
        <f t="shared" si="54"/>
        <v>83142.577008295353</v>
      </c>
      <c r="P40" s="1882">
        <f>'[34]LAVCA Adjustment'!X39++'[32]Oct midyear LA Virtual Admy'!K38+'[35]Feb midyear adj_LA virtual '!M40</f>
        <v>7428.4372296301954</v>
      </c>
      <c r="Q40" s="1883">
        <f t="shared" si="36"/>
        <v>90571.014237925556</v>
      </c>
      <c r="R40" s="1883">
        <f>'[4]Table 5C2 - LA Virtual Admy'!N38+'[27]Table 5C2 - LA Virtual Admy'!V38+('[26]Table 5C2 - LA Virtual Admy'!V38*6)</f>
        <v>60076</v>
      </c>
      <c r="S40" s="1883">
        <f t="shared" si="37"/>
        <v>30495.014237925556</v>
      </c>
      <c r="T40" s="1883">
        <f t="shared" si="38"/>
        <v>7624</v>
      </c>
      <c r="U40" s="1884">
        <f>'Table 5C1A-Madison Prep'!T42*90%</f>
        <v>2826</v>
      </c>
      <c r="V40" s="1885">
        <f t="shared" si="55"/>
        <v>48042</v>
      </c>
      <c r="W40" s="2061">
        <f>+'[3]Oct midyear LA Virtual Admy'!E38</f>
        <v>2</v>
      </c>
      <c r="X40" s="1885">
        <f t="shared" si="39"/>
        <v>5652</v>
      </c>
      <c r="Y40" s="1934">
        <f>'[3]Feb midyear LA Virtual Admy'!E38</f>
        <v>-2</v>
      </c>
      <c r="Z40" s="1885">
        <f t="shared" si="40"/>
        <v>-2826</v>
      </c>
      <c r="AA40" s="1885">
        <f t="shared" si="41"/>
        <v>2826</v>
      </c>
      <c r="AB40" s="1885">
        <f t="shared" si="42"/>
        <v>50868</v>
      </c>
      <c r="AC40" s="1885">
        <f t="shared" si="43"/>
        <v>-127.17</v>
      </c>
      <c r="AD40" s="1885">
        <f t="shared" si="44"/>
        <v>50740.83</v>
      </c>
      <c r="AE40" s="1884">
        <f>'[34]LAVCA Adjustment'!AB39+'[32]Oct midyear LA Virtual Admy'!P38+'[35]Feb midyear adj_LA virtual '!S40</f>
        <v>4249.8</v>
      </c>
      <c r="AF40" s="1886">
        <f t="shared" si="45"/>
        <v>54990.630000000005</v>
      </c>
      <c r="AG40" s="1886">
        <f>'[4]Table 5C2 - LA Virtual Admy'!U38+'[27]Table 5C2 - LA Virtual Admy'!AH38+('[26]Table 5C2 - LA Virtual Admy'!AH38*6)</f>
        <v>38168</v>
      </c>
      <c r="AH40" s="1886">
        <f t="shared" si="46"/>
        <v>16822.630000000005</v>
      </c>
      <c r="AI40" s="1886">
        <f t="shared" si="47"/>
        <v>4206</v>
      </c>
      <c r="AJ40" s="1887">
        <f t="shared" si="48"/>
        <v>145561.64423792556</v>
      </c>
      <c r="AK40" s="1887">
        <f t="shared" si="49"/>
        <v>11830</v>
      </c>
      <c r="AM40" s="2042">
        <f>-'[4]Table 5C2 - LA Virtual Admy'!Q38</f>
        <v>126</v>
      </c>
      <c r="AN40" s="2042">
        <f t="shared" si="50"/>
        <v>-127.17</v>
      </c>
      <c r="AO40" s="2042">
        <f t="shared" si="51"/>
        <v>-1.1700000000000017</v>
      </c>
    </row>
    <row r="41" spans="1:41" s="533" customFormat="1" ht="17.25" customHeight="1">
      <c r="A41" s="101">
        <v>36</v>
      </c>
      <c r="B41" s="772" t="s">
        <v>127</v>
      </c>
      <c r="C41" s="1859">
        <f>'2-1-13 SIS'!J42</f>
        <v>52</v>
      </c>
      <c r="D41" s="1860">
        <f>'Table 3 Levels 1&amp;2'!AL43*90%</f>
        <v>3168.4404903940576</v>
      </c>
      <c r="E41" s="1860">
        <f t="shared" si="32"/>
        <v>164758.905500491</v>
      </c>
      <c r="F41" s="1861">
        <f>'Table 5B1_RSD_Orleans'!F78*90%</f>
        <v>671.43020547945218</v>
      </c>
      <c r="G41" s="1861">
        <f t="shared" si="33"/>
        <v>34914.370684931513</v>
      </c>
      <c r="H41" s="1861">
        <f t="shared" si="34"/>
        <v>199673.27618542252</v>
      </c>
      <c r="I41" s="1861">
        <f>(('Table 3 Levels 1&amp;2'!AL43-D41)+('Table 4 Level 3'!P41-F41))*C41</f>
        <v>21208.226797535761</v>
      </c>
      <c r="J41" s="1861">
        <f>+'[3]Oct midyear LA Virtual Admy'!K39</f>
        <v>76797.4139174702</v>
      </c>
      <c r="K41" s="1861">
        <f>'[3]Feb midyear LA Virtual Admy'!K39</f>
        <v>-13439.547435557284</v>
      </c>
      <c r="L41" s="1861">
        <f t="shared" si="35"/>
        <v>63357.866481912919</v>
      </c>
      <c r="M41" s="1861">
        <f t="shared" si="52"/>
        <v>263031.14266733546</v>
      </c>
      <c r="N41" s="1861">
        <f t="shared" si="53"/>
        <v>-657.57785666833865</v>
      </c>
      <c r="O41" s="1862">
        <f t="shared" si="54"/>
        <v>262373.56481066713</v>
      </c>
      <c r="P41" s="1862">
        <f>'[34]LAVCA Adjustment'!X40++'[32]Oct midyear LA Virtual Admy'!K39+'[35]Feb midyear adj_LA virtual '!M41</f>
        <v>-9959.508020348836</v>
      </c>
      <c r="Q41" s="1864">
        <f t="shared" si="36"/>
        <v>252414.05679031828</v>
      </c>
      <c r="R41" s="1888">
        <f>'[4]Table 5C2 - LA Virtual Admy'!N39+'[27]Table 5C2 - LA Virtual Admy'!V39+('[26]Table 5C2 - LA Virtual Admy'!V39*6)</f>
        <v>214517</v>
      </c>
      <c r="S41" s="1864">
        <f t="shared" si="37"/>
        <v>37897.056790318282</v>
      </c>
      <c r="T41" s="1888">
        <f t="shared" si="38"/>
        <v>9474</v>
      </c>
      <c r="U41" s="1865">
        <f>'Table 5C1A-Madison Prep'!T43*90%</f>
        <v>4889.7</v>
      </c>
      <c r="V41" s="1866">
        <f t="shared" si="55"/>
        <v>254264.4</v>
      </c>
      <c r="W41" s="2059">
        <f>+'[3]Oct midyear LA Virtual Admy'!E39</f>
        <v>20</v>
      </c>
      <c r="X41" s="1866">
        <f t="shared" si="39"/>
        <v>97794</v>
      </c>
      <c r="Y41" s="1932">
        <f>'[3]Feb midyear LA Virtual Admy'!E39</f>
        <v>-7</v>
      </c>
      <c r="Z41" s="1866">
        <f t="shared" si="40"/>
        <v>-17113.95</v>
      </c>
      <c r="AA41" s="1866">
        <f t="shared" si="41"/>
        <v>80680.05</v>
      </c>
      <c r="AB41" s="1866">
        <f t="shared" si="42"/>
        <v>334944.45</v>
      </c>
      <c r="AC41" s="1866">
        <f t="shared" si="43"/>
        <v>-837.36112500000002</v>
      </c>
      <c r="AD41" s="1866">
        <f t="shared" si="44"/>
        <v>334107.08887500002</v>
      </c>
      <c r="AE41" s="1865">
        <f>'[34]LAVCA Adjustment'!AB40+'[32]Oct midyear LA Virtual Admy'!P39+'[35]Feb midyear adj_LA virtual '!S41</f>
        <v>-8731.8000000000011</v>
      </c>
      <c r="AF41" s="1867">
        <f t="shared" si="45"/>
        <v>325375.28887500003</v>
      </c>
      <c r="AG41" s="1889">
        <f>'[4]Table 5C2 - LA Virtual Admy'!U39+'[27]Table 5C2 - LA Virtual Admy'!AH39+('[26]Table 5C2 - LA Virtual Admy'!AH39*6)</f>
        <v>276218</v>
      </c>
      <c r="AH41" s="1867">
        <f t="shared" si="46"/>
        <v>49157.288875000027</v>
      </c>
      <c r="AI41" s="1889">
        <f t="shared" si="47"/>
        <v>12289</v>
      </c>
      <c r="AJ41" s="1869">
        <f t="shared" si="48"/>
        <v>577789.34566531831</v>
      </c>
      <c r="AK41" s="1869">
        <f t="shared" si="49"/>
        <v>21763</v>
      </c>
      <c r="AM41" s="2042">
        <f>-'[4]Table 5C2 - LA Virtual Admy'!Q39</f>
        <v>637</v>
      </c>
      <c r="AN41" s="2042">
        <f t="shared" si="50"/>
        <v>-837.36112500000002</v>
      </c>
      <c r="AO41" s="2042">
        <f t="shared" si="51"/>
        <v>-200.36112500000002</v>
      </c>
    </row>
    <row r="42" spans="1:41" s="533" customFormat="1" ht="17.25" customHeight="1">
      <c r="A42" s="101">
        <v>37</v>
      </c>
      <c r="B42" s="772" t="s">
        <v>128</v>
      </c>
      <c r="C42" s="1870">
        <f>'2-1-13 SIS'!J43</f>
        <v>37</v>
      </c>
      <c r="D42" s="1871">
        <f>'Table 3 Levels 1&amp;2'!AL44*90%</f>
        <v>4953.383607763697</v>
      </c>
      <c r="E42" s="1871">
        <f t="shared" si="32"/>
        <v>183275.19348725679</v>
      </c>
      <c r="F42" s="1872">
        <f>'Table 4 Level 3'!P42*90%</f>
        <v>588.24900000000002</v>
      </c>
      <c r="G42" s="1872">
        <f t="shared" si="33"/>
        <v>21765.213</v>
      </c>
      <c r="H42" s="1872">
        <f t="shared" si="34"/>
        <v>205040.40648725678</v>
      </c>
      <c r="I42" s="1872">
        <f>(('Table 3 Levels 1&amp;2'!AL44-D42)+('Table 4 Level 3'!P42-F42))*C42</f>
        <v>22782.267387472966</v>
      </c>
      <c r="J42" s="1872">
        <f>+'[3]Oct midyear LA Virtual Admy'!K40</f>
        <v>94207.75433198284</v>
      </c>
      <c r="K42" s="1872">
        <f>'[3]Feb midyear LA Virtual Admy'!K40</f>
        <v>0</v>
      </c>
      <c r="L42" s="1872">
        <f t="shared" si="35"/>
        <v>94207.75433198284</v>
      </c>
      <c r="M42" s="1872">
        <f t="shared" si="52"/>
        <v>299248.16081923962</v>
      </c>
      <c r="N42" s="1872">
        <f t="shared" si="53"/>
        <v>-748.12040204809909</v>
      </c>
      <c r="O42" s="1873">
        <f t="shared" si="54"/>
        <v>298500.04041719151</v>
      </c>
      <c r="P42" s="1873">
        <f>'[34]LAVCA Adjustment'!X41++'[32]Oct midyear LA Virtual Admy'!K40+'[35]Feb midyear adj_LA virtual '!M42</f>
        <v>16539.388428773</v>
      </c>
      <c r="Q42" s="1874">
        <f t="shared" si="36"/>
        <v>315039.42884596449</v>
      </c>
      <c r="R42" s="1874">
        <f>'[4]Table 5C2 - LA Virtual Admy'!N40+'[27]Table 5C2 - LA Virtual Admy'!V40+('[26]Table 5C2 - LA Virtual Admy'!V40*6)</f>
        <v>167076</v>
      </c>
      <c r="S42" s="1874">
        <f t="shared" si="37"/>
        <v>147963.42884596449</v>
      </c>
      <c r="T42" s="1874">
        <f t="shared" si="38"/>
        <v>36991</v>
      </c>
      <c r="U42" s="1875">
        <f>'Table 5C1A-Madison Prep'!T44*90%</f>
        <v>2979</v>
      </c>
      <c r="V42" s="1876">
        <f t="shared" si="55"/>
        <v>110223</v>
      </c>
      <c r="W42" s="2060">
        <f>+'[3]Oct midyear LA Virtual Admy'!E40</f>
        <v>17</v>
      </c>
      <c r="X42" s="1876">
        <f t="shared" si="39"/>
        <v>50643</v>
      </c>
      <c r="Y42" s="1933">
        <f>'[3]Feb midyear LA Virtual Admy'!E40</f>
        <v>0</v>
      </c>
      <c r="Z42" s="1876">
        <f t="shared" si="40"/>
        <v>0</v>
      </c>
      <c r="AA42" s="1876">
        <f t="shared" si="41"/>
        <v>50643</v>
      </c>
      <c r="AB42" s="1876">
        <f t="shared" si="42"/>
        <v>160866</v>
      </c>
      <c r="AC42" s="1876">
        <f t="shared" si="43"/>
        <v>-402.16500000000002</v>
      </c>
      <c r="AD42" s="1876">
        <f t="shared" si="44"/>
        <v>160463.83499999999</v>
      </c>
      <c r="AE42" s="1875">
        <f>'[34]LAVCA Adjustment'!AB41+'[32]Oct midyear LA Virtual Admy'!P40+'[35]Feb midyear adj_LA virtual '!S42</f>
        <v>8181</v>
      </c>
      <c r="AF42" s="1877">
        <f t="shared" si="45"/>
        <v>168644.83499999999</v>
      </c>
      <c r="AG42" s="1877">
        <f>'[4]Table 5C2 - LA Virtual Admy'!U40+'[27]Table 5C2 - LA Virtual Admy'!AH40+('[26]Table 5C2 - LA Virtual Admy'!AH40*6)</f>
        <v>87239</v>
      </c>
      <c r="AH42" s="1877">
        <f t="shared" si="46"/>
        <v>81405.834999999992</v>
      </c>
      <c r="AI42" s="1877">
        <f t="shared" si="47"/>
        <v>20351</v>
      </c>
      <c r="AJ42" s="1878">
        <f t="shared" si="48"/>
        <v>483684.26384596445</v>
      </c>
      <c r="AK42" s="1878">
        <f t="shared" si="49"/>
        <v>57342</v>
      </c>
      <c r="AM42" s="2042">
        <f>-'[4]Table 5C2 - LA Virtual Admy'!Q40</f>
        <v>269</v>
      </c>
      <c r="AN42" s="2042">
        <f t="shared" si="50"/>
        <v>-402.16500000000002</v>
      </c>
      <c r="AO42" s="2042">
        <f t="shared" si="51"/>
        <v>-133.16500000000002</v>
      </c>
    </row>
    <row r="43" spans="1:41" s="533" customFormat="1" ht="17.25" customHeight="1">
      <c r="A43" s="101">
        <v>38</v>
      </c>
      <c r="B43" s="772" t="s">
        <v>129</v>
      </c>
      <c r="C43" s="1870">
        <f>'2-1-13 SIS'!J44</f>
        <v>2</v>
      </c>
      <c r="D43" s="1871">
        <f>'Table 3 Levels 1&amp;2'!AL45*90%</f>
        <v>1973.4790748031496</v>
      </c>
      <c r="E43" s="1871">
        <f t="shared" si="32"/>
        <v>3946.9581496062992</v>
      </c>
      <c r="F43" s="1872">
        <f>'Table 4 Level 3'!P43*90%</f>
        <v>746.92800000000011</v>
      </c>
      <c r="G43" s="1872">
        <f t="shared" si="33"/>
        <v>1493.8560000000002</v>
      </c>
      <c r="H43" s="1872">
        <f t="shared" si="34"/>
        <v>5440.8141496062999</v>
      </c>
      <c r="I43" s="1872">
        <f>(('Table 3 Levels 1&amp;2'!AL45-D43)+('Table 4 Level 3'!P43-F43))*C43</f>
        <v>604.53490551181085</v>
      </c>
      <c r="J43" s="1872">
        <f>+'[3]Oct midyear LA Virtual Admy'!K41</f>
        <v>8161.2212244094499</v>
      </c>
      <c r="K43" s="1872">
        <f>'[3]Feb midyear LA Virtual Admy'!K41</f>
        <v>1360.203537401575</v>
      </c>
      <c r="L43" s="1872">
        <f t="shared" si="35"/>
        <v>9521.4247618110239</v>
      </c>
      <c r="M43" s="1872">
        <f t="shared" si="52"/>
        <v>14962.238911417324</v>
      </c>
      <c r="N43" s="1872">
        <f t="shared" si="53"/>
        <v>-37.405597278543311</v>
      </c>
      <c r="O43" s="1873">
        <f t="shared" si="54"/>
        <v>14924.833314138781</v>
      </c>
      <c r="P43" s="1873">
        <f>'[34]LAVCA Adjustment'!X42++'[32]Oct midyear LA Virtual Admy'!K41+'[35]Feb midyear adj_LA virtual '!M43</f>
        <v>-1048.340104133878</v>
      </c>
      <c r="Q43" s="1874">
        <f t="shared" si="36"/>
        <v>13876.493210004903</v>
      </c>
      <c r="R43" s="1874">
        <f>'[4]Table 5C2 - LA Virtual Admy'!N41+'[27]Table 5C2 - LA Virtual Admy'!V41+('[26]Table 5C2 - LA Virtual Admy'!V41*6)</f>
        <v>9629</v>
      </c>
      <c r="S43" s="1874">
        <f t="shared" si="37"/>
        <v>4247.4932100049027</v>
      </c>
      <c r="T43" s="1874">
        <f t="shared" si="38"/>
        <v>1062</v>
      </c>
      <c r="U43" s="1875">
        <f>'Table 5C1A-Madison Prep'!T45*90%</f>
        <v>11268.9</v>
      </c>
      <c r="V43" s="1876">
        <f t="shared" si="55"/>
        <v>22537.8</v>
      </c>
      <c r="W43" s="2060">
        <f>+'[3]Oct midyear LA Virtual Admy'!E41</f>
        <v>3</v>
      </c>
      <c r="X43" s="1876">
        <f t="shared" si="39"/>
        <v>33806.699999999997</v>
      </c>
      <c r="Y43" s="1933">
        <f>'[3]Feb midyear LA Virtual Admy'!E41</f>
        <v>1</v>
      </c>
      <c r="Z43" s="1876">
        <f t="shared" si="40"/>
        <v>5634.45</v>
      </c>
      <c r="AA43" s="1876">
        <f t="shared" si="41"/>
        <v>39441.149999999994</v>
      </c>
      <c r="AB43" s="1876">
        <f t="shared" si="42"/>
        <v>61978.95</v>
      </c>
      <c r="AC43" s="1876">
        <f t="shared" si="43"/>
        <v>-154.94737499999999</v>
      </c>
      <c r="AD43" s="1876">
        <f t="shared" si="44"/>
        <v>61824.002624999994</v>
      </c>
      <c r="AE43" s="1875">
        <f>'[34]LAVCA Adjustment'!AB42+'[32]Oct midyear LA Virtual Admy'!P41+'[35]Feb midyear adj_LA virtual '!S43</f>
        <v>-5140.8</v>
      </c>
      <c r="AF43" s="1877">
        <f t="shared" si="45"/>
        <v>56683.202624999991</v>
      </c>
      <c r="AG43" s="1877">
        <f>'[4]Table 5C2 - LA Virtual Admy'!U41+'[27]Table 5C2 - LA Virtual Admy'!AH41+('[26]Table 5C2 - LA Virtual Admy'!AH41*6)</f>
        <v>33707</v>
      </c>
      <c r="AH43" s="1877">
        <f t="shared" si="46"/>
        <v>22976.202624999991</v>
      </c>
      <c r="AI43" s="1877">
        <f t="shared" si="47"/>
        <v>5744</v>
      </c>
      <c r="AJ43" s="1878">
        <f t="shared" si="48"/>
        <v>70559.695835004895</v>
      </c>
      <c r="AK43" s="1878">
        <f t="shared" si="49"/>
        <v>6806</v>
      </c>
      <c r="AM43" s="2042">
        <f>-'[4]Table 5C2 - LA Virtual Admy'!Q41</f>
        <v>49</v>
      </c>
      <c r="AN43" s="2042">
        <f t="shared" si="50"/>
        <v>-154.94737499999999</v>
      </c>
      <c r="AO43" s="2042">
        <f t="shared" si="51"/>
        <v>-105.94737499999999</v>
      </c>
    </row>
    <row r="44" spans="1:41" s="533" customFormat="1" ht="17.25" customHeight="1">
      <c r="A44" s="101">
        <v>39</v>
      </c>
      <c r="B44" s="772" t="s">
        <v>130</v>
      </c>
      <c r="C44" s="1870">
        <f>'2-1-13 SIS'!J45</f>
        <v>3</v>
      </c>
      <c r="D44" s="1871">
        <f>'Table 3 Levels 1&amp;2'!AL46*90%</f>
        <v>3275.9948500256428</v>
      </c>
      <c r="E44" s="1871">
        <f t="shared" si="32"/>
        <v>9827.9845500769279</v>
      </c>
      <c r="F44" s="1872">
        <f>'Table 5B2_RSD_LA'!F21*90%</f>
        <v>701.69015738498797</v>
      </c>
      <c r="G44" s="1872">
        <f t="shared" si="33"/>
        <v>2105.0704721549637</v>
      </c>
      <c r="H44" s="1872">
        <f t="shared" si="34"/>
        <v>11933.055022231893</v>
      </c>
      <c r="I44" s="1872">
        <f>(('Table 3 Levels 1&amp;2'!AL46-D44)+('Table 4 Level 3'!P44-F44))*C44</f>
        <v>1325.8950024702096</v>
      </c>
      <c r="J44" s="1872">
        <f>+'[3]Oct midyear LA Virtual Admy'!K42</f>
        <v>11933.055022231893</v>
      </c>
      <c r="K44" s="1872">
        <f>'[3]Feb midyear LA Virtual Admy'!K42</f>
        <v>-1988.8425037053153</v>
      </c>
      <c r="L44" s="1872">
        <f t="shared" si="35"/>
        <v>9944.2125185265777</v>
      </c>
      <c r="M44" s="1872">
        <f t="shared" si="52"/>
        <v>21877.267540758468</v>
      </c>
      <c r="N44" s="1872">
        <f t="shared" si="53"/>
        <v>-54.693168851896175</v>
      </c>
      <c r="O44" s="1873">
        <f t="shared" si="54"/>
        <v>21822.574371906572</v>
      </c>
      <c r="P44" s="1873">
        <f>'[34]LAVCA Adjustment'!X43++'[32]Oct midyear LA Virtual Admy'!K42+'[35]Feb midyear adj_LA virtual '!M44</f>
        <v>-2816.8093327654492</v>
      </c>
      <c r="Q44" s="1874">
        <f t="shared" si="36"/>
        <v>19005.765039141123</v>
      </c>
      <c r="R44" s="1874">
        <f>'[4]Table 5C2 - LA Virtual Admy'!N42+'[27]Table 5C2 - LA Virtual Admy'!V42+('[26]Table 5C2 - LA Virtual Admy'!V42*6)</f>
        <v>22724</v>
      </c>
      <c r="S44" s="1874">
        <f t="shared" si="37"/>
        <v>-3718.2349608588775</v>
      </c>
      <c r="T44" s="1874">
        <f t="shared" si="38"/>
        <v>-930</v>
      </c>
      <c r="U44" s="1875">
        <f>'Table 5C1A-Madison Prep'!T46*90%</f>
        <v>3992.4</v>
      </c>
      <c r="V44" s="1876">
        <f t="shared" si="55"/>
        <v>11977.2</v>
      </c>
      <c r="W44" s="2060">
        <f>+'[3]Oct midyear LA Virtual Admy'!E42</f>
        <v>3</v>
      </c>
      <c r="X44" s="1876">
        <f t="shared" si="39"/>
        <v>11977.2</v>
      </c>
      <c r="Y44" s="1933">
        <f>'[3]Feb midyear LA Virtual Admy'!E42</f>
        <v>-1</v>
      </c>
      <c r="Z44" s="1876">
        <f t="shared" si="40"/>
        <v>-1996.2</v>
      </c>
      <c r="AA44" s="1876">
        <f t="shared" si="41"/>
        <v>9981</v>
      </c>
      <c r="AB44" s="1876">
        <f t="shared" si="42"/>
        <v>21958.2</v>
      </c>
      <c r="AC44" s="1876">
        <f t="shared" si="43"/>
        <v>-54.895500000000006</v>
      </c>
      <c r="AD44" s="1876">
        <f t="shared" si="44"/>
        <v>21903.304500000002</v>
      </c>
      <c r="AE44" s="1875">
        <f>'[34]LAVCA Adjustment'!AB43+'[32]Oct midyear LA Virtual Admy'!P42+'[35]Feb midyear adj_LA virtual '!S44</f>
        <v>-3580.2000000000003</v>
      </c>
      <c r="AF44" s="1877">
        <f t="shared" si="45"/>
        <v>18323.104500000001</v>
      </c>
      <c r="AG44" s="1877">
        <f>'[4]Table 5C2 - LA Virtual Admy'!U42+'[27]Table 5C2 - LA Virtual Admy'!AH42+('[26]Table 5C2 - LA Virtual Admy'!AH42*6)</f>
        <v>21678</v>
      </c>
      <c r="AH44" s="1877">
        <f t="shared" si="46"/>
        <v>-3354.8954999999987</v>
      </c>
      <c r="AI44" s="1877">
        <f t="shared" si="47"/>
        <v>-839</v>
      </c>
      <c r="AJ44" s="1878">
        <f t="shared" si="48"/>
        <v>37328.869539141124</v>
      </c>
      <c r="AK44" s="1878">
        <f t="shared" si="49"/>
        <v>-1769</v>
      </c>
      <c r="AM44" s="2042">
        <f>-'[4]Table 5C2 - LA Virtual Admy'!Q42</f>
        <v>29</v>
      </c>
      <c r="AN44" s="2042">
        <f t="shared" si="50"/>
        <v>-54.895500000000006</v>
      </c>
      <c r="AO44" s="2042">
        <f t="shared" si="51"/>
        <v>-25.895500000000006</v>
      </c>
    </row>
    <row r="45" spans="1:41" s="533" customFormat="1" ht="17.25" customHeight="1">
      <c r="A45" s="102">
        <v>40</v>
      </c>
      <c r="B45" s="773" t="s">
        <v>131</v>
      </c>
      <c r="C45" s="1879">
        <f>'2-1-13 SIS'!J46</f>
        <v>32</v>
      </c>
      <c r="D45" s="1880">
        <f>'Table 3 Levels 1&amp;2'!AL47*90%</f>
        <v>4435.6477016431081</v>
      </c>
      <c r="E45" s="1880">
        <f t="shared" si="32"/>
        <v>141940.72645257946</v>
      </c>
      <c r="F45" s="1881">
        <f>'Table 4 Level 3'!P45*90%</f>
        <v>630.24300000000005</v>
      </c>
      <c r="G45" s="1881">
        <f t="shared" si="33"/>
        <v>20167.776000000002</v>
      </c>
      <c r="H45" s="1881">
        <f t="shared" si="34"/>
        <v>162108.50245257947</v>
      </c>
      <c r="I45" s="1881">
        <f>(('Table 3 Levels 1&amp;2'!AL47-D45)+('Table 4 Level 3'!P45-F45))*C45</f>
        <v>18012.055828064389</v>
      </c>
      <c r="J45" s="1881">
        <f>+'[3]Oct midyear LA Virtual Admy'!K43</f>
        <v>136779.04894436392</v>
      </c>
      <c r="K45" s="1881">
        <f>'[3]Feb midyear LA Virtual Admy'!K43</f>
        <v>0</v>
      </c>
      <c r="L45" s="1881">
        <f t="shared" si="35"/>
        <v>136779.04894436392</v>
      </c>
      <c r="M45" s="1881">
        <f t="shared" si="52"/>
        <v>298887.5513969434</v>
      </c>
      <c r="N45" s="1881">
        <f t="shared" si="53"/>
        <v>-747.2188784923585</v>
      </c>
      <c r="O45" s="1882">
        <f t="shared" si="54"/>
        <v>298140.33251845103</v>
      </c>
      <c r="P45" s="1882">
        <f>'[34]LAVCA Adjustment'!X44++'[32]Oct midyear LA Virtual Admy'!K43+'[35]Feb midyear adj_LA virtual '!M45</f>
        <v>-24283.580708504702</v>
      </c>
      <c r="Q45" s="1883">
        <f t="shared" si="36"/>
        <v>273856.75180994632</v>
      </c>
      <c r="R45" s="1883">
        <f>'[4]Table 5C2 - LA Virtual Admy'!N43+'[27]Table 5C2 - LA Virtual Admy'!V43+('[26]Table 5C2 - LA Virtual Admy'!V43*6)</f>
        <v>175497</v>
      </c>
      <c r="S45" s="1883">
        <f t="shared" si="37"/>
        <v>98359.75180994632</v>
      </c>
      <c r="T45" s="1883">
        <f t="shared" si="38"/>
        <v>24590</v>
      </c>
      <c r="U45" s="1884">
        <f>'Table 5C1A-Madison Prep'!T47*90%</f>
        <v>2717.1</v>
      </c>
      <c r="V45" s="1885">
        <f t="shared" si="55"/>
        <v>86947.199999999997</v>
      </c>
      <c r="W45" s="2061">
        <f>+'[3]Oct midyear LA Virtual Admy'!E43</f>
        <v>27</v>
      </c>
      <c r="X45" s="1885">
        <f t="shared" si="39"/>
        <v>73361.7</v>
      </c>
      <c r="Y45" s="1934">
        <f>'[3]Feb midyear LA Virtual Admy'!E43</f>
        <v>0</v>
      </c>
      <c r="Z45" s="1885">
        <f t="shared" si="40"/>
        <v>0</v>
      </c>
      <c r="AA45" s="1885">
        <f t="shared" si="41"/>
        <v>73361.7</v>
      </c>
      <c r="AB45" s="1885">
        <f t="shared" si="42"/>
        <v>160308.9</v>
      </c>
      <c r="AC45" s="1885">
        <f t="shared" si="43"/>
        <v>-400.77224999999999</v>
      </c>
      <c r="AD45" s="1885">
        <f t="shared" si="44"/>
        <v>159908.12774999999</v>
      </c>
      <c r="AE45" s="1884">
        <f>'[34]LAVCA Adjustment'!AB44+'[32]Oct midyear LA Virtual Admy'!P43+'[35]Feb midyear adj_LA virtual '!S45</f>
        <v>-12726.000000000002</v>
      </c>
      <c r="AF45" s="1886">
        <f t="shared" si="45"/>
        <v>147182.12774999999</v>
      </c>
      <c r="AG45" s="1886">
        <f>'[4]Table 5C2 - LA Virtual Admy'!U43+'[27]Table 5C2 - LA Virtual Admy'!AH43+('[26]Table 5C2 - LA Virtual Admy'!AH43*6)</f>
        <v>93918</v>
      </c>
      <c r="AH45" s="1886">
        <f>AF45-AG45</f>
        <v>53264.127749999985</v>
      </c>
      <c r="AI45" s="1886">
        <f t="shared" si="47"/>
        <v>13316</v>
      </c>
      <c r="AJ45" s="1887">
        <f t="shared" si="48"/>
        <v>421038.8795599463</v>
      </c>
      <c r="AK45" s="1887">
        <f t="shared" si="49"/>
        <v>37906</v>
      </c>
      <c r="AM45" s="2042">
        <f>-'[4]Table 5C2 - LA Virtual Admy'!Q43</f>
        <v>217</v>
      </c>
      <c r="AN45" s="2042">
        <f t="shared" si="50"/>
        <v>-400.77224999999999</v>
      </c>
      <c r="AO45" s="2042">
        <f t="shared" si="51"/>
        <v>-183.77224999999999</v>
      </c>
    </row>
    <row r="46" spans="1:41" s="533" customFormat="1" ht="17.25" customHeight="1">
      <c r="A46" s="101">
        <v>41</v>
      </c>
      <c r="B46" s="772" t="s">
        <v>132</v>
      </c>
      <c r="C46" s="1859">
        <f>'2-1-13 SIS'!J47</f>
        <v>1</v>
      </c>
      <c r="D46" s="1860">
        <f>'Table 3 Levels 1&amp;2'!AL48*90%</f>
        <v>1454.0412119064495</v>
      </c>
      <c r="E46" s="1860">
        <f t="shared" si="32"/>
        <v>1454.0412119064495</v>
      </c>
      <c r="F46" s="1861">
        <f>'Table 4 Level 3'!P46*90%</f>
        <v>797.59800000000007</v>
      </c>
      <c r="G46" s="1861">
        <f t="shared" si="33"/>
        <v>797.59800000000007</v>
      </c>
      <c r="H46" s="1861">
        <f t="shared" si="34"/>
        <v>2251.6392119064494</v>
      </c>
      <c r="I46" s="1861">
        <f>(('Table 3 Levels 1&amp;2'!AL48-D46)+('Table 4 Level 3'!P46-F46))*C46</f>
        <v>250.18213465627207</v>
      </c>
      <c r="J46" s="1861">
        <f>+'[3]Oct midyear LA Virtual Admy'!K44</f>
        <v>0</v>
      </c>
      <c r="K46" s="1861">
        <f>'[3]Feb midyear LA Virtual Admy'!K44</f>
        <v>-1125.8196059532247</v>
      </c>
      <c r="L46" s="1861">
        <f t="shared" si="35"/>
        <v>-1125.8196059532247</v>
      </c>
      <c r="M46" s="1861">
        <f t="shared" si="52"/>
        <v>1125.8196059532247</v>
      </c>
      <c r="N46" s="1861">
        <f t="shared" si="53"/>
        <v>-2.8145490148830619</v>
      </c>
      <c r="O46" s="1862">
        <f t="shared" si="54"/>
        <v>1123.0050569383416</v>
      </c>
      <c r="P46" s="1862">
        <f>'[34]LAVCA Adjustment'!X45++'[32]Oct midyear LA Virtual Admy'!K44+'[35]Feb midyear adj_LA virtual '!M46</f>
        <v>0</v>
      </c>
      <c r="Q46" s="1864">
        <f t="shared" si="36"/>
        <v>1123.0050569383416</v>
      </c>
      <c r="R46" s="1888">
        <f>'[4]Table 5C2 - LA Virtual Admy'!N44+'[27]Table 5C2 - LA Virtual Admy'!V44+('[26]Table 5C2 - LA Virtual Admy'!V44*6)</f>
        <v>2846</v>
      </c>
      <c r="S46" s="1864">
        <f t="shared" si="37"/>
        <v>-1722.9949430616584</v>
      </c>
      <c r="T46" s="1888">
        <f t="shared" si="38"/>
        <v>-431</v>
      </c>
      <c r="U46" s="1865">
        <f>'Table 5C1A-Madison Prep'!T48*90%</f>
        <v>8067.6</v>
      </c>
      <c r="V46" s="1866">
        <f t="shared" si="55"/>
        <v>8067.6</v>
      </c>
      <c r="W46" s="2059">
        <f>+'[3]Oct midyear LA Virtual Admy'!E44</f>
        <v>0</v>
      </c>
      <c r="X46" s="1866">
        <f t="shared" si="39"/>
        <v>0</v>
      </c>
      <c r="Y46" s="1932">
        <f>'[3]Feb midyear LA Virtual Admy'!E44</f>
        <v>-1</v>
      </c>
      <c r="Z46" s="1866">
        <f t="shared" si="40"/>
        <v>-4033.8</v>
      </c>
      <c r="AA46" s="1866">
        <f t="shared" si="41"/>
        <v>-4033.8</v>
      </c>
      <c r="AB46" s="1866">
        <f t="shared" si="42"/>
        <v>4033.8</v>
      </c>
      <c r="AC46" s="1866">
        <f t="shared" si="43"/>
        <v>-10.0845</v>
      </c>
      <c r="AD46" s="1866">
        <f t="shared" si="44"/>
        <v>4023.7155000000002</v>
      </c>
      <c r="AE46" s="1865">
        <f>'[34]LAVCA Adjustment'!AB45+'[32]Oct midyear LA Virtual Admy'!P44+'[35]Feb midyear adj_LA virtual '!S46</f>
        <v>0</v>
      </c>
      <c r="AF46" s="1867">
        <f t="shared" si="45"/>
        <v>4023.7155000000002</v>
      </c>
      <c r="AG46" s="1889">
        <f>'[4]Table 5C2 - LA Virtual Admy'!U44+'[27]Table 5C2 - LA Virtual Admy'!AH44+('[26]Table 5C2 - LA Virtual Admy'!AH44*6)</f>
        <v>10336</v>
      </c>
      <c r="AH46" s="1867">
        <f t="shared" si="46"/>
        <v>-6312.2844999999998</v>
      </c>
      <c r="AI46" s="1889">
        <f t="shared" si="47"/>
        <v>-1578</v>
      </c>
      <c r="AJ46" s="1869">
        <f t="shared" si="48"/>
        <v>5146.7205569383423</v>
      </c>
      <c r="AK46" s="1869">
        <f t="shared" si="49"/>
        <v>-2009</v>
      </c>
      <c r="AM46" s="2042">
        <f>-'[4]Table 5C2 - LA Virtual Admy'!Q44</f>
        <v>20</v>
      </c>
      <c r="AN46" s="2042">
        <f t="shared" si="50"/>
        <v>-10.0845</v>
      </c>
      <c r="AO46" s="2042">
        <f t="shared" si="51"/>
        <v>9.9154999999999998</v>
      </c>
    </row>
    <row r="47" spans="1:41" s="533" customFormat="1" ht="17.25" customHeight="1">
      <c r="A47" s="101">
        <v>42</v>
      </c>
      <c r="B47" s="772" t="s">
        <v>133</v>
      </c>
      <c r="C47" s="1870">
        <f>'2-1-13 SIS'!J48</f>
        <v>7</v>
      </c>
      <c r="D47" s="1871">
        <f>'Table 3 Levels 1&amp;2'!AL49*90%</f>
        <v>4578.7257414889027</v>
      </c>
      <c r="E47" s="1871">
        <f t="shared" si="32"/>
        <v>32051.080190422319</v>
      </c>
      <c r="F47" s="1872">
        <f>'Table 4 Level 3'!P47*90%</f>
        <v>480.85199999999998</v>
      </c>
      <c r="G47" s="1872">
        <f t="shared" si="33"/>
        <v>3365.9639999999999</v>
      </c>
      <c r="H47" s="1872">
        <f t="shared" si="34"/>
        <v>35417.044190422319</v>
      </c>
      <c r="I47" s="1872">
        <f>(('Table 3 Levels 1&amp;2'!AL49-D47)+('Table 4 Level 3'!P47-F47))*C47</f>
        <v>3935.2271322691431</v>
      </c>
      <c r="J47" s="1872">
        <f>+'[3]Oct midyear LA Virtual Admy'!K45</f>
        <v>-5059.5777414889026</v>
      </c>
      <c r="K47" s="1872">
        <f>'[3]Feb midyear LA Virtual Admy'!K45</f>
        <v>-2529.7888707444513</v>
      </c>
      <c r="L47" s="1872">
        <f t="shared" si="35"/>
        <v>-7589.3666122333543</v>
      </c>
      <c r="M47" s="1872">
        <f t="shared" si="52"/>
        <v>27827.677578188966</v>
      </c>
      <c r="N47" s="1872">
        <f t="shared" si="53"/>
        <v>-69.569193945472421</v>
      </c>
      <c r="O47" s="1873">
        <f t="shared" si="54"/>
        <v>27758.108384243493</v>
      </c>
      <c r="P47" s="1873">
        <f>'[34]LAVCA Adjustment'!X46++'[32]Oct midyear LA Virtual Admy'!K45+'[35]Feb midyear adj_LA virtual '!M47</f>
        <v>0</v>
      </c>
      <c r="Q47" s="1874">
        <f t="shared" si="36"/>
        <v>27758.108384243493</v>
      </c>
      <c r="R47" s="1874">
        <f>'[4]Table 5C2 - LA Virtual Admy'!N45+'[27]Table 5C2 - LA Virtual Admy'!V45+('[26]Table 5C2 - LA Virtual Admy'!V45*6)</f>
        <v>44933</v>
      </c>
      <c r="S47" s="1874">
        <f t="shared" si="37"/>
        <v>-17174.891615756507</v>
      </c>
      <c r="T47" s="1874">
        <f t="shared" si="38"/>
        <v>-4294</v>
      </c>
      <c r="U47" s="1875">
        <f>'Table 5C1A-Madison Prep'!T49*90%</f>
        <v>3181.5</v>
      </c>
      <c r="V47" s="1876">
        <f t="shared" si="55"/>
        <v>22270.5</v>
      </c>
      <c r="W47" s="2060">
        <f>+'[3]Oct midyear LA Virtual Admy'!E45</f>
        <v>-1</v>
      </c>
      <c r="X47" s="1876">
        <f t="shared" si="39"/>
        <v>-3181.5</v>
      </c>
      <c r="Y47" s="1933">
        <f>'[3]Feb midyear LA Virtual Admy'!E45</f>
        <v>-1</v>
      </c>
      <c r="Z47" s="1876">
        <f t="shared" si="40"/>
        <v>-1590.75</v>
      </c>
      <c r="AA47" s="1876">
        <f t="shared" si="41"/>
        <v>-4772.25</v>
      </c>
      <c r="AB47" s="1876">
        <f t="shared" si="42"/>
        <v>17498.25</v>
      </c>
      <c r="AC47" s="1876">
        <f t="shared" si="43"/>
        <v>-43.745625000000004</v>
      </c>
      <c r="AD47" s="1876">
        <f t="shared" si="44"/>
        <v>17454.504375</v>
      </c>
      <c r="AE47" s="1875">
        <f>'[34]LAVCA Adjustment'!AB46+'[32]Oct midyear LA Virtual Admy'!P45+'[35]Feb midyear adj_LA virtual '!S47</f>
        <v>0</v>
      </c>
      <c r="AF47" s="1877">
        <f t="shared" si="45"/>
        <v>17454.504375</v>
      </c>
      <c r="AG47" s="1877">
        <f>'[4]Table 5C2 - LA Virtual Admy'!U45+'[27]Table 5C2 - LA Virtual Admy'!AH45+('[26]Table 5C2 - LA Virtual Admy'!AH45*6)</f>
        <v>22916</v>
      </c>
      <c r="AH47" s="1877">
        <f t="shared" si="46"/>
        <v>-5461.4956249999996</v>
      </c>
      <c r="AI47" s="1877">
        <f t="shared" si="47"/>
        <v>-1365</v>
      </c>
      <c r="AJ47" s="1878">
        <f t="shared" si="48"/>
        <v>45212.612759243493</v>
      </c>
      <c r="AK47" s="1878">
        <f t="shared" si="49"/>
        <v>-5659</v>
      </c>
      <c r="AM47" s="2042">
        <f>-'[4]Table 5C2 - LA Virtual Admy'!Q45</f>
        <v>45</v>
      </c>
      <c r="AN47" s="2042">
        <f t="shared" si="50"/>
        <v>-43.745625000000004</v>
      </c>
      <c r="AO47" s="2042">
        <f t="shared" si="51"/>
        <v>1.254374999999996</v>
      </c>
    </row>
    <row r="48" spans="1:41" s="533" customFormat="1" ht="17.25" customHeight="1">
      <c r="A48" s="101">
        <v>43</v>
      </c>
      <c r="B48" s="772" t="s">
        <v>134</v>
      </c>
      <c r="C48" s="1870">
        <f>'2-1-13 SIS'!J49</f>
        <v>6</v>
      </c>
      <c r="D48" s="1871">
        <f>'Table 3 Levels 1&amp;2'!AL50*90%</f>
        <v>4246.0572917452528</v>
      </c>
      <c r="E48" s="1871">
        <f t="shared" si="32"/>
        <v>25476.343750471518</v>
      </c>
      <c r="F48" s="1872">
        <f>'Table 4 Level 3'!P48*90%</f>
        <v>517.14899999999989</v>
      </c>
      <c r="G48" s="1872">
        <f t="shared" si="33"/>
        <v>3102.8939999999993</v>
      </c>
      <c r="H48" s="1872">
        <f t="shared" si="34"/>
        <v>28579.237750471519</v>
      </c>
      <c r="I48" s="1872">
        <f>(('Table 3 Levels 1&amp;2'!AL50-D48)+('Table 4 Level 3'!P48-F48))*C48</f>
        <v>3175.4708611635019</v>
      </c>
      <c r="J48" s="1872">
        <f>+'[3]Oct midyear LA Virtual Admy'!K46</f>
        <v>33342.444042216768</v>
      </c>
      <c r="K48" s="1872">
        <f>'[3]Feb midyear LA Virtual Admy'!K46</f>
        <v>-7144.8094376178797</v>
      </c>
      <c r="L48" s="1872">
        <f t="shared" si="35"/>
        <v>26197.63460459889</v>
      </c>
      <c r="M48" s="1872">
        <f t="shared" si="52"/>
        <v>54776.872355070409</v>
      </c>
      <c r="N48" s="1872">
        <f t="shared" si="53"/>
        <v>-136.94218088767602</v>
      </c>
      <c r="O48" s="1873">
        <f t="shared" si="54"/>
        <v>54639.930174182729</v>
      </c>
      <c r="P48" s="1873">
        <f>'[34]LAVCA Adjustment'!X47++'[32]Oct midyear LA Virtual Admy'!K46+'[35]Feb midyear adj_LA virtual '!M48</f>
        <v>8825.2094983678362</v>
      </c>
      <c r="Q48" s="1874">
        <f t="shared" si="36"/>
        <v>63465.139672550562</v>
      </c>
      <c r="R48" s="1874">
        <f>'[4]Table 5C2 - LA Virtual Admy'!N46+'[27]Table 5C2 - LA Virtual Admy'!V46+('[26]Table 5C2 - LA Virtual Admy'!V46*6)</f>
        <v>35946</v>
      </c>
      <c r="S48" s="1874">
        <f t="shared" si="37"/>
        <v>27519.139672550562</v>
      </c>
      <c r="T48" s="1874">
        <f t="shared" si="38"/>
        <v>6880</v>
      </c>
      <c r="U48" s="1875">
        <f>'Table 5C1A-Madison Prep'!T50*90%</f>
        <v>3233.7000000000003</v>
      </c>
      <c r="V48" s="1876">
        <f t="shared" si="55"/>
        <v>19402.2</v>
      </c>
      <c r="W48" s="2060">
        <f>+'[3]Oct midyear LA Virtual Admy'!E46</f>
        <v>7</v>
      </c>
      <c r="X48" s="1876">
        <f t="shared" si="39"/>
        <v>22635.9</v>
      </c>
      <c r="Y48" s="1933">
        <f>'[3]Feb midyear LA Virtual Admy'!E46</f>
        <v>-3</v>
      </c>
      <c r="Z48" s="1876">
        <f t="shared" si="40"/>
        <v>-4850.55</v>
      </c>
      <c r="AA48" s="1876">
        <f t="shared" si="41"/>
        <v>17785.350000000002</v>
      </c>
      <c r="AB48" s="1876">
        <f t="shared" si="42"/>
        <v>37187.550000000003</v>
      </c>
      <c r="AC48" s="1876">
        <f t="shared" si="43"/>
        <v>-92.968875000000011</v>
      </c>
      <c r="AD48" s="1876">
        <f t="shared" si="44"/>
        <v>37094.581125000004</v>
      </c>
      <c r="AE48" s="1875">
        <f>'[34]LAVCA Adjustment'!AB47+'[32]Oct midyear LA Virtual Admy'!P46+'[35]Feb midyear adj_LA virtual '!S48</f>
        <v>7187.4000000000005</v>
      </c>
      <c r="AF48" s="1877">
        <f t="shared" si="45"/>
        <v>44281.981125000006</v>
      </c>
      <c r="AG48" s="1877">
        <f>'[4]Table 5C2 - LA Virtual Admy'!U46+'[27]Table 5C2 - LA Virtual Admy'!AH46+('[26]Table 5C2 - LA Virtual Admy'!AH46*6)</f>
        <v>25162</v>
      </c>
      <c r="AH48" s="1877">
        <f t="shared" si="46"/>
        <v>19119.981125000006</v>
      </c>
      <c r="AI48" s="1877">
        <f t="shared" si="47"/>
        <v>4780</v>
      </c>
      <c r="AJ48" s="1878">
        <f t="shared" si="48"/>
        <v>107747.12079755057</v>
      </c>
      <c r="AK48" s="1878">
        <f t="shared" si="49"/>
        <v>11660</v>
      </c>
      <c r="AM48" s="2042">
        <f>-'[4]Table 5C2 - LA Virtual Admy'!Q46</f>
        <v>48</v>
      </c>
      <c r="AN48" s="2042">
        <f t="shared" si="50"/>
        <v>-92.968875000000011</v>
      </c>
      <c r="AO48" s="2042">
        <f t="shared" si="51"/>
        <v>-44.968875000000011</v>
      </c>
    </row>
    <row r="49" spans="1:41" s="533" customFormat="1" ht="17.25" customHeight="1">
      <c r="A49" s="101">
        <v>44</v>
      </c>
      <c r="B49" s="772" t="s">
        <v>135</v>
      </c>
      <c r="C49" s="1870">
        <f>'2-1-13 SIS'!J50</f>
        <v>3</v>
      </c>
      <c r="D49" s="1871">
        <f>'Table 3 Levels 1&amp;2'!AL51*90%</f>
        <v>4226.9599105433163</v>
      </c>
      <c r="E49" s="1871">
        <f t="shared" si="32"/>
        <v>12680.87973162995</v>
      </c>
      <c r="F49" s="1872">
        <f>'Table 4 Level 3'!P49*90%</f>
        <v>596.84400000000005</v>
      </c>
      <c r="G49" s="1872">
        <f t="shared" si="33"/>
        <v>1790.5320000000002</v>
      </c>
      <c r="H49" s="1872">
        <f t="shared" si="34"/>
        <v>14471.411731629949</v>
      </c>
      <c r="I49" s="1872">
        <f>(('Table 3 Levels 1&amp;2'!AL51-D49)+('Table 4 Level 3'!P49-F49))*C49</f>
        <v>1607.9346368477707</v>
      </c>
      <c r="J49" s="1872">
        <f>+'[3]Oct midyear LA Virtual Admy'!K47</f>
        <v>38590.43128434653</v>
      </c>
      <c r="K49" s="1872">
        <f>'[3]Feb midyear LA Virtual Admy'!K47</f>
        <v>12059.509776358291</v>
      </c>
      <c r="L49" s="1872">
        <f t="shared" si="35"/>
        <v>50649.941060704819</v>
      </c>
      <c r="M49" s="1872">
        <f t="shared" si="52"/>
        <v>65121.352792334772</v>
      </c>
      <c r="N49" s="1872">
        <f t="shared" si="53"/>
        <v>-162.80338198083695</v>
      </c>
      <c r="O49" s="1873">
        <f t="shared" si="54"/>
        <v>64958.549410353939</v>
      </c>
      <c r="P49" s="1873">
        <f>'[34]LAVCA Adjustment'!X48++'[32]Oct midyear LA Virtual Admy'!K47+'[35]Feb midyear adj_LA virtual '!M49</f>
        <v>2259.1815591036734</v>
      </c>
      <c r="Q49" s="1874">
        <f t="shared" si="36"/>
        <v>67217.730969457611</v>
      </c>
      <c r="R49" s="1874">
        <f>'[4]Table 5C2 - LA Virtual Admy'!N47+'[27]Table 5C2 - LA Virtual Admy'!V47+('[26]Table 5C2 - LA Virtual Admy'!V47*6)</f>
        <v>22678</v>
      </c>
      <c r="S49" s="1874">
        <f t="shared" si="37"/>
        <v>44539.730969457611</v>
      </c>
      <c r="T49" s="1874">
        <f t="shared" si="38"/>
        <v>11135</v>
      </c>
      <c r="U49" s="1875">
        <f>'Table 5C1A-Madison Prep'!T51*90%</f>
        <v>3890.7000000000003</v>
      </c>
      <c r="V49" s="1876">
        <f t="shared" si="55"/>
        <v>11672.1</v>
      </c>
      <c r="W49" s="2060">
        <f>+'[3]Oct midyear LA Virtual Admy'!E47</f>
        <v>8</v>
      </c>
      <c r="X49" s="1876">
        <f t="shared" si="39"/>
        <v>31125.600000000002</v>
      </c>
      <c r="Y49" s="1933">
        <f>'[3]Feb midyear LA Virtual Admy'!E47</f>
        <v>5</v>
      </c>
      <c r="Z49" s="1876">
        <f t="shared" si="40"/>
        <v>9726.75</v>
      </c>
      <c r="AA49" s="1876">
        <f t="shared" si="41"/>
        <v>40852.350000000006</v>
      </c>
      <c r="AB49" s="1876">
        <f t="shared" si="42"/>
        <v>52524.450000000004</v>
      </c>
      <c r="AC49" s="1876">
        <f t="shared" si="43"/>
        <v>-131.311125</v>
      </c>
      <c r="AD49" s="1876">
        <f t="shared" si="44"/>
        <v>52393.138875000004</v>
      </c>
      <c r="AE49" s="1875">
        <f>'[34]LAVCA Adjustment'!AB48+'[32]Oct midyear LA Virtual Admy'!P47+'[35]Feb midyear adj_LA virtual '!S49</f>
        <v>2327.85</v>
      </c>
      <c r="AF49" s="1877">
        <f t="shared" si="45"/>
        <v>54720.988875000003</v>
      </c>
      <c r="AG49" s="1877">
        <f>'[4]Table 5C2 - LA Virtual Admy'!U47+'[27]Table 5C2 - LA Virtual Admy'!AH47+('[26]Table 5C2 - LA Virtual Admy'!AH47*6)</f>
        <v>19564</v>
      </c>
      <c r="AH49" s="1877">
        <f t="shared" si="46"/>
        <v>35156.988875000003</v>
      </c>
      <c r="AI49" s="1877">
        <f t="shared" si="47"/>
        <v>8789</v>
      </c>
      <c r="AJ49" s="1878">
        <f t="shared" si="48"/>
        <v>121938.71984445761</v>
      </c>
      <c r="AK49" s="1878">
        <f t="shared" si="49"/>
        <v>19924</v>
      </c>
      <c r="AM49" s="2042">
        <f>-'[4]Table 5C2 - LA Virtual Admy'!Q47</f>
        <v>31</v>
      </c>
      <c r="AN49" s="2042">
        <f t="shared" si="50"/>
        <v>-131.311125</v>
      </c>
      <c r="AO49" s="2042">
        <f t="shared" si="51"/>
        <v>-100.311125</v>
      </c>
    </row>
    <row r="50" spans="1:41" s="533" customFormat="1" ht="17.25" customHeight="1">
      <c r="A50" s="102">
        <v>45</v>
      </c>
      <c r="B50" s="773" t="s">
        <v>136</v>
      </c>
      <c r="C50" s="1879">
        <f>'2-1-13 SIS'!J51</f>
        <v>2</v>
      </c>
      <c r="D50" s="1880">
        <f>'Table 3 Levels 1&amp;2'!AL52*90%</f>
        <v>1973.2423085039036</v>
      </c>
      <c r="E50" s="1880">
        <f t="shared" si="32"/>
        <v>3946.4846170078072</v>
      </c>
      <c r="F50" s="1881">
        <f>'Table 4 Level 3'!P50*90%</f>
        <v>678.56400000000019</v>
      </c>
      <c r="G50" s="1881">
        <f t="shared" si="33"/>
        <v>1357.1280000000004</v>
      </c>
      <c r="H50" s="1881">
        <f t="shared" si="34"/>
        <v>5303.6126170078078</v>
      </c>
      <c r="I50" s="1881">
        <f>(('Table 3 Levels 1&amp;2'!AL52-D50)+('Table 4 Level 3'!P50-F50))*C50</f>
        <v>589.29029077864516</v>
      </c>
      <c r="J50" s="1881">
        <f>+'[3]Oct midyear LA Virtual Admy'!K48</f>
        <v>21214.450468031231</v>
      </c>
      <c r="K50" s="1881">
        <f>'[3]Feb midyear LA Virtual Admy'!K48</f>
        <v>1325.9031542519519</v>
      </c>
      <c r="L50" s="1881">
        <f t="shared" si="35"/>
        <v>22540.353622283183</v>
      </c>
      <c r="M50" s="1881">
        <f t="shared" si="52"/>
        <v>27843.966239290989</v>
      </c>
      <c r="N50" s="1881">
        <f t="shared" si="53"/>
        <v>-69.609915598227474</v>
      </c>
      <c r="O50" s="1882">
        <f t="shared" si="54"/>
        <v>27774.356323692762</v>
      </c>
      <c r="P50" s="1882">
        <f>'[34]LAVCA Adjustment'!X49++'[32]Oct midyear LA Virtual Admy'!K48+'[35]Feb midyear adj_LA virtual '!M50</f>
        <v>0</v>
      </c>
      <c r="Q50" s="1883">
        <f t="shared" si="36"/>
        <v>27774.356323692762</v>
      </c>
      <c r="R50" s="1883">
        <f>'[4]Table 5C2 - LA Virtual Admy'!N48+'[27]Table 5C2 - LA Virtual Admy'!V48+('[26]Table 5C2 - LA Virtual Admy'!V48*6)</f>
        <v>17904</v>
      </c>
      <c r="S50" s="1883">
        <f t="shared" si="37"/>
        <v>9870.3563236927621</v>
      </c>
      <c r="T50" s="1883">
        <f t="shared" si="38"/>
        <v>2468</v>
      </c>
      <c r="U50" s="1884">
        <f>'Table 5C1A-Madison Prep'!T52*90%</f>
        <v>11512.800000000001</v>
      </c>
      <c r="V50" s="1885">
        <f t="shared" si="55"/>
        <v>23025.600000000002</v>
      </c>
      <c r="W50" s="2061">
        <f>+'[3]Oct midyear LA Virtual Admy'!E48</f>
        <v>8</v>
      </c>
      <c r="X50" s="1885">
        <f t="shared" si="39"/>
        <v>92102.400000000009</v>
      </c>
      <c r="Y50" s="1934">
        <f>'[3]Feb midyear LA Virtual Admy'!E48</f>
        <v>1</v>
      </c>
      <c r="Z50" s="1885">
        <f t="shared" si="40"/>
        <v>5756.4000000000005</v>
      </c>
      <c r="AA50" s="1885">
        <f t="shared" si="41"/>
        <v>97858.8</v>
      </c>
      <c r="AB50" s="1885">
        <f t="shared" si="42"/>
        <v>120884.40000000001</v>
      </c>
      <c r="AC50" s="1885">
        <f t="shared" si="43"/>
        <v>-302.21100000000001</v>
      </c>
      <c r="AD50" s="1885">
        <f t="shared" si="44"/>
        <v>120582.18900000001</v>
      </c>
      <c r="AE50" s="1884">
        <f>'[34]LAVCA Adjustment'!AB49+'[32]Oct midyear LA Virtual Admy'!P48+'[35]Feb midyear adj_LA virtual '!S50</f>
        <v>0</v>
      </c>
      <c r="AF50" s="1886">
        <f t="shared" si="45"/>
        <v>120582.18900000001</v>
      </c>
      <c r="AG50" s="1886">
        <f>'[4]Table 5C2 - LA Virtual Admy'!U48+'[27]Table 5C2 - LA Virtual Admy'!AH48+('[26]Table 5C2 - LA Virtual Admy'!AH48*6)</f>
        <v>68589</v>
      </c>
      <c r="AH50" s="1886">
        <f t="shared" si="46"/>
        <v>51993.189000000013</v>
      </c>
      <c r="AI50" s="1886">
        <f t="shared" si="47"/>
        <v>12998</v>
      </c>
      <c r="AJ50" s="1887">
        <f t="shared" si="48"/>
        <v>148356.54532369279</v>
      </c>
      <c r="AK50" s="1887">
        <f t="shared" si="49"/>
        <v>15466</v>
      </c>
      <c r="AM50" s="2042">
        <f>-'[4]Table 5C2 - LA Virtual Admy'!Q48</f>
        <v>51</v>
      </c>
      <c r="AN50" s="2042">
        <f t="shared" si="50"/>
        <v>-302.21100000000001</v>
      </c>
      <c r="AO50" s="2042">
        <f t="shared" si="51"/>
        <v>-251.21100000000001</v>
      </c>
    </row>
    <row r="51" spans="1:41" s="533" customFormat="1" ht="17.25" customHeight="1">
      <c r="A51" s="101">
        <v>46</v>
      </c>
      <c r="B51" s="772" t="s">
        <v>137</v>
      </c>
      <c r="C51" s="1859">
        <f>'2-1-13 SIS'!J52</f>
        <v>9</v>
      </c>
      <c r="D51" s="1860">
        <f>'Table 3 Levels 1&amp;2'!AL53*90%</f>
        <v>5080.1939203717475</v>
      </c>
      <c r="E51" s="1860">
        <f t="shared" si="32"/>
        <v>45721.745283345728</v>
      </c>
      <c r="F51" s="1861">
        <f>'Table 4 Level 3'!P51*90%</f>
        <v>655.25400000000002</v>
      </c>
      <c r="G51" s="1861">
        <f t="shared" si="33"/>
        <v>5897.2860000000001</v>
      </c>
      <c r="H51" s="1861">
        <f t="shared" si="34"/>
        <v>51619.031283345728</v>
      </c>
      <c r="I51" s="1861">
        <f>(('Table 3 Levels 1&amp;2'!AL53-D51)+('Table 4 Level 3'!P51-F51))*C51</f>
        <v>5735.4479203717419</v>
      </c>
      <c r="J51" s="1861">
        <f>+'[3]Oct midyear LA Virtual Admy'!K49</f>
        <v>-17206.34376111524</v>
      </c>
      <c r="K51" s="1861">
        <f>'[3]Feb midyear LA Virtual Admy'!K49</f>
        <v>5735.4479203717474</v>
      </c>
      <c r="L51" s="1861">
        <f t="shared" si="35"/>
        <v>-11470.895840743493</v>
      </c>
      <c r="M51" s="1861">
        <f t="shared" si="52"/>
        <v>40148.135442602237</v>
      </c>
      <c r="N51" s="1861">
        <f t="shared" si="53"/>
        <v>-100.3703386065056</v>
      </c>
      <c r="O51" s="1862">
        <f t="shared" si="54"/>
        <v>40047.765103995735</v>
      </c>
      <c r="P51" s="1862">
        <f>'[34]LAVCA Adjustment'!X50++'[32]Oct midyear LA Virtual Admy'!K49+'[35]Feb midyear adj_LA virtual '!M51</f>
        <v>-2938.5769544910254</v>
      </c>
      <c r="Q51" s="1864">
        <f t="shared" si="36"/>
        <v>37109.188149504713</v>
      </c>
      <c r="R51" s="1888">
        <f>'[4]Table 5C2 - LA Virtual Admy'!N49+'[27]Table 5C2 - LA Virtual Admy'!V49+('[26]Table 5C2 - LA Virtual Admy'!V49*6)</f>
        <v>28104</v>
      </c>
      <c r="S51" s="1864">
        <f t="shared" si="37"/>
        <v>9005.1881495047128</v>
      </c>
      <c r="T51" s="1888">
        <f t="shared" si="38"/>
        <v>2251</v>
      </c>
      <c r="U51" s="1865">
        <f>'Table 5C1A-Madison Prep'!T53*90%</f>
        <v>2180.7000000000003</v>
      </c>
      <c r="V51" s="1866">
        <f t="shared" si="55"/>
        <v>19626.300000000003</v>
      </c>
      <c r="W51" s="2059">
        <f>+'[3]Oct midyear LA Virtual Admy'!E49</f>
        <v>-3</v>
      </c>
      <c r="X51" s="1866">
        <f t="shared" si="39"/>
        <v>-6542.1</v>
      </c>
      <c r="Y51" s="1932">
        <f>'[3]Feb midyear LA Virtual Admy'!E49</f>
        <v>2</v>
      </c>
      <c r="Z51" s="1866">
        <f t="shared" si="40"/>
        <v>2180.7000000000003</v>
      </c>
      <c r="AA51" s="1866">
        <f t="shared" si="41"/>
        <v>-4361.3999999999996</v>
      </c>
      <c r="AB51" s="1866">
        <f t="shared" si="42"/>
        <v>15264.900000000003</v>
      </c>
      <c r="AC51" s="1866">
        <f t="shared" si="43"/>
        <v>-38.162250000000007</v>
      </c>
      <c r="AD51" s="1866">
        <f t="shared" si="44"/>
        <v>15226.737750000004</v>
      </c>
      <c r="AE51" s="1865">
        <f>'[34]LAVCA Adjustment'!AB50+'[32]Oct midyear LA Virtual Admy'!P49+'[35]Feb midyear adj_LA virtual '!S51</f>
        <v>-794.7</v>
      </c>
      <c r="AF51" s="1867">
        <f t="shared" si="45"/>
        <v>14432.037750000003</v>
      </c>
      <c r="AG51" s="1889">
        <f>'[4]Table 5C2 - LA Virtual Admy'!U49+'[27]Table 5C2 - LA Virtual Admy'!AH49+('[26]Table 5C2 - LA Virtual Admy'!AH49*6)</f>
        <v>9615</v>
      </c>
      <c r="AH51" s="1867">
        <f t="shared" si="46"/>
        <v>4817.0377500000031</v>
      </c>
      <c r="AI51" s="1889">
        <f t="shared" si="47"/>
        <v>1204</v>
      </c>
      <c r="AJ51" s="1869">
        <f t="shared" si="48"/>
        <v>51541.225899504716</v>
      </c>
      <c r="AK51" s="1869">
        <f t="shared" si="49"/>
        <v>3455</v>
      </c>
      <c r="AM51" s="2042">
        <f>-'[4]Table 5C2 - LA Virtual Admy'!Q49</f>
        <v>44</v>
      </c>
      <c r="AN51" s="2042">
        <f t="shared" si="50"/>
        <v>-38.162250000000007</v>
      </c>
      <c r="AO51" s="2042">
        <f t="shared" si="51"/>
        <v>5.8377499999999927</v>
      </c>
    </row>
    <row r="52" spans="1:41" s="533" customFormat="1" ht="17.25" customHeight="1">
      <c r="A52" s="101">
        <v>47</v>
      </c>
      <c r="B52" s="772" t="s">
        <v>138</v>
      </c>
      <c r="C52" s="1870">
        <f>'2-1-13 SIS'!J53</f>
        <v>2</v>
      </c>
      <c r="D52" s="1871">
        <f>'Table 3 Levels 1&amp;2'!AL54*90%</f>
        <v>2458.1199668599834</v>
      </c>
      <c r="E52" s="1871">
        <f t="shared" si="32"/>
        <v>4916.2399337199668</v>
      </c>
      <c r="F52" s="1872">
        <f>'Table 4 Level 3'!P52*90%</f>
        <v>819.68399999999997</v>
      </c>
      <c r="G52" s="1872">
        <f t="shared" si="33"/>
        <v>1639.3679999999999</v>
      </c>
      <c r="H52" s="1872">
        <f t="shared" si="34"/>
        <v>6555.6079337199662</v>
      </c>
      <c r="I52" s="1872">
        <f>(('Table 3 Levels 1&amp;2'!AL54-D52)+('Table 4 Level 3'!P52-F52))*C52</f>
        <v>728.40088152444059</v>
      </c>
      <c r="J52" s="1872">
        <f>+'[3]Oct midyear LA Virtual Admy'!K50</f>
        <v>0</v>
      </c>
      <c r="K52" s="1872">
        <f>'[3]Feb midyear LA Virtual Admy'!K50</f>
        <v>0</v>
      </c>
      <c r="L52" s="1872">
        <f t="shared" si="35"/>
        <v>0</v>
      </c>
      <c r="M52" s="1872">
        <f t="shared" si="52"/>
        <v>6555.6079337199662</v>
      </c>
      <c r="N52" s="1872">
        <f t="shared" si="53"/>
        <v>-16.389019834299916</v>
      </c>
      <c r="O52" s="1873">
        <f t="shared" si="54"/>
        <v>6539.2189138856666</v>
      </c>
      <c r="P52" s="1873">
        <f>'[34]LAVCA Adjustment'!X51++'[32]Oct midyear LA Virtual Admy'!K50+'[35]Feb midyear adj_LA virtual '!M52</f>
        <v>-3917.8147624872336</v>
      </c>
      <c r="Q52" s="1874">
        <f t="shared" si="36"/>
        <v>2621.404151398433</v>
      </c>
      <c r="R52" s="1874">
        <f>'[4]Table 5C2 - LA Virtual Admy'!N50+'[27]Table 5C2 - LA Virtual Admy'!V50+('[26]Table 5C2 - LA Virtual Admy'!V50*6)</f>
        <v>1750</v>
      </c>
      <c r="S52" s="1874">
        <f t="shared" si="37"/>
        <v>871.40415139843299</v>
      </c>
      <c r="T52" s="1874">
        <f t="shared" si="38"/>
        <v>218</v>
      </c>
      <c r="U52" s="1875">
        <f>'Table 5C1A-Madison Prep'!T54*90%</f>
        <v>11666.7</v>
      </c>
      <c r="V52" s="1876">
        <f t="shared" si="55"/>
        <v>23333.4</v>
      </c>
      <c r="W52" s="2060">
        <f>+'[3]Oct midyear LA Virtual Admy'!E50</f>
        <v>0</v>
      </c>
      <c r="X52" s="1876">
        <f t="shared" si="39"/>
        <v>0</v>
      </c>
      <c r="Y52" s="1933">
        <f>'[3]Feb midyear LA Virtual Admy'!E50</f>
        <v>0</v>
      </c>
      <c r="Z52" s="1876">
        <f t="shared" si="40"/>
        <v>0</v>
      </c>
      <c r="AA52" s="1876">
        <f t="shared" si="41"/>
        <v>0</v>
      </c>
      <c r="AB52" s="1876">
        <f t="shared" si="42"/>
        <v>23333.4</v>
      </c>
      <c r="AC52" s="1876">
        <f t="shared" si="43"/>
        <v>-58.333500000000008</v>
      </c>
      <c r="AD52" s="1876">
        <f t="shared" si="44"/>
        <v>23275.066500000001</v>
      </c>
      <c r="AE52" s="1875">
        <f>'[34]LAVCA Adjustment'!AB51+'[32]Oct midyear LA Virtual Admy'!P50+'[35]Feb midyear adj_LA virtual '!S52</f>
        <v>-8779.5</v>
      </c>
      <c r="AF52" s="1877">
        <f t="shared" si="45"/>
        <v>14495.566500000001</v>
      </c>
      <c r="AG52" s="1877">
        <f>'[4]Table 5C2 - LA Virtual Admy'!U50+'[27]Table 5C2 - LA Virtual Admy'!AH50+('[26]Table 5C2 - LA Virtual Admy'!AH50*6)</f>
        <v>10040</v>
      </c>
      <c r="AH52" s="1877">
        <f t="shared" si="46"/>
        <v>4455.5665000000008</v>
      </c>
      <c r="AI52" s="1877">
        <f t="shared" si="47"/>
        <v>1114</v>
      </c>
      <c r="AJ52" s="1878">
        <f t="shared" si="48"/>
        <v>17116.970651398435</v>
      </c>
      <c r="AK52" s="1878">
        <f t="shared" si="49"/>
        <v>1332</v>
      </c>
      <c r="AM52" s="2042">
        <f>-'[4]Table 5C2 - LA Virtual Admy'!Q50</f>
        <v>60</v>
      </c>
      <c r="AN52" s="2042">
        <f t="shared" si="50"/>
        <v>-58.333500000000008</v>
      </c>
      <c r="AO52" s="2042">
        <f t="shared" si="51"/>
        <v>1.6664999999999921</v>
      </c>
    </row>
    <row r="53" spans="1:41" s="533" customFormat="1" ht="17.25" customHeight="1">
      <c r="A53" s="101">
        <v>48</v>
      </c>
      <c r="B53" s="772" t="s">
        <v>195</v>
      </c>
      <c r="C53" s="1870">
        <f>'2-1-13 SIS'!J54</f>
        <v>29</v>
      </c>
      <c r="D53" s="1871">
        <f>'Table 3 Levels 1&amp;2'!AL55*90%</f>
        <v>3845.4509907755478</v>
      </c>
      <c r="E53" s="1871">
        <f t="shared" si="32"/>
        <v>111518.07873249089</v>
      </c>
      <c r="F53" s="1872">
        <f>'Table 4 Level 3'!P53*90%</f>
        <v>783.96300000000008</v>
      </c>
      <c r="G53" s="1872">
        <f t="shared" si="33"/>
        <v>22734.927000000003</v>
      </c>
      <c r="H53" s="1872">
        <f t="shared" si="34"/>
        <v>134253.00573249088</v>
      </c>
      <c r="I53" s="1872">
        <f>(('Table 3 Levels 1&amp;2'!AL55-D53)+('Table 4 Level 3'!P53-F53))*C53</f>
        <v>14917.00063694343</v>
      </c>
      <c r="J53" s="1872">
        <f>+'[3]Oct midyear LA Virtual Admy'!K51</f>
        <v>-4629.413990775548</v>
      </c>
      <c r="K53" s="1872">
        <f>'[3]Feb midyear LA Virtual Admy'!K51</f>
        <v>-6944.1209861633215</v>
      </c>
      <c r="L53" s="1872">
        <f t="shared" si="35"/>
        <v>-11573.53497693887</v>
      </c>
      <c r="M53" s="1872">
        <f t="shared" si="52"/>
        <v>122679.47075555201</v>
      </c>
      <c r="N53" s="1872">
        <f t="shared" si="53"/>
        <v>-306.69867688888002</v>
      </c>
      <c r="O53" s="1873">
        <f t="shared" si="54"/>
        <v>122372.77207866314</v>
      </c>
      <c r="P53" s="1873">
        <f>'[34]LAVCA Adjustment'!X52++'[32]Oct midyear LA Virtual Admy'!K51+'[35]Feb midyear adj_LA virtual '!M53</f>
        <v>5850.9505496013035</v>
      </c>
      <c r="Q53" s="1874">
        <f t="shared" si="36"/>
        <v>128223.72262826444</v>
      </c>
      <c r="R53" s="1874">
        <f>'[4]Table 5C2 - LA Virtual Admy'!N51+'[27]Table 5C2 - LA Virtual Admy'!V51+('[26]Table 5C2 - LA Virtual Admy'!V51*6)</f>
        <v>92673</v>
      </c>
      <c r="S53" s="1874">
        <f t="shared" si="37"/>
        <v>35550.722628264441</v>
      </c>
      <c r="T53" s="1874">
        <f t="shared" si="38"/>
        <v>8888</v>
      </c>
      <c r="U53" s="1875">
        <f>'Table 5C1A-Madison Prep'!T55*90%</f>
        <v>5926.5</v>
      </c>
      <c r="V53" s="1876">
        <f t="shared" si="55"/>
        <v>171868.5</v>
      </c>
      <c r="W53" s="2060">
        <f>+'[3]Oct midyear LA Virtual Admy'!E51</f>
        <v>-1</v>
      </c>
      <c r="X53" s="1876">
        <f t="shared" si="39"/>
        <v>-5926.5</v>
      </c>
      <c r="Y53" s="1933">
        <f>'[3]Feb midyear LA Virtual Admy'!E51</f>
        <v>-3</v>
      </c>
      <c r="Z53" s="1876">
        <f t="shared" si="40"/>
        <v>-8889.75</v>
      </c>
      <c r="AA53" s="1876">
        <f t="shared" si="41"/>
        <v>-14816.25</v>
      </c>
      <c r="AB53" s="1876">
        <f t="shared" si="42"/>
        <v>157052.25</v>
      </c>
      <c r="AC53" s="1876">
        <f t="shared" si="43"/>
        <v>-392.63062500000001</v>
      </c>
      <c r="AD53" s="1876">
        <f t="shared" si="44"/>
        <v>156659.61937500001</v>
      </c>
      <c r="AE53" s="1875">
        <f>'[34]LAVCA Adjustment'!AB52+'[32]Oct midyear LA Virtual Admy'!P51+'[35]Feb midyear adj_LA virtual '!S53</f>
        <v>6933.6</v>
      </c>
      <c r="AF53" s="1877">
        <f t="shared" si="45"/>
        <v>163593.21937500002</v>
      </c>
      <c r="AG53" s="1877">
        <f>'[4]Table 5C2 - LA Virtual Admy'!U51+'[27]Table 5C2 - LA Virtual Admy'!AH51+('[26]Table 5C2 - LA Virtual Admy'!AH51*6)</f>
        <v>115992</v>
      </c>
      <c r="AH53" s="1877">
        <f t="shared" si="46"/>
        <v>47601.219375000015</v>
      </c>
      <c r="AI53" s="1877">
        <f t="shared" si="47"/>
        <v>11900</v>
      </c>
      <c r="AJ53" s="1878">
        <f t="shared" si="48"/>
        <v>291816.94200326444</v>
      </c>
      <c r="AK53" s="1878">
        <f t="shared" si="49"/>
        <v>20788</v>
      </c>
      <c r="AM53" s="2042">
        <f>-'[4]Table 5C2 - LA Virtual Admy'!Q51</f>
        <v>421</v>
      </c>
      <c r="AN53" s="2042">
        <f t="shared" si="50"/>
        <v>-392.63062500000001</v>
      </c>
      <c r="AO53" s="2042">
        <f t="shared" si="51"/>
        <v>28.369374999999991</v>
      </c>
    </row>
    <row r="54" spans="1:41" s="533" customFormat="1" ht="17.25" customHeight="1">
      <c r="A54" s="101">
        <v>49</v>
      </c>
      <c r="B54" s="772" t="s">
        <v>139</v>
      </c>
      <c r="C54" s="1870">
        <f>'2-1-13 SIS'!J55</f>
        <v>47</v>
      </c>
      <c r="D54" s="1871">
        <f>'Table 3 Levels 1&amp;2'!AL56*90%</f>
        <v>4353.0383313299299</v>
      </c>
      <c r="E54" s="1871">
        <f t="shared" si="32"/>
        <v>204592.80157250669</v>
      </c>
      <c r="F54" s="1872">
        <f>'Table 4 Level 3'!P54*90%</f>
        <v>516.99599999999998</v>
      </c>
      <c r="G54" s="1872">
        <f t="shared" si="33"/>
        <v>24298.811999999998</v>
      </c>
      <c r="H54" s="1872">
        <f t="shared" si="34"/>
        <v>228891.6135725067</v>
      </c>
      <c r="I54" s="1872">
        <f>(('Table 3 Levels 1&amp;2'!AL56-D54)+('Table 4 Level 3'!P54-F54))*C54</f>
        <v>25432.401508056289</v>
      </c>
      <c r="J54" s="1872">
        <f>+'[3]Oct midyear LA Virtual Admy'!K52</f>
        <v>116880.82395191831</v>
      </c>
      <c r="K54" s="1872">
        <f>'[3]Feb midyear LA Virtual Admy'!K52</f>
        <v>-9740.0686626598599</v>
      </c>
      <c r="L54" s="1872">
        <f t="shared" si="35"/>
        <v>107140.75528925845</v>
      </c>
      <c r="M54" s="1872">
        <f t="shared" si="52"/>
        <v>336032.36886176514</v>
      </c>
      <c r="N54" s="1872">
        <f t="shared" si="53"/>
        <v>-840.08092215441286</v>
      </c>
      <c r="O54" s="1873">
        <f t="shared" si="54"/>
        <v>335192.28793961072</v>
      </c>
      <c r="P54" s="1873">
        <f>'[34]LAVCA Adjustment'!X53++'[32]Oct midyear LA Virtual Admy'!K52+'[35]Feb midyear adj_LA virtual '!M54</f>
        <v>635.83885380853303</v>
      </c>
      <c r="Q54" s="1874">
        <f t="shared" si="36"/>
        <v>335828.12679341924</v>
      </c>
      <c r="R54" s="1874">
        <f>'[4]Table 5C2 - LA Virtual Admy'!N52+'[27]Table 5C2 - LA Virtual Admy'!V52+('[26]Table 5C2 - LA Virtual Admy'!V52*6)</f>
        <v>252176</v>
      </c>
      <c r="S54" s="1874">
        <f t="shared" si="37"/>
        <v>83652.126793419244</v>
      </c>
      <c r="T54" s="1874">
        <f t="shared" si="38"/>
        <v>20913</v>
      </c>
      <c r="U54" s="1875">
        <f>'Table 5C1A-Madison Prep'!T56*90%</f>
        <v>2161.8000000000002</v>
      </c>
      <c r="V54" s="1876">
        <f t="shared" si="55"/>
        <v>101604.6</v>
      </c>
      <c r="W54" s="2060">
        <f>+'[3]Oct midyear LA Virtual Admy'!E52</f>
        <v>24</v>
      </c>
      <c r="X54" s="1876">
        <f t="shared" si="39"/>
        <v>51883.200000000004</v>
      </c>
      <c r="Y54" s="1933">
        <f>'[3]Feb midyear LA Virtual Admy'!E52</f>
        <v>-4</v>
      </c>
      <c r="Z54" s="1876">
        <f t="shared" si="40"/>
        <v>-4323.6000000000004</v>
      </c>
      <c r="AA54" s="1876">
        <f t="shared" si="41"/>
        <v>47559.600000000006</v>
      </c>
      <c r="AB54" s="1876">
        <f t="shared" si="42"/>
        <v>149164.20000000001</v>
      </c>
      <c r="AC54" s="1876">
        <f t="shared" si="43"/>
        <v>-372.91050000000001</v>
      </c>
      <c r="AD54" s="1876">
        <f t="shared" si="44"/>
        <v>148791.28950000001</v>
      </c>
      <c r="AE54" s="1875">
        <f>'[34]LAVCA Adjustment'!AB53+'[32]Oct midyear LA Virtual Admy'!P52+'[35]Feb midyear adj_LA virtual '!S54</f>
        <v>1005.75</v>
      </c>
      <c r="AF54" s="1877">
        <f t="shared" si="45"/>
        <v>149797.03950000001</v>
      </c>
      <c r="AG54" s="1877">
        <f>'[4]Table 5C2 - LA Virtual Admy'!U52+'[27]Table 5C2 - LA Virtual Admy'!AH52+('[26]Table 5C2 - LA Virtual Admy'!AH52*6)</f>
        <v>107073</v>
      </c>
      <c r="AH54" s="1877">
        <f t="shared" si="46"/>
        <v>42724.039500000014</v>
      </c>
      <c r="AI54" s="1877">
        <f t="shared" si="47"/>
        <v>10681</v>
      </c>
      <c r="AJ54" s="1878">
        <f t="shared" si="48"/>
        <v>485625.16629341926</v>
      </c>
      <c r="AK54" s="1878">
        <f t="shared" si="49"/>
        <v>31594</v>
      </c>
      <c r="AM54" s="2042">
        <f>-'[4]Table 5C2 - LA Virtual Admy'!Q52</f>
        <v>242</v>
      </c>
      <c r="AN54" s="2042">
        <f t="shared" si="50"/>
        <v>-372.91050000000001</v>
      </c>
      <c r="AO54" s="2042">
        <f t="shared" si="51"/>
        <v>-130.91050000000001</v>
      </c>
    </row>
    <row r="55" spans="1:41" s="533" customFormat="1" ht="17.25" customHeight="1">
      <c r="A55" s="102">
        <v>50</v>
      </c>
      <c r="B55" s="773" t="s">
        <v>140</v>
      </c>
      <c r="C55" s="1879">
        <f>'2-1-13 SIS'!J56</f>
        <v>10</v>
      </c>
      <c r="D55" s="1880">
        <f>'Table 3 Levels 1&amp;2'!AL57*90%</f>
        <v>4529.4176605515404</v>
      </c>
      <c r="E55" s="1880">
        <f t="shared" si="32"/>
        <v>45294.1766055154</v>
      </c>
      <c r="F55" s="1881">
        <f>'Table 4 Level 3'!P55*90%</f>
        <v>571.01400000000001</v>
      </c>
      <c r="G55" s="1881">
        <f t="shared" si="33"/>
        <v>5710.14</v>
      </c>
      <c r="H55" s="1881">
        <f t="shared" si="34"/>
        <v>51004.3166055154</v>
      </c>
      <c r="I55" s="1881">
        <f>(('Table 3 Levels 1&amp;2'!AL57-D55)+('Table 4 Level 3'!P55-F55))*C55</f>
        <v>5667.1462895017075</v>
      </c>
      <c r="J55" s="1881">
        <f>+'[3]Oct midyear LA Virtual Admy'!K53</f>
        <v>56104.748266066948</v>
      </c>
      <c r="K55" s="1881">
        <f>'[3]Feb midyear LA Virtual Admy'!K53</f>
        <v>7650.6474908273103</v>
      </c>
      <c r="L55" s="1881">
        <f t="shared" si="35"/>
        <v>63755.395756894257</v>
      </c>
      <c r="M55" s="1881">
        <f t="shared" si="52"/>
        <v>114759.71236240966</v>
      </c>
      <c r="N55" s="1881">
        <f t="shared" si="53"/>
        <v>-286.89928090602416</v>
      </c>
      <c r="O55" s="1882">
        <f t="shared" si="54"/>
        <v>114472.81308150363</v>
      </c>
      <c r="P55" s="1882">
        <f>'[34]LAVCA Adjustment'!X54++'[32]Oct midyear LA Virtual Admy'!K53+'[35]Feb midyear adj_LA virtual '!M55</f>
        <v>-7696.1181893352732</v>
      </c>
      <c r="Q55" s="1883">
        <f t="shared" si="36"/>
        <v>106776.69489216835</v>
      </c>
      <c r="R55" s="1883">
        <f>'[4]Table 5C2 - LA Virtual Admy'!N53+'[27]Table 5C2 - LA Virtual Admy'!V53+('[26]Table 5C2 - LA Virtual Admy'!V53*6)</f>
        <v>56818</v>
      </c>
      <c r="S55" s="1883">
        <f t="shared" si="37"/>
        <v>49958.694892168351</v>
      </c>
      <c r="T55" s="1883">
        <f t="shared" si="38"/>
        <v>12490</v>
      </c>
      <c r="U55" s="1884">
        <f>'Table 5C1A-Madison Prep'!T57*90%</f>
        <v>2828.7000000000003</v>
      </c>
      <c r="V55" s="1885">
        <f t="shared" si="55"/>
        <v>28287.000000000004</v>
      </c>
      <c r="W55" s="2061">
        <f>+'[3]Oct midyear LA Virtual Admy'!E53</f>
        <v>11</v>
      </c>
      <c r="X55" s="1885">
        <f t="shared" si="39"/>
        <v>31115.700000000004</v>
      </c>
      <c r="Y55" s="1934">
        <f>'[3]Feb midyear LA Virtual Admy'!E53</f>
        <v>3</v>
      </c>
      <c r="Z55" s="1885">
        <f t="shared" si="40"/>
        <v>4243.05</v>
      </c>
      <c r="AA55" s="1885">
        <f t="shared" si="41"/>
        <v>35358.750000000007</v>
      </c>
      <c r="AB55" s="1885">
        <f t="shared" si="42"/>
        <v>63645.750000000015</v>
      </c>
      <c r="AC55" s="1885">
        <f t="shared" si="43"/>
        <v>-159.11437500000005</v>
      </c>
      <c r="AD55" s="1885">
        <f t="shared" si="44"/>
        <v>63486.635625000017</v>
      </c>
      <c r="AE55" s="1884">
        <f>'[34]LAVCA Adjustment'!AB54+'[32]Oct midyear LA Virtual Admy'!P53+'[35]Feb midyear adj_LA virtual '!S55</f>
        <v>-3420.8999999999996</v>
      </c>
      <c r="AF55" s="1886">
        <f t="shared" si="45"/>
        <v>60065.735625000016</v>
      </c>
      <c r="AG55" s="1886">
        <f>'[4]Table 5C2 - LA Virtual Admy'!U53+'[27]Table 5C2 - LA Virtual Admy'!AH53+('[26]Table 5C2 - LA Virtual Admy'!AH53*6)</f>
        <v>28336</v>
      </c>
      <c r="AH55" s="1886">
        <f t="shared" si="46"/>
        <v>31729.735625000016</v>
      </c>
      <c r="AI55" s="1886">
        <f t="shared" si="47"/>
        <v>7932</v>
      </c>
      <c r="AJ55" s="1887">
        <f t="shared" si="48"/>
        <v>166842.43051716837</v>
      </c>
      <c r="AK55" s="1887">
        <f t="shared" si="49"/>
        <v>20422</v>
      </c>
      <c r="AM55" s="2042">
        <f>-'[4]Table 5C2 - LA Virtual Admy'!Q53</f>
        <v>63</v>
      </c>
      <c r="AN55" s="2042">
        <f t="shared" si="50"/>
        <v>-159.11437500000005</v>
      </c>
      <c r="AO55" s="2042">
        <f t="shared" si="51"/>
        <v>-96.114375000000052</v>
      </c>
    </row>
    <row r="56" spans="1:41" s="533" customFormat="1" ht="17.25" customHeight="1">
      <c r="A56" s="101">
        <v>51</v>
      </c>
      <c r="B56" s="772" t="s">
        <v>141</v>
      </c>
      <c r="C56" s="1859">
        <f>'2-1-13 SIS'!J57</f>
        <v>1</v>
      </c>
      <c r="D56" s="1860">
        <f>'Table 3 Levels 1&amp;2'!AL58*90%</f>
        <v>3821.4305885514241</v>
      </c>
      <c r="E56" s="1860">
        <f t="shared" si="32"/>
        <v>3821.4305885514241</v>
      </c>
      <c r="F56" s="1861">
        <f>'Table 4 Level 3'!P56*90%</f>
        <v>635.99400000000003</v>
      </c>
      <c r="G56" s="1861">
        <f t="shared" si="33"/>
        <v>635.99400000000003</v>
      </c>
      <c r="H56" s="1861">
        <f t="shared" si="34"/>
        <v>4457.4245885514238</v>
      </c>
      <c r="I56" s="1861">
        <f>(('Table 3 Levels 1&amp;2'!AL58-D56)+('Table 4 Level 3'!P56-F56))*C56</f>
        <v>495.26939872793605</v>
      </c>
      <c r="J56" s="1861">
        <f>+'[3]Oct midyear LA Virtual Admy'!K54</f>
        <v>66861.368828271356</v>
      </c>
      <c r="K56" s="1861">
        <f>'[3]Feb midyear LA Virtual Admy'!K54</f>
        <v>4457.4245885514238</v>
      </c>
      <c r="L56" s="1861">
        <f t="shared" si="35"/>
        <v>71318.79341682278</v>
      </c>
      <c r="M56" s="1861">
        <f t="shared" si="52"/>
        <v>75776.218005374205</v>
      </c>
      <c r="N56" s="1861">
        <f t="shared" si="53"/>
        <v>-189.44054501343552</v>
      </c>
      <c r="O56" s="1862">
        <f t="shared" si="54"/>
        <v>75586.777460360769</v>
      </c>
      <c r="P56" s="1862">
        <f>'[34]LAVCA Adjustment'!X55++'[32]Oct midyear LA Virtual Admy'!K54+'[35]Feb midyear adj_LA virtual '!M56</f>
        <v>-11801.782220396395</v>
      </c>
      <c r="Q56" s="1864">
        <f t="shared" si="36"/>
        <v>63784.995239964373</v>
      </c>
      <c r="R56" s="1888">
        <f>'[4]Table 5C2 - LA Virtual Admy'!N54+'[27]Table 5C2 - LA Virtual Admy'!V54+('[26]Table 5C2 - LA Virtual Admy'!V54*6)</f>
        <v>19753</v>
      </c>
      <c r="S56" s="1864">
        <f t="shared" si="37"/>
        <v>44031.995239964373</v>
      </c>
      <c r="T56" s="1888">
        <f t="shared" si="38"/>
        <v>11008</v>
      </c>
      <c r="U56" s="1865">
        <f>'Table 5C1A-Madison Prep'!T58*90%</f>
        <v>3933</v>
      </c>
      <c r="V56" s="1866">
        <f t="shared" si="55"/>
        <v>3933</v>
      </c>
      <c r="W56" s="2059">
        <f>+'[3]Oct midyear LA Virtual Admy'!E54</f>
        <v>15</v>
      </c>
      <c r="X56" s="1866">
        <f t="shared" si="39"/>
        <v>58995</v>
      </c>
      <c r="Y56" s="1932">
        <f>'[3]Feb midyear LA Virtual Admy'!E54</f>
        <v>2</v>
      </c>
      <c r="Z56" s="1866">
        <f t="shared" si="40"/>
        <v>3933</v>
      </c>
      <c r="AA56" s="1866">
        <f t="shared" si="41"/>
        <v>62928</v>
      </c>
      <c r="AB56" s="1866">
        <f t="shared" si="42"/>
        <v>66861</v>
      </c>
      <c r="AC56" s="1866">
        <f t="shared" si="43"/>
        <v>-167.1525</v>
      </c>
      <c r="AD56" s="1866">
        <f t="shared" si="44"/>
        <v>66693.847500000003</v>
      </c>
      <c r="AE56" s="1865">
        <f>'[34]LAVCA Adjustment'!AB55+'[32]Oct midyear LA Virtual Admy'!P54+'[35]Feb midyear adj_LA virtual '!S56</f>
        <v>-9094.5</v>
      </c>
      <c r="AF56" s="1867">
        <f t="shared" si="45"/>
        <v>57599.347500000003</v>
      </c>
      <c r="AG56" s="1889">
        <f>'[4]Table 5C2 - LA Virtual Admy'!U54+'[27]Table 5C2 - LA Virtual Admy'!AH54+('[26]Table 5C2 - LA Virtual Admy'!AH54*6)</f>
        <v>17441</v>
      </c>
      <c r="AH56" s="1867">
        <f t="shared" si="46"/>
        <v>40158.347500000003</v>
      </c>
      <c r="AI56" s="1889">
        <f t="shared" si="47"/>
        <v>10040</v>
      </c>
      <c r="AJ56" s="1869">
        <f t="shared" si="48"/>
        <v>121384.34273996437</v>
      </c>
      <c r="AK56" s="1869">
        <f t="shared" si="49"/>
        <v>21048</v>
      </c>
      <c r="AM56" s="2042">
        <f>-'[4]Table 5C2 - LA Virtual Admy'!Q54</f>
        <v>9</v>
      </c>
      <c r="AN56" s="2042">
        <f t="shared" si="50"/>
        <v>-167.1525</v>
      </c>
      <c r="AO56" s="2042">
        <f t="shared" si="51"/>
        <v>-158.1525</v>
      </c>
    </row>
    <row r="57" spans="1:41" s="533" customFormat="1" ht="17.25" customHeight="1">
      <c r="A57" s="101">
        <v>52</v>
      </c>
      <c r="B57" s="772" t="s">
        <v>142</v>
      </c>
      <c r="C57" s="1870">
        <f>'2-1-13 SIS'!J58</f>
        <v>68</v>
      </c>
      <c r="D57" s="1871">
        <f>'Table 3 Levels 1&amp;2'!AL59*90%</f>
        <v>4512.0994245101929</v>
      </c>
      <c r="E57" s="1871">
        <f t="shared" si="32"/>
        <v>306822.7608666931</v>
      </c>
      <c r="F57" s="1872">
        <f>'Table 4 Level 3'!P57*90%</f>
        <v>592.53300000000002</v>
      </c>
      <c r="G57" s="1872">
        <f t="shared" si="33"/>
        <v>40292.243999999999</v>
      </c>
      <c r="H57" s="1872">
        <f t="shared" si="34"/>
        <v>347115.00486669311</v>
      </c>
      <c r="I57" s="1872">
        <f>(('Table 3 Levels 1&amp;2'!AL59-D57)+('Table 4 Level 3'!P57-F57))*C57</f>
        <v>38568.333874076976</v>
      </c>
      <c r="J57" s="1872">
        <f>+'[3]Oct midyear LA Virtual Admy'!K55</f>
        <v>122511.17818824464</v>
      </c>
      <c r="K57" s="1872">
        <f>'[3]Feb midyear LA Virtual Admy'!K55</f>
        <v>12761.581061275483</v>
      </c>
      <c r="L57" s="1872">
        <f t="shared" si="35"/>
        <v>135272.75924952011</v>
      </c>
      <c r="M57" s="1872">
        <f t="shared" si="52"/>
        <v>482387.76411621319</v>
      </c>
      <c r="N57" s="1872">
        <f t="shared" si="53"/>
        <v>-1205.969410290533</v>
      </c>
      <c r="O57" s="1873">
        <f t="shared" si="54"/>
        <v>481181.79470592266</v>
      </c>
      <c r="P57" s="1873">
        <f>'[34]LAVCA Adjustment'!X56++'[32]Oct midyear LA Virtual Admy'!K55+'[35]Feb midyear adj_LA virtual '!M57</f>
        <v>12138.590103237681</v>
      </c>
      <c r="Q57" s="1874">
        <f t="shared" si="36"/>
        <v>493320.38480916031</v>
      </c>
      <c r="R57" s="1874">
        <f>'[4]Table 5C2 - LA Virtual Admy'!N55+'[27]Table 5C2 - LA Virtual Admy'!V55+('[26]Table 5C2 - LA Virtual Admy'!V55*6)</f>
        <v>331873</v>
      </c>
      <c r="S57" s="1874">
        <f t="shared" si="37"/>
        <v>161447.38480916031</v>
      </c>
      <c r="T57" s="1874">
        <f t="shared" si="38"/>
        <v>40362</v>
      </c>
      <c r="U57" s="1875">
        <f>'Table 5C1A-Madison Prep'!T59*90%</f>
        <v>4628.7</v>
      </c>
      <c r="V57" s="1876">
        <f t="shared" si="55"/>
        <v>314751.59999999998</v>
      </c>
      <c r="W57" s="2060">
        <f>+'[3]Oct midyear LA Virtual Admy'!E55</f>
        <v>24</v>
      </c>
      <c r="X57" s="1876">
        <f t="shared" si="39"/>
        <v>111088.79999999999</v>
      </c>
      <c r="Y57" s="1933">
        <f>'[3]Feb midyear LA Virtual Admy'!E55</f>
        <v>5</v>
      </c>
      <c r="Z57" s="1876">
        <f t="shared" si="40"/>
        <v>11571.75</v>
      </c>
      <c r="AA57" s="1876">
        <f t="shared" si="41"/>
        <v>122660.54999999999</v>
      </c>
      <c r="AB57" s="1876">
        <f t="shared" si="42"/>
        <v>437412.14999999997</v>
      </c>
      <c r="AC57" s="1876">
        <f t="shared" si="43"/>
        <v>-1093.5303749999998</v>
      </c>
      <c r="AD57" s="1876">
        <f t="shared" si="44"/>
        <v>436318.61962499999</v>
      </c>
      <c r="AE57" s="1875">
        <f>'[34]LAVCA Adjustment'!AB56+'[32]Oct midyear LA Virtual Admy'!P55+'[35]Feb midyear adj_LA virtual '!S57</f>
        <v>8679.6</v>
      </c>
      <c r="AF57" s="1877">
        <f t="shared" si="45"/>
        <v>444998.21962499997</v>
      </c>
      <c r="AG57" s="1877">
        <f>'[4]Table 5C2 - LA Virtual Admy'!U55+'[27]Table 5C2 - LA Virtual Admy'!AH55+('[26]Table 5C2 - LA Virtual Admy'!AH55*6)</f>
        <v>284881</v>
      </c>
      <c r="AH57" s="1877">
        <f t="shared" si="46"/>
        <v>160117.21962499997</v>
      </c>
      <c r="AI57" s="1877">
        <f t="shared" si="47"/>
        <v>40029</v>
      </c>
      <c r="AJ57" s="1878">
        <f t="shared" si="48"/>
        <v>938318.60443416028</v>
      </c>
      <c r="AK57" s="1878">
        <f t="shared" si="49"/>
        <v>80391</v>
      </c>
      <c r="AM57" s="2042">
        <f>-'[4]Table 5C2 - LA Virtual Admy'!Q55</f>
        <v>748</v>
      </c>
      <c r="AN57" s="2042">
        <f t="shared" si="50"/>
        <v>-1093.5303749999998</v>
      </c>
      <c r="AO57" s="2042">
        <f t="shared" si="51"/>
        <v>-345.53037499999982</v>
      </c>
    </row>
    <row r="58" spans="1:41" s="533" customFormat="1" ht="17.25" customHeight="1">
      <c r="A58" s="101">
        <v>53</v>
      </c>
      <c r="B58" s="772" t="s">
        <v>143</v>
      </c>
      <c r="C58" s="1870">
        <f>'2-1-13 SIS'!J59</f>
        <v>51</v>
      </c>
      <c r="D58" s="1871">
        <f>'Table 3 Levels 1&amp;2'!AL60*90%</f>
        <v>4298.0289872022986</v>
      </c>
      <c r="E58" s="1871">
        <f t="shared" si="32"/>
        <v>219199.47834731723</v>
      </c>
      <c r="F58" s="1872">
        <f>'Table 4 Level 3'!P58*90%</f>
        <v>620.76600000000008</v>
      </c>
      <c r="G58" s="1872">
        <f t="shared" si="33"/>
        <v>31659.066000000003</v>
      </c>
      <c r="H58" s="1872">
        <f t="shared" si="34"/>
        <v>250858.54434731722</v>
      </c>
      <c r="I58" s="1872">
        <f>(('Table 3 Levels 1&amp;2'!AL60-D58)+('Table 4 Level 3'!P58-F58))*C58</f>
        <v>27873.171594146334</v>
      </c>
      <c r="J58" s="1872">
        <f>+'[3]Oct midyear LA Virtual Admy'!K56</f>
        <v>226264.56941130571</v>
      </c>
      <c r="K58" s="1872">
        <f>'[3]Feb midyear LA Virtual Admy'!K56</f>
        <v>14756.384961606895</v>
      </c>
      <c r="L58" s="1872">
        <f t="shared" si="35"/>
        <v>241020.95437291262</v>
      </c>
      <c r="M58" s="1872">
        <f t="shared" si="52"/>
        <v>491879.49872022984</v>
      </c>
      <c r="N58" s="1872">
        <f t="shared" si="53"/>
        <v>-1229.6987468005746</v>
      </c>
      <c r="O58" s="1873">
        <f t="shared" si="54"/>
        <v>490649.79997342924</v>
      </c>
      <c r="P58" s="1873">
        <f>'[34]LAVCA Adjustment'!X57++'[32]Oct midyear LA Virtual Admy'!K56+'[35]Feb midyear adj_LA virtual '!M58</f>
        <v>8300.5024681668292</v>
      </c>
      <c r="Q58" s="1874">
        <f t="shared" si="36"/>
        <v>498950.30244159605</v>
      </c>
      <c r="R58" s="1874">
        <f>'[4]Table 5C2 - LA Virtual Admy'!N56+'[27]Table 5C2 - LA Virtual Admy'!V56+('[26]Table 5C2 - LA Virtual Admy'!V56*6)</f>
        <v>285027</v>
      </c>
      <c r="S58" s="1874">
        <f t="shared" si="37"/>
        <v>213923.30244159605</v>
      </c>
      <c r="T58" s="1874">
        <f t="shared" si="38"/>
        <v>53481</v>
      </c>
      <c r="U58" s="1875">
        <f>'Table 5C1A-Madison Prep'!T60*90%</f>
        <v>1898.1000000000001</v>
      </c>
      <c r="V58" s="1876">
        <f t="shared" si="55"/>
        <v>96803.1</v>
      </c>
      <c r="W58" s="2060">
        <f>+'[3]Oct midyear LA Virtual Admy'!E56</f>
        <v>46</v>
      </c>
      <c r="X58" s="1876">
        <f t="shared" si="39"/>
        <v>87312.6</v>
      </c>
      <c r="Y58" s="1933">
        <f>'[3]Feb midyear LA Virtual Admy'!E56</f>
        <v>6</v>
      </c>
      <c r="Z58" s="1876">
        <f t="shared" si="40"/>
        <v>5694.3</v>
      </c>
      <c r="AA58" s="1876">
        <f t="shared" si="41"/>
        <v>93006.900000000009</v>
      </c>
      <c r="AB58" s="1876">
        <f t="shared" si="42"/>
        <v>189810</v>
      </c>
      <c r="AC58" s="1876">
        <f t="shared" si="43"/>
        <v>-474.52500000000003</v>
      </c>
      <c r="AD58" s="1876">
        <f t="shared" si="44"/>
        <v>189335.47500000001</v>
      </c>
      <c r="AE58" s="1875">
        <f>'[34]LAVCA Adjustment'!AB57+'[32]Oct midyear LA Virtual Admy'!P56+'[35]Feb midyear adj_LA virtual '!S58</f>
        <v>2589.3000000000002</v>
      </c>
      <c r="AF58" s="1877">
        <f t="shared" si="45"/>
        <v>191924.77499999999</v>
      </c>
      <c r="AG58" s="1877">
        <f>'[4]Table 5C2 - LA Virtual Admy'!U56+'[27]Table 5C2 - LA Virtual Admy'!AH56+('[26]Table 5C2 - LA Virtual Admy'!AH56*6)</f>
        <v>110089</v>
      </c>
      <c r="AH58" s="1877">
        <f t="shared" si="46"/>
        <v>81835.774999999994</v>
      </c>
      <c r="AI58" s="1877">
        <f t="shared" si="47"/>
        <v>20459</v>
      </c>
      <c r="AJ58" s="1878">
        <f t="shared" si="48"/>
        <v>690875.07744159608</v>
      </c>
      <c r="AK58" s="1878">
        <f t="shared" si="49"/>
        <v>73940</v>
      </c>
      <c r="AM58" s="2042">
        <f>-'[4]Table 5C2 - LA Virtual Admy'!Q56</f>
        <v>243</v>
      </c>
      <c r="AN58" s="2042">
        <f t="shared" si="50"/>
        <v>-474.52500000000003</v>
      </c>
      <c r="AO58" s="2042">
        <f t="shared" si="51"/>
        <v>-231.52500000000003</v>
      </c>
    </row>
    <row r="59" spans="1:41" s="533" customFormat="1" ht="17.25" customHeight="1">
      <c r="A59" s="101">
        <v>54</v>
      </c>
      <c r="B59" s="772" t="s">
        <v>144</v>
      </c>
      <c r="C59" s="1870">
        <f>'2-1-13 SIS'!J60</f>
        <v>0</v>
      </c>
      <c r="D59" s="1871">
        <f>'Table 3 Levels 1&amp;2'!AL61*90%</f>
        <v>5356.6208447648096</v>
      </c>
      <c r="E59" s="1871">
        <f t="shared" si="32"/>
        <v>0</v>
      </c>
      <c r="F59" s="1872">
        <f>'Table 4 Level 3'!P59*90%</f>
        <v>856.30500000000006</v>
      </c>
      <c r="G59" s="1872">
        <f t="shared" si="33"/>
        <v>0</v>
      </c>
      <c r="H59" s="1872">
        <f t="shared" si="34"/>
        <v>0</v>
      </c>
      <c r="I59" s="1872">
        <f>(('Table 3 Levels 1&amp;2'!AL61-D59)+('Table 4 Level 3'!P59-F59))*C59</f>
        <v>0</v>
      </c>
      <c r="J59" s="1872">
        <f>+'[3]Oct midyear LA Virtual Admy'!K57</f>
        <v>0</v>
      </c>
      <c r="K59" s="1872">
        <f>'[3]Feb midyear LA Virtual Admy'!K57</f>
        <v>0</v>
      </c>
      <c r="L59" s="1872">
        <f t="shared" si="35"/>
        <v>0</v>
      </c>
      <c r="M59" s="1872">
        <f t="shared" si="52"/>
        <v>0</v>
      </c>
      <c r="N59" s="1872">
        <f t="shared" si="53"/>
        <v>0</v>
      </c>
      <c r="O59" s="1873">
        <f t="shared" si="54"/>
        <v>0</v>
      </c>
      <c r="P59" s="1873">
        <f>'[34]LAVCA Adjustment'!X58++'[32]Oct midyear LA Virtual Admy'!K57+'[35]Feb midyear adj_LA virtual '!M59</f>
        <v>0</v>
      </c>
      <c r="Q59" s="1874">
        <f t="shared" si="36"/>
        <v>0</v>
      </c>
      <c r="R59" s="1874">
        <f>'[4]Table 5C2 - LA Virtual Admy'!N57+'[27]Table 5C2 - LA Virtual Admy'!V57+('[26]Table 5C2 - LA Virtual Admy'!V57*6)</f>
        <v>0</v>
      </c>
      <c r="S59" s="1874">
        <f t="shared" si="37"/>
        <v>0</v>
      </c>
      <c r="T59" s="1874">
        <f t="shared" si="38"/>
        <v>0</v>
      </c>
      <c r="U59" s="1875">
        <f>'Table 5C1A-Madison Prep'!T61*90%</f>
        <v>3384</v>
      </c>
      <c r="V59" s="1876">
        <f t="shared" si="55"/>
        <v>0</v>
      </c>
      <c r="W59" s="2060">
        <f>+'[3]Oct midyear LA Virtual Admy'!E57</f>
        <v>0</v>
      </c>
      <c r="X59" s="1876">
        <f t="shared" si="39"/>
        <v>0</v>
      </c>
      <c r="Y59" s="1933">
        <f>'[3]Feb midyear LA Virtual Admy'!E57</f>
        <v>0</v>
      </c>
      <c r="Z59" s="1876">
        <f t="shared" si="40"/>
        <v>0</v>
      </c>
      <c r="AA59" s="1876">
        <f t="shared" si="41"/>
        <v>0</v>
      </c>
      <c r="AB59" s="1876">
        <f t="shared" si="42"/>
        <v>0</v>
      </c>
      <c r="AC59" s="1876">
        <f t="shared" si="43"/>
        <v>0</v>
      </c>
      <c r="AD59" s="1876">
        <f t="shared" si="44"/>
        <v>0</v>
      </c>
      <c r="AE59" s="1875">
        <f>'[34]LAVCA Adjustment'!AB58+'[32]Oct midyear LA Virtual Admy'!P57+'[35]Feb midyear adj_LA virtual '!S59</f>
        <v>0</v>
      </c>
      <c r="AF59" s="1877">
        <f t="shared" si="45"/>
        <v>0</v>
      </c>
      <c r="AG59" s="1877">
        <f>'[4]Table 5C2 - LA Virtual Admy'!U57+'[27]Table 5C2 - LA Virtual Admy'!AH57+('[26]Table 5C2 - LA Virtual Admy'!AH57*6)</f>
        <v>0</v>
      </c>
      <c r="AH59" s="1877">
        <f t="shared" si="46"/>
        <v>0</v>
      </c>
      <c r="AI59" s="1877">
        <f t="shared" si="47"/>
        <v>0</v>
      </c>
      <c r="AJ59" s="1878">
        <f t="shared" si="48"/>
        <v>0</v>
      </c>
      <c r="AK59" s="1878">
        <f t="shared" si="49"/>
        <v>0</v>
      </c>
      <c r="AM59" s="2042">
        <f>-'[4]Table 5C2 - LA Virtual Admy'!Q57</f>
        <v>0</v>
      </c>
      <c r="AN59" s="2042">
        <f t="shared" si="50"/>
        <v>0</v>
      </c>
      <c r="AO59" s="2042">
        <f t="shared" si="51"/>
        <v>0</v>
      </c>
    </row>
    <row r="60" spans="1:41" s="533" customFormat="1" ht="17.25" customHeight="1">
      <c r="A60" s="102">
        <v>55</v>
      </c>
      <c r="B60" s="773" t="s">
        <v>145</v>
      </c>
      <c r="C60" s="1879">
        <f>'2-1-13 SIS'!J61</f>
        <v>21</v>
      </c>
      <c r="D60" s="1880">
        <f>'Table 3 Levels 1&amp;2'!AL62*90%</f>
        <v>3753.9391261709843</v>
      </c>
      <c r="E60" s="1880">
        <f t="shared" si="32"/>
        <v>78832.721649590676</v>
      </c>
      <c r="F60" s="1881">
        <f>'Table 4 Level 3'!P60*90%</f>
        <v>715.62599999999998</v>
      </c>
      <c r="G60" s="1881">
        <f t="shared" si="33"/>
        <v>15028.145999999999</v>
      </c>
      <c r="H60" s="1881">
        <f t="shared" si="34"/>
        <v>93860.867649590669</v>
      </c>
      <c r="I60" s="1881">
        <f>(('Table 3 Levels 1&amp;2'!AL62-D60)+('Table 4 Level 3'!P60-F60))*C60</f>
        <v>10428.985294398959</v>
      </c>
      <c r="J60" s="1881">
        <f>+'[3]Oct midyear LA Virtual Admy'!K58</f>
        <v>75982.607144906739</v>
      </c>
      <c r="K60" s="1881">
        <f>'[3]Feb midyear LA Virtual Admy'!K58</f>
        <v>-2234.7825630854923</v>
      </c>
      <c r="L60" s="1881">
        <f t="shared" si="35"/>
        <v>73747.824581821245</v>
      </c>
      <c r="M60" s="1881">
        <f t="shared" si="52"/>
        <v>167608.69223141193</v>
      </c>
      <c r="N60" s="1881">
        <f t="shared" si="53"/>
        <v>-419.02173057852985</v>
      </c>
      <c r="O60" s="1882">
        <f t="shared" si="54"/>
        <v>167189.6705008334</v>
      </c>
      <c r="P60" s="1882">
        <f>'[34]LAVCA Adjustment'!X59++'[32]Oct midyear LA Virtual Admy'!K58+'[35]Feb midyear adj_LA virtual '!M60</f>
        <v>-9666.2964213567284</v>
      </c>
      <c r="Q60" s="1883">
        <f t="shared" si="36"/>
        <v>157523.37407947666</v>
      </c>
      <c r="R60" s="1883">
        <f>'[4]Table 5C2 - LA Virtual Admy'!N58+'[27]Table 5C2 - LA Virtual Admy'!V58+('[26]Table 5C2 - LA Virtual Admy'!V58*6)</f>
        <v>83048</v>
      </c>
      <c r="S60" s="1883">
        <f t="shared" si="37"/>
        <v>74475.374079476664</v>
      </c>
      <c r="T60" s="1883">
        <f t="shared" si="38"/>
        <v>18619</v>
      </c>
      <c r="U60" s="1884">
        <f>'Table 5C1A-Madison Prep'!T62*90%</f>
        <v>3023.1</v>
      </c>
      <c r="V60" s="1885">
        <f t="shared" si="55"/>
        <v>63485.1</v>
      </c>
      <c r="W60" s="2061">
        <f>+'[3]Oct midyear LA Virtual Admy'!E58</f>
        <v>17</v>
      </c>
      <c r="X60" s="1885">
        <f t="shared" si="39"/>
        <v>51392.7</v>
      </c>
      <c r="Y60" s="1934">
        <f>'[3]Feb midyear LA Virtual Admy'!E58</f>
        <v>-1</v>
      </c>
      <c r="Z60" s="1885">
        <f t="shared" si="40"/>
        <v>-1511.55</v>
      </c>
      <c r="AA60" s="1885">
        <f t="shared" si="41"/>
        <v>49881.149999999994</v>
      </c>
      <c r="AB60" s="1885">
        <f t="shared" si="42"/>
        <v>113366.25</v>
      </c>
      <c r="AC60" s="1885">
        <f t="shared" si="43"/>
        <v>-283.41562500000003</v>
      </c>
      <c r="AD60" s="1885">
        <f t="shared" si="44"/>
        <v>113082.83437500001</v>
      </c>
      <c r="AE60" s="1884">
        <f>'[34]LAVCA Adjustment'!AB59+'[32]Oct midyear LA Virtual Admy'!P58+'[35]Feb midyear adj_LA virtual '!S60</f>
        <v>-4079.7000000000003</v>
      </c>
      <c r="AF60" s="1886">
        <f t="shared" si="45"/>
        <v>109003.13437500001</v>
      </c>
      <c r="AG60" s="1886">
        <f>'[4]Table 5C2 - LA Virtual Admy'!U58+'[27]Table 5C2 - LA Virtual Admy'!AH58+('[26]Table 5C2 - LA Virtual Admy'!AH58*6)</f>
        <v>54173</v>
      </c>
      <c r="AH60" s="1886">
        <f t="shared" si="46"/>
        <v>54830.134375000009</v>
      </c>
      <c r="AI60" s="1886">
        <f t="shared" si="47"/>
        <v>13708</v>
      </c>
      <c r="AJ60" s="1887">
        <f t="shared" si="48"/>
        <v>266526.50845447666</v>
      </c>
      <c r="AK60" s="1887">
        <f t="shared" si="49"/>
        <v>32327</v>
      </c>
      <c r="AM60" s="2042">
        <f>-'[4]Table 5C2 - LA Virtual Admy'!Q58</f>
        <v>149</v>
      </c>
      <c r="AN60" s="2042">
        <f t="shared" si="50"/>
        <v>-283.41562500000003</v>
      </c>
      <c r="AO60" s="2042">
        <f t="shared" si="51"/>
        <v>-134.41562500000003</v>
      </c>
    </row>
    <row r="61" spans="1:41" s="533" customFormat="1" ht="17.25" customHeight="1">
      <c r="A61" s="101">
        <v>56</v>
      </c>
      <c r="B61" s="772" t="s">
        <v>146</v>
      </c>
      <c r="C61" s="1859">
        <f>'2-1-13 SIS'!J62</f>
        <v>7</v>
      </c>
      <c r="D61" s="1860">
        <f>'Table 3 Levels 1&amp;2'!AL63*90%</f>
        <v>4471.7338707054541</v>
      </c>
      <c r="E61" s="1860">
        <f t="shared" si="32"/>
        <v>31302.137094938178</v>
      </c>
      <c r="F61" s="1861">
        <f>'Table 4 Level 3'!P61*90%</f>
        <v>553.19400000000007</v>
      </c>
      <c r="G61" s="1861">
        <f t="shared" si="33"/>
        <v>3872.3580000000006</v>
      </c>
      <c r="H61" s="1861">
        <f t="shared" si="34"/>
        <v>35174.495094938182</v>
      </c>
      <c r="I61" s="1861">
        <f>(('Table 3 Levels 1&amp;2'!AL63-D61)+('Table 4 Level 3'!P61-F61))*C61</f>
        <v>3908.2772327709104</v>
      </c>
      <c r="J61" s="1861">
        <f>+'[3]Oct midyear LA Virtual Admy'!K59</f>
        <v>0</v>
      </c>
      <c r="K61" s="1861">
        <f>'[3]Feb midyear LA Virtual Admy'!K59</f>
        <v>-2512.4639353527273</v>
      </c>
      <c r="L61" s="1861">
        <f t="shared" si="35"/>
        <v>-2512.4639353527273</v>
      </c>
      <c r="M61" s="1861">
        <f t="shared" si="52"/>
        <v>32662.031159585455</v>
      </c>
      <c r="N61" s="1861">
        <f t="shared" si="53"/>
        <v>-81.65507789896364</v>
      </c>
      <c r="O61" s="1862">
        <f t="shared" si="54"/>
        <v>32580.376081686492</v>
      </c>
      <c r="P61" s="1862">
        <f>'[34]LAVCA Adjustment'!X60++'[32]Oct midyear LA Virtual Admy'!K59+'[35]Feb midyear adj_LA virtual '!M61</f>
        <v>-5142.8882743758959</v>
      </c>
      <c r="Q61" s="1864">
        <f t="shared" si="36"/>
        <v>27437.487807310597</v>
      </c>
      <c r="R61" s="1888">
        <f>'[4]Table 5C2 - LA Virtual Admy'!N59+'[27]Table 5C2 - LA Virtual Admy'!V59+('[26]Table 5C2 - LA Virtual Admy'!V59*6)</f>
        <v>22787</v>
      </c>
      <c r="S61" s="1864">
        <f t="shared" si="37"/>
        <v>4650.4878073105974</v>
      </c>
      <c r="T61" s="1888">
        <f t="shared" si="38"/>
        <v>1163</v>
      </c>
      <c r="U61" s="1865">
        <f>'Table 5C1A-Madison Prep'!T63*90%</f>
        <v>2567.7000000000003</v>
      </c>
      <c r="V61" s="1866">
        <f t="shared" si="55"/>
        <v>17973.900000000001</v>
      </c>
      <c r="W61" s="2059">
        <f>+'[3]Oct midyear LA Virtual Admy'!E59</f>
        <v>0</v>
      </c>
      <c r="X61" s="1866">
        <f t="shared" si="39"/>
        <v>0</v>
      </c>
      <c r="Y61" s="1932">
        <f>'[3]Feb midyear LA Virtual Admy'!E59</f>
        <v>-1</v>
      </c>
      <c r="Z61" s="1866">
        <f t="shared" si="40"/>
        <v>-1283.8500000000001</v>
      </c>
      <c r="AA61" s="1866">
        <f t="shared" si="41"/>
        <v>-1283.8500000000001</v>
      </c>
      <c r="AB61" s="1866">
        <f t="shared" si="42"/>
        <v>16690.050000000003</v>
      </c>
      <c r="AC61" s="1866">
        <f t="shared" si="43"/>
        <v>-41.725125000000006</v>
      </c>
      <c r="AD61" s="1866">
        <f t="shared" si="44"/>
        <v>16648.324875000002</v>
      </c>
      <c r="AE61" s="1865">
        <f>'[34]LAVCA Adjustment'!AB60+'[32]Oct midyear LA Virtual Admy'!P59+'[35]Feb midyear adj_LA virtual '!S61</f>
        <v>-2614.5</v>
      </c>
      <c r="AF61" s="1867">
        <f t="shared" si="45"/>
        <v>14033.824875000002</v>
      </c>
      <c r="AG61" s="1889">
        <f>'[4]Table 5C2 - LA Virtual Admy'!U59+'[27]Table 5C2 - LA Virtual Admy'!AH59+('[26]Table 5C2 - LA Virtual Admy'!AH59*6)</f>
        <v>11308</v>
      </c>
      <c r="AH61" s="1867">
        <f t="shared" si="46"/>
        <v>2725.8248750000021</v>
      </c>
      <c r="AI61" s="1889">
        <f t="shared" si="47"/>
        <v>681</v>
      </c>
      <c r="AJ61" s="1869">
        <f t="shared" si="48"/>
        <v>41471.312682310599</v>
      </c>
      <c r="AK61" s="1869">
        <f t="shared" si="49"/>
        <v>1844</v>
      </c>
      <c r="AM61" s="2042">
        <f>-'[4]Table 5C2 - LA Virtual Admy'!Q59</f>
        <v>44</v>
      </c>
      <c r="AN61" s="2042">
        <f t="shared" si="50"/>
        <v>-41.725125000000006</v>
      </c>
      <c r="AO61" s="2042">
        <f t="shared" si="51"/>
        <v>2.2748749999999944</v>
      </c>
    </row>
    <row r="62" spans="1:41" s="533" customFormat="1" ht="17.25" customHeight="1">
      <c r="A62" s="101">
        <v>57</v>
      </c>
      <c r="B62" s="772" t="s">
        <v>147</v>
      </c>
      <c r="C62" s="1870">
        <f>'2-1-13 SIS'!J63</f>
        <v>10</v>
      </c>
      <c r="D62" s="1871">
        <f>'Table 3 Levels 1&amp;2'!AL64*90%</f>
        <v>4037.1365718196976</v>
      </c>
      <c r="E62" s="1871">
        <f t="shared" si="32"/>
        <v>40371.365718196976</v>
      </c>
      <c r="F62" s="1872">
        <f>'Table 4 Level 3'!P62*90%</f>
        <v>688.05899999999997</v>
      </c>
      <c r="G62" s="1872">
        <f t="shared" si="33"/>
        <v>6880.59</v>
      </c>
      <c r="H62" s="1872">
        <f t="shared" si="34"/>
        <v>47251.955718196972</v>
      </c>
      <c r="I62" s="1872">
        <f>(('Table 3 Levels 1&amp;2'!AL64-D62)+('Table 4 Level 3'!P62-F62))*C62</f>
        <v>5250.2173020218834</v>
      </c>
      <c r="J62" s="1872">
        <f>+'[3]Oct midyear LA Virtual Admy'!K60</f>
        <v>80328.324720934863</v>
      </c>
      <c r="K62" s="1872">
        <f>'[3]Feb midyear LA Virtual Admy'!K60</f>
        <v>-9450.3911436393955</v>
      </c>
      <c r="L62" s="1872">
        <f t="shared" si="35"/>
        <v>70877.933577295466</v>
      </c>
      <c r="M62" s="1872">
        <f t="shared" si="52"/>
        <v>118129.88929549244</v>
      </c>
      <c r="N62" s="1872">
        <f t="shared" si="53"/>
        <v>-295.32472323873111</v>
      </c>
      <c r="O62" s="1873">
        <f t="shared" si="54"/>
        <v>117834.5645722537</v>
      </c>
      <c r="P62" s="1873">
        <f>'[34]LAVCA Adjustment'!X61++'[32]Oct midyear LA Virtual Admy'!K60+'[35]Feb midyear adj_LA virtual '!M62</f>
        <v>-2379.4184350963656</v>
      </c>
      <c r="Q62" s="1874">
        <f t="shared" si="36"/>
        <v>115455.14613715734</v>
      </c>
      <c r="R62" s="1874">
        <f>'[4]Table 5C2 - LA Virtual Admy'!N60+'[27]Table 5C2 - LA Virtual Admy'!V60+('[26]Table 5C2 - LA Virtual Admy'!V60*6)</f>
        <v>73629</v>
      </c>
      <c r="S62" s="1874">
        <f t="shared" si="37"/>
        <v>41826.146137157339</v>
      </c>
      <c r="T62" s="1874">
        <f t="shared" si="38"/>
        <v>10457</v>
      </c>
      <c r="U62" s="1875">
        <f>'Table 5C1A-Madison Prep'!T64*90%</f>
        <v>2860.2000000000003</v>
      </c>
      <c r="V62" s="1876">
        <f t="shared" si="55"/>
        <v>28602.000000000004</v>
      </c>
      <c r="W62" s="2060">
        <f>+'[3]Oct midyear LA Virtual Admy'!E60</f>
        <v>17</v>
      </c>
      <c r="X62" s="1876">
        <f t="shared" si="39"/>
        <v>48623.4</v>
      </c>
      <c r="Y62" s="1933">
        <f>'[3]Feb midyear LA Virtual Admy'!E60</f>
        <v>-4</v>
      </c>
      <c r="Z62" s="1876">
        <f t="shared" si="40"/>
        <v>-5720.4000000000005</v>
      </c>
      <c r="AA62" s="1876">
        <f t="shared" si="41"/>
        <v>42903</v>
      </c>
      <c r="AB62" s="1876">
        <f t="shared" si="42"/>
        <v>71505</v>
      </c>
      <c r="AC62" s="1876">
        <f t="shared" si="43"/>
        <v>-178.76250000000002</v>
      </c>
      <c r="AD62" s="1876">
        <f t="shared" si="44"/>
        <v>71326.237500000003</v>
      </c>
      <c r="AE62" s="1875">
        <f>'[34]LAVCA Adjustment'!AB61+'[32]Oct midyear LA Virtual Admy'!P60+'[35]Feb midyear adj_LA virtual '!S62</f>
        <v>-1365.75</v>
      </c>
      <c r="AF62" s="1877">
        <f t="shared" si="45"/>
        <v>69960.487500000003</v>
      </c>
      <c r="AG62" s="1877">
        <f>'[4]Table 5C2 - LA Virtual Admy'!U60+'[27]Table 5C2 - LA Virtual Admy'!AH60+('[26]Table 5C2 - LA Virtual Admy'!AH60*6)</f>
        <v>43602</v>
      </c>
      <c r="AH62" s="1877">
        <f t="shared" si="46"/>
        <v>26358.487500000003</v>
      </c>
      <c r="AI62" s="1877">
        <f t="shared" si="47"/>
        <v>6590</v>
      </c>
      <c r="AJ62" s="1878">
        <f t="shared" si="48"/>
        <v>185415.63363715733</v>
      </c>
      <c r="AK62" s="1878">
        <f t="shared" si="49"/>
        <v>17047</v>
      </c>
      <c r="AM62" s="2042">
        <f>-'[4]Table 5C2 - LA Virtual Admy'!Q60</f>
        <v>70</v>
      </c>
      <c r="AN62" s="2042">
        <f t="shared" si="50"/>
        <v>-178.76250000000002</v>
      </c>
      <c r="AO62" s="2042">
        <f t="shared" si="51"/>
        <v>-108.76250000000002</v>
      </c>
    </row>
    <row r="63" spans="1:41" s="533" customFormat="1" ht="17.25" customHeight="1">
      <c r="A63" s="101">
        <v>58</v>
      </c>
      <c r="B63" s="772" t="s">
        <v>148</v>
      </c>
      <c r="C63" s="1870">
        <f>'2-1-13 SIS'!J64</f>
        <v>30</v>
      </c>
      <c r="D63" s="1871">
        <f>'Table 3 Levels 1&amp;2'!AL65*90%</f>
        <v>4912.079652312872</v>
      </c>
      <c r="E63" s="1871">
        <f t="shared" si="32"/>
        <v>147362.38956938617</v>
      </c>
      <c r="F63" s="1872">
        <f>'Table 4 Level 3'!P63*90%</f>
        <v>627.33600000000001</v>
      </c>
      <c r="G63" s="1872">
        <f t="shared" si="33"/>
        <v>18820.080000000002</v>
      </c>
      <c r="H63" s="1872">
        <f t="shared" si="34"/>
        <v>166182.46956938616</v>
      </c>
      <c r="I63" s="1872">
        <f>(('Table 3 Levels 1&amp;2'!AL65-D63)+('Table 4 Level 3'!P63-F63))*C63</f>
        <v>18464.718841042901</v>
      </c>
      <c r="J63" s="1872">
        <f>+'[3]Oct midyear LA Virtual Admy'!K61</f>
        <v>60933.572175441594</v>
      </c>
      <c r="K63" s="1872">
        <f>'[3]Feb midyear LA Virtual Admy'!K61</f>
        <v>30466.786087720797</v>
      </c>
      <c r="L63" s="1872">
        <f t="shared" si="35"/>
        <v>91400.358263162387</v>
      </c>
      <c r="M63" s="1872">
        <f t="shared" si="52"/>
        <v>257582.82783254853</v>
      </c>
      <c r="N63" s="1872">
        <f t="shared" si="53"/>
        <v>-643.95706958137134</v>
      </c>
      <c r="O63" s="1873">
        <f t="shared" si="54"/>
        <v>256938.87076296716</v>
      </c>
      <c r="P63" s="1873">
        <f>'[34]LAVCA Adjustment'!X62++'[32]Oct midyear LA Virtual Admy'!K61+'[35]Feb midyear adj_LA virtual '!M63</f>
        <v>21535.218121475329</v>
      </c>
      <c r="Q63" s="1874">
        <f t="shared" si="36"/>
        <v>278474.08888444246</v>
      </c>
      <c r="R63" s="1874">
        <f>'[4]Table 5C2 - LA Virtual Admy'!N61+'[27]Table 5C2 - LA Virtual Admy'!V61+('[26]Table 5C2 - LA Virtual Admy'!V61*6)</f>
        <v>185547</v>
      </c>
      <c r="S63" s="1874">
        <f t="shared" si="37"/>
        <v>92927.088884442463</v>
      </c>
      <c r="T63" s="1874">
        <f t="shared" si="38"/>
        <v>23232</v>
      </c>
      <c r="U63" s="1875">
        <f>'Table 5C1A-Madison Prep'!T65*90%</f>
        <v>1914.3</v>
      </c>
      <c r="V63" s="1876">
        <f t="shared" si="55"/>
        <v>57429</v>
      </c>
      <c r="W63" s="2060">
        <f>+'[3]Oct midyear LA Virtual Admy'!E61</f>
        <v>11</v>
      </c>
      <c r="X63" s="1876">
        <f t="shared" si="39"/>
        <v>21057.3</v>
      </c>
      <c r="Y63" s="1933">
        <f>'[3]Feb midyear LA Virtual Admy'!E61</f>
        <v>11</v>
      </c>
      <c r="Z63" s="1876">
        <f t="shared" si="40"/>
        <v>10528.65</v>
      </c>
      <c r="AA63" s="1876">
        <f t="shared" si="41"/>
        <v>31585.949999999997</v>
      </c>
      <c r="AB63" s="1876">
        <f t="shared" si="42"/>
        <v>89014.95</v>
      </c>
      <c r="AC63" s="1876">
        <f t="shared" si="43"/>
        <v>-222.537375</v>
      </c>
      <c r="AD63" s="1876">
        <f t="shared" si="44"/>
        <v>88792.412624999997</v>
      </c>
      <c r="AE63" s="1875">
        <f>'[34]LAVCA Adjustment'!AB62+'[32]Oct midyear LA Virtual Admy'!P61+'[35]Feb midyear adj_LA virtual '!S63</f>
        <v>6296.4000000000005</v>
      </c>
      <c r="AF63" s="1877">
        <f t="shared" si="45"/>
        <v>95088.812624999991</v>
      </c>
      <c r="AG63" s="1877">
        <f>'[4]Table 5C2 - LA Virtual Admy'!U61+'[27]Table 5C2 - LA Virtual Admy'!AH61+('[26]Table 5C2 - LA Virtual Admy'!AH61*6)</f>
        <v>62747</v>
      </c>
      <c r="AH63" s="1877">
        <f t="shared" si="46"/>
        <v>32341.812624999991</v>
      </c>
      <c r="AI63" s="1877">
        <f t="shared" si="47"/>
        <v>8085</v>
      </c>
      <c r="AJ63" s="1878">
        <f t="shared" si="48"/>
        <v>373562.90150944248</v>
      </c>
      <c r="AK63" s="1878">
        <f t="shared" si="49"/>
        <v>31317</v>
      </c>
      <c r="AM63" s="2042">
        <f>-'[4]Table 5C2 - LA Virtual Admy'!Q61</f>
        <v>142</v>
      </c>
      <c r="AN63" s="2042">
        <f t="shared" si="50"/>
        <v>-222.537375</v>
      </c>
      <c r="AO63" s="2042">
        <f t="shared" si="51"/>
        <v>-80.537374999999997</v>
      </c>
    </row>
    <row r="64" spans="1:41" s="533" customFormat="1" ht="17.25" customHeight="1">
      <c r="A64" s="101">
        <v>59</v>
      </c>
      <c r="B64" s="772" t="s">
        <v>149</v>
      </c>
      <c r="C64" s="1870">
        <f>'2-1-13 SIS'!J65</f>
        <v>13</v>
      </c>
      <c r="D64" s="1871">
        <f>'Table 3 Levels 1&amp;2'!AL66*90%</f>
        <v>5646.8507704205831</v>
      </c>
      <c r="E64" s="1871">
        <f t="shared" si="32"/>
        <v>73409.060015467578</v>
      </c>
      <c r="F64" s="1872">
        <f>'Table 4 Level 3'!P64*90%</f>
        <v>620.56799999999998</v>
      </c>
      <c r="G64" s="1872">
        <f t="shared" si="33"/>
        <v>8067.384</v>
      </c>
      <c r="H64" s="1872">
        <f t="shared" si="34"/>
        <v>81476.444015467583</v>
      </c>
      <c r="I64" s="1872">
        <f>(('Table 3 Levels 1&amp;2'!AL66-D64)+('Table 4 Level 3'!P64-F64))*C64</f>
        <v>9052.9382239408442</v>
      </c>
      <c r="J64" s="1872">
        <f>+'[3]Oct midyear LA Virtual Admy'!K62</f>
        <v>144150.6317196734</v>
      </c>
      <c r="K64" s="1872">
        <f>'[3]Feb midyear LA Virtual Admy'!K62</f>
        <v>-37604.5126225235</v>
      </c>
      <c r="L64" s="1872">
        <f t="shared" si="35"/>
        <v>106546.1190971499</v>
      </c>
      <c r="M64" s="1872">
        <f t="shared" si="52"/>
        <v>188022.56311261747</v>
      </c>
      <c r="N64" s="1872">
        <f t="shared" si="53"/>
        <v>-470.05640778154367</v>
      </c>
      <c r="O64" s="1873">
        <f t="shared" si="54"/>
        <v>187552.50670483592</v>
      </c>
      <c r="P64" s="1873">
        <f>'[34]LAVCA Adjustment'!X63++'[32]Oct midyear LA Virtual Admy'!K62+'[35]Feb midyear adj_LA virtual '!M64</f>
        <v>-301.02764381859106</v>
      </c>
      <c r="Q64" s="1874">
        <f t="shared" si="36"/>
        <v>187251.47906101734</v>
      </c>
      <c r="R64" s="1874">
        <f>'[4]Table 5C2 - LA Virtual Admy'!N62+'[27]Table 5C2 - LA Virtual Admy'!V62+('[26]Table 5C2 - LA Virtual Admy'!V62*6)</f>
        <v>115133</v>
      </c>
      <c r="S64" s="1874">
        <f t="shared" si="37"/>
        <v>72118.479061017337</v>
      </c>
      <c r="T64" s="1874">
        <f t="shared" si="38"/>
        <v>18030</v>
      </c>
      <c r="U64" s="1875">
        <f>'Table 5C1A-Madison Prep'!T66*90%</f>
        <v>1556.1000000000001</v>
      </c>
      <c r="V64" s="1876">
        <f t="shared" si="55"/>
        <v>20229.300000000003</v>
      </c>
      <c r="W64" s="2060">
        <f>+'[3]Oct midyear LA Virtual Admy'!E62</f>
        <v>23</v>
      </c>
      <c r="X64" s="1876">
        <f t="shared" si="39"/>
        <v>35790.300000000003</v>
      </c>
      <c r="Y64" s="1933">
        <f>'[3]Feb midyear LA Virtual Admy'!E62</f>
        <v>-12</v>
      </c>
      <c r="Z64" s="1876">
        <f t="shared" si="40"/>
        <v>-9336.6</v>
      </c>
      <c r="AA64" s="1876">
        <f t="shared" si="41"/>
        <v>26453.700000000004</v>
      </c>
      <c r="AB64" s="1876">
        <f t="shared" si="42"/>
        <v>46683.000000000007</v>
      </c>
      <c r="AC64" s="1876">
        <f t="shared" si="43"/>
        <v>-116.70750000000002</v>
      </c>
      <c r="AD64" s="1876">
        <f t="shared" si="44"/>
        <v>46566.29250000001</v>
      </c>
      <c r="AE64" s="1875">
        <f>'[34]LAVCA Adjustment'!AB63+'[32]Oct midyear LA Virtual Admy'!P62+'[35]Feb midyear adj_LA virtual '!S64</f>
        <v>-1479.6000000000001</v>
      </c>
      <c r="AF64" s="1877">
        <f t="shared" si="45"/>
        <v>45086.692500000012</v>
      </c>
      <c r="AG64" s="1877">
        <f>'[4]Table 5C2 - LA Virtual Admy'!U62+'[27]Table 5C2 - LA Virtual Admy'!AH62+('[26]Table 5C2 - LA Virtual Admy'!AH62*6)</f>
        <v>24024</v>
      </c>
      <c r="AH64" s="1877">
        <f t="shared" si="46"/>
        <v>21062.692500000012</v>
      </c>
      <c r="AI64" s="1877">
        <f t="shared" si="47"/>
        <v>5266</v>
      </c>
      <c r="AJ64" s="1878">
        <f t="shared" si="48"/>
        <v>232338.17156101734</v>
      </c>
      <c r="AK64" s="1878">
        <f t="shared" si="49"/>
        <v>23296</v>
      </c>
      <c r="AM64" s="2042">
        <f>-'[4]Table 5C2 - LA Virtual Admy'!Q62</f>
        <v>44</v>
      </c>
      <c r="AN64" s="2042">
        <f t="shared" si="50"/>
        <v>-116.70750000000002</v>
      </c>
      <c r="AO64" s="2042">
        <f t="shared" si="51"/>
        <v>-72.707500000000024</v>
      </c>
    </row>
    <row r="65" spans="1:41" s="533" customFormat="1" ht="17.25" customHeight="1">
      <c r="A65" s="102">
        <v>60</v>
      </c>
      <c r="B65" s="773" t="s">
        <v>150</v>
      </c>
      <c r="C65" s="1879">
        <f>'2-1-13 SIS'!J66</f>
        <v>17</v>
      </c>
      <c r="D65" s="1880">
        <f>'Table 3 Levels 1&amp;2'!AL67*90%</f>
        <v>4446.8250098049375</v>
      </c>
      <c r="E65" s="1880">
        <f t="shared" si="32"/>
        <v>75596.025166683932</v>
      </c>
      <c r="F65" s="1881">
        <f>'Table 4 Level 3'!P65*90%</f>
        <v>534.63599999999997</v>
      </c>
      <c r="G65" s="1881">
        <f t="shared" si="33"/>
        <v>9088.8119999999999</v>
      </c>
      <c r="H65" s="1881">
        <f t="shared" si="34"/>
        <v>84684.837166683938</v>
      </c>
      <c r="I65" s="1881">
        <f>(('Table 3 Levels 1&amp;2'!AL67-D65)+('Table 4 Level 3'!P65-F65))*C65</f>
        <v>9409.4263518537609</v>
      </c>
      <c r="J65" s="1881">
        <f>+'[3]Oct midyear LA Virtual Admy'!K63</f>
        <v>29888.766058829628</v>
      </c>
      <c r="K65" s="1881">
        <f>'[3]Feb midyear LA Virtual Admy'!K63</f>
        <v>-22416.574544122221</v>
      </c>
      <c r="L65" s="1881">
        <f t="shared" si="35"/>
        <v>7472.1915147074069</v>
      </c>
      <c r="M65" s="1881">
        <f t="shared" si="52"/>
        <v>92157.028681391341</v>
      </c>
      <c r="N65" s="1881">
        <f t="shared" si="53"/>
        <v>-230.39257170347835</v>
      </c>
      <c r="O65" s="1882">
        <f t="shared" si="54"/>
        <v>91926.636109687868</v>
      </c>
      <c r="P65" s="1882">
        <f>'[34]LAVCA Adjustment'!X64++'[32]Oct midyear LA Virtual Admy'!K63+'[35]Feb midyear adj_LA virtual '!M65</f>
        <v>-9418.6982964285999</v>
      </c>
      <c r="Q65" s="1883">
        <f t="shared" si="36"/>
        <v>82507.937813259268</v>
      </c>
      <c r="R65" s="1883">
        <f>'[4]Table 5C2 - LA Virtual Admy'!N63+'[27]Table 5C2 - LA Virtual Admy'!V63+('[26]Table 5C2 - LA Virtual Admy'!V63*6)</f>
        <v>80393</v>
      </c>
      <c r="S65" s="1883">
        <f t="shared" si="37"/>
        <v>2114.9378132592683</v>
      </c>
      <c r="T65" s="1883">
        <f t="shared" si="38"/>
        <v>529</v>
      </c>
      <c r="U65" s="1884">
        <f>'Table 5C1A-Madison Prep'!T67*90%</f>
        <v>3420.9</v>
      </c>
      <c r="V65" s="1885">
        <f t="shared" si="55"/>
        <v>58155.3</v>
      </c>
      <c r="W65" s="2061">
        <f>+'[3]Oct midyear LA Virtual Admy'!E63</f>
        <v>6</v>
      </c>
      <c r="X65" s="1885">
        <f t="shared" si="39"/>
        <v>20525.400000000001</v>
      </c>
      <c r="Y65" s="1934">
        <f>'[3]Feb midyear LA Virtual Admy'!E63</f>
        <v>-9</v>
      </c>
      <c r="Z65" s="1885">
        <f t="shared" si="40"/>
        <v>-15394.050000000001</v>
      </c>
      <c r="AA65" s="1885">
        <f t="shared" si="41"/>
        <v>5131.3500000000004</v>
      </c>
      <c r="AB65" s="1885">
        <f t="shared" si="42"/>
        <v>63286.65</v>
      </c>
      <c r="AC65" s="1885">
        <f t="shared" si="43"/>
        <v>-158.21662499999999</v>
      </c>
      <c r="AD65" s="1885">
        <f t="shared" si="44"/>
        <v>63128.433375000001</v>
      </c>
      <c r="AE65" s="1884">
        <f>'[34]LAVCA Adjustment'!AB64+'[32]Oct midyear LA Virtual Admy'!P63+'[35]Feb midyear adj_LA virtual '!S65</f>
        <v>-6944.4000000000005</v>
      </c>
      <c r="AF65" s="1886">
        <f t="shared" si="45"/>
        <v>56184.033374999999</v>
      </c>
      <c r="AG65" s="1886">
        <f>'[4]Table 5C2 - LA Virtual Admy'!U63+'[27]Table 5C2 - LA Virtual Admy'!AH63+('[26]Table 5C2 - LA Virtual Admy'!AH63*6)</f>
        <v>54767</v>
      </c>
      <c r="AH65" s="1886">
        <f t="shared" si="46"/>
        <v>1417.0333749999991</v>
      </c>
      <c r="AI65" s="1886">
        <f t="shared" si="47"/>
        <v>354</v>
      </c>
      <c r="AJ65" s="1887">
        <f t="shared" si="48"/>
        <v>138691.97118825925</v>
      </c>
      <c r="AK65" s="1887">
        <f t="shared" si="49"/>
        <v>883</v>
      </c>
      <c r="AM65" s="2042">
        <f>-'[4]Table 5C2 - LA Virtual Admy'!Q63</f>
        <v>145</v>
      </c>
      <c r="AN65" s="2042">
        <f t="shared" si="50"/>
        <v>-158.21662499999999</v>
      </c>
      <c r="AO65" s="2042">
        <f t="shared" si="51"/>
        <v>-13.216624999999993</v>
      </c>
    </row>
    <row r="66" spans="1:41" s="533" customFormat="1" ht="17.25" customHeight="1">
      <c r="A66" s="101">
        <v>61</v>
      </c>
      <c r="B66" s="772" t="s">
        <v>151</v>
      </c>
      <c r="C66" s="1859">
        <f>'2-1-13 SIS'!J67</f>
        <v>6</v>
      </c>
      <c r="D66" s="1860">
        <f>'Table 3 Levels 1&amp;2'!AL68*90%</f>
        <v>2617.2310382405308</v>
      </c>
      <c r="E66" s="1860">
        <f t="shared" si="32"/>
        <v>15703.386229443186</v>
      </c>
      <c r="F66" s="1861">
        <f>'Table 4 Level 3'!P66*90%</f>
        <v>750.33899999999994</v>
      </c>
      <c r="G66" s="1861">
        <f t="shared" si="33"/>
        <v>4502.0339999999997</v>
      </c>
      <c r="H66" s="1861">
        <f t="shared" si="34"/>
        <v>20205.420229443185</v>
      </c>
      <c r="I66" s="1861">
        <f>(('Table 3 Levels 1&amp;2'!AL68-D66)+('Table 4 Level 3'!P66-F66))*C66</f>
        <v>2245.046692160352</v>
      </c>
      <c r="J66" s="1861">
        <f>+'[3]Oct midyear LA Virtual Admy'!K64</f>
        <v>3367.5700382405307</v>
      </c>
      <c r="K66" s="1861">
        <f>'[3]Feb midyear LA Virtual Admy'!K64</f>
        <v>-1683.7850191202654</v>
      </c>
      <c r="L66" s="1861">
        <f t="shared" si="35"/>
        <v>1683.7850191202654</v>
      </c>
      <c r="M66" s="1861">
        <f t="shared" si="52"/>
        <v>21889.205248563452</v>
      </c>
      <c r="N66" s="1861">
        <f t="shared" si="53"/>
        <v>-54.723013121408634</v>
      </c>
      <c r="O66" s="1862">
        <f t="shared" si="54"/>
        <v>21834.482235442043</v>
      </c>
      <c r="P66" s="1862">
        <f>'[34]LAVCA Adjustment'!X65++'[32]Oct midyear LA Virtual Admy'!K64+'[35]Feb midyear adj_LA virtual '!M66</f>
        <v>659.54993838885821</v>
      </c>
      <c r="Q66" s="1864">
        <f t="shared" si="36"/>
        <v>22494.032173830899</v>
      </c>
      <c r="R66" s="1888">
        <f>'[4]Table 5C2 - LA Virtual Admy'!N64+'[27]Table 5C2 - LA Virtual Admy'!V64+('[26]Table 5C2 - LA Virtual Admy'!V64*6)</f>
        <v>15889</v>
      </c>
      <c r="S66" s="1864">
        <f t="shared" si="37"/>
        <v>6605.0321738308994</v>
      </c>
      <c r="T66" s="1888">
        <f t="shared" si="38"/>
        <v>1651</v>
      </c>
      <c r="U66" s="1865">
        <f>'Table 5C1A-Madison Prep'!T68*90%</f>
        <v>5937.3</v>
      </c>
      <c r="V66" s="1866">
        <f t="shared" si="55"/>
        <v>35623.800000000003</v>
      </c>
      <c r="W66" s="2059">
        <f>+'[3]Oct midyear LA Virtual Admy'!E64</f>
        <v>1</v>
      </c>
      <c r="X66" s="1866">
        <f t="shared" si="39"/>
        <v>5937.3</v>
      </c>
      <c r="Y66" s="1932">
        <f>'[3]Feb midyear LA Virtual Admy'!E64</f>
        <v>-1</v>
      </c>
      <c r="Z66" s="1866">
        <f t="shared" si="40"/>
        <v>-2968.65</v>
      </c>
      <c r="AA66" s="1866">
        <f t="shared" si="41"/>
        <v>2968.65</v>
      </c>
      <c r="AB66" s="1866">
        <f t="shared" si="42"/>
        <v>38592.450000000004</v>
      </c>
      <c r="AC66" s="1866">
        <f t="shared" si="43"/>
        <v>-96.48112500000002</v>
      </c>
      <c r="AD66" s="1866">
        <f t="shared" si="44"/>
        <v>38495.968875000006</v>
      </c>
      <c r="AE66" s="1865">
        <f>'[34]LAVCA Adjustment'!AB65+'[32]Oct midyear LA Virtual Admy'!P64+'[35]Feb midyear adj_LA virtual '!S66</f>
        <v>5440.5</v>
      </c>
      <c r="AF66" s="1867">
        <f t="shared" si="45"/>
        <v>43936.468875000006</v>
      </c>
      <c r="AG66" s="1889">
        <f>'[4]Table 5C2 - LA Virtual Admy'!U64+'[27]Table 5C2 - LA Virtual Admy'!AH64+('[26]Table 5C2 - LA Virtual Admy'!AH64*6)</f>
        <v>30756</v>
      </c>
      <c r="AH66" s="1867">
        <f t="shared" si="46"/>
        <v>13180.468875000006</v>
      </c>
      <c r="AI66" s="1889">
        <f t="shared" si="47"/>
        <v>3295</v>
      </c>
      <c r="AJ66" s="1869">
        <f t="shared" si="48"/>
        <v>66430.501048830905</v>
      </c>
      <c r="AK66" s="1869">
        <f t="shared" si="49"/>
        <v>4946</v>
      </c>
      <c r="AM66" s="2042">
        <f>-'[4]Table 5C2 - LA Virtual Admy'!Q64</f>
        <v>89</v>
      </c>
      <c r="AN66" s="2042">
        <f t="shared" si="50"/>
        <v>-96.48112500000002</v>
      </c>
      <c r="AO66" s="2042">
        <f t="shared" si="51"/>
        <v>-7.48112500000002</v>
      </c>
    </row>
    <row r="67" spans="1:41" s="533" customFormat="1" ht="17.25" customHeight="1">
      <c r="A67" s="101">
        <v>62</v>
      </c>
      <c r="B67" s="772" t="s">
        <v>152</v>
      </c>
      <c r="C67" s="1870">
        <f>'2-1-13 SIS'!J68</f>
        <v>1</v>
      </c>
      <c r="D67" s="1871">
        <f>'Table 3 Levels 1&amp;2'!AL69*90%</f>
        <v>5086.9557663049882</v>
      </c>
      <c r="E67" s="1871">
        <f t="shared" si="32"/>
        <v>5086.9557663049882</v>
      </c>
      <c r="F67" s="1872">
        <f>'Table 4 Level 3'!P67*90%</f>
        <v>464.47200000000004</v>
      </c>
      <c r="G67" s="1872">
        <f t="shared" si="33"/>
        <v>464.47200000000004</v>
      </c>
      <c r="H67" s="1872">
        <f t="shared" si="34"/>
        <v>5551.4277663049879</v>
      </c>
      <c r="I67" s="1872">
        <f>(('Table 3 Levels 1&amp;2'!AL69-D67)+('Table 4 Level 3'!P67-F67))*C67</f>
        <v>616.82530736722106</v>
      </c>
      <c r="J67" s="1872">
        <f>+'[3]Oct midyear LA Virtual Admy'!K65</f>
        <v>27757.138831524939</v>
      </c>
      <c r="K67" s="1872">
        <f>'[3]Feb midyear LA Virtual Admy'!K65</f>
        <v>11102.855532609976</v>
      </c>
      <c r="L67" s="1872">
        <f t="shared" si="35"/>
        <v>38859.994364134916</v>
      </c>
      <c r="M67" s="1872">
        <f t="shared" si="52"/>
        <v>44411.422130439903</v>
      </c>
      <c r="N67" s="1872">
        <f t="shared" si="53"/>
        <v>-111.02855532609976</v>
      </c>
      <c r="O67" s="1873">
        <f t="shared" si="54"/>
        <v>44300.393575113805</v>
      </c>
      <c r="P67" s="1873">
        <f>'[34]LAVCA Adjustment'!X66++'[32]Oct midyear LA Virtual Admy'!K65+'[35]Feb midyear adj_LA virtual '!M67</f>
        <v>-2708.4619629907634</v>
      </c>
      <c r="Q67" s="1874">
        <f t="shared" si="36"/>
        <v>41591.931612123044</v>
      </c>
      <c r="R67" s="1874">
        <f>'[4]Table 5C2 - LA Virtual Admy'!N65+'[27]Table 5C2 - LA Virtual Admy'!V65+('[26]Table 5C2 - LA Virtual Admy'!V65*6)</f>
        <v>26149</v>
      </c>
      <c r="S67" s="1874">
        <f t="shared" si="37"/>
        <v>15442.931612123044</v>
      </c>
      <c r="T67" s="1874">
        <f t="shared" si="38"/>
        <v>3861</v>
      </c>
      <c r="U67" s="1875">
        <f>'Table 5C1A-Madison Prep'!T69*90%</f>
        <v>1798.2</v>
      </c>
      <c r="V67" s="1876">
        <f t="shared" si="55"/>
        <v>1798.2</v>
      </c>
      <c r="W67" s="2060">
        <f>+'[3]Oct midyear LA Virtual Admy'!E65</f>
        <v>5</v>
      </c>
      <c r="X67" s="1876">
        <f t="shared" si="39"/>
        <v>8991</v>
      </c>
      <c r="Y67" s="1933">
        <f>'[3]Feb midyear LA Virtual Admy'!E65</f>
        <v>4</v>
      </c>
      <c r="Z67" s="1876">
        <f t="shared" si="40"/>
        <v>3596.4</v>
      </c>
      <c r="AA67" s="1876">
        <f t="shared" si="41"/>
        <v>12587.4</v>
      </c>
      <c r="AB67" s="1876">
        <f t="shared" si="42"/>
        <v>14385.6</v>
      </c>
      <c r="AC67" s="1876">
        <f t="shared" si="43"/>
        <v>-35.963999999999999</v>
      </c>
      <c r="AD67" s="1876">
        <f t="shared" si="44"/>
        <v>14349.636</v>
      </c>
      <c r="AE67" s="1875">
        <f>'[34]LAVCA Adjustment'!AB66+'[32]Oct midyear LA Virtual Admy'!P65+'[35]Feb midyear adj_LA virtual '!S67</f>
        <v>-756.45</v>
      </c>
      <c r="AF67" s="1877">
        <f t="shared" si="45"/>
        <v>13593.186</v>
      </c>
      <c r="AG67" s="1877">
        <f>'[4]Table 5C2 - LA Virtual Admy'!U65+'[27]Table 5C2 - LA Virtual Admy'!AH65+('[26]Table 5C2 - LA Virtual Admy'!AH65*6)</f>
        <v>8261</v>
      </c>
      <c r="AH67" s="1877">
        <f t="shared" si="46"/>
        <v>5332.1859999999997</v>
      </c>
      <c r="AI67" s="1877">
        <f t="shared" si="47"/>
        <v>1333</v>
      </c>
      <c r="AJ67" s="1878">
        <f t="shared" si="48"/>
        <v>55185.117612123046</v>
      </c>
      <c r="AK67" s="1878">
        <f t="shared" si="49"/>
        <v>5194</v>
      </c>
      <c r="AM67" s="2042">
        <f>-'[4]Table 5C2 - LA Virtual Admy'!Q65</f>
        <v>4</v>
      </c>
      <c r="AN67" s="2042">
        <f t="shared" si="50"/>
        <v>-35.963999999999999</v>
      </c>
      <c r="AO67" s="2042">
        <f t="shared" si="51"/>
        <v>-31.963999999999999</v>
      </c>
    </row>
    <row r="68" spans="1:41" s="533" customFormat="1" ht="17.25" customHeight="1">
      <c r="A68" s="101">
        <v>63</v>
      </c>
      <c r="B68" s="772" t="s">
        <v>153</v>
      </c>
      <c r="C68" s="1870">
        <f>'2-1-13 SIS'!J69</f>
        <v>0</v>
      </c>
      <c r="D68" s="1871">
        <f>'Table 3 Levels 1&amp;2'!AL70*90%</f>
        <v>3926.0706784293629</v>
      </c>
      <c r="E68" s="1871">
        <f t="shared" si="32"/>
        <v>0</v>
      </c>
      <c r="F68" s="1872">
        <f>'Table 4 Level 3'!P68*90%</f>
        <v>681.11099999999999</v>
      </c>
      <c r="G68" s="1872">
        <f t="shared" si="33"/>
        <v>0</v>
      </c>
      <c r="H68" s="1872">
        <f t="shared" si="34"/>
        <v>0</v>
      </c>
      <c r="I68" s="1872">
        <f>(('Table 3 Levels 1&amp;2'!AL70-D68)+('Table 4 Level 3'!P68-F68))*C68</f>
        <v>0</v>
      </c>
      <c r="J68" s="1872">
        <f>+'[3]Oct midyear LA Virtual Admy'!K66</f>
        <v>13821.545035288091</v>
      </c>
      <c r="K68" s="1872">
        <f>'[3]Feb midyear LA Virtual Admy'!K66</f>
        <v>0</v>
      </c>
      <c r="L68" s="1872">
        <f t="shared" si="35"/>
        <v>13821.545035288091</v>
      </c>
      <c r="M68" s="1872">
        <f t="shared" si="52"/>
        <v>13821.545035288091</v>
      </c>
      <c r="N68" s="1872">
        <f t="shared" si="53"/>
        <v>-34.553862588220227</v>
      </c>
      <c r="O68" s="1873">
        <f t="shared" si="54"/>
        <v>13786.991172699871</v>
      </c>
      <c r="P68" s="1873">
        <f>'[34]LAVCA Adjustment'!X67++'[32]Oct midyear LA Virtual Admy'!K66+'[35]Feb midyear adj_LA virtual '!M68</f>
        <v>-13509.784000925216</v>
      </c>
      <c r="Q68" s="1874">
        <f t="shared" si="36"/>
        <v>277.20717177465485</v>
      </c>
      <c r="R68" s="1874">
        <f>'[4]Table 5C2 - LA Virtual Admy'!N66+'[27]Table 5C2 - LA Virtual Admy'!V66+('[26]Table 5C2 - LA Virtual Admy'!V66*6)</f>
        <v>2358</v>
      </c>
      <c r="S68" s="1874">
        <f t="shared" si="37"/>
        <v>-2080.7928282253451</v>
      </c>
      <c r="T68" s="1874">
        <f t="shared" si="38"/>
        <v>-520</v>
      </c>
      <c r="U68" s="1875">
        <f>'Table 5C1A-Madison Prep'!T70*90%</f>
        <v>6651.9000000000005</v>
      </c>
      <c r="V68" s="1876">
        <f t="shared" si="55"/>
        <v>0</v>
      </c>
      <c r="W68" s="2060">
        <f>+'[3]Oct midyear LA Virtual Admy'!E66</f>
        <v>3</v>
      </c>
      <c r="X68" s="1876">
        <f t="shared" si="39"/>
        <v>19955.7</v>
      </c>
      <c r="Y68" s="1933">
        <f>'[3]Feb midyear LA Virtual Admy'!E66</f>
        <v>0</v>
      </c>
      <c r="Z68" s="1876">
        <f t="shared" si="40"/>
        <v>0</v>
      </c>
      <c r="AA68" s="1876">
        <f t="shared" si="41"/>
        <v>19955.7</v>
      </c>
      <c r="AB68" s="1876">
        <f t="shared" si="42"/>
        <v>19955.7</v>
      </c>
      <c r="AC68" s="1876">
        <f t="shared" si="43"/>
        <v>-49.889250000000004</v>
      </c>
      <c r="AD68" s="1876">
        <f t="shared" si="44"/>
        <v>19905.810750000001</v>
      </c>
      <c r="AE68" s="1875">
        <f>'[34]LAVCA Adjustment'!AB67+'[32]Oct midyear LA Virtual Admy'!P66+'[35]Feb midyear adj_LA virtual '!S68</f>
        <v>-18848.7</v>
      </c>
      <c r="AF68" s="1877">
        <f t="shared" si="45"/>
        <v>1057.1107499999998</v>
      </c>
      <c r="AG68" s="1877">
        <f>'[4]Table 5C2 - LA Virtual Admy'!U66+'[27]Table 5C2 - LA Virtual Admy'!AH66+('[26]Table 5C2 - LA Virtual Admy'!AH66*6)</f>
        <v>3066</v>
      </c>
      <c r="AH68" s="1877">
        <f t="shared" si="46"/>
        <v>-2008.8892500000002</v>
      </c>
      <c r="AI68" s="1877">
        <f t="shared" si="47"/>
        <v>-502</v>
      </c>
      <c r="AJ68" s="1878">
        <f t="shared" si="48"/>
        <v>1334.3179217746547</v>
      </c>
      <c r="AK68" s="1878">
        <f t="shared" si="49"/>
        <v>-1022</v>
      </c>
      <c r="AM68" s="2042">
        <f>-'[4]Table 5C2 - LA Virtual Admy'!Q66</f>
        <v>0</v>
      </c>
      <c r="AN68" s="2042">
        <f t="shared" si="50"/>
        <v>-49.889250000000004</v>
      </c>
      <c r="AO68" s="2042">
        <f t="shared" si="51"/>
        <v>-49.889250000000004</v>
      </c>
    </row>
    <row r="69" spans="1:41" s="533" customFormat="1" ht="17.25" customHeight="1">
      <c r="A69" s="101">
        <v>64</v>
      </c>
      <c r="B69" s="772" t="s">
        <v>154</v>
      </c>
      <c r="C69" s="1870">
        <f>'2-1-13 SIS'!J70</f>
        <v>1</v>
      </c>
      <c r="D69" s="1871">
        <f>'Table 3 Levels 1&amp;2'!AL71*90%</f>
        <v>5364.1844164803006</v>
      </c>
      <c r="E69" s="1871">
        <f t="shared" si="32"/>
        <v>5364.1844164803006</v>
      </c>
      <c r="F69" s="1872">
        <f>'Table 4 Level 3'!P69*90%</f>
        <v>533.39400000000001</v>
      </c>
      <c r="G69" s="1872">
        <f t="shared" si="33"/>
        <v>533.39400000000001</v>
      </c>
      <c r="H69" s="1872">
        <f t="shared" si="34"/>
        <v>5897.5784164803008</v>
      </c>
      <c r="I69" s="1872">
        <f>(('Table 3 Levels 1&amp;2'!AL71-D69)+('Table 4 Level 3'!P69-F69))*C69</f>
        <v>655.28649072003316</v>
      </c>
      <c r="J69" s="1872">
        <f>+'[3]Oct midyear LA Virtual Admy'!K67</f>
        <v>17692.735249440902</v>
      </c>
      <c r="K69" s="1872">
        <f>'[3]Feb midyear LA Virtual Admy'!K67</f>
        <v>2948.7892082401504</v>
      </c>
      <c r="L69" s="1872">
        <f t="shared" si="35"/>
        <v>20641.524457681051</v>
      </c>
      <c r="M69" s="1872">
        <f t="shared" si="52"/>
        <v>26539.102874161352</v>
      </c>
      <c r="N69" s="1872">
        <f t="shared" si="53"/>
        <v>-66.347757185403381</v>
      </c>
      <c r="O69" s="1873">
        <f t="shared" si="54"/>
        <v>26472.75511697595</v>
      </c>
      <c r="P69" s="1873">
        <f>'[34]LAVCA Adjustment'!X68++'[32]Oct midyear LA Virtual Admy'!K67+'[35]Feb midyear adj_LA virtual '!M69</f>
        <v>0</v>
      </c>
      <c r="Q69" s="1874">
        <f t="shared" si="36"/>
        <v>26472.75511697595</v>
      </c>
      <c r="R69" s="1874">
        <f>'[4]Table 5C2 - LA Virtual Admy'!N67+'[27]Table 5C2 - LA Virtual Admy'!V67+('[26]Table 5C2 - LA Virtual Admy'!V67*6)</f>
        <v>14727</v>
      </c>
      <c r="S69" s="1874">
        <f t="shared" si="37"/>
        <v>11745.75511697595</v>
      </c>
      <c r="T69" s="1874">
        <f t="shared" si="38"/>
        <v>2936</v>
      </c>
      <c r="U69" s="1875">
        <f>'Table 5C1A-Madison Prep'!T71*90%</f>
        <v>2611.8000000000002</v>
      </c>
      <c r="V69" s="1876">
        <f t="shared" si="55"/>
        <v>2611.8000000000002</v>
      </c>
      <c r="W69" s="2060">
        <f>+'[3]Oct midyear LA Virtual Admy'!E67</f>
        <v>3</v>
      </c>
      <c r="X69" s="1876">
        <f t="shared" si="39"/>
        <v>7835.4000000000005</v>
      </c>
      <c r="Y69" s="1933">
        <f>'[3]Feb midyear LA Virtual Admy'!E67</f>
        <v>1</v>
      </c>
      <c r="Z69" s="1876">
        <f t="shared" si="40"/>
        <v>1305.9000000000001</v>
      </c>
      <c r="AA69" s="1876">
        <f t="shared" si="41"/>
        <v>9141.3000000000011</v>
      </c>
      <c r="AB69" s="1876">
        <f t="shared" si="42"/>
        <v>11753.100000000002</v>
      </c>
      <c r="AC69" s="1876">
        <f t="shared" si="43"/>
        <v>-29.382750000000005</v>
      </c>
      <c r="AD69" s="1876">
        <f t="shared" si="44"/>
        <v>11723.717250000002</v>
      </c>
      <c r="AE69" s="1875">
        <f>'[34]LAVCA Adjustment'!AB68+'[32]Oct midyear LA Virtual Admy'!P67+'[35]Feb midyear adj_LA virtual '!S69</f>
        <v>0</v>
      </c>
      <c r="AF69" s="1877">
        <f t="shared" si="45"/>
        <v>11723.717250000002</v>
      </c>
      <c r="AG69" s="1877">
        <f>'[4]Table 5C2 - LA Virtual Admy'!U67+'[27]Table 5C2 - LA Virtual Admy'!AH67+('[26]Table 5C2 - LA Virtual Admy'!AH67*6)</f>
        <v>6521</v>
      </c>
      <c r="AH69" s="1877">
        <f t="shared" si="46"/>
        <v>5202.7172500000015</v>
      </c>
      <c r="AI69" s="1877">
        <f t="shared" si="47"/>
        <v>1301</v>
      </c>
      <c r="AJ69" s="1878">
        <f t="shared" si="48"/>
        <v>38196.472366975955</v>
      </c>
      <c r="AK69" s="1878">
        <f t="shared" si="49"/>
        <v>4237</v>
      </c>
      <c r="AM69" s="2042">
        <f>-'[4]Table 5C2 - LA Virtual Admy'!Q67</f>
        <v>7</v>
      </c>
      <c r="AN69" s="2042">
        <f t="shared" si="50"/>
        <v>-29.382750000000005</v>
      </c>
      <c r="AO69" s="2042">
        <f t="shared" si="51"/>
        <v>-22.382750000000005</v>
      </c>
    </row>
    <row r="70" spans="1:41" s="533" customFormat="1" ht="17.25" customHeight="1">
      <c r="A70" s="102">
        <v>65</v>
      </c>
      <c r="B70" s="773" t="s">
        <v>155</v>
      </c>
      <c r="C70" s="1879">
        <f>'2-1-13 SIS'!J71</f>
        <v>0</v>
      </c>
      <c r="D70" s="1880">
        <f>'Table 3 Levels 1&amp;2'!AL72*90%</f>
        <v>4121.3495072796013</v>
      </c>
      <c r="E70" s="1880">
        <f t="shared" si="32"/>
        <v>0</v>
      </c>
      <c r="F70" s="1881">
        <f>'Table 4 Level 3'!P70*90%</f>
        <v>746.20799999999997</v>
      </c>
      <c r="G70" s="1881">
        <f t="shared" si="33"/>
        <v>0</v>
      </c>
      <c r="H70" s="1881">
        <f t="shared" si="34"/>
        <v>0</v>
      </c>
      <c r="I70" s="1881">
        <f>(('Table 3 Levels 1&amp;2'!AL72-D70)+('Table 4 Level 3'!P70-F70))*C70</f>
        <v>0</v>
      </c>
      <c r="J70" s="1881">
        <f>+'[3]Oct midyear LA Virtual Admy'!K68</f>
        <v>0</v>
      </c>
      <c r="K70" s="1881">
        <f>'[3]Feb midyear LA Virtual Admy'!K68</f>
        <v>0</v>
      </c>
      <c r="L70" s="1881">
        <f t="shared" si="35"/>
        <v>0</v>
      </c>
      <c r="M70" s="1881">
        <f t="shared" ref="M70:M74" si="56">H70+L70</f>
        <v>0</v>
      </c>
      <c r="N70" s="1881">
        <f t="shared" ref="N70:N74" si="57">-0.25%*M70</f>
        <v>0</v>
      </c>
      <c r="O70" s="1882">
        <f t="shared" ref="O70:O74" si="58">M70+N70</f>
        <v>0</v>
      </c>
      <c r="P70" s="1882">
        <f>'[34]LAVCA Adjustment'!X69++'[32]Oct midyear LA Virtual Admy'!K68+'[35]Feb midyear adj_LA virtual '!M70</f>
        <v>-9608.6961131163589</v>
      </c>
      <c r="Q70" s="1883">
        <f t="shared" si="36"/>
        <v>-9608.6961131163589</v>
      </c>
      <c r="R70" s="1883">
        <f>'[4]Table 5C2 - LA Virtual Admy'!N68+'[27]Table 5C2 - LA Virtual Admy'!V68+('[26]Table 5C2 - LA Virtual Admy'!V68*6)</f>
        <v>20693</v>
      </c>
      <c r="S70" s="1883">
        <f t="shared" si="37"/>
        <v>-30301.696113116359</v>
      </c>
      <c r="T70" s="1883">
        <f t="shared" si="38"/>
        <v>-7575</v>
      </c>
      <c r="U70" s="1884">
        <f>'Table 5C1A-Madison Prep'!T72*90%</f>
        <v>4340.7</v>
      </c>
      <c r="V70" s="1885">
        <f t="shared" ref="V70:V74" si="59">U70*C70</f>
        <v>0</v>
      </c>
      <c r="W70" s="2061">
        <f>+'[3]Oct midyear LA Virtual Admy'!E68</f>
        <v>0</v>
      </c>
      <c r="X70" s="1885">
        <f t="shared" si="39"/>
        <v>0</v>
      </c>
      <c r="Y70" s="1934">
        <f>'[3]Feb midyear LA Virtual Admy'!E68</f>
        <v>0</v>
      </c>
      <c r="Z70" s="1885">
        <f t="shared" si="40"/>
        <v>0</v>
      </c>
      <c r="AA70" s="1885">
        <f t="shared" si="41"/>
        <v>0</v>
      </c>
      <c r="AB70" s="1885">
        <f t="shared" si="42"/>
        <v>0</v>
      </c>
      <c r="AC70" s="1885">
        <f t="shared" si="43"/>
        <v>0</v>
      </c>
      <c r="AD70" s="1885">
        <f t="shared" si="44"/>
        <v>0</v>
      </c>
      <c r="AE70" s="1884">
        <f>'[34]LAVCA Adjustment'!AB69+'[32]Oct midyear LA Virtual Admy'!P68+'[35]Feb midyear adj_LA virtual '!S70</f>
        <v>-8415</v>
      </c>
      <c r="AF70" s="1886">
        <f t="shared" si="45"/>
        <v>-8415</v>
      </c>
      <c r="AG70" s="1886">
        <f>'[4]Table 5C2 - LA Virtual Admy'!U68+'[27]Table 5C2 - LA Virtual Admy'!AH68+('[26]Table 5C2 - LA Virtual Admy'!AH68*6)</f>
        <v>19448</v>
      </c>
      <c r="AH70" s="1886">
        <f t="shared" si="46"/>
        <v>-27863</v>
      </c>
      <c r="AI70" s="1886">
        <f t="shared" si="47"/>
        <v>-6966</v>
      </c>
      <c r="AJ70" s="1887">
        <f t="shared" si="48"/>
        <v>-18023.696113116359</v>
      </c>
      <c r="AK70" s="1887">
        <f t="shared" si="49"/>
        <v>-14541</v>
      </c>
      <c r="AM70" s="2042">
        <f>-'[4]Table 5C2 - LA Virtual Admy'!Q68</f>
        <v>0</v>
      </c>
      <c r="AN70" s="2042">
        <f t="shared" si="50"/>
        <v>0</v>
      </c>
      <c r="AO70" s="2042">
        <f t="shared" si="51"/>
        <v>0</v>
      </c>
    </row>
    <row r="71" spans="1:41" s="533" customFormat="1" ht="17.25" customHeight="1">
      <c r="A71" s="101">
        <v>66</v>
      </c>
      <c r="B71" s="772" t="s">
        <v>156</v>
      </c>
      <c r="C71" s="1859">
        <f>'2-1-13 SIS'!J72</f>
        <v>3</v>
      </c>
      <c r="D71" s="1860">
        <f>'Table 3 Levels 1&amp;2'!AL73*90%</f>
        <v>5733.7297376142224</v>
      </c>
      <c r="E71" s="1860">
        <f t="shared" ref="E71:E74" si="60">C71*D71</f>
        <v>17201.189212842666</v>
      </c>
      <c r="F71" s="1861">
        <f>'Table 4 Level 3'!P71*90%</f>
        <v>657.05399999999997</v>
      </c>
      <c r="G71" s="1861">
        <f t="shared" ref="G71:G74" si="61">F71*C71</f>
        <v>1971.1619999999998</v>
      </c>
      <c r="H71" s="1861">
        <f t="shared" ref="H71:H74" si="62">E71+G71</f>
        <v>19172.351212842666</v>
      </c>
      <c r="I71" s="1861">
        <f>(('Table 3 Levels 1&amp;2'!AL73-D71)+('Table 4 Level 3'!P71-F71))*C71</f>
        <v>2130.2612458714084</v>
      </c>
      <c r="J71" s="1861">
        <f>+'[3]Oct midyear LA Virtual Admy'!K69</f>
        <v>6390.7837376142224</v>
      </c>
      <c r="K71" s="1861">
        <f>'[3]Feb midyear LA Virtual Admy'!K69</f>
        <v>35149.310556878227</v>
      </c>
      <c r="L71" s="1861">
        <f t="shared" ref="L71:L74" si="63">+J71+K71</f>
        <v>41540.094294492446</v>
      </c>
      <c r="M71" s="1861">
        <f t="shared" si="56"/>
        <v>60712.445507335113</v>
      </c>
      <c r="N71" s="1861">
        <f t="shared" si="57"/>
        <v>-151.78111376833778</v>
      </c>
      <c r="O71" s="1862">
        <f t="shared" si="58"/>
        <v>60560.664393566774</v>
      </c>
      <c r="P71" s="1862">
        <f>'[34]LAVCA Adjustment'!X70++'[32]Oct midyear LA Virtual Admy'!K69+'[35]Feb midyear adj_LA virtual '!M71</f>
        <v>-10273.176567506785</v>
      </c>
      <c r="Q71" s="1864">
        <f t="shared" ref="Q71:Q74" si="64">SUM(O71:P71)</f>
        <v>50287.487826059987</v>
      </c>
      <c r="R71" s="1888">
        <f>'[4]Table 5C2 - LA Virtual Admy'!N69+'[27]Table 5C2 - LA Virtual Admy'!V69+('[26]Table 5C2 - LA Virtual Admy'!V69*6)</f>
        <v>17839</v>
      </c>
      <c r="S71" s="1864">
        <f t="shared" ref="S71:S74" si="65">Q71-R71</f>
        <v>32448.487826059987</v>
      </c>
      <c r="T71" s="1888">
        <f t="shared" ref="T71:T74" si="66">ROUND(S71/4,0)</f>
        <v>8112</v>
      </c>
      <c r="U71" s="1865">
        <f>'Table 5C1A-Madison Prep'!T73*90%</f>
        <v>3171.6</v>
      </c>
      <c r="V71" s="1866">
        <f t="shared" si="59"/>
        <v>9514.7999999999993</v>
      </c>
      <c r="W71" s="2059">
        <f>+'[3]Oct midyear LA Virtual Admy'!E69</f>
        <v>1</v>
      </c>
      <c r="X71" s="1866">
        <f t="shared" ref="X71:X74" si="67">W71*U71</f>
        <v>3171.6</v>
      </c>
      <c r="Y71" s="1932">
        <f>'[3]Feb midyear LA Virtual Admy'!E69</f>
        <v>11</v>
      </c>
      <c r="Z71" s="1866">
        <f t="shared" ref="Z71:Z74" si="68">(U71*Y71)*0.5</f>
        <v>17443.8</v>
      </c>
      <c r="AA71" s="1866">
        <f t="shared" ref="AA71:AA74" si="69">+X71+Z71</f>
        <v>20615.399999999998</v>
      </c>
      <c r="AB71" s="1866">
        <f t="shared" ref="AB71:AB74" si="70">AA71+V71</f>
        <v>30130.199999999997</v>
      </c>
      <c r="AC71" s="1866">
        <f t="shared" ref="AC71:AC74" si="71">AB71*-0.25%</f>
        <v>-75.325499999999991</v>
      </c>
      <c r="AD71" s="1866">
        <f t="shared" ref="AD71:AD74" si="72">SUM(AB71:AC71)</f>
        <v>30054.874499999998</v>
      </c>
      <c r="AE71" s="1865">
        <f>'[34]LAVCA Adjustment'!AB70+'[32]Oct midyear LA Virtual Admy'!P69+'[35]Feb midyear adj_LA virtual '!S71</f>
        <v>-1542.6000000000001</v>
      </c>
      <c r="AF71" s="1867">
        <f t="shared" ref="AF71:AF74" si="73">SUM(AD71:AE71)</f>
        <v>28512.2745</v>
      </c>
      <c r="AG71" s="1889">
        <f>'[4]Table 5C2 - LA Virtual Admy'!U69+'[27]Table 5C2 - LA Virtual Admy'!AH69+('[26]Table 5C2 - LA Virtual Admy'!AH69*6)</f>
        <v>10845</v>
      </c>
      <c r="AH71" s="1867">
        <f t="shared" ref="AH71:AH74" si="74">AF71-AG71</f>
        <v>17667.2745</v>
      </c>
      <c r="AI71" s="1889">
        <f t="shared" ref="AI71:AI74" si="75">ROUND(AH71/4,0)</f>
        <v>4417</v>
      </c>
      <c r="AJ71" s="1869">
        <f t="shared" ref="AJ71:AJ74" si="76">AF71+Q71</f>
        <v>78799.762326059979</v>
      </c>
      <c r="AK71" s="1869">
        <f t="shared" ref="AK71:AK74" si="77">T71+AI71</f>
        <v>12529</v>
      </c>
      <c r="AM71" s="2042">
        <f>-'[4]Table 5C2 - LA Virtual Admy'!Q69</f>
        <v>23</v>
      </c>
      <c r="AN71" s="2042">
        <f t="shared" ref="AN71:AN74" si="78">AC71</f>
        <v>-75.325499999999991</v>
      </c>
      <c r="AO71" s="2042">
        <f t="shared" ref="AO71:AO74" si="79">SUM(AM71:AN71)</f>
        <v>-52.325499999999991</v>
      </c>
    </row>
    <row r="72" spans="1:41" s="533" customFormat="1" ht="17.25" customHeight="1">
      <c r="A72" s="101">
        <v>67</v>
      </c>
      <c r="B72" s="772" t="s">
        <v>32</v>
      </c>
      <c r="C72" s="1870">
        <f>'2-1-13 SIS'!J73</f>
        <v>1</v>
      </c>
      <c r="D72" s="1871">
        <f>'Table 3 Levels 1&amp;2'!AL74*90%</f>
        <v>4456.4408938895622</v>
      </c>
      <c r="E72" s="1871">
        <f t="shared" si="60"/>
        <v>4456.4408938895622</v>
      </c>
      <c r="F72" s="1872">
        <f>'Table 4 Level 3'!P72*90%</f>
        <v>644.04899999999998</v>
      </c>
      <c r="G72" s="1872">
        <f t="shared" si="61"/>
        <v>644.04899999999998</v>
      </c>
      <c r="H72" s="1872">
        <f t="shared" si="62"/>
        <v>5100.4898938895622</v>
      </c>
      <c r="I72" s="1872">
        <f>(('Table 3 Levels 1&amp;2'!AL74-D72)+('Table 4 Level 3'!P72-F72))*C72</f>
        <v>566.7210993210623</v>
      </c>
      <c r="J72" s="1872">
        <f>+'[3]Oct midyear LA Virtual Admy'!K70</f>
        <v>5100.4898938895622</v>
      </c>
      <c r="K72" s="1872">
        <f>'[3]Feb midyear LA Virtual Admy'!K70</f>
        <v>5100.4898938895622</v>
      </c>
      <c r="L72" s="1872">
        <f t="shared" si="63"/>
        <v>10200.979787779124</v>
      </c>
      <c r="M72" s="1872">
        <f t="shared" si="56"/>
        <v>15301.469681668686</v>
      </c>
      <c r="N72" s="1872">
        <f t="shared" si="57"/>
        <v>-38.253674204171716</v>
      </c>
      <c r="O72" s="1873">
        <f t="shared" si="58"/>
        <v>15263.216007464514</v>
      </c>
      <c r="P72" s="1873">
        <f>'[34]LAVCA Adjustment'!X71++'[32]Oct midyear LA Virtual Admy'!K70+'[35]Feb midyear adj_LA virtual '!M72</f>
        <v>-5142.0204675875975</v>
      </c>
      <c r="Q72" s="1874">
        <f t="shared" si="64"/>
        <v>10121.195539876917</v>
      </c>
      <c r="R72" s="1874">
        <f>'[4]Table 5C2 - LA Virtual Admy'!N70+'[27]Table 5C2 - LA Virtual Admy'!V70+('[26]Table 5C2 - LA Virtual Admy'!V70*6)</f>
        <v>520</v>
      </c>
      <c r="S72" s="1874">
        <f t="shared" si="65"/>
        <v>9601.1955398769169</v>
      </c>
      <c r="T72" s="1874">
        <f t="shared" si="66"/>
        <v>2400</v>
      </c>
      <c r="U72" s="1875">
        <f>'Table 5C1A-Madison Prep'!T74*90%</f>
        <v>4506.3</v>
      </c>
      <c r="V72" s="1876">
        <f t="shared" si="59"/>
        <v>4506.3</v>
      </c>
      <c r="W72" s="2060">
        <f>+'[3]Oct midyear LA Virtual Admy'!E70</f>
        <v>1</v>
      </c>
      <c r="X72" s="1876">
        <f t="shared" si="67"/>
        <v>4506.3</v>
      </c>
      <c r="Y72" s="1933">
        <f>'[3]Feb midyear LA Virtual Admy'!E70</f>
        <v>2</v>
      </c>
      <c r="Z72" s="1876">
        <f t="shared" si="68"/>
        <v>4506.3</v>
      </c>
      <c r="AA72" s="1876">
        <f t="shared" si="69"/>
        <v>9012.6</v>
      </c>
      <c r="AB72" s="1876">
        <f t="shared" si="70"/>
        <v>13518.900000000001</v>
      </c>
      <c r="AC72" s="1876">
        <f t="shared" si="71"/>
        <v>-33.797250000000005</v>
      </c>
      <c r="AD72" s="1876">
        <f t="shared" si="72"/>
        <v>13485.102750000002</v>
      </c>
      <c r="AE72" s="1875">
        <f>'[34]LAVCA Adjustment'!AB71+'[32]Oct midyear LA Virtual Admy'!P70+'[35]Feb midyear adj_LA virtual '!S72</f>
        <v>-3922.2000000000003</v>
      </c>
      <c r="AF72" s="1877">
        <f t="shared" si="73"/>
        <v>9562.9027500000011</v>
      </c>
      <c r="AG72" s="1877">
        <f>'[4]Table 5C2 - LA Virtual Admy'!U70+'[27]Table 5C2 - LA Virtual Admy'!AH70+('[26]Table 5C2 - LA Virtual Admy'!AH70*6)</f>
        <v>1022</v>
      </c>
      <c r="AH72" s="1877">
        <f t="shared" si="74"/>
        <v>8540.9027500000011</v>
      </c>
      <c r="AI72" s="1877">
        <f t="shared" si="75"/>
        <v>2135</v>
      </c>
      <c r="AJ72" s="1878">
        <f t="shared" si="76"/>
        <v>19684.098289876918</v>
      </c>
      <c r="AK72" s="1878">
        <f t="shared" si="77"/>
        <v>4535</v>
      </c>
      <c r="AM72" s="2042">
        <f>-'[4]Table 5C2 - LA Virtual Admy'!Q70</f>
        <v>12</v>
      </c>
      <c r="AN72" s="2042">
        <f t="shared" si="78"/>
        <v>-33.797250000000005</v>
      </c>
      <c r="AO72" s="2042">
        <f t="shared" si="79"/>
        <v>-21.797250000000005</v>
      </c>
    </row>
    <row r="73" spans="1:41" s="533" customFormat="1" ht="17.25" customHeight="1">
      <c r="A73" s="101">
        <v>68</v>
      </c>
      <c r="B73" s="772" t="s">
        <v>30</v>
      </c>
      <c r="C73" s="1870">
        <f>'2-1-13 SIS'!J74</f>
        <v>3</v>
      </c>
      <c r="D73" s="1871">
        <f>'Table 3 Levels 1&amp;2'!AL75*90%</f>
        <v>5469.5158860329057</v>
      </c>
      <c r="E73" s="1871">
        <f t="shared" si="60"/>
        <v>16408.547658098716</v>
      </c>
      <c r="F73" s="1872">
        <f>'Table 4 Level 3'!P73*90%</f>
        <v>718.83</v>
      </c>
      <c r="G73" s="1872">
        <f t="shared" si="61"/>
        <v>2156.4900000000002</v>
      </c>
      <c r="H73" s="1872">
        <f t="shared" si="62"/>
        <v>18565.037658098718</v>
      </c>
      <c r="I73" s="1872">
        <f>(('Table 3 Levels 1&amp;2'!AL75-D73)+('Table 4 Level 3'!P73-F73))*C73</f>
        <v>2062.7819620109672</v>
      </c>
      <c r="J73" s="1872">
        <f>+'[3]Oct midyear LA Virtual Admy'!K71</f>
        <v>6188.3458860329056</v>
      </c>
      <c r="K73" s="1872">
        <f>'[3]Feb midyear LA Virtual Admy'!K71</f>
        <v>3094.1729430164528</v>
      </c>
      <c r="L73" s="1872">
        <f t="shared" si="63"/>
        <v>9282.5188290493588</v>
      </c>
      <c r="M73" s="1872">
        <f t="shared" si="56"/>
        <v>27847.556487148075</v>
      </c>
      <c r="N73" s="1872">
        <f t="shared" si="57"/>
        <v>-69.618891217870186</v>
      </c>
      <c r="O73" s="1873">
        <f t="shared" si="58"/>
        <v>27777.937595930205</v>
      </c>
      <c r="P73" s="1873">
        <f>'[34]LAVCA Adjustment'!X72++'[32]Oct midyear LA Virtual Admy'!K71+'[35]Feb midyear adj_LA virtual '!M73</f>
        <v>-2995.0170228479201</v>
      </c>
      <c r="Q73" s="1874">
        <f t="shared" si="64"/>
        <v>24782.920573082287</v>
      </c>
      <c r="R73" s="1874">
        <f>'[4]Table 5C2 - LA Virtual Admy'!N71+'[27]Table 5C2 - LA Virtual Admy'!V71+('[26]Table 5C2 - LA Virtual Admy'!V71*6)</f>
        <v>18656</v>
      </c>
      <c r="S73" s="1874">
        <f t="shared" si="65"/>
        <v>6126.9205730822869</v>
      </c>
      <c r="T73" s="1874">
        <f t="shared" si="66"/>
        <v>1532</v>
      </c>
      <c r="U73" s="1875">
        <f>'Table 5C1A-Madison Prep'!T75*90%</f>
        <v>2634.3</v>
      </c>
      <c r="V73" s="1876">
        <f t="shared" si="59"/>
        <v>7902.9000000000005</v>
      </c>
      <c r="W73" s="2060">
        <f>+'[3]Oct midyear LA Virtual Admy'!E71</f>
        <v>1</v>
      </c>
      <c r="X73" s="1876">
        <f t="shared" si="67"/>
        <v>2634.3</v>
      </c>
      <c r="Y73" s="1933">
        <f>'[3]Feb midyear LA Virtual Admy'!E71</f>
        <v>1</v>
      </c>
      <c r="Z73" s="1876">
        <f t="shared" si="68"/>
        <v>1317.15</v>
      </c>
      <c r="AA73" s="1876">
        <f t="shared" si="69"/>
        <v>3951.4500000000003</v>
      </c>
      <c r="AB73" s="1876">
        <f t="shared" si="70"/>
        <v>11854.35</v>
      </c>
      <c r="AC73" s="1876">
        <f t="shared" si="71"/>
        <v>-29.635875000000002</v>
      </c>
      <c r="AD73" s="1876">
        <f t="shared" si="72"/>
        <v>11824.714125</v>
      </c>
      <c r="AE73" s="1875">
        <f>'[34]LAVCA Adjustment'!AB72+'[32]Oct midyear LA Virtual Admy'!P71+'[35]Feb midyear adj_LA virtual '!S73</f>
        <v>-1305</v>
      </c>
      <c r="AF73" s="1877">
        <f t="shared" si="73"/>
        <v>10519.714125</v>
      </c>
      <c r="AG73" s="1877">
        <f>'[4]Table 5C2 - LA Virtual Admy'!U71+'[27]Table 5C2 - LA Virtual Admy'!AH71+('[26]Table 5C2 - LA Virtual Admy'!AH71*6)</f>
        <v>7177</v>
      </c>
      <c r="AH73" s="1877">
        <f t="shared" si="74"/>
        <v>3342.7141250000004</v>
      </c>
      <c r="AI73" s="1877">
        <f t="shared" si="75"/>
        <v>836</v>
      </c>
      <c r="AJ73" s="1878">
        <f t="shared" si="76"/>
        <v>35302.634698082285</v>
      </c>
      <c r="AK73" s="1878">
        <f t="shared" si="77"/>
        <v>2368</v>
      </c>
      <c r="AM73" s="2042">
        <f>-'[4]Table 5C2 - LA Virtual Admy'!Q71</f>
        <v>18</v>
      </c>
      <c r="AN73" s="2042">
        <f t="shared" si="78"/>
        <v>-29.635875000000002</v>
      </c>
      <c r="AO73" s="2042">
        <f t="shared" si="79"/>
        <v>-11.635875000000002</v>
      </c>
    </row>
    <row r="74" spans="1:41" s="533" customFormat="1" ht="17.25" customHeight="1">
      <c r="A74" s="101">
        <v>69</v>
      </c>
      <c r="B74" s="772" t="s">
        <v>205</v>
      </c>
      <c r="C74" s="1870">
        <f>'2-1-13 SIS'!J75</f>
        <v>7</v>
      </c>
      <c r="D74" s="1871">
        <f>'Table 3 Levels 1&amp;2'!AL76*90%</f>
        <v>5027.2427796017919</v>
      </c>
      <c r="E74" s="1871">
        <f t="shared" si="60"/>
        <v>35190.69945721254</v>
      </c>
      <c r="F74" s="1872">
        <f>'Table 4 Level 3'!P74*90%</f>
        <v>635.10299999999995</v>
      </c>
      <c r="G74" s="1872">
        <f t="shared" si="61"/>
        <v>4445.7209999999995</v>
      </c>
      <c r="H74" s="1872">
        <f t="shared" si="62"/>
        <v>39636.420457212538</v>
      </c>
      <c r="I74" s="1872">
        <f>(('Table 3 Levels 1&amp;2'!AL76-D74)+('Table 4 Level 3'!P74-F74))*C74</f>
        <v>4404.0467174680625</v>
      </c>
      <c r="J74" s="1872">
        <f>+'[3]Oct midyear LA Virtual Admy'!K72</f>
        <v>28311.728898008958</v>
      </c>
      <c r="K74" s="1872">
        <f>'[3]Feb midyear LA Virtual Admy'!K72</f>
        <v>0</v>
      </c>
      <c r="L74" s="1872">
        <f t="shared" si="63"/>
        <v>28311.728898008958</v>
      </c>
      <c r="M74" s="1872">
        <f t="shared" si="56"/>
        <v>67948.149355221496</v>
      </c>
      <c r="N74" s="1872">
        <f t="shared" si="57"/>
        <v>-169.87037338805374</v>
      </c>
      <c r="O74" s="1873">
        <f t="shared" si="58"/>
        <v>67778.278981833442</v>
      </c>
      <c r="P74" s="1873">
        <f>'[34]LAVCA Adjustment'!X73++'[32]Oct midyear LA Virtual Admy'!K72+'[35]Feb midyear adj_LA virtual '!M74</f>
        <v>13947.73694849098</v>
      </c>
      <c r="Q74" s="1874">
        <f t="shared" si="64"/>
        <v>81726.015930324415</v>
      </c>
      <c r="R74" s="1883">
        <f>'[4]Table 5C2 - LA Virtual Admy'!N72+'[27]Table 5C2 - LA Virtual Admy'!V72+('[26]Table 5C2 - LA Virtual Admy'!V72*6)</f>
        <v>45411</v>
      </c>
      <c r="S74" s="1874">
        <f t="shared" si="65"/>
        <v>36315.015930324415</v>
      </c>
      <c r="T74" s="1874">
        <f t="shared" si="66"/>
        <v>9079</v>
      </c>
      <c r="U74" s="1875">
        <f>'Table 5C1A-Madison Prep'!T76*90%</f>
        <v>3063.6</v>
      </c>
      <c r="V74" s="1876">
        <f t="shared" si="59"/>
        <v>21445.200000000001</v>
      </c>
      <c r="W74" s="2060">
        <f>+'[3]Oct midyear LA Virtual Admy'!E72</f>
        <v>5</v>
      </c>
      <c r="X74" s="1876">
        <f t="shared" si="67"/>
        <v>15318</v>
      </c>
      <c r="Y74" s="1933">
        <f>'[3]Feb midyear LA Virtual Admy'!E72</f>
        <v>0</v>
      </c>
      <c r="Z74" s="1876">
        <f t="shared" si="68"/>
        <v>0</v>
      </c>
      <c r="AA74" s="1876">
        <f t="shared" si="69"/>
        <v>15318</v>
      </c>
      <c r="AB74" s="1876">
        <f t="shared" si="70"/>
        <v>36763.199999999997</v>
      </c>
      <c r="AC74" s="1876">
        <f t="shared" si="71"/>
        <v>-91.908000000000001</v>
      </c>
      <c r="AD74" s="1876">
        <f t="shared" si="72"/>
        <v>36671.291999999994</v>
      </c>
      <c r="AE74" s="1875">
        <f>'[34]LAVCA Adjustment'!AB73+'[32]Oct midyear LA Virtual Admy'!P72+'[35]Feb midyear adj_LA virtual '!S74</f>
        <v>7452</v>
      </c>
      <c r="AF74" s="1877">
        <f t="shared" si="73"/>
        <v>44123.291999999994</v>
      </c>
      <c r="AG74" s="1877">
        <f>'[4]Table 5C2 - LA Virtual Admy'!U72+'[27]Table 5C2 - LA Virtual Admy'!AH72+('[26]Table 5C2 - LA Virtual Admy'!AH72*6)</f>
        <v>23699</v>
      </c>
      <c r="AH74" s="1877">
        <f t="shared" si="74"/>
        <v>20424.291999999994</v>
      </c>
      <c r="AI74" s="1877">
        <f t="shared" si="75"/>
        <v>5106</v>
      </c>
      <c r="AJ74" s="1878">
        <f t="shared" si="76"/>
        <v>125849.3079303244</v>
      </c>
      <c r="AK74" s="1878">
        <f t="shared" si="77"/>
        <v>14185</v>
      </c>
      <c r="AM74" s="2042">
        <f>-'[4]Table 5C2 - LA Virtual Admy'!Q72</f>
        <v>51</v>
      </c>
      <c r="AN74" s="2042">
        <f t="shared" si="78"/>
        <v>-91.908000000000001</v>
      </c>
      <c r="AO74" s="2042">
        <f t="shared" si="79"/>
        <v>-40.908000000000001</v>
      </c>
    </row>
    <row r="75" spans="1:41" s="780" customFormat="1" ht="24" customHeight="1">
      <c r="A75" s="779"/>
      <c r="B75" s="774" t="s">
        <v>401</v>
      </c>
      <c r="C75" s="1890">
        <f>SUM(C6:C74)</f>
        <v>1130</v>
      </c>
      <c r="D75" s="1891"/>
      <c r="E75" s="1891">
        <f t="shared" ref="E75:T75" si="80">SUM(E6:E74)</f>
        <v>4515412.352849639</v>
      </c>
      <c r="F75" s="1892"/>
      <c r="G75" s="1892">
        <f t="shared" si="80"/>
        <v>712717.87361792324</v>
      </c>
      <c r="H75" s="1892">
        <f t="shared" si="80"/>
        <v>5228130.22646756</v>
      </c>
      <c r="I75" s="1892">
        <f t="shared" si="80"/>
        <v>579925.66571777314</v>
      </c>
      <c r="J75" s="1892">
        <f t="shared" si="80"/>
        <v>3062637.1850052821</v>
      </c>
      <c r="K75" s="1892">
        <f t="shared" si="80"/>
        <v>84638.140062570848</v>
      </c>
      <c r="L75" s="1892">
        <f t="shared" si="80"/>
        <v>3147275.3250678512</v>
      </c>
      <c r="M75" s="1892">
        <f t="shared" si="80"/>
        <v>8375405.5515354136</v>
      </c>
      <c r="N75" s="1892">
        <f t="shared" si="80"/>
        <v>-20938.513878838527</v>
      </c>
      <c r="O75" s="1893">
        <f t="shared" si="80"/>
        <v>8354467.0376565764</v>
      </c>
      <c r="P75" s="1893">
        <f t="shared" si="80"/>
        <v>-49420.477637276839</v>
      </c>
      <c r="Q75" s="1894">
        <f t="shared" si="80"/>
        <v>8305046.5600192957</v>
      </c>
      <c r="R75" s="1894">
        <f t="shared" si="80"/>
        <v>5527134</v>
      </c>
      <c r="S75" s="1894">
        <f t="shared" si="80"/>
        <v>2777912.5600192966</v>
      </c>
      <c r="T75" s="1894">
        <f t="shared" si="80"/>
        <v>694479</v>
      </c>
      <c r="U75" s="1895">
        <f>'Table 5C1A-Madison Prep'!T77*90%</f>
        <v>4163.4000000000005</v>
      </c>
      <c r="V75" s="1896">
        <f>SUM(V6:V74)</f>
        <v>4462609.5</v>
      </c>
      <c r="W75" s="1897">
        <f t="shared" ref="W75:AC75" si="81">SUM(W6:W74)</f>
        <v>665</v>
      </c>
      <c r="X75" s="1896">
        <f t="shared" si="81"/>
        <v>2501468.0999999987</v>
      </c>
      <c r="Y75" s="1898">
        <f t="shared" si="81"/>
        <v>31</v>
      </c>
      <c r="Z75" s="1899">
        <f t="shared" si="81"/>
        <v>62008.200000000004</v>
      </c>
      <c r="AA75" s="1899">
        <f t="shared" si="81"/>
        <v>2563476.3000000007</v>
      </c>
      <c r="AB75" s="1896">
        <f t="shared" si="81"/>
        <v>7026085.8000000035</v>
      </c>
      <c r="AC75" s="1896">
        <f t="shared" si="81"/>
        <v>-17565.214500000002</v>
      </c>
      <c r="AD75" s="1896">
        <f t="shared" ref="AD75:AK75" si="82">SUM(AD6:AD74)</f>
        <v>7008520.5855</v>
      </c>
      <c r="AE75" s="1896">
        <f t="shared" si="82"/>
        <v>-60363.900000000023</v>
      </c>
      <c r="AF75" s="1900">
        <f t="shared" si="82"/>
        <v>6948156.6854999997</v>
      </c>
      <c r="AG75" s="1900">
        <f t="shared" si="82"/>
        <v>4555682</v>
      </c>
      <c r="AH75" s="1900">
        <f t="shared" si="82"/>
        <v>2392474.6854999987</v>
      </c>
      <c r="AI75" s="1900">
        <f t="shared" si="82"/>
        <v>598114</v>
      </c>
      <c r="AJ75" s="1896">
        <f t="shared" si="82"/>
        <v>15253203.245519301</v>
      </c>
      <c r="AK75" s="1896">
        <f t="shared" si="82"/>
        <v>1292593</v>
      </c>
      <c r="AM75" s="2043">
        <f>SUM(AM6:AM74)</f>
        <v>10883</v>
      </c>
      <c r="AN75" s="2043">
        <f t="shared" ref="AN75:AO75" si="83">SUM(AN6:AN74)</f>
        <v>-17565.214500000002</v>
      </c>
      <c r="AO75" s="2043">
        <f t="shared" si="83"/>
        <v>-6682.2145</v>
      </c>
    </row>
    <row r="76" spans="1:41" s="775" customFormat="1" ht="10.5" customHeight="1">
      <c r="A76" s="778"/>
      <c r="B76" s="777"/>
      <c r="C76" s="1901"/>
      <c r="D76" s="1902"/>
      <c r="E76" s="1902"/>
      <c r="F76" s="1902"/>
      <c r="G76" s="1902"/>
      <c r="H76" s="1902"/>
      <c r="I76" s="1902"/>
      <c r="J76" s="1903"/>
      <c r="K76" s="1903"/>
      <c r="L76" s="1903"/>
      <c r="M76" s="1903"/>
      <c r="N76" s="1902"/>
      <c r="O76" s="1902"/>
      <c r="P76" s="1902"/>
      <c r="Q76" s="1902"/>
      <c r="R76" s="1904"/>
      <c r="S76" s="1904"/>
      <c r="T76" s="1902"/>
      <c r="U76" s="1905"/>
      <c r="V76" s="1905"/>
      <c r="W76" s="1906"/>
      <c r="X76" s="1906"/>
      <c r="Y76" s="1907"/>
      <c r="Z76" s="1907"/>
      <c r="AA76" s="1907"/>
      <c r="AB76" s="1906"/>
      <c r="AC76" s="1908"/>
      <c r="AD76" s="1908"/>
      <c r="AE76" s="1908"/>
      <c r="AF76" s="1905"/>
      <c r="AG76" s="1907"/>
      <c r="AH76" s="1907"/>
      <c r="AI76" s="1905"/>
      <c r="AJ76" s="1905"/>
      <c r="AK76" s="1905"/>
    </row>
    <row r="77" spans="1:41" s="533" customFormat="1" ht="34.15" customHeight="1">
      <c r="A77" s="778"/>
      <c r="B77" s="783" t="s">
        <v>403</v>
      </c>
      <c r="C77" s="1909"/>
      <c r="D77" s="1910"/>
      <c r="E77" s="1910"/>
      <c r="F77" s="1911"/>
      <c r="G77" s="1911"/>
      <c r="H77" s="1911"/>
      <c r="I77" s="1911"/>
      <c r="J77" s="1912"/>
      <c r="K77" s="1912"/>
      <c r="L77" s="1912"/>
      <c r="M77" s="1912"/>
      <c r="N77" s="1911">
        <f>-N75</f>
        <v>20938.513878838527</v>
      </c>
      <c r="O77" s="1913">
        <f>N77</f>
        <v>20938.513878838527</v>
      </c>
      <c r="P77" s="1913"/>
      <c r="Q77" s="1914">
        <f>O77</f>
        <v>20938.513878838527</v>
      </c>
      <c r="R77" s="1915"/>
      <c r="S77" s="1915"/>
      <c r="T77" s="1914"/>
      <c r="U77" s="1916"/>
      <c r="V77" s="1917"/>
      <c r="W77" s="1918"/>
      <c r="X77" s="1918"/>
      <c r="Y77" s="1919"/>
      <c r="Z77" s="1919"/>
      <c r="AA77" s="1919"/>
      <c r="AB77" s="1918"/>
      <c r="AC77" s="1917">
        <f>-AC75</f>
        <v>17565.214500000002</v>
      </c>
      <c r="AD77" s="1917">
        <f>AC77</f>
        <v>17565.214500000002</v>
      </c>
      <c r="AE77" s="1917"/>
      <c r="AF77" s="1920">
        <f>AC77</f>
        <v>17565.214500000002</v>
      </c>
      <c r="AG77" s="1921"/>
      <c r="AH77" s="1921"/>
      <c r="AI77" s="1920"/>
      <c r="AJ77" s="1922">
        <f t="shared" ref="AJ77" si="84">AF77+Q77</f>
        <v>38503.728378838525</v>
      </c>
      <c r="AK77" s="1922"/>
    </row>
    <row r="78" spans="1:41" s="775" customFormat="1" ht="10.5" customHeight="1">
      <c r="A78" s="778"/>
      <c r="B78" s="777"/>
      <c r="C78" s="1901"/>
      <c r="D78" s="1902"/>
      <c r="E78" s="1902"/>
      <c r="F78" s="1902"/>
      <c r="G78" s="1902"/>
      <c r="H78" s="1902"/>
      <c r="I78" s="1902"/>
      <c r="J78" s="1903"/>
      <c r="K78" s="1903"/>
      <c r="L78" s="1903"/>
      <c r="M78" s="1903"/>
      <c r="N78" s="1902"/>
      <c r="O78" s="1902"/>
      <c r="P78" s="1902"/>
      <c r="Q78" s="1902"/>
      <c r="R78" s="1904"/>
      <c r="S78" s="1904"/>
      <c r="T78" s="1902"/>
      <c r="U78" s="1905"/>
      <c r="V78" s="1905"/>
      <c r="W78" s="1906"/>
      <c r="X78" s="1906"/>
      <c r="Y78" s="1907"/>
      <c r="Z78" s="1907"/>
      <c r="AA78" s="1907"/>
      <c r="AB78" s="1906"/>
      <c r="AC78" s="1908"/>
      <c r="AD78" s="1908"/>
      <c r="AE78" s="1908"/>
      <c r="AF78" s="1905"/>
      <c r="AG78" s="1907"/>
      <c r="AH78" s="1907"/>
      <c r="AI78" s="1905"/>
      <c r="AJ78" s="1905"/>
      <c r="AK78" s="1905"/>
    </row>
    <row r="79" spans="1:41" s="782" customFormat="1" ht="54" customHeight="1">
      <c r="A79" s="781"/>
      <c r="B79" s="776" t="s">
        <v>402</v>
      </c>
      <c r="C79" s="1923">
        <f>SUM(C75:C78)</f>
        <v>1130</v>
      </c>
      <c r="D79" s="1924"/>
      <c r="E79" s="1924">
        <f t="shared" ref="E79:AK79" si="85">SUM(E75:E78)</f>
        <v>4515412.352849639</v>
      </c>
      <c r="F79" s="1925"/>
      <c r="G79" s="1925">
        <f t="shared" si="85"/>
        <v>712717.87361792324</v>
      </c>
      <c r="H79" s="1925">
        <f t="shared" si="85"/>
        <v>5228130.22646756</v>
      </c>
      <c r="I79" s="1925">
        <f t="shared" si="85"/>
        <v>579925.66571777314</v>
      </c>
      <c r="J79" s="1925">
        <f t="shared" si="85"/>
        <v>3062637.1850052821</v>
      </c>
      <c r="K79" s="1925">
        <f t="shared" si="85"/>
        <v>84638.140062570848</v>
      </c>
      <c r="L79" s="1925">
        <f t="shared" si="85"/>
        <v>3147275.3250678512</v>
      </c>
      <c r="M79" s="1925">
        <f t="shared" si="85"/>
        <v>8375405.5515354136</v>
      </c>
      <c r="N79" s="1925">
        <f t="shared" si="85"/>
        <v>0</v>
      </c>
      <c r="O79" s="1926">
        <f t="shared" si="85"/>
        <v>8375405.5515354145</v>
      </c>
      <c r="P79" s="1926">
        <f t="shared" si="85"/>
        <v>-49420.477637276839</v>
      </c>
      <c r="Q79" s="1927">
        <f t="shared" si="85"/>
        <v>8325985.0738981338</v>
      </c>
      <c r="R79" s="1927">
        <f t="shared" si="85"/>
        <v>5527134</v>
      </c>
      <c r="S79" s="1927">
        <f t="shared" si="85"/>
        <v>2777912.5600192966</v>
      </c>
      <c r="T79" s="1927">
        <f t="shared" si="85"/>
        <v>694479</v>
      </c>
      <c r="U79" s="1928"/>
      <c r="V79" s="1929">
        <f t="shared" si="85"/>
        <v>4462609.5</v>
      </c>
      <c r="W79" s="1929">
        <f t="shared" si="85"/>
        <v>665</v>
      </c>
      <c r="X79" s="1929">
        <f t="shared" si="85"/>
        <v>2501468.0999999987</v>
      </c>
      <c r="Y79" s="1929">
        <f t="shared" si="85"/>
        <v>31</v>
      </c>
      <c r="Z79" s="1929">
        <f t="shared" si="85"/>
        <v>62008.200000000004</v>
      </c>
      <c r="AA79" s="1929">
        <f t="shared" si="85"/>
        <v>2563476.3000000007</v>
      </c>
      <c r="AB79" s="1929">
        <f t="shared" si="85"/>
        <v>7026085.8000000035</v>
      </c>
      <c r="AC79" s="1929">
        <f t="shared" si="85"/>
        <v>0</v>
      </c>
      <c r="AD79" s="1929">
        <f t="shared" si="85"/>
        <v>7026085.7999999998</v>
      </c>
      <c r="AE79" s="1929">
        <f t="shared" si="85"/>
        <v>-60363.900000000023</v>
      </c>
      <c r="AF79" s="1930">
        <f t="shared" si="85"/>
        <v>6965721.8999999994</v>
      </c>
      <c r="AG79" s="1930">
        <f t="shared" si="85"/>
        <v>4555682</v>
      </c>
      <c r="AH79" s="1930">
        <f t="shared" si="85"/>
        <v>2392474.6854999987</v>
      </c>
      <c r="AI79" s="1930">
        <f t="shared" si="85"/>
        <v>598114</v>
      </c>
      <c r="AJ79" s="1931">
        <f t="shared" si="85"/>
        <v>15291706.973898139</v>
      </c>
      <c r="AK79" s="1931">
        <f t="shared" si="85"/>
        <v>1292593</v>
      </c>
    </row>
    <row r="80" spans="1:41" ht="12.75" customHeight="1">
      <c r="B80" s="534"/>
      <c r="C80" s="535"/>
      <c r="D80" s="536"/>
      <c r="E80" s="535"/>
      <c r="F80" s="535"/>
      <c r="G80" s="535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1500"/>
      <c r="S80" s="1500"/>
      <c r="T80" s="537"/>
    </row>
    <row r="81" spans="1:20" ht="8.25" customHeight="1">
      <c r="C81" s="2408"/>
      <c r="D81" s="2408"/>
      <c r="E81" s="2408"/>
      <c r="F81" s="2408"/>
      <c r="G81" s="2408"/>
      <c r="H81" s="2408"/>
      <c r="I81" s="2408"/>
      <c r="J81" s="2408"/>
      <c r="K81" s="2408"/>
      <c r="L81" s="2408"/>
      <c r="M81" s="2408"/>
      <c r="N81" s="2408"/>
      <c r="O81" s="2408"/>
      <c r="P81" s="2408"/>
      <c r="Q81" s="2408"/>
      <c r="R81" s="2408"/>
      <c r="S81" s="2408"/>
      <c r="T81" s="2408"/>
    </row>
    <row r="82" spans="1:20" s="559" customFormat="1" ht="19.5" hidden="1" customHeight="1">
      <c r="A82" s="1498">
        <f>(G79/90%)*10%</f>
        <v>79190.874846435909</v>
      </c>
      <c r="N82" s="1464" t="s">
        <v>951</v>
      </c>
      <c r="O82" s="705">
        <v>13071</v>
      </c>
    </row>
    <row r="83" spans="1:20" s="559" customFormat="1" ht="19.5" hidden="1" customHeight="1">
      <c r="N83" s="1464" t="s">
        <v>952</v>
      </c>
      <c r="O83" s="705">
        <f>N75</f>
        <v>-20938.513878838527</v>
      </c>
    </row>
    <row r="84" spans="1:20" s="559" customFormat="1" ht="19.5" hidden="1" customHeight="1">
      <c r="N84" s="1464" t="s">
        <v>953</v>
      </c>
      <c r="O84" s="705">
        <f>SUM(O82:O83)</f>
        <v>-7867.5138788385266</v>
      </c>
    </row>
    <row r="85" spans="1:20" ht="28.5" customHeight="1">
      <c r="B85" s="538"/>
    </row>
  </sheetData>
  <mergeCells count="38">
    <mergeCell ref="A1:A4"/>
    <mergeCell ref="B1:B4"/>
    <mergeCell ref="J2:L2"/>
    <mergeCell ref="C1:T1"/>
    <mergeCell ref="U1:AI1"/>
    <mergeCell ref="W2:AA2"/>
    <mergeCell ref="AE3:AE4"/>
    <mergeCell ref="AF3:AF4"/>
    <mergeCell ref="W3:W4"/>
    <mergeCell ref="X3:X4"/>
    <mergeCell ref="Y3:Y4"/>
    <mergeCell ref="C81:T81"/>
    <mergeCell ref="P3:P4"/>
    <mergeCell ref="Q3:Q4"/>
    <mergeCell ref="T3:T4"/>
    <mergeCell ref="I3:I4"/>
    <mergeCell ref="J3:J4"/>
    <mergeCell ref="K3:K4"/>
    <mergeCell ref="L3:L4"/>
    <mergeCell ref="M3:M4"/>
    <mergeCell ref="S3:S4"/>
    <mergeCell ref="D3:D4"/>
    <mergeCell ref="AM3:AM4"/>
    <mergeCell ref="AN3:AN4"/>
    <mergeCell ref="AJ3:AJ4"/>
    <mergeCell ref="AK3:AK4"/>
    <mergeCell ref="C3:C4"/>
    <mergeCell ref="E3:E4"/>
    <mergeCell ref="F3:F4"/>
    <mergeCell ref="G3:G4"/>
    <mergeCell ref="H3:H4"/>
    <mergeCell ref="O3:O4"/>
    <mergeCell ref="U3:U4"/>
    <mergeCell ref="V3:V4"/>
    <mergeCell ref="AD3:AD4"/>
    <mergeCell ref="R3:R4"/>
    <mergeCell ref="AB3:AB4"/>
    <mergeCell ref="Z3:Z4"/>
  </mergeCells>
  <printOptions horizontalCentered="1"/>
  <pageMargins left="0.2" right="0.32" top="0.86" bottom="0.25" header="0.24" footer="0.25"/>
  <pageSetup paperSize="5" scale="55" firstPageNumber="66" orientation="portrait" useFirstPageNumber="1" r:id="rId1"/>
  <headerFooter alignWithMargins="0">
    <oddHeader xml:space="preserve">&amp;L&amp;"Arial,Bold"&amp;20Table 5C-2: FY2013-14 Budget Letter (March 2014) 
Type 2 Charter School Allocation (Louisiana Virtual Charter Academy) </oddHeader>
    <oddFooter>&amp;R&amp;P</oddFooter>
  </headerFooter>
  <colBreaks count="2" manualBreakCount="2">
    <brk id="13" max="83" man="1"/>
    <brk id="20" max="83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O85"/>
  <sheetViews>
    <sheetView view="pageBreakPreview" zoomScale="80" zoomScaleNormal="85" zoomScaleSheetLayoutView="80" workbookViewId="0">
      <pane ySplit="5" topLeftCell="A6" activePane="bottomLeft" state="frozen"/>
      <selection activeCell="A2" sqref="A2:B4"/>
      <selection pane="bottomLeft" sqref="A1:A4"/>
    </sheetView>
  </sheetViews>
  <sheetFormatPr defaultColWidth="9.140625" defaultRowHeight="60.75" customHeight="1"/>
  <cols>
    <col min="1" max="1" width="3.140625" style="528" customWidth="1"/>
    <col min="2" max="2" width="21.42578125" style="528" customWidth="1"/>
    <col min="3" max="3" width="12.140625" style="528" bestFit="1" customWidth="1"/>
    <col min="4" max="4" width="13.7109375" style="528" bestFit="1" customWidth="1"/>
    <col min="5" max="6" width="13.28515625" style="537" bestFit="1" customWidth="1"/>
    <col min="7" max="7" width="12.28515625" style="537" bestFit="1" customWidth="1"/>
    <col min="8" max="8" width="13.28515625" style="528" bestFit="1" customWidth="1"/>
    <col min="9" max="9" width="11.28515625" style="528" bestFit="1" customWidth="1"/>
    <col min="10" max="11" width="11.85546875" style="1511" bestFit="1" customWidth="1"/>
    <col min="12" max="12" width="11.28515625" style="1511" bestFit="1" customWidth="1"/>
    <col min="13" max="13" width="13.28515625" style="1511" bestFit="1" customWidth="1"/>
    <col min="14" max="14" width="16.28515625" style="528" customWidth="1"/>
    <col min="15" max="15" width="18.5703125" style="528" customWidth="1"/>
    <col min="16" max="16" width="17.5703125" style="528" customWidth="1"/>
    <col min="17" max="17" width="15.5703125" style="528" bestFit="1" customWidth="1"/>
    <col min="18" max="18" width="13.28515625" style="1511" customWidth="1"/>
    <col min="19" max="19" width="15.5703125" style="1511" bestFit="1" customWidth="1"/>
    <col min="20" max="20" width="16.28515625" style="528" bestFit="1" customWidth="1"/>
    <col min="21" max="21" width="12.85546875" style="528" customWidth="1"/>
    <col min="22" max="22" width="17.7109375" style="528" bestFit="1" customWidth="1"/>
    <col min="23" max="23" width="12.140625" style="1511" bestFit="1" customWidth="1"/>
    <col min="24" max="24" width="13" style="1511" bestFit="1" customWidth="1"/>
    <col min="25" max="26" width="12.140625" style="1511" bestFit="1" customWidth="1"/>
    <col min="27" max="27" width="16" style="1511" customWidth="1"/>
    <col min="28" max="28" width="15.5703125" style="1511" bestFit="1" customWidth="1"/>
    <col min="29" max="29" width="12.7109375" style="528" bestFit="1" customWidth="1"/>
    <col min="30" max="30" width="16.28515625" style="528" bestFit="1" customWidth="1"/>
    <col min="31" max="31" width="15.42578125" style="528" bestFit="1" customWidth="1"/>
    <col min="32" max="32" width="16.28515625" style="528" bestFit="1" customWidth="1"/>
    <col min="33" max="34" width="16.28515625" style="1511" customWidth="1"/>
    <col min="35" max="35" width="14" style="528" customWidth="1"/>
    <col min="36" max="36" width="16.42578125" style="528" customWidth="1"/>
    <col min="37" max="37" width="14.140625" style="528" customWidth="1"/>
    <col min="38" max="38" width="3" style="528" customWidth="1"/>
    <col min="39" max="40" width="10.5703125" style="528" hidden="1" customWidth="1"/>
    <col min="41" max="41" width="9.140625" style="528" hidden="1" customWidth="1"/>
    <col min="42" max="16384" width="9.140625" style="528"/>
  </cols>
  <sheetData>
    <row r="1" spans="1:41" s="1511" customFormat="1" ht="45" customHeight="1">
      <c r="A1" s="2427" t="s">
        <v>372</v>
      </c>
      <c r="B1" s="2427" t="s">
        <v>442</v>
      </c>
      <c r="C1" s="2332" t="s">
        <v>837</v>
      </c>
      <c r="D1" s="2333"/>
      <c r="E1" s="2333"/>
      <c r="F1" s="2333"/>
      <c r="G1" s="2333"/>
      <c r="H1" s="2333"/>
      <c r="I1" s="2333"/>
      <c r="J1" s="2333"/>
      <c r="K1" s="2333"/>
      <c r="L1" s="2333"/>
      <c r="M1" s="2333"/>
      <c r="N1" s="2333"/>
      <c r="O1" s="2333"/>
      <c r="P1" s="2333"/>
      <c r="Q1" s="2333"/>
      <c r="R1" s="2333"/>
      <c r="S1" s="2333"/>
      <c r="T1" s="2334"/>
      <c r="U1" s="2416" t="s">
        <v>842</v>
      </c>
      <c r="V1" s="2417"/>
      <c r="W1" s="2417"/>
      <c r="X1" s="2417"/>
      <c r="Y1" s="2417"/>
      <c r="Z1" s="2417"/>
      <c r="AA1" s="2417"/>
      <c r="AB1" s="2417"/>
      <c r="AC1" s="2417"/>
      <c r="AD1" s="2417"/>
      <c r="AE1" s="2417"/>
      <c r="AF1" s="2417"/>
      <c r="AG1" s="2417"/>
      <c r="AH1" s="2417"/>
      <c r="AI1" s="2418"/>
    </row>
    <row r="2" spans="1:41" s="1511" customFormat="1" ht="22.9" customHeight="1">
      <c r="A2" s="2428"/>
      <c r="B2" s="2428"/>
      <c r="C2" s="1620"/>
      <c r="D2" s="1615"/>
      <c r="E2" s="1622"/>
      <c r="F2" s="1622"/>
      <c r="G2" s="1622"/>
      <c r="H2" s="1615"/>
      <c r="I2" s="1615"/>
      <c r="J2" s="2347" t="s">
        <v>772</v>
      </c>
      <c r="K2" s="2348"/>
      <c r="L2" s="2349"/>
      <c r="M2" s="1615"/>
      <c r="N2" s="1615"/>
      <c r="O2" s="1615"/>
      <c r="P2" s="1615"/>
      <c r="Q2" s="1615"/>
      <c r="R2" s="1615"/>
      <c r="S2" s="1615"/>
      <c r="T2" s="1616"/>
      <c r="U2" s="1613"/>
      <c r="V2" s="1623"/>
      <c r="W2" s="2373" t="s">
        <v>772</v>
      </c>
      <c r="X2" s="2374"/>
      <c r="Y2" s="2374"/>
      <c r="Z2" s="2374"/>
      <c r="AA2" s="2375"/>
      <c r="AB2" s="1623"/>
      <c r="AC2" s="1623"/>
      <c r="AD2" s="1623"/>
      <c r="AE2" s="1623"/>
      <c r="AF2" s="1623"/>
      <c r="AG2" s="1623"/>
      <c r="AH2" s="1623"/>
      <c r="AI2" s="1618"/>
    </row>
    <row r="3" spans="1:41" ht="135" customHeight="1">
      <c r="A3" s="2428"/>
      <c r="B3" s="2428"/>
      <c r="C3" s="2431" t="s">
        <v>501</v>
      </c>
      <c r="D3" s="2430" t="s">
        <v>850</v>
      </c>
      <c r="E3" s="2426" t="s">
        <v>544</v>
      </c>
      <c r="F3" s="2425" t="s">
        <v>848</v>
      </c>
      <c r="G3" s="2425" t="s">
        <v>851</v>
      </c>
      <c r="H3" s="2426" t="s">
        <v>836</v>
      </c>
      <c r="I3" s="2432" t="s">
        <v>457</v>
      </c>
      <c r="J3" s="2412" t="s">
        <v>846</v>
      </c>
      <c r="K3" s="2412" t="s">
        <v>845</v>
      </c>
      <c r="L3" s="2412" t="s">
        <v>847</v>
      </c>
      <c r="M3" s="2413" t="s">
        <v>838</v>
      </c>
      <c r="N3" s="1611" t="s">
        <v>839</v>
      </c>
      <c r="O3" s="2399" t="s">
        <v>824</v>
      </c>
      <c r="P3" s="2409" t="s">
        <v>794</v>
      </c>
      <c r="Q3" s="2399" t="s">
        <v>823</v>
      </c>
      <c r="R3" s="2404" t="s">
        <v>781</v>
      </c>
      <c r="S3" s="2404" t="s">
        <v>795</v>
      </c>
      <c r="T3" s="2411" t="s">
        <v>840</v>
      </c>
      <c r="U3" s="2401" t="s">
        <v>841</v>
      </c>
      <c r="V3" s="2401" t="s">
        <v>843</v>
      </c>
      <c r="W3" s="2407" t="s">
        <v>819</v>
      </c>
      <c r="X3" s="2407" t="s">
        <v>787</v>
      </c>
      <c r="Y3" s="2407" t="s">
        <v>820</v>
      </c>
      <c r="Z3" s="2407" t="s">
        <v>844</v>
      </c>
      <c r="AA3" s="1632" t="s">
        <v>791</v>
      </c>
      <c r="AB3" s="2406" t="s">
        <v>799</v>
      </c>
      <c r="AC3" s="1619" t="s">
        <v>808</v>
      </c>
      <c r="AD3" s="2402" t="s">
        <v>805</v>
      </c>
      <c r="AE3" s="2424" t="s">
        <v>814</v>
      </c>
      <c r="AF3" s="2421" t="s">
        <v>806</v>
      </c>
      <c r="AG3" s="1621" t="s">
        <v>807</v>
      </c>
      <c r="AH3" s="1621" t="s">
        <v>795</v>
      </c>
      <c r="AI3" s="1621" t="s">
        <v>540</v>
      </c>
      <c r="AJ3" s="2301" t="s">
        <v>546</v>
      </c>
      <c r="AK3" s="2301" t="s">
        <v>547</v>
      </c>
      <c r="AM3" s="2394" t="s">
        <v>949</v>
      </c>
      <c r="AN3" s="2395" t="s">
        <v>950</v>
      </c>
      <c r="AO3" s="2035" t="s">
        <v>947</v>
      </c>
    </row>
    <row r="4" spans="1:41" ht="21.6" customHeight="1">
      <c r="A4" s="2429"/>
      <c r="B4" s="2429"/>
      <c r="C4" s="2398"/>
      <c r="D4" s="2153"/>
      <c r="E4" s="2405"/>
      <c r="F4" s="2282"/>
      <c r="G4" s="2282"/>
      <c r="H4" s="2405"/>
      <c r="I4" s="2433"/>
      <c r="J4" s="2287"/>
      <c r="K4" s="2287"/>
      <c r="L4" s="2287"/>
      <c r="M4" s="2312"/>
      <c r="N4" s="1612">
        <v>2.5000000000000001E-3</v>
      </c>
      <c r="O4" s="2399"/>
      <c r="P4" s="2410"/>
      <c r="Q4" s="2399"/>
      <c r="R4" s="2405"/>
      <c r="S4" s="2405"/>
      <c r="T4" s="2405"/>
      <c r="U4" s="2239"/>
      <c r="V4" s="2239"/>
      <c r="W4" s="2285"/>
      <c r="X4" s="2285"/>
      <c r="Y4" s="2285"/>
      <c r="Z4" s="2285"/>
      <c r="AA4" s="1631"/>
      <c r="AB4" s="2287"/>
      <c r="AC4" s="1612">
        <v>2.5000000000000001E-3</v>
      </c>
      <c r="AD4" s="2403"/>
      <c r="AE4" s="2410"/>
      <c r="AF4" s="2422"/>
      <c r="AG4" s="1608"/>
      <c r="AH4" s="1608"/>
      <c r="AI4" s="1608"/>
      <c r="AJ4" s="2302"/>
      <c r="AK4" s="2302"/>
      <c r="AM4" s="2394"/>
      <c r="AN4" s="2396"/>
    </row>
    <row r="5" spans="1:41" s="532" customFormat="1" ht="16.5" customHeight="1">
      <c r="A5" s="529"/>
      <c r="B5" s="529"/>
      <c r="C5" s="530">
        <v>1</v>
      </c>
      <c r="D5" s="531">
        <f>C5+1</f>
        <v>2</v>
      </c>
      <c r="E5" s="531">
        <f>D5+1</f>
        <v>3</v>
      </c>
      <c r="F5" s="531">
        <f>E5+1</f>
        <v>4</v>
      </c>
      <c r="G5" s="531">
        <f>F5+1</f>
        <v>5</v>
      </c>
      <c r="H5" s="531">
        <f t="shared" ref="H5" si="0">G5+1</f>
        <v>6</v>
      </c>
      <c r="I5" s="531">
        <f t="shared" ref="I5" si="1">H5+1</f>
        <v>7</v>
      </c>
      <c r="J5" s="531">
        <f t="shared" ref="J5" si="2">I5+1</f>
        <v>8</v>
      </c>
      <c r="K5" s="531">
        <f t="shared" ref="K5" si="3">J5+1</f>
        <v>9</v>
      </c>
      <c r="L5" s="531">
        <f t="shared" ref="L5" si="4">K5+1</f>
        <v>10</v>
      </c>
      <c r="M5" s="531">
        <f t="shared" ref="M5:N5" si="5">L5+1</f>
        <v>11</v>
      </c>
      <c r="N5" s="531">
        <f t="shared" si="5"/>
        <v>12</v>
      </c>
      <c r="O5" s="531">
        <f t="shared" ref="O5" si="6">N5+1</f>
        <v>13</v>
      </c>
      <c r="P5" s="531">
        <f t="shared" ref="P5" si="7">O5+1</f>
        <v>14</v>
      </c>
      <c r="Q5" s="531">
        <f t="shared" ref="Q5" si="8">P5+1</f>
        <v>15</v>
      </c>
      <c r="R5" s="531">
        <f t="shared" ref="R5" si="9">Q5+1</f>
        <v>16</v>
      </c>
      <c r="S5" s="531">
        <f t="shared" ref="S5" si="10">R5+1</f>
        <v>17</v>
      </c>
      <c r="T5" s="531">
        <f t="shared" ref="T5" si="11">S5+1</f>
        <v>18</v>
      </c>
      <c r="U5" s="531">
        <f t="shared" ref="U5" si="12">T5+1</f>
        <v>19</v>
      </c>
      <c r="V5" s="531">
        <f t="shared" ref="V5" si="13">U5+1</f>
        <v>20</v>
      </c>
      <c r="W5" s="531">
        <f t="shared" ref="W5" si="14">V5+1</f>
        <v>21</v>
      </c>
      <c r="X5" s="531">
        <f t="shared" ref="X5" si="15">W5+1</f>
        <v>22</v>
      </c>
      <c r="Y5" s="531">
        <f t="shared" ref="Y5" si="16">X5+1</f>
        <v>23</v>
      </c>
      <c r="Z5" s="531">
        <f t="shared" ref="Z5" si="17">Y5+1</f>
        <v>24</v>
      </c>
      <c r="AA5" s="531">
        <f t="shared" ref="AA5" si="18">Z5+1</f>
        <v>25</v>
      </c>
      <c r="AB5" s="531">
        <f t="shared" ref="AB5" si="19">AA5+1</f>
        <v>26</v>
      </c>
      <c r="AC5" s="531">
        <f t="shared" ref="AC5" si="20">AB5+1</f>
        <v>27</v>
      </c>
      <c r="AD5" s="531">
        <f t="shared" ref="AD5" si="21">AC5+1</f>
        <v>28</v>
      </c>
      <c r="AE5" s="531">
        <f t="shared" ref="AE5" si="22">AD5+1</f>
        <v>29</v>
      </c>
      <c r="AF5" s="531">
        <f t="shared" ref="AF5" si="23">AE5+1</f>
        <v>30</v>
      </c>
      <c r="AG5" s="531">
        <f t="shared" ref="AG5" si="24">AF5+1</f>
        <v>31</v>
      </c>
      <c r="AH5" s="531">
        <f t="shared" ref="AH5" si="25">AG5+1</f>
        <v>32</v>
      </c>
      <c r="AI5" s="531">
        <f t="shared" ref="AI5" si="26">AH5+1</f>
        <v>33</v>
      </c>
      <c r="AJ5" s="531">
        <f t="shared" ref="AJ5" si="27">AI5+1</f>
        <v>34</v>
      </c>
      <c r="AK5" s="531">
        <f t="shared" ref="AK5" si="28">AJ5+1</f>
        <v>35</v>
      </c>
    </row>
    <row r="6" spans="1:41" s="533" customFormat="1" ht="16.5" customHeight="1">
      <c r="A6" s="101">
        <v>1</v>
      </c>
      <c r="B6" s="772" t="s">
        <v>92</v>
      </c>
      <c r="C6" s="1859">
        <f>'2-1-13 SIS'!L7</f>
        <v>18</v>
      </c>
      <c r="D6" s="1860">
        <f>'Table 3 Levels 1&amp;2'!AL8*90%</f>
        <v>4137.8294406509494</v>
      </c>
      <c r="E6" s="1860">
        <f>C6*D6</f>
        <v>74480.929931717095</v>
      </c>
      <c r="F6" s="1861">
        <f>'Table 4 Level 3'!P6*90%</f>
        <v>699.73200000000008</v>
      </c>
      <c r="G6" s="1861">
        <f>F6*C6</f>
        <v>12595.176000000001</v>
      </c>
      <c r="H6" s="1861">
        <f>E6+G6</f>
        <v>87076.105931717102</v>
      </c>
      <c r="I6" s="1861">
        <f>(('Table 3 Levels 1&amp;2'!AL8-D6)+('Table 4 Level 3'!P6-F6))*C6</f>
        <v>9675.1228813019025</v>
      </c>
      <c r="J6" s="1861">
        <f>+'[3]Oct midyear LA Connections'!K4</f>
        <v>4837.5614406509494</v>
      </c>
      <c r="K6" s="1861">
        <f>'[3]Feb midyear LA Connections'!K4</f>
        <v>-12093.903601627373</v>
      </c>
      <c r="L6" s="1861">
        <f>+J6+K6</f>
        <v>-7256.3421609764237</v>
      </c>
      <c r="M6" s="1861">
        <f>+H6+L6</f>
        <v>79819.763770740683</v>
      </c>
      <c r="N6" s="1861">
        <f>-0.25%*M6</f>
        <v>-199.54940942685172</v>
      </c>
      <c r="O6" s="1862">
        <f t="shared" ref="O6:O37" si="29">M6+N6</f>
        <v>79620.214361313832</v>
      </c>
      <c r="P6" s="1862">
        <f>'[34]LA Conn Adjustment'!X5+'[32]Oct midyear LA Connections'!K4+'[35]Feb midyear adj_Connections'!M6</f>
        <v>0</v>
      </c>
      <c r="Q6" s="1864">
        <f>SUM(O6:P6)</f>
        <v>79620.214361313832</v>
      </c>
      <c r="R6" s="1864">
        <f>+'[4]Table 5C3 - LA Connections EBR'!N4*8</f>
        <v>57904</v>
      </c>
      <c r="S6" s="1864">
        <f>+Q6-R6</f>
        <v>21716.214361313832</v>
      </c>
      <c r="T6" s="1864">
        <f>ROUND(S6/4,0)</f>
        <v>5429</v>
      </c>
      <c r="U6" s="1866">
        <f>'Table 5C1A-Madison Prep'!T8*90%</f>
        <v>1962</v>
      </c>
      <c r="V6" s="1866">
        <f t="shared" ref="V6:V37" si="30">U6*C6</f>
        <v>35316</v>
      </c>
      <c r="W6" s="1932">
        <f>+'[3]Oct midyear LA Connections'!E4</f>
        <v>1</v>
      </c>
      <c r="X6" s="1866">
        <f>+U6*W6</f>
        <v>1962</v>
      </c>
      <c r="Y6" s="1932">
        <f>'[3]Feb midyear LA Connections'!E4</f>
        <v>-5</v>
      </c>
      <c r="Z6" s="1866">
        <f>(U6*Y6)*0.5</f>
        <v>-4905</v>
      </c>
      <c r="AA6" s="1866">
        <f>+X6+Z6</f>
        <v>-2943</v>
      </c>
      <c r="AB6" s="1866">
        <f>+V6+AA6</f>
        <v>32373</v>
      </c>
      <c r="AC6" s="1866">
        <f>AB6*-0.25%</f>
        <v>-80.932500000000005</v>
      </c>
      <c r="AD6" s="1866">
        <f>SUM(AB6:AC6)</f>
        <v>32292.067500000001</v>
      </c>
      <c r="AE6" s="1865">
        <f>'[34]LA Conn Adjustment'!AB5+'[32]Oct midyear LA Connections'!P4+'[35]Feb midyear adj_Connections'!S6</f>
        <v>0</v>
      </c>
      <c r="AF6" s="1867">
        <f>SUM(AD6:AE6)</f>
        <v>32292.067500000001</v>
      </c>
      <c r="AG6" s="1867">
        <f>+'[4]Table 5C3 - LA Connections EBR'!U4*8</f>
        <v>23352</v>
      </c>
      <c r="AH6" s="1867">
        <f>+AF6-AG6</f>
        <v>8940.067500000001</v>
      </c>
      <c r="AI6" s="1867">
        <f>ROUND(AH6/4,0)</f>
        <v>2235</v>
      </c>
      <c r="AJ6" s="1869">
        <f>AF6+Q6</f>
        <v>111912.28186131384</v>
      </c>
      <c r="AK6" s="1869">
        <f>T6+AI6</f>
        <v>7664</v>
      </c>
      <c r="AM6" s="2042">
        <f>-'[4]Table 5C3 - LA Connections EBR'!Q4</f>
        <v>88</v>
      </c>
      <c r="AN6" s="2042">
        <f>AC6</f>
        <v>-80.932500000000005</v>
      </c>
      <c r="AO6" s="2042">
        <f>SUM(AM6:AN6)</f>
        <v>7.0674999999999955</v>
      </c>
    </row>
    <row r="7" spans="1:41" s="533" customFormat="1" ht="16.5" customHeight="1">
      <c r="A7" s="101">
        <v>2</v>
      </c>
      <c r="B7" s="772" t="s">
        <v>93</v>
      </c>
      <c r="C7" s="1870">
        <f>'2-1-13 SIS'!L8</f>
        <v>2</v>
      </c>
      <c r="D7" s="1871">
        <f>'Table 3 Levels 1&amp;2'!AL9*90%</f>
        <v>5564.1882190624538</v>
      </c>
      <c r="E7" s="1871">
        <f t="shared" ref="E7:E70" si="31">C7*D7</f>
        <v>11128.376438124908</v>
      </c>
      <c r="F7" s="1872">
        <f>'Table 4 Level 3'!P7*90%</f>
        <v>758.08800000000008</v>
      </c>
      <c r="G7" s="1872">
        <f t="shared" ref="G7:G70" si="32">F7*C7</f>
        <v>1516.1760000000002</v>
      </c>
      <c r="H7" s="1872">
        <f t="shared" ref="H7:H70" si="33">E7+G7</f>
        <v>12644.552438124907</v>
      </c>
      <c r="I7" s="1872">
        <f>(('Table 3 Levels 1&amp;2'!AL9-D7)+('Table 4 Level 3'!P7-F7))*C7</f>
        <v>1404.9502709027674</v>
      </c>
      <c r="J7" s="1872">
        <f>+'[3]Oct midyear LA Connections'!K5</f>
        <v>37933.657314374723</v>
      </c>
      <c r="K7" s="1872">
        <f>'[3]Feb midyear LA Connections'!K5</f>
        <v>3161.1381095312267</v>
      </c>
      <c r="L7" s="1872">
        <f t="shared" ref="L7:L70" si="34">+J7+K7</f>
        <v>41094.795423905947</v>
      </c>
      <c r="M7" s="1872">
        <f t="shared" ref="M7:M70" si="35">+H7+L7</f>
        <v>53739.347862030852</v>
      </c>
      <c r="N7" s="1872">
        <f t="shared" ref="N7:N70" si="36">-0.25%*M7</f>
        <v>-134.34836965507714</v>
      </c>
      <c r="O7" s="1873">
        <f t="shared" si="29"/>
        <v>53604.999492375777</v>
      </c>
      <c r="P7" s="1873">
        <f>'[34]LA Conn Adjustment'!X6+'[32]Oct midyear LA Connections'!K5+'[35]Feb midyear adj_Connections'!M7</f>
        <v>0</v>
      </c>
      <c r="Q7" s="1874">
        <f t="shared" ref="Q7:Q70" si="37">SUM(O7:P7)</f>
        <v>53604.999492375777</v>
      </c>
      <c r="R7" s="1874">
        <f>+'[4]Table 5C3 - LA Connections EBR'!N5*8</f>
        <v>8408</v>
      </c>
      <c r="S7" s="1874">
        <f t="shared" ref="S7:S70" si="38">+Q7-R7</f>
        <v>45196.999492375777</v>
      </c>
      <c r="T7" s="1874">
        <f t="shared" ref="T7:T70" si="39">ROUND(S7/4,0)</f>
        <v>11299</v>
      </c>
      <c r="U7" s="1876">
        <f>'Table 5C1A-Madison Prep'!T9*90%</f>
        <v>2483.1</v>
      </c>
      <c r="V7" s="1876">
        <f t="shared" si="30"/>
        <v>4966.2</v>
      </c>
      <c r="W7" s="1933">
        <f>+'[3]Oct midyear LA Connections'!E5</f>
        <v>6</v>
      </c>
      <c r="X7" s="1876">
        <f t="shared" ref="X7:X70" si="40">+U7*W7</f>
        <v>14898.599999999999</v>
      </c>
      <c r="Y7" s="1933">
        <f>'[3]Feb midyear LA Connections'!E5</f>
        <v>1</v>
      </c>
      <c r="Z7" s="1876">
        <f t="shared" ref="Z7:Z70" si="41">(U7*Y7)*0.5</f>
        <v>1241.55</v>
      </c>
      <c r="AA7" s="1876">
        <f t="shared" ref="AA7:AA70" si="42">+X7+Z7</f>
        <v>16140.149999999998</v>
      </c>
      <c r="AB7" s="1876">
        <f t="shared" ref="AB7:AB70" si="43">+V7+AA7</f>
        <v>21106.35</v>
      </c>
      <c r="AC7" s="1876">
        <f t="shared" ref="AC7:AC70" si="44">AB7*-0.25%</f>
        <v>-52.765874999999994</v>
      </c>
      <c r="AD7" s="1876">
        <f t="shared" ref="AD7:AD70" si="45">SUM(AB7:AC7)</f>
        <v>21053.584124999998</v>
      </c>
      <c r="AE7" s="1875">
        <f>'[34]LA Conn Adjustment'!AB6+'[32]Oct midyear LA Connections'!P5+'[35]Feb midyear adj_Connections'!S7</f>
        <v>0</v>
      </c>
      <c r="AF7" s="1877">
        <f t="shared" ref="AF7:AF70" si="46">SUM(AD7:AE7)</f>
        <v>21053.584124999998</v>
      </c>
      <c r="AG7" s="1877">
        <f>+'[4]Table 5C3 - LA Connections EBR'!U5*8</f>
        <v>3144</v>
      </c>
      <c r="AH7" s="1877">
        <f t="shared" ref="AH7:AH70" si="47">+AF7-AG7</f>
        <v>17909.584124999998</v>
      </c>
      <c r="AI7" s="1877">
        <f t="shared" ref="AI7:AI70" si="48">ROUND(AH7/4,0)</f>
        <v>4477</v>
      </c>
      <c r="AJ7" s="1878">
        <f t="shared" ref="AJ7:AJ70" si="49">AF7+Q7</f>
        <v>74658.583617375771</v>
      </c>
      <c r="AK7" s="1878">
        <f t="shared" ref="AK7:AK70" si="50">T7+AI7</f>
        <v>15776</v>
      </c>
      <c r="AM7" s="2042">
        <f>-'[4]Table 5C3 - LA Connections EBR'!Q5</f>
        <v>12</v>
      </c>
      <c r="AN7" s="2042">
        <f t="shared" ref="AN7:AN70" si="51">AC7</f>
        <v>-52.765874999999994</v>
      </c>
      <c r="AO7" s="2042">
        <f t="shared" ref="AO7:AO70" si="52">SUM(AM7:AN7)</f>
        <v>-40.765874999999994</v>
      </c>
    </row>
    <row r="8" spans="1:41" s="533" customFormat="1" ht="16.5" customHeight="1">
      <c r="A8" s="101">
        <v>3</v>
      </c>
      <c r="B8" s="772" t="s">
        <v>94</v>
      </c>
      <c r="C8" s="1870">
        <f>'2-1-13 SIS'!L9</f>
        <v>27</v>
      </c>
      <c r="D8" s="1871">
        <f>'Table 3 Levels 1&amp;2'!AL10*90%</f>
        <v>3786.0396639168248</v>
      </c>
      <c r="E8" s="1871">
        <f t="shared" si="31"/>
        <v>102223.07092575426</v>
      </c>
      <c r="F8" s="1872">
        <f>'Table 4 Level 3'!P8*90%</f>
        <v>537.15600000000006</v>
      </c>
      <c r="G8" s="1872">
        <f t="shared" si="32"/>
        <v>14503.212000000001</v>
      </c>
      <c r="H8" s="1872">
        <f t="shared" si="33"/>
        <v>116726.28292575426</v>
      </c>
      <c r="I8" s="1872">
        <f>(('Table 3 Levels 1&amp;2'!AL10-D8)+('Table 4 Level 3'!P8-F8))*C8</f>
        <v>12969.586991750477</v>
      </c>
      <c r="J8" s="1872">
        <f>+'[3]Oct midyear LA Connections'!K6</f>
        <v>43231.956639168246</v>
      </c>
      <c r="K8" s="1872">
        <f>'[3]Feb midyear LA Connections'!K6</f>
        <v>12969.586991750475</v>
      </c>
      <c r="L8" s="1872">
        <f t="shared" si="34"/>
        <v>56201.543630918721</v>
      </c>
      <c r="M8" s="1872">
        <f t="shared" si="35"/>
        <v>172927.82655667298</v>
      </c>
      <c r="N8" s="1872">
        <f t="shared" si="36"/>
        <v>-432.31956639168249</v>
      </c>
      <c r="O8" s="1873">
        <f t="shared" si="29"/>
        <v>172495.50699028131</v>
      </c>
      <c r="P8" s="1873">
        <f>'[34]LA Conn Adjustment'!X7+'[32]Oct midyear LA Connections'!K6+'[35]Feb midyear adj_Connections'!M8</f>
        <v>0</v>
      </c>
      <c r="Q8" s="1874">
        <f t="shared" si="37"/>
        <v>172495.50699028131</v>
      </c>
      <c r="R8" s="1874">
        <f>+'[4]Table 5C3 - LA Connections EBR'!N6*8</f>
        <v>77624</v>
      </c>
      <c r="S8" s="1874">
        <f t="shared" si="38"/>
        <v>94871.506990281312</v>
      </c>
      <c r="T8" s="1874">
        <f t="shared" si="39"/>
        <v>23718</v>
      </c>
      <c r="U8" s="1876">
        <f>'Table 5C1A-Madison Prep'!T10*90%</f>
        <v>4984.2</v>
      </c>
      <c r="V8" s="1876">
        <f t="shared" si="30"/>
        <v>134573.4</v>
      </c>
      <c r="W8" s="1933">
        <f>+'[3]Oct midyear LA Connections'!E6</f>
        <v>10</v>
      </c>
      <c r="X8" s="1876">
        <f t="shared" si="40"/>
        <v>49842</v>
      </c>
      <c r="Y8" s="1933">
        <f>'[3]Feb midyear LA Connections'!E6</f>
        <v>6</v>
      </c>
      <c r="Z8" s="1876">
        <f t="shared" si="41"/>
        <v>14952.599999999999</v>
      </c>
      <c r="AA8" s="1876">
        <f t="shared" si="42"/>
        <v>64794.6</v>
      </c>
      <c r="AB8" s="1876">
        <f t="shared" si="43"/>
        <v>199368</v>
      </c>
      <c r="AC8" s="1876">
        <f t="shared" si="44"/>
        <v>-498.42</v>
      </c>
      <c r="AD8" s="1876">
        <f t="shared" si="45"/>
        <v>198869.58</v>
      </c>
      <c r="AE8" s="1875">
        <f>'[34]LA Conn Adjustment'!AB7+'[32]Oct midyear LA Connections'!P6+'[35]Feb midyear adj_Connections'!S8</f>
        <v>0</v>
      </c>
      <c r="AF8" s="1877">
        <f t="shared" si="46"/>
        <v>198869.58</v>
      </c>
      <c r="AG8" s="1877">
        <f>+'[4]Table 5C3 - LA Connections EBR'!U6*8</f>
        <v>87760</v>
      </c>
      <c r="AH8" s="1877">
        <f t="shared" si="47"/>
        <v>111109.57999999999</v>
      </c>
      <c r="AI8" s="1877">
        <f t="shared" si="48"/>
        <v>27777</v>
      </c>
      <c r="AJ8" s="1878">
        <f t="shared" si="49"/>
        <v>371365.0869902813</v>
      </c>
      <c r="AK8" s="1878">
        <f t="shared" si="50"/>
        <v>51495</v>
      </c>
      <c r="AM8" s="2042">
        <f>-'[4]Table 5C3 - LA Connections EBR'!Q6</f>
        <v>330</v>
      </c>
      <c r="AN8" s="2042">
        <f t="shared" si="51"/>
        <v>-498.42</v>
      </c>
      <c r="AO8" s="2042">
        <f t="shared" si="52"/>
        <v>-168.42000000000002</v>
      </c>
    </row>
    <row r="9" spans="1:41" s="533" customFormat="1" ht="16.5" customHeight="1">
      <c r="A9" s="101">
        <v>4</v>
      </c>
      <c r="B9" s="772" t="s">
        <v>95</v>
      </c>
      <c r="C9" s="1870">
        <f>'2-1-13 SIS'!L10</f>
        <v>3</v>
      </c>
      <c r="D9" s="1871">
        <f>'Table 3 Levels 1&amp;2'!AL11*90%</f>
        <v>5388.7494181907905</v>
      </c>
      <c r="E9" s="1871">
        <f t="shared" si="31"/>
        <v>16166.248254572372</v>
      </c>
      <c r="F9" s="1872">
        <f>'Table 4 Level 3'!P9*90%</f>
        <v>527.18399999999997</v>
      </c>
      <c r="G9" s="1872">
        <f t="shared" si="32"/>
        <v>1581.5519999999999</v>
      </c>
      <c r="H9" s="1872">
        <f t="shared" si="33"/>
        <v>17747.800254572372</v>
      </c>
      <c r="I9" s="1872">
        <f>(('Table 3 Levels 1&amp;2'!AL11-D9)+('Table 4 Level 3'!P9-F9))*C9</f>
        <v>1971.9778060635954</v>
      </c>
      <c r="J9" s="1872">
        <f>+'[3]Oct midyear LA Connections'!K7</f>
        <v>0</v>
      </c>
      <c r="K9" s="1872">
        <f>'[3]Feb midyear LA Connections'!K7</f>
        <v>0</v>
      </c>
      <c r="L9" s="1872">
        <f t="shared" si="34"/>
        <v>0</v>
      </c>
      <c r="M9" s="1872">
        <f t="shared" si="35"/>
        <v>17747.800254572372</v>
      </c>
      <c r="N9" s="1872">
        <f t="shared" si="36"/>
        <v>-44.369500636430928</v>
      </c>
      <c r="O9" s="1873">
        <f t="shared" si="29"/>
        <v>17703.43075393594</v>
      </c>
      <c r="P9" s="1873">
        <f>'[34]LA Conn Adjustment'!X8+'[32]Oct midyear LA Connections'!K7+'[35]Feb midyear adj_Connections'!M9</f>
        <v>0</v>
      </c>
      <c r="Q9" s="1874">
        <f t="shared" si="37"/>
        <v>17703.43075393594</v>
      </c>
      <c r="R9" s="1874">
        <f>+'[4]Table 5C3 - LA Connections EBR'!N7*8</f>
        <v>11800</v>
      </c>
      <c r="S9" s="1874">
        <f t="shared" si="38"/>
        <v>5903.4307539359397</v>
      </c>
      <c r="T9" s="1874">
        <f t="shared" si="39"/>
        <v>1476</v>
      </c>
      <c r="U9" s="1876">
        <f>'Table 5C1A-Madison Prep'!T11*90%</f>
        <v>3156.3</v>
      </c>
      <c r="V9" s="1876">
        <f t="shared" si="30"/>
        <v>9468.9000000000015</v>
      </c>
      <c r="W9" s="1933">
        <f>+'[3]Oct midyear LA Connections'!E7</f>
        <v>0</v>
      </c>
      <c r="X9" s="1876">
        <f t="shared" si="40"/>
        <v>0</v>
      </c>
      <c r="Y9" s="1933">
        <f>'[3]Feb midyear LA Connections'!E7</f>
        <v>0</v>
      </c>
      <c r="Z9" s="1876">
        <f t="shared" si="41"/>
        <v>0</v>
      </c>
      <c r="AA9" s="1876">
        <f t="shared" si="42"/>
        <v>0</v>
      </c>
      <c r="AB9" s="1876">
        <f t="shared" si="43"/>
        <v>9468.9000000000015</v>
      </c>
      <c r="AC9" s="1876">
        <f t="shared" si="44"/>
        <v>-23.672250000000005</v>
      </c>
      <c r="AD9" s="1876">
        <f t="shared" si="45"/>
        <v>9445.2277500000018</v>
      </c>
      <c r="AE9" s="1875">
        <f>'[34]LA Conn Adjustment'!AB8+'[32]Oct midyear LA Connections'!P7+'[35]Feb midyear adj_Connections'!S9</f>
        <v>0</v>
      </c>
      <c r="AF9" s="1877">
        <f t="shared" si="46"/>
        <v>9445.2277500000018</v>
      </c>
      <c r="AG9" s="1877">
        <f>+'[4]Table 5C3 - LA Connections EBR'!U7*8</f>
        <v>5440</v>
      </c>
      <c r="AH9" s="1877">
        <f t="shared" si="47"/>
        <v>4005.2277500000018</v>
      </c>
      <c r="AI9" s="1877">
        <f t="shared" si="48"/>
        <v>1001</v>
      </c>
      <c r="AJ9" s="1878">
        <f t="shared" si="49"/>
        <v>27148.658503935942</v>
      </c>
      <c r="AK9" s="1878">
        <f t="shared" si="50"/>
        <v>2477</v>
      </c>
      <c r="AM9" s="2042">
        <f>-'[4]Table 5C3 - LA Connections EBR'!Q7</f>
        <v>20</v>
      </c>
      <c r="AN9" s="2042">
        <f t="shared" si="51"/>
        <v>-23.672250000000005</v>
      </c>
      <c r="AO9" s="2042">
        <f t="shared" si="52"/>
        <v>-3.6722500000000053</v>
      </c>
    </row>
    <row r="10" spans="1:41" s="533" customFormat="1" ht="16.5" customHeight="1">
      <c r="A10" s="102">
        <v>5</v>
      </c>
      <c r="B10" s="773" t="s">
        <v>96</v>
      </c>
      <c r="C10" s="1879">
        <f>'2-1-13 SIS'!L11</f>
        <v>14</v>
      </c>
      <c r="D10" s="1880">
        <f>'Table 3 Levels 1&amp;2'!AL12*90%</f>
        <v>4488.1350234372067</v>
      </c>
      <c r="E10" s="1880">
        <f t="shared" si="31"/>
        <v>62833.890328120891</v>
      </c>
      <c r="F10" s="1881">
        <f>'Table 4 Level 3'!P10*90%</f>
        <v>500.31899999999996</v>
      </c>
      <c r="G10" s="1881">
        <f t="shared" si="32"/>
        <v>7004.4659999999994</v>
      </c>
      <c r="H10" s="1881">
        <f t="shared" si="33"/>
        <v>69838.356328120892</v>
      </c>
      <c r="I10" s="1881">
        <f>(('Table 3 Levels 1&amp;2'!AL12-D10)+('Table 4 Level 3'!P10-F10))*C10</f>
        <v>7759.8173697912107</v>
      </c>
      <c r="J10" s="1881">
        <f>+'[3]Oct midyear LA Connections'!K8</f>
        <v>0</v>
      </c>
      <c r="K10" s="1881">
        <f>'[3]Feb midyear LA Connections'!K8</f>
        <v>-4988.4540234372071</v>
      </c>
      <c r="L10" s="1881">
        <f t="shared" si="34"/>
        <v>-4988.4540234372071</v>
      </c>
      <c r="M10" s="1881">
        <f t="shared" si="35"/>
        <v>64849.902304683681</v>
      </c>
      <c r="N10" s="1881">
        <f t="shared" si="36"/>
        <v>-162.1247557617092</v>
      </c>
      <c r="O10" s="1882">
        <f t="shared" si="29"/>
        <v>64687.777548921971</v>
      </c>
      <c r="P10" s="1882">
        <f>'[34]LA Conn Adjustment'!X9+'[32]Oct midyear LA Connections'!K8+'[35]Feb midyear adj_Connections'!M10</f>
        <v>0</v>
      </c>
      <c r="Q10" s="1883">
        <f t="shared" si="37"/>
        <v>64687.777548921971</v>
      </c>
      <c r="R10" s="1883">
        <f>+'[4]Table 5C3 - LA Connections EBR'!N8*8</f>
        <v>46440</v>
      </c>
      <c r="S10" s="1883">
        <f t="shared" si="38"/>
        <v>18247.777548921971</v>
      </c>
      <c r="T10" s="1883">
        <f t="shared" si="39"/>
        <v>4562</v>
      </c>
      <c r="U10" s="1885">
        <f>'Table 5C1A-Madison Prep'!T12*90%</f>
        <v>1877.4</v>
      </c>
      <c r="V10" s="1885">
        <f t="shared" si="30"/>
        <v>26283.600000000002</v>
      </c>
      <c r="W10" s="1934">
        <f>+'[3]Oct midyear LA Connections'!E8</f>
        <v>0</v>
      </c>
      <c r="X10" s="1885">
        <f t="shared" si="40"/>
        <v>0</v>
      </c>
      <c r="Y10" s="1934">
        <f>'[3]Feb midyear LA Connections'!E8</f>
        <v>-2</v>
      </c>
      <c r="Z10" s="1885">
        <f t="shared" si="41"/>
        <v>-1877.4</v>
      </c>
      <c r="AA10" s="1885">
        <f t="shared" si="42"/>
        <v>-1877.4</v>
      </c>
      <c r="AB10" s="1885">
        <f t="shared" si="43"/>
        <v>24406.2</v>
      </c>
      <c r="AC10" s="1885">
        <f t="shared" si="44"/>
        <v>-61.015500000000003</v>
      </c>
      <c r="AD10" s="1885">
        <f t="shared" si="45"/>
        <v>24345.184499999999</v>
      </c>
      <c r="AE10" s="1884">
        <f>'[34]LA Conn Adjustment'!AB9+'[32]Oct midyear LA Connections'!P8+'[35]Feb midyear adj_Connections'!S10</f>
        <v>0</v>
      </c>
      <c r="AF10" s="1886">
        <f t="shared" si="46"/>
        <v>24345.184499999999</v>
      </c>
      <c r="AG10" s="1886">
        <f>+'[4]Table 5C3 - LA Connections EBR'!U8*8</f>
        <v>14672</v>
      </c>
      <c r="AH10" s="1886">
        <f t="shared" si="47"/>
        <v>9673.1844999999994</v>
      </c>
      <c r="AI10" s="1886">
        <f t="shared" si="48"/>
        <v>2418</v>
      </c>
      <c r="AJ10" s="1887">
        <f t="shared" si="49"/>
        <v>89032.962048921967</v>
      </c>
      <c r="AK10" s="1887">
        <f t="shared" si="50"/>
        <v>6980</v>
      </c>
      <c r="AM10" s="2042">
        <f>-'[4]Table 5C3 - LA Connections EBR'!Q8</f>
        <v>55</v>
      </c>
      <c r="AN10" s="2042">
        <f t="shared" si="51"/>
        <v>-61.015500000000003</v>
      </c>
      <c r="AO10" s="2042">
        <f t="shared" si="52"/>
        <v>-6.015500000000003</v>
      </c>
    </row>
    <row r="11" spans="1:41" s="533" customFormat="1" ht="16.5" customHeight="1">
      <c r="A11" s="101">
        <v>6</v>
      </c>
      <c r="B11" s="772" t="s">
        <v>97</v>
      </c>
      <c r="C11" s="1859">
        <f>'2-1-13 SIS'!L12</f>
        <v>22</v>
      </c>
      <c r="D11" s="1860">
        <f>'Table 3 Levels 1&amp;2'!AL13*90%</f>
        <v>4871.5095063834533</v>
      </c>
      <c r="E11" s="1860">
        <f t="shared" si="31"/>
        <v>107173.20914043597</v>
      </c>
      <c r="F11" s="1861">
        <f>'Table 4 Level 3'!P11*90%</f>
        <v>490.9319999999999</v>
      </c>
      <c r="G11" s="1861">
        <f t="shared" si="32"/>
        <v>10800.503999999997</v>
      </c>
      <c r="H11" s="1861">
        <f t="shared" si="33"/>
        <v>117973.71314043597</v>
      </c>
      <c r="I11" s="1861">
        <f>(('Table 3 Levels 1&amp;2'!AL13-D11)+('Table 4 Level 3'!P11-F11))*C11</f>
        <v>13108.190348937331</v>
      </c>
      <c r="J11" s="1861">
        <f>+'[3]Oct midyear LA Connections'!K9</f>
        <v>-64349.298076601437</v>
      </c>
      <c r="K11" s="1861">
        <f>'[3]Feb midyear LA Connections'!K9</f>
        <v>0</v>
      </c>
      <c r="L11" s="1861">
        <f t="shared" si="34"/>
        <v>-64349.298076601437</v>
      </c>
      <c r="M11" s="1861">
        <f t="shared" si="35"/>
        <v>53624.415063834531</v>
      </c>
      <c r="N11" s="1861">
        <f t="shared" si="36"/>
        <v>-134.06103765958633</v>
      </c>
      <c r="O11" s="1862">
        <f t="shared" si="29"/>
        <v>53490.354026174944</v>
      </c>
      <c r="P11" s="1862">
        <f>'[34]LA Conn Adjustment'!X10+'[32]Oct midyear LA Connections'!K9+'[35]Feb midyear adj_Connections'!M11</f>
        <v>0</v>
      </c>
      <c r="Q11" s="1864">
        <f t="shared" si="37"/>
        <v>53490.354026174944</v>
      </c>
      <c r="R11" s="1864">
        <f>+'[4]Table 5C3 - LA Connections EBR'!N9*8</f>
        <v>78456</v>
      </c>
      <c r="S11" s="1864">
        <f t="shared" si="38"/>
        <v>-24965.645973825056</v>
      </c>
      <c r="T11" s="1864">
        <f t="shared" si="39"/>
        <v>-6241</v>
      </c>
      <c r="U11" s="1866">
        <f>'Table 5C1A-Madison Prep'!T13*90%</f>
        <v>3314.7000000000003</v>
      </c>
      <c r="V11" s="1866">
        <f t="shared" si="30"/>
        <v>72923.400000000009</v>
      </c>
      <c r="W11" s="1932">
        <f>+'[3]Oct midyear LA Connections'!E9</f>
        <v>-12</v>
      </c>
      <c r="X11" s="1866">
        <f t="shared" si="40"/>
        <v>-39776.400000000001</v>
      </c>
      <c r="Y11" s="1932">
        <f>'[3]Feb midyear LA Connections'!E9</f>
        <v>0</v>
      </c>
      <c r="Z11" s="1866">
        <f t="shared" si="41"/>
        <v>0</v>
      </c>
      <c r="AA11" s="1866">
        <f t="shared" si="42"/>
        <v>-39776.400000000001</v>
      </c>
      <c r="AB11" s="1866">
        <f t="shared" si="43"/>
        <v>33147.000000000007</v>
      </c>
      <c r="AC11" s="1866">
        <f t="shared" si="44"/>
        <v>-82.867500000000021</v>
      </c>
      <c r="AD11" s="1866">
        <f t="shared" si="45"/>
        <v>33064.132500000007</v>
      </c>
      <c r="AE11" s="1865">
        <f>'[34]LA Conn Adjustment'!AB10+'[32]Oct midyear LA Connections'!P9+'[35]Feb midyear adj_Connections'!S11</f>
        <v>0</v>
      </c>
      <c r="AF11" s="1867">
        <f t="shared" si="46"/>
        <v>33064.132500000007</v>
      </c>
      <c r="AG11" s="1867">
        <f>+'[4]Table 5C3 - LA Connections EBR'!U9*8</f>
        <v>49176</v>
      </c>
      <c r="AH11" s="1867">
        <f t="shared" si="47"/>
        <v>-16111.867499999993</v>
      </c>
      <c r="AI11" s="1867">
        <f t="shared" si="48"/>
        <v>-4028</v>
      </c>
      <c r="AJ11" s="1869">
        <f t="shared" si="49"/>
        <v>86554.486526174951</v>
      </c>
      <c r="AK11" s="1869">
        <f t="shared" si="50"/>
        <v>-10269</v>
      </c>
      <c r="AM11" s="2042">
        <f>-'[4]Table 5C3 - LA Connections EBR'!Q9</f>
        <v>185</v>
      </c>
      <c r="AN11" s="2042">
        <f t="shared" si="51"/>
        <v>-82.867500000000021</v>
      </c>
      <c r="AO11" s="2042">
        <f t="shared" si="52"/>
        <v>102.13249999999998</v>
      </c>
    </row>
    <row r="12" spans="1:41" s="533" customFormat="1" ht="16.5" customHeight="1">
      <c r="A12" s="101">
        <v>7</v>
      </c>
      <c r="B12" s="772" t="s">
        <v>98</v>
      </c>
      <c r="C12" s="1870">
        <f>'2-1-13 SIS'!L13</f>
        <v>8</v>
      </c>
      <c r="D12" s="1871">
        <f>'Table 3 Levels 1&amp;2'!AL14*90%</f>
        <v>1589.4921243758511</v>
      </c>
      <c r="E12" s="1871">
        <f t="shared" si="31"/>
        <v>12715.936995006809</v>
      </c>
      <c r="F12" s="1872">
        <f>'Table 4 Level 3'!P12*90%</f>
        <v>681.22799999999984</v>
      </c>
      <c r="G12" s="1872">
        <f t="shared" si="32"/>
        <v>5449.8239999999987</v>
      </c>
      <c r="H12" s="1872">
        <f t="shared" si="33"/>
        <v>18165.760995006807</v>
      </c>
      <c r="I12" s="1872">
        <f>(('Table 3 Levels 1&amp;2'!AL14-D12)+('Table 4 Level 3'!P12-F12))*C12</f>
        <v>2018.4178883340901</v>
      </c>
      <c r="J12" s="1872">
        <f>+'[3]Oct midyear LA Connections'!K10</f>
        <v>-4541.4402487517018</v>
      </c>
      <c r="K12" s="1872">
        <f>'[3]Feb midyear LA Connections'!K10</f>
        <v>0</v>
      </c>
      <c r="L12" s="1872">
        <f t="shared" si="34"/>
        <v>-4541.4402487517018</v>
      </c>
      <c r="M12" s="1872">
        <f t="shared" si="35"/>
        <v>13624.320746255105</v>
      </c>
      <c r="N12" s="1872">
        <f t="shared" si="36"/>
        <v>-34.060801865637764</v>
      </c>
      <c r="O12" s="1873">
        <f t="shared" si="29"/>
        <v>13590.259944389467</v>
      </c>
      <c r="P12" s="1873">
        <f>'[34]LA Conn Adjustment'!X11+'[32]Oct midyear LA Connections'!K10+'[35]Feb midyear adj_Connections'!M12</f>
        <v>0</v>
      </c>
      <c r="Q12" s="1874">
        <f t="shared" si="37"/>
        <v>13590.259944389467</v>
      </c>
      <c r="R12" s="1874">
        <f>+'[4]Table 5C3 - LA Connections EBR'!N10*8</f>
        <v>12080</v>
      </c>
      <c r="S12" s="1874">
        <f t="shared" si="38"/>
        <v>1510.2599443894669</v>
      </c>
      <c r="T12" s="1874">
        <f t="shared" si="39"/>
        <v>378</v>
      </c>
      <c r="U12" s="1876">
        <f>'Table 5C1A-Madison Prep'!T14*90%</f>
        <v>10620.9</v>
      </c>
      <c r="V12" s="1876">
        <f t="shared" si="30"/>
        <v>84967.2</v>
      </c>
      <c r="W12" s="1933">
        <f>+'[3]Oct midyear LA Connections'!E10</f>
        <v>-2</v>
      </c>
      <c r="X12" s="1876">
        <f t="shared" si="40"/>
        <v>-21241.8</v>
      </c>
      <c r="Y12" s="1933">
        <f>'[3]Feb midyear LA Connections'!E10</f>
        <v>0</v>
      </c>
      <c r="Z12" s="1876">
        <f t="shared" si="41"/>
        <v>0</v>
      </c>
      <c r="AA12" s="1876">
        <f t="shared" si="42"/>
        <v>-21241.8</v>
      </c>
      <c r="AB12" s="1876">
        <f t="shared" si="43"/>
        <v>63725.399999999994</v>
      </c>
      <c r="AC12" s="1876">
        <f t="shared" si="44"/>
        <v>-159.31349999999998</v>
      </c>
      <c r="AD12" s="1876">
        <f t="shared" si="45"/>
        <v>63566.086499999998</v>
      </c>
      <c r="AE12" s="1875">
        <f>'[34]LA Conn Adjustment'!AB11+'[32]Oct midyear LA Connections'!P10+'[35]Feb midyear adj_Connections'!S12</f>
        <v>0</v>
      </c>
      <c r="AF12" s="1877">
        <f t="shared" si="46"/>
        <v>63566.086499999998</v>
      </c>
      <c r="AG12" s="1877">
        <f>+'[4]Table 5C3 - LA Connections EBR'!U10*8</f>
        <v>54240</v>
      </c>
      <c r="AH12" s="1877">
        <f t="shared" si="47"/>
        <v>9326.0864999999976</v>
      </c>
      <c r="AI12" s="1877">
        <f t="shared" si="48"/>
        <v>2332</v>
      </c>
      <c r="AJ12" s="1878">
        <f t="shared" si="49"/>
        <v>77156.346444389463</v>
      </c>
      <c r="AK12" s="1878">
        <f t="shared" si="50"/>
        <v>2710</v>
      </c>
      <c r="AM12" s="2042">
        <f>-'[4]Table 5C3 - LA Connections EBR'!Q10</f>
        <v>204</v>
      </c>
      <c r="AN12" s="2042">
        <f t="shared" si="51"/>
        <v>-159.31349999999998</v>
      </c>
      <c r="AO12" s="2042">
        <f t="shared" si="52"/>
        <v>44.686500000000024</v>
      </c>
    </row>
    <row r="13" spans="1:41" s="533" customFormat="1" ht="16.5" customHeight="1">
      <c r="A13" s="101">
        <v>8</v>
      </c>
      <c r="B13" s="772" t="s">
        <v>99</v>
      </c>
      <c r="C13" s="1870">
        <f>'2-1-13 SIS'!L14</f>
        <v>45</v>
      </c>
      <c r="D13" s="1871">
        <f>'Table 3 Levels 1&amp;2'!AL15*90%</f>
        <v>3860.5566246041099</v>
      </c>
      <c r="E13" s="1871">
        <f t="shared" si="31"/>
        <v>173725.04810718494</v>
      </c>
      <c r="F13" s="1872">
        <f>'Table 4 Level 3'!P13*90%</f>
        <v>653.18399999999997</v>
      </c>
      <c r="G13" s="1872">
        <f t="shared" si="32"/>
        <v>29393.279999999999</v>
      </c>
      <c r="H13" s="1872">
        <f t="shared" si="33"/>
        <v>203118.32810718493</v>
      </c>
      <c r="I13" s="1872">
        <f>(('Table 3 Levels 1&amp;2'!AL15-D13)+('Table 4 Level 3'!P13-F13))*C13</f>
        <v>22568.703123020547</v>
      </c>
      <c r="J13" s="1872">
        <f>+'[3]Oct midyear LA Connections'!K11</f>
        <v>-18054.96249841644</v>
      </c>
      <c r="K13" s="1872">
        <f>'[3]Feb midyear LA Connections'!K11</f>
        <v>-4513.7406246041101</v>
      </c>
      <c r="L13" s="1872">
        <f t="shared" si="34"/>
        <v>-22568.70312302055</v>
      </c>
      <c r="M13" s="1872">
        <f t="shared" si="35"/>
        <v>180549.62498416437</v>
      </c>
      <c r="N13" s="1872">
        <f t="shared" si="36"/>
        <v>-451.37406246041093</v>
      </c>
      <c r="O13" s="1873">
        <f t="shared" si="29"/>
        <v>180098.25092170396</v>
      </c>
      <c r="P13" s="1873">
        <f>'[34]LA Conn Adjustment'!X12+'[32]Oct midyear LA Connections'!K11+'[35]Feb midyear adj_Connections'!M13</f>
        <v>0</v>
      </c>
      <c r="Q13" s="1874">
        <f t="shared" si="37"/>
        <v>180098.25092170396</v>
      </c>
      <c r="R13" s="1874">
        <f>+'[4]Table 5C3 - LA Connections EBR'!N11*8</f>
        <v>135072</v>
      </c>
      <c r="S13" s="1874">
        <f t="shared" si="38"/>
        <v>45026.250921703962</v>
      </c>
      <c r="T13" s="1874">
        <f t="shared" si="39"/>
        <v>11257</v>
      </c>
      <c r="U13" s="1876">
        <f>'Table 5C1A-Madison Prep'!T15*90%</f>
        <v>3589.2000000000003</v>
      </c>
      <c r="V13" s="1876">
        <f t="shared" si="30"/>
        <v>161514</v>
      </c>
      <c r="W13" s="1933">
        <f>+'[3]Oct midyear LA Connections'!E11</f>
        <v>-4</v>
      </c>
      <c r="X13" s="1876">
        <f t="shared" si="40"/>
        <v>-14356.800000000001</v>
      </c>
      <c r="Y13" s="1933">
        <f>'[3]Feb midyear LA Connections'!E11</f>
        <v>-2</v>
      </c>
      <c r="Z13" s="1876">
        <f t="shared" si="41"/>
        <v>-3589.2000000000003</v>
      </c>
      <c r="AA13" s="1876">
        <f t="shared" si="42"/>
        <v>-17946</v>
      </c>
      <c r="AB13" s="1876">
        <f t="shared" si="43"/>
        <v>143568</v>
      </c>
      <c r="AC13" s="1876">
        <f t="shared" si="44"/>
        <v>-358.92</v>
      </c>
      <c r="AD13" s="1876">
        <f t="shared" si="45"/>
        <v>143209.07999999999</v>
      </c>
      <c r="AE13" s="1875">
        <f>'[34]LA Conn Adjustment'!AB12+'[32]Oct midyear LA Connections'!P11+'[35]Feb midyear adj_Connections'!S13</f>
        <v>0</v>
      </c>
      <c r="AF13" s="1877">
        <f t="shared" si="46"/>
        <v>143209.07999999999</v>
      </c>
      <c r="AG13" s="1877">
        <f>+'[4]Table 5C3 - LA Connections EBR'!U11*8</f>
        <v>105440</v>
      </c>
      <c r="AH13" s="1877">
        <f t="shared" si="47"/>
        <v>37769.079999999987</v>
      </c>
      <c r="AI13" s="1877">
        <f t="shared" si="48"/>
        <v>9442</v>
      </c>
      <c r="AJ13" s="1878">
        <f t="shared" si="49"/>
        <v>323307.33092170395</v>
      </c>
      <c r="AK13" s="1878">
        <f t="shared" si="50"/>
        <v>20699</v>
      </c>
      <c r="AM13" s="2042">
        <f>-'[4]Table 5C3 - LA Connections EBR'!Q11</f>
        <v>396</v>
      </c>
      <c r="AN13" s="2042">
        <f t="shared" si="51"/>
        <v>-358.92</v>
      </c>
      <c r="AO13" s="2042">
        <f t="shared" si="52"/>
        <v>37.079999999999984</v>
      </c>
    </row>
    <row r="14" spans="1:41" s="533" customFormat="1" ht="16.5" customHeight="1">
      <c r="A14" s="101">
        <v>9</v>
      </c>
      <c r="B14" s="772" t="s">
        <v>100</v>
      </c>
      <c r="C14" s="1870">
        <f>'2-1-13 SIS'!L15</f>
        <v>65</v>
      </c>
      <c r="D14" s="1871">
        <f>'Table 3 Levels 1&amp;2'!AL16*90%</f>
        <v>3956.0539065200396</v>
      </c>
      <c r="E14" s="1871">
        <f t="shared" si="31"/>
        <v>257143.50392380258</v>
      </c>
      <c r="F14" s="1872">
        <f>'Table 4 Level 3'!P14*90%</f>
        <v>670.28399999999999</v>
      </c>
      <c r="G14" s="1872">
        <f t="shared" si="32"/>
        <v>43568.46</v>
      </c>
      <c r="H14" s="1872">
        <f t="shared" si="33"/>
        <v>300711.9639238026</v>
      </c>
      <c r="I14" s="1872">
        <f>(('Table 3 Levels 1&amp;2'!AL16-D14)+('Table 4 Level 3'!P14-F14))*C14</f>
        <v>33412.44043597806</v>
      </c>
      <c r="J14" s="1872">
        <f>+'[3]Oct midyear LA Connections'!K12</f>
        <v>37010.703252160318</v>
      </c>
      <c r="K14" s="1872">
        <f>'[3]Feb midyear LA Connections'!K12</f>
        <v>-18505.351626080159</v>
      </c>
      <c r="L14" s="1872">
        <f t="shared" si="34"/>
        <v>18505.351626080159</v>
      </c>
      <c r="M14" s="1872">
        <f t="shared" si="35"/>
        <v>319217.31554988277</v>
      </c>
      <c r="N14" s="1872">
        <f t="shared" si="36"/>
        <v>-798.04328887470695</v>
      </c>
      <c r="O14" s="1873">
        <f t="shared" si="29"/>
        <v>318419.27226100804</v>
      </c>
      <c r="P14" s="1873">
        <f>'[34]LA Conn Adjustment'!X13+'[32]Oct midyear LA Connections'!K12+'[35]Feb midyear adj_Connections'!M14</f>
        <v>0</v>
      </c>
      <c r="Q14" s="1874">
        <f t="shared" si="37"/>
        <v>318419.27226100804</v>
      </c>
      <c r="R14" s="1874">
        <f>+'[4]Table 5C3 - LA Connections EBR'!N12*8</f>
        <v>199976</v>
      </c>
      <c r="S14" s="1874">
        <f t="shared" si="38"/>
        <v>118443.27226100804</v>
      </c>
      <c r="T14" s="1874">
        <f t="shared" si="39"/>
        <v>29611</v>
      </c>
      <c r="U14" s="1876">
        <f>'Table 5C1A-Madison Prep'!T16*90%</f>
        <v>4209.3</v>
      </c>
      <c r="V14" s="1876">
        <f t="shared" si="30"/>
        <v>273604.5</v>
      </c>
      <c r="W14" s="1933">
        <f>+'[3]Oct midyear LA Connections'!E12</f>
        <v>8</v>
      </c>
      <c r="X14" s="1876">
        <f t="shared" si="40"/>
        <v>33674.400000000001</v>
      </c>
      <c r="Y14" s="1933">
        <f>'[3]Feb midyear LA Connections'!E12</f>
        <v>-8</v>
      </c>
      <c r="Z14" s="1876">
        <f t="shared" si="41"/>
        <v>-16837.2</v>
      </c>
      <c r="AA14" s="1876">
        <f t="shared" si="42"/>
        <v>16837.2</v>
      </c>
      <c r="AB14" s="1876">
        <f t="shared" si="43"/>
        <v>290441.7</v>
      </c>
      <c r="AC14" s="1876">
        <f t="shared" si="44"/>
        <v>-726.10425000000009</v>
      </c>
      <c r="AD14" s="1876">
        <f t="shared" si="45"/>
        <v>289715.59575000004</v>
      </c>
      <c r="AE14" s="1875">
        <f>'[34]LA Conn Adjustment'!AB13+'[32]Oct midyear LA Connections'!P12+'[35]Feb midyear adj_Connections'!S14</f>
        <v>0</v>
      </c>
      <c r="AF14" s="1877">
        <f t="shared" si="46"/>
        <v>289715.59575000004</v>
      </c>
      <c r="AG14" s="1877">
        <f>+'[4]Table 5C3 - LA Connections EBR'!U12*8</f>
        <v>180000</v>
      </c>
      <c r="AH14" s="1877">
        <f t="shared" si="47"/>
        <v>109715.59575000004</v>
      </c>
      <c r="AI14" s="1877">
        <f t="shared" si="48"/>
        <v>27429</v>
      </c>
      <c r="AJ14" s="1878">
        <f t="shared" si="49"/>
        <v>608134.86801100802</v>
      </c>
      <c r="AK14" s="1878">
        <f t="shared" si="50"/>
        <v>57040</v>
      </c>
      <c r="AM14" s="2042">
        <f>-'[4]Table 5C3 - LA Connections EBR'!Q12</f>
        <v>677</v>
      </c>
      <c r="AN14" s="2042">
        <f t="shared" si="51"/>
        <v>-726.10425000000009</v>
      </c>
      <c r="AO14" s="2042">
        <f t="shared" si="52"/>
        <v>-49.104250000000093</v>
      </c>
    </row>
    <row r="15" spans="1:41" s="533" customFormat="1" ht="16.5" customHeight="1">
      <c r="A15" s="102">
        <v>10</v>
      </c>
      <c r="B15" s="773" t="s">
        <v>101</v>
      </c>
      <c r="C15" s="1879">
        <f>'2-1-13 SIS'!L16</f>
        <v>53</v>
      </c>
      <c r="D15" s="1880">
        <f>'Table 3 Levels 1&amp;2'!AL17*90%</f>
        <v>3828.2382557093201</v>
      </c>
      <c r="E15" s="1880">
        <f t="shared" si="31"/>
        <v>202896.62755259397</v>
      </c>
      <c r="F15" s="1881">
        <f>'Table 4 Level 3'!P15*90%</f>
        <v>547.2360000000001</v>
      </c>
      <c r="G15" s="1881">
        <f t="shared" si="32"/>
        <v>29003.508000000005</v>
      </c>
      <c r="H15" s="1881">
        <f t="shared" si="33"/>
        <v>231900.13555259397</v>
      </c>
      <c r="I15" s="1881">
        <f>(('Table 3 Levels 1&amp;2'!AL17-D15)+('Table 4 Level 3'!P15-F15))*C15</f>
        <v>25766.681728065985</v>
      </c>
      <c r="J15" s="1881">
        <f>+'[3]Oct midyear LA Connections'!K13</f>
        <v>-39379.268301383883</v>
      </c>
      <c r="K15" s="1881">
        <f>'[3]Feb midyear LA Connections'!K13</f>
        <v>6563.2113835639811</v>
      </c>
      <c r="L15" s="1881">
        <f t="shared" si="34"/>
        <v>-32816.0569178199</v>
      </c>
      <c r="M15" s="1881">
        <f t="shared" si="35"/>
        <v>199084.07863477408</v>
      </c>
      <c r="N15" s="1881">
        <f t="shared" si="36"/>
        <v>-497.71019658693518</v>
      </c>
      <c r="O15" s="1882">
        <f t="shared" si="29"/>
        <v>198586.36843818714</v>
      </c>
      <c r="P15" s="1882">
        <f>'[34]LA Conn Adjustment'!X14+'[32]Oct midyear LA Connections'!K13+'[35]Feb midyear adj_Connections'!M15</f>
        <v>0</v>
      </c>
      <c r="Q15" s="1883">
        <f t="shared" si="37"/>
        <v>198586.36843818714</v>
      </c>
      <c r="R15" s="1883">
        <f>+'[4]Table 5C3 - LA Connections EBR'!N13*8</f>
        <v>154216</v>
      </c>
      <c r="S15" s="1883">
        <f t="shared" si="38"/>
        <v>44370.368438187143</v>
      </c>
      <c r="T15" s="1883">
        <f t="shared" si="39"/>
        <v>11093</v>
      </c>
      <c r="U15" s="1885">
        <f>'Table 5C1A-Madison Prep'!T17*90%</f>
        <v>4051.8</v>
      </c>
      <c r="V15" s="1885">
        <f t="shared" si="30"/>
        <v>214745.40000000002</v>
      </c>
      <c r="W15" s="1934">
        <f>+'[3]Oct midyear LA Connections'!E13</f>
        <v>-9</v>
      </c>
      <c r="X15" s="1885">
        <f t="shared" si="40"/>
        <v>-36466.200000000004</v>
      </c>
      <c r="Y15" s="1934">
        <f>'[3]Feb midyear LA Connections'!E13</f>
        <v>3</v>
      </c>
      <c r="Z15" s="1885">
        <f t="shared" si="41"/>
        <v>6077.7000000000007</v>
      </c>
      <c r="AA15" s="1885">
        <f t="shared" si="42"/>
        <v>-30388.500000000004</v>
      </c>
      <c r="AB15" s="1885">
        <f t="shared" si="43"/>
        <v>184356.90000000002</v>
      </c>
      <c r="AC15" s="1885">
        <f t="shared" si="44"/>
        <v>-460.89225000000005</v>
      </c>
      <c r="AD15" s="1885">
        <f t="shared" si="45"/>
        <v>183896.00775000002</v>
      </c>
      <c r="AE15" s="1884">
        <f>'[34]LA Conn Adjustment'!AB14+'[32]Oct midyear LA Connections'!P13+'[35]Feb midyear adj_Connections'!S15</f>
        <v>0</v>
      </c>
      <c r="AF15" s="1886">
        <f t="shared" si="46"/>
        <v>183896.00775000002</v>
      </c>
      <c r="AG15" s="1886">
        <f>+'[4]Table 5C3 - LA Connections EBR'!U13*8</f>
        <v>142360</v>
      </c>
      <c r="AH15" s="1886">
        <f t="shared" si="47"/>
        <v>41536.007750000019</v>
      </c>
      <c r="AI15" s="1886">
        <f t="shared" si="48"/>
        <v>10384</v>
      </c>
      <c r="AJ15" s="1887">
        <f t="shared" si="49"/>
        <v>382482.37618818716</v>
      </c>
      <c r="AK15" s="1887">
        <f t="shared" si="50"/>
        <v>21477</v>
      </c>
      <c r="AM15" s="2042">
        <f>-'[4]Table 5C3 - LA Connections EBR'!Q13</f>
        <v>535</v>
      </c>
      <c r="AN15" s="2042">
        <f t="shared" si="51"/>
        <v>-460.89225000000005</v>
      </c>
      <c r="AO15" s="2042">
        <f t="shared" si="52"/>
        <v>74.107749999999953</v>
      </c>
    </row>
    <row r="16" spans="1:41" s="533" customFormat="1" ht="16.5" customHeight="1">
      <c r="A16" s="101">
        <v>11</v>
      </c>
      <c r="B16" s="772" t="s">
        <v>102</v>
      </c>
      <c r="C16" s="1859">
        <f>'2-1-13 SIS'!L17</f>
        <v>2</v>
      </c>
      <c r="D16" s="1860">
        <f>'Table 3 Levels 1&amp;2'!AL18*90%</f>
        <v>6167.6224591845157</v>
      </c>
      <c r="E16" s="1860">
        <f t="shared" si="31"/>
        <v>12335.244918369031</v>
      </c>
      <c r="F16" s="1861">
        <f>'Table 4 Level 3'!P16*90%</f>
        <v>635.89499999999998</v>
      </c>
      <c r="G16" s="1861">
        <f t="shared" si="32"/>
        <v>1271.79</v>
      </c>
      <c r="H16" s="1861">
        <f t="shared" si="33"/>
        <v>13607.03491836903</v>
      </c>
      <c r="I16" s="1861">
        <f>(('Table 3 Levels 1&amp;2'!AL18-D16)+('Table 4 Level 3'!P16-F16))*C16</f>
        <v>1511.8927687076689</v>
      </c>
      <c r="J16" s="1861">
        <f>+'[3]Oct midyear LA Connections'!K14</f>
        <v>-6803.5174591845152</v>
      </c>
      <c r="K16" s="1861">
        <f>'[3]Feb midyear LA Connections'!K14</f>
        <v>0</v>
      </c>
      <c r="L16" s="1861">
        <f t="shared" si="34"/>
        <v>-6803.5174591845152</v>
      </c>
      <c r="M16" s="1861">
        <f t="shared" si="35"/>
        <v>6803.5174591845152</v>
      </c>
      <c r="N16" s="1861">
        <f t="shared" si="36"/>
        <v>-17.008793647961287</v>
      </c>
      <c r="O16" s="1862">
        <f t="shared" si="29"/>
        <v>6786.508665536554</v>
      </c>
      <c r="P16" s="1862">
        <f>'[34]LA Conn Adjustment'!X15+'[32]Oct midyear LA Connections'!K14+'[35]Feb midyear adj_Connections'!M16</f>
        <v>0</v>
      </c>
      <c r="Q16" s="1864">
        <f t="shared" si="37"/>
        <v>6786.508665536554</v>
      </c>
      <c r="R16" s="1864">
        <f>+'[4]Table 5C3 - LA Connections EBR'!N14*8</f>
        <v>9048</v>
      </c>
      <c r="S16" s="1864">
        <f t="shared" si="38"/>
        <v>-2261.491334463446</v>
      </c>
      <c r="T16" s="1864">
        <f t="shared" si="39"/>
        <v>-565</v>
      </c>
      <c r="U16" s="1866">
        <f>'Table 5C1A-Madison Prep'!T18*90%</f>
        <v>3398.4</v>
      </c>
      <c r="V16" s="1866">
        <f t="shared" si="30"/>
        <v>6796.8</v>
      </c>
      <c r="W16" s="1932">
        <f>+'[3]Oct midyear LA Connections'!E14</f>
        <v>-1</v>
      </c>
      <c r="X16" s="1866">
        <f t="shared" si="40"/>
        <v>-3398.4</v>
      </c>
      <c r="Y16" s="1932">
        <f>'[3]Feb midyear LA Connections'!E14</f>
        <v>0</v>
      </c>
      <c r="Z16" s="1866">
        <f t="shared" si="41"/>
        <v>0</v>
      </c>
      <c r="AA16" s="1866">
        <f t="shared" si="42"/>
        <v>-3398.4</v>
      </c>
      <c r="AB16" s="1866">
        <f t="shared" si="43"/>
        <v>3398.4</v>
      </c>
      <c r="AC16" s="1866">
        <f t="shared" si="44"/>
        <v>-8.4960000000000004</v>
      </c>
      <c r="AD16" s="1866">
        <f t="shared" si="45"/>
        <v>3389.904</v>
      </c>
      <c r="AE16" s="1865">
        <f>'[34]LA Conn Adjustment'!AB15+'[32]Oct midyear LA Connections'!P14+'[35]Feb midyear adj_Connections'!S16</f>
        <v>0</v>
      </c>
      <c r="AF16" s="1867">
        <f t="shared" si="46"/>
        <v>3389.904</v>
      </c>
      <c r="AG16" s="1867">
        <f>+'[4]Table 5C3 - LA Connections EBR'!U14*8</f>
        <v>4376</v>
      </c>
      <c r="AH16" s="1867">
        <f t="shared" si="47"/>
        <v>-986.096</v>
      </c>
      <c r="AI16" s="1867">
        <f t="shared" si="48"/>
        <v>-247</v>
      </c>
      <c r="AJ16" s="1869">
        <f t="shared" si="49"/>
        <v>10176.412665536554</v>
      </c>
      <c r="AK16" s="1869">
        <f t="shared" si="50"/>
        <v>-812</v>
      </c>
      <c r="AM16" s="2042">
        <f>-'[4]Table 5C3 - LA Connections EBR'!Q14</f>
        <v>16</v>
      </c>
      <c r="AN16" s="2042">
        <f t="shared" si="51"/>
        <v>-8.4960000000000004</v>
      </c>
      <c r="AO16" s="2042">
        <f t="shared" si="52"/>
        <v>7.5039999999999996</v>
      </c>
    </row>
    <row r="17" spans="1:41" s="533" customFormat="1" ht="16.5" customHeight="1">
      <c r="A17" s="101">
        <v>12</v>
      </c>
      <c r="B17" s="772" t="s">
        <v>103</v>
      </c>
      <c r="C17" s="1870">
        <f>'2-1-13 SIS'!L18</f>
        <v>1</v>
      </c>
      <c r="D17" s="1871">
        <f>'Table 3 Levels 1&amp;2'!AL19*90%</f>
        <v>1560.515045342127</v>
      </c>
      <c r="E17" s="1871">
        <f t="shared" si="31"/>
        <v>1560.515045342127</v>
      </c>
      <c r="F17" s="1872">
        <f>'Table 4 Level 3'!P17*90%</f>
        <v>956.97899999999993</v>
      </c>
      <c r="G17" s="1872">
        <f t="shared" si="32"/>
        <v>956.97899999999993</v>
      </c>
      <c r="H17" s="1872">
        <f t="shared" si="33"/>
        <v>2517.4940453421268</v>
      </c>
      <c r="I17" s="1872">
        <f>(('Table 3 Levels 1&amp;2'!AL19-D17)+('Table 4 Level 3'!P17-F17))*C17</f>
        <v>279.72156059356973</v>
      </c>
      <c r="J17" s="1872">
        <f>+'[3]Oct midyear LA Connections'!K15</f>
        <v>0</v>
      </c>
      <c r="K17" s="1872">
        <f>'[3]Feb midyear LA Connections'!K15</f>
        <v>0</v>
      </c>
      <c r="L17" s="1872">
        <f t="shared" si="34"/>
        <v>0</v>
      </c>
      <c r="M17" s="1872">
        <f t="shared" si="35"/>
        <v>2517.4940453421268</v>
      </c>
      <c r="N17" s="1872">
        <f t="shared" si="36"/>
        <v>-6.293735113355317</v>
      </c>
      <c r="O17" s="1873">
        <f t="shared" si="29"/>
        <v>2511.2003102287713</v>
      </c>
      <c r="P17" s="1873">
        <f>'[34]LA Conn Adjustment'!X16+'[32]Oct midyear LA Connections'!K15+'[35]Feb midyear adj_Connections'!M17</f>
        <v>0</v>
      </c>
      <c r="Q17" s="1874">
        <f t="shared" si="37"/>
        <v>2511.2003102287713</v>
      </c>
      <c r="R17" s="1874">
        <f>+'[4]Table 5C3 - LA Connections EBR'!N15*8</f>
        <v>1672</v>
      </c>
      <c r="S17" s="1874">
        <f t="shared" si="38"/>
        <v>839.20031022877129</v>
      </c>
      <c r="T17" s="1874">
        <f t="shared" si="39"/>
        <v>210</v>
      </c>
      <c r="U17" s="1876">
        <f>'Table 5C1A-Madison Prep'!T19*90%</f>
        <v>11980.800000000001</v>
      </c>
      <c r="V17" s="1876">
        <f t="shared" si="30"/>
        <v>11980.800000000001</v>
      </c>
      <c r="W17" s="1933">
        <f>+'[3]Oct midyear LA Connections'!E15</f>
        <v>0</v>
      </c>
      <c r="X17" s="1876">
        <f t="shared" si="40"/>
        <v>0</v>
      </c>
      <c r="Y17" s="1933">
        <f>'[3]Feb midyear LA Connections'!E15</f>
        <v>0</v>
      </c>
      <c r="Z17" s="1876">
        <f t="shared" si="41"/>
        <v>0</v>
      </c>
      <c r="AA17" s="1876">
        <f t="shared" si="42"/>
        <v>0</v>
      </c>
      <c r="AB17" s="1876">
        <f t="shared" si="43"/>
        <v>11980.800000000001</v>
      </c>
      <c r="AC17" s="1876">
        <f t="shared" si="44"/>
        <v>-29.952000000000002</v>
      </c>
      <c r="AD17" s="1876">
        <f t="shared" si="45"/>
        <v>11950.848000000002</v>
      </c>
      <c r="AE17" s="1875">
        <f>'[34]LA Conn Adjustment'!AB16+'[32]Oct midyear LA Connections'!P15+'[35]Feb midyear adj_Connections'!S17</f>
        <v>0</v>
      </c>
      <c r="AF17" s="1877">
        <f t="shared" si="46"/>
        <v>11950.848000000002</v>
      </c>
      <c r="AG17" s="1877">
        <f>+'[4]Table 5C3 - LA Connections EBR'!U15*8</f>
        <v>8240</v>
      </c>
      <c r="AH17" s="1877">
        <f t="shared" si="47"/>
        <v>3710.8480000000018</v>
      </c>
      <c r="AI17" s="1877">
        <f t="shared" si="48"/>
        <v>928</v>
      </c>
      <c r="AJ17" s="1878">
        <f t="shared" si="49"/>
        <v>14462.048310228773</v>
      </c>
      <c r="AK17" s="1878">
        <f t="shared" si="50"/>
        <v>1138</v>
      </c>
      <c r="AM17" s="2042">
        <f>-'[4]Table 5C3 - LA Connections EBR'!Q15</f>
        <v>31</v>
      </c>
      <c r="AN17" s="2042">
        <f t="shared" si="51"/>
        <v>-29.952000000000002</v>
      </c>
      <c r="AO17" s="2042">
        <f t="shared" si="52"/>
        <v>1.0479999999999983</v>
      </c>
    </row>
    <row r="18" spans="1:41" s="533" customFormat="1" ht="16.5" customHeight="1">
      <c r="A18" s="101">
        <v>13</v>
      </c>
      <c r="B18" s="772" t="s">
        <v>104</v>
      </c>
      <c r="C18" s="1870">
        <f>'2-1-13 SIS'!L19</f>
        <v>3</v>
      </c>
      <c r="D18" s="1871">
        <f>'Table 3 Levels 1&amp;2'!AL20*90%</f>
        <v>5628.7114773957792</v>
      </c>
      <c r="E18" s="1871">
        <f t="shared" si="31"/>
        <v>16886.134432187337</v>
      </c>
      <c r="F18" s="1872">
        <f>'Table 4 Level 3'!P18*90%</f>
        <v>674.48700000000008</v>
      </c>
      <c r="G18" s="1872">
        <f t="shared" si="32"/>
        <v>2023.4610000000002</v>
      </c>
      <c r="H18" s="1872">
        <f t="shared" si="33"/>
        <v>18909.595432187336</v>
      </c>
      <c r="I18" s="1872">
        <f>(('Table 3 Levels 1&amp;2'!AL20-D18)+('Table 4 Level 3'!P18-F18))*C18</f>
        <v>2101.0661591319249</v>
      </c>
      <c r="J18" s="1872">
        <f>+'[3]Oct midyear LA Connections'!K16</f>
        <v>31515.992386978898</v>
      </c>
      <c r="K18" s="1872">
        <f>'[3]Feb midyear LA Connections'!K16</f>
        <v>3151.5992386978896</v>
      </c>
      <c r="L18" s="1872">
        <f t="shared" si="34"/>
        <v>34667.591625676789</v>
      </c>
      <c r="M18" s="1872">
        <f t="shared" si="35"/>
        <v>53577.187057864125</v>
      </c>
      <c r="N18" s="1872">
        <f t="shared" si="36"/>
        <v>-133.94296764466031</v>
      </c>
      <c r="O18" s="1873">
        <f t="shared" si="29"/>
        <v>53443.244090219465</v>
      </c>
      <c r="P18" s="1873">
        <f>'[34]LA Conn Adjustment'!X17+'[32]Oct midyear LA Connections'!K16+'[35]Feb midyear adj_Connections'!M18</f>
        <v>0</v>
      </c>
      <c r="Q18" s="1874">
        <f t="shared" si="37"/>
        <v>53443.244090219465</v>
      </c>
      <c r="R18" s="1874">
        <f>+'[4]Table 5C3 - LA Connections EBR'!N16*8</f>
        <v>12576</v>
      </c>
      <c r="S18" s="1874">
        <f t="shared" si="38"/>
        <v>40867.244090219465</v>
      </c>
      <c r="T18" s="1874">
        <f t="shared" si="39"/>
        <v>10217</v>
      </c>
      <c r="U18" s="1876">
        <f>'Table 5C1A-Madison Prep'!T20*90%</f>
        <v>2403.9</v>
      </c>
      <c r="V18" s="1876">
        <f t="shared" si="30"/>
        <v>7211.7000000000007</v>
      </c>
      <c r="W18" s="1933">
        <f>+'[3]Oct midyear LA Connections'!E16</f>
        <v>5</v>
      </c>
      <c r="X18" s="1876">
        <f t="shared" si="40"/>
        <v>12019.5</v>
      </c>
      <c r="Y18" s="1933">
        <f>'[3]Feb midyear LA Connections'!E16</f>
        <v>1</v>
      </c>
      <c r="Z18" s="1876">
        <f t="shared" si="41"/>
        <v>1201.95</v>
      </c>
      <c r="AA18" s="1876">
        <f t="shared" si="42"/>
        <v>13221.45</v>
      </c>
      <c r="AB18" s="1876">
        <f t="shared" si="43"/>
        <v>20433.150000000001</v>
      </c>
      <c r="AC18" s="1876">
        <f t="shared" si="44"/>
        <v>-51.082875000000001</v>
      </c>
      <c r="AD18" s="1876">
        <f t="shared" si="45"/>
        <v>20382.067125000001</v>
      </c>
      <c r="AE18" s="1875">
        <f>'[34]LA Conn Adjustment'!AB17+'[32]Oct midyear LA Connections'!P16+'[35]Feb midyear adj_Connections'!S18</f>
        <v>0</v>
      </c>
      <c r="AF18" s="1877">
        <f t="shared" si="46"/>
        <v>20382.067125000001</v>
      </c>
      <c r="AG18" s="1877">
        <f>+'[4]Table 5C3 - LA Connections EBR'!U16*8</f>
        <v>4536</v>
      </c>
      <c r="AH18" s="1877">
        <f t="shared" si="47"/>
        <v>15846.067125000001</v>
      </c>
      <c r="AI18" s="1877">
        <f t="shared" si="48"/>
        <v>3962</v>
      </c>
      <c r="AJ18" s="1878">
        <f t="shared" si="49"/>
        <v>73825.311215219466</v>
      </c>
      <c r="AK18" s="1878">
        <f t="shared" si="50"/>
        <v>14179</v>
      </c>
      <c r="AM18" s="2042">
        <f>-'[4]Table 5C3 - LA Connections EBR'!Q16</f>
        <v>17</v>
      </c>
      <c r="AN18" s="2042">
        <f t="shared" si="51"/>
        <v>-51.082875000000001</v>
      </c>
      <c r="AO18" s="2042">
        <f t="shared" si="52"/>
        <v>-34.082875000000001</v>
      </c>
    </row>
    <row r="19" spans="1:41" s="533" customFormat="1" ht="16.5" customHeight="1">
      <c r="A19" s="101">
        <v>14</v>
      </c>
      <c r="B19" s="772" t="s">
        <v>105</v>
      </c>
      <c r="C19" s="1870">
        <f>'2-1-13 SIS'!L20</f>
        <v>11</v>
      </c>
      <c r="D19" s="1871">
        <f>'Table 3 Levels 1&amp;2'!AL21*90%</f>
        <v>4840.1268694690916</v>
      </c>
      <c r="E19" s="1871">
        <f t="shared" si="31"/>
        <v>53241.395564160004</v>
      </c>
      <c r="F19" s="1872">
        <f>'Table 4 Level 3'!P19*90%</f>
        <v>728.98199999999997</v>
      </c>
      <c r="G19" s="1872">
        <f t="shared" si="32"/>
        <v>8018.8019999999997</v>
      </c>
      <c r="H19" s="1872">
        <f t="shared" si="33"/>
        <v>61260.19756416</v>
      </c>
      <c r="I19" s="1872">
        <f>(('Table 3 Levels 1&amp;2'!AL21-D19)+('Table 4 Level 3'!P19-F19))*C19</f>
        <v>6806.6886182399967</v>
      </c>
      <c r="J19" s="1872">
        <f>+'[3]Oct midyear LA Connections'!K17</f>
        <v>11138.217738938183</v>
      </c>
      <c r="K19" s="1872">
        <f>'[3]Feb midyear LA Connections'!K17</f>
        <v>11138.217738938183</v>
      </c>
      <c r="L19" s="1872">
        <f t="shared" si="34"/>
        <v>22276.435477876366</v>
      </c>
      <c r="M19" s="1872">
        <f t="shared" si="35"/>
        <v>83536.633042036367</v>
      </c>
      <c r="N19" s="1872">
        <f t="shared" si="36"/>
        <v>-208.84158260509093</v>
      </c>
      <c r="O19" s="1873">
        <f t="shared" si="29"/>
        <v>83327.791459431275</v>
      </c>
      <c r="P19" s="1873">
        <f>'[34]LA Conn Adjustment'!X18+'[32]Oct midyear LA Connections'!K17+'[35]Feb midyear adj_Connections'!M19</f>
        <v>0</v>
      </c>
      <c r="Q19" s="1874">
        <f t="shared" si="37"/>
        <v>83327.791459431275</v>
      </c>
      <c r="R19" s="1874">
        <f>+'[4]Table 5C3 - LA Connections EBR'!N17*8</f>
        <v>40736</v>
      </c>
      <c r="S19" s="1874">
        <f t="shared" si="38"/>
        <v>42591.791459431275</v>
      </c>
      <c r="T19" s="1874">
        <f t="shared" si="39"/>
        <v>10648</v>
      </c>
      <c r="U19" s="1876">
        <f>'Table 5C1A-Madison Prep'!T21*90%</f>
        <v>3995.1</v>
      </c>
      <c r="V19" s="1876">
        <f t="shared" si="30"/>
        <v>43946.1</v>
      </c>
      <c r="W19" s="1933">
        <f>+'[3]Oct midyear LA Connections'!E17</f>
        <v>2</v>
      </c>
      <c r="X19" s="1876">
        <f t="shared" si="40"/>
        <v>7990.2</v>
      </c>
      <c r="Y19" s="1933">
        <f>'[3]Feb midyear LA Connections'!E17</f>
        <v>4</v>
      </c>
      <c r="Z19" s="1876">
        <f t="shared" si="41"/>
        <v>7990.2</v>
      </c>
      <c r="AA19" s="1876">
        <f t="shared" si="42"/>
        <v>15980.4</v>
      </c>
      <c r="AB19" s="1876">
        <f t="shared" si="43"/>
        <v>59926.5</v>
      </c>
      <c r="AC19" s="1876">
        <f t="shared" si="44"/>
        <v>-149.81625</v>
      </c>
      <c r="AD19" s="1876">
        <f t="shared" si="45"/>
        <v>59776.683749999997</v>
      </c>
      <c r="AE19" s="1875">
        <f>'[34]LA Conn Adjustment'!AB18+'[32]Oct midyear LA Connections'!P17+'[35]Feb midyear adj_Connections'!S19</f>
        <v>0</v>
      </c>
      <c r="AF19" s="1877">
        <f t="shared" si="46"/>
        <v>59776.683749999997</v>
      </c>
      <c r="AG19" s="1877">
        <f>+'[4]Table 5C3 - LA Connections EBR'!U17*8</f>
        <v>26240</v>
      </c>
      <c r="AH19" s="1877">
        <f t="shared" si="47"/>
        <v>33536.683749999997</v>
      </c>
      <c r="AI19" s="1877">
        <f t="shared" si="48"/>
        <v>8384</v>
      </c>
      <c r="AJ19" s="1878">
        <f t="shared" si="49"/>
        <v>143104.47520943126</v>
      </c>
      <c r="AK19" s="1878">
        <f t="shared" si="50"/>
        <v>19032</v>
      </c>
      <c r="AM19" s="2042">
        <f>-'[4]Table 5C3 - LA Connections EBR'!Q17</f>
        <v>99</v>
      </c>
      <c r="AN19" s="2042">
        <f t="shared" si="51"/>
        <v>-149.81625</v>
      </c>
      <c r="AO19" s="2042">
        <f t="shared" si="52"/>
        <v>-50.816249999999997</v>
      </c>
    </row>
    <row r="20" spans="1:41" s="533" customFormat="1" ht="16.5" customHeight="1">
      <c r="A20" s="102">
        <v>15</v>
      </c>
      <c r="B20" s="773" t="s">
        <v>106</v>
      </c>
      <c r="C20" s="1879">
        <f>'2-1-13 SIS'!L21</f>
        <v>3</v>
      </c>
      <c r="D20" s="1880">
        <f>'Table 3 Levels 1&amp;2'!AL22*90%</f>
        <v>4974.9886077856072</v>
      </c>
      <c r="E20" s="1880">
        <f t="shared" si="31"/>
        <v>14924.965823356823</v>
      </c>
      <c r="F20" s="1881">
        <f>'Table 4 Level 3'!P20*90%</f>
        <v>498.41999999999996</v>
      </c>
      <c r="G20" s="1881">
        <f t="shared" si="32"/>
        <v>1495.2599999999998</v>
      </c>
      <c r="H20" s="1881">
        <f t="shared" si="33"/>
        <v>16420.225823356821</v>
      </c>
      <c r="I20" s="1881">
        <f>(('Table 3 Levels 1&amp;2'!AL22-D20)+('Table 4 Level 3'!P20-F20))*C20</f>
        <v>1824.4695359285365</v>
      </c>
      <c r="J20" s="1881">
        <f>+'[3]Oct midyear LA Connections'!K18</f>
        <v>5473.4086077856073</v>
      </c>
      <c r="K20" s="1881">
        <f>'[3]Feb midyear LA Connections'!K18</f>
        <v>2736.7043038928036</v>
      </c>
      <c r="L20" s="1881">
        <f t="shared" si="34"/>
        <v>8210.1129116784105</v>
      </c>
      <c r="M20" s="1881">
        <f t="shared" si="35"/>
        <v>24630.338735035231</v>
      </c>
      <c r="N20" s="1881">
        <f t="shared" si="36"/>
        <v>-61.575846837588081</v>
      </c>
      <c r="O20" s="1882">
        <f t="shared" si="29"/>
        <v>24568.762888197642</v>
      </c>
      <c r="P20" s="1882">
        <f>'[34]LA Conn Adjustment'!X19+'[32]Oct midyear LA Connections'!K18+'[35]Feb midyear adj_Connections'!M20</f>
        <v>0</v>
      </c>
      <c r="Q20" s="1883">
        <f t="shared" si="37"/>
        <v>24568.762888197642</v>
      </c>
      <c r="R20" s="1883">
        <f>+'[4]Table 5C3 - LA Connections EBR'!N18*8</f>
        <v>10920</v>
      </c>
      <c r="S20" s="1883">
        <f t="shared" si="38"/>
        <v>13648.762888197642</v>
      </c>
      <c r="T20" s="1883">
        <f t="shared" si="39"/>
        <v>3412</v>
      </c>
      <c r="U20" s="1885">
        <f>'Table 5C1A-Madison Prep'!T22*90%</f>
        <v>2520</v>
      </c>
      <c r="V20" s="1885">
        <f t="shared" si="30"/>
        <v>7560</v>
      </c>
      <c r="W20" s="1934">
        <f>+'[3]Oct midyear LA Connections'!E18</f>
        <v>1</v>
      </c>
      <c r="X20" s="1885">
        <f t="shared" si="40"/>
        <v>2520</v>
      </c>
      <c r="Y20" s="1934">
        <f>'[3]Feb midyear LA Connections'!E18</f>
        <v>1</v>
      </c>
      <c r="Z20" s="1885">
        <f t="shared" si="41"/>
        <v>1260</v>
      </c>
      <c r="AA20" s="1885">
        <f t="shared" si="42"/>
        <v>3780</v>
      </c>
      <c r="AB20" s="1885">
        <f t="shared" si="43"/>
        <v>11340</v>
      </c>
      <c r="AC20" s="1885">
        <f t="shared" si="44"/>
        <v>-28.35</v>
      </c>
      <c r="AD20" s="1885">
        <f t="shared" si="45"/>
        <v>11311.65</v>
      </c>
      <c r="AE20" s="1884">
        <f>'[34]LA Conn Adjustment'!AB19+'[32]Oct midyear LA Connections'!P18+'[35]Feb midyear adj_Connections'!S20</f>
        <v>0</v>
      </c>
      <c r="AF20" s="1886">
        <f t="shared" si="46"/>
        <v>11311.65</v>
      </c>
      <c r="AG20" s="1886">
        <f>+'[4]Table 5C3 - LA Connections EBR'!U18*8</f>
        <v>4568</v>
      </c>
      <c r="AH20" s="1886">
        <f t="shared" si="47"/>
        <v>6743.65</v>
      </c>
      <c r="AI20" s="1886">
        <f t="shared" si="48"/>
        <v>1686</v>
      </c>
      <c r="AJ20" s="1887">
        <f t="shared" si="49"/>
        <v>35880.412888197643</v>
      </c>
      <c r="AK20" s="1887">
        <f t="shared" si="50"/>
        <v>5098</v>
      </c>
      <c r="AM20" s="2042">
        <f>-'[4]Table 5C3 - LA Connections EBR'!Q18</f>
        <v>17</v>
      </c>
      <c r="AN20" s="2042">
        <f t="shared" si="51"/>
        <v>-28.35</v>
      </c>
      <c r="AO20" s="2042">
        <f t="shared" si="52"/>
        <v>-11.350000000000001</v>
      </c>
    </row>
    <row r="21" spans="1:41" s="533" customFormat="1" ht="16.5" customHeight="1">
      <c r="A21" s="101">
        <v>16</v>
      </c>
      <c r="B21" s="772" t="s">
        <v>107</v>
      </c>
      <c r="C21" s="1859">
        <f>'2-1-13 SIS'!L22</f>
        <v>6</v>
      </c>
      <c r="D21" s="1860">
        <f>'Table 3 Levels 1&amp;2'!AL23*90%</f>
        <v>1377.3310960839726</v>
      </c>
      <c r="E21" s="1860">
        <f t="shared" si="31"/>
        <v>8263.9865765038357</v>
      </c>
      <c r="F21" s="1861">
        <f>'Table 4 Level 3'!P21*90%</f>
        <v>618.05700000000002</v>
      </c>
      <c r="G21" s="1861">
        <f t="shared" si="32"/>
        <v>3708.3420000000001</v>
      </c>
      <c r="H21" s="1861">
        <f t="shared" si="33"/>
        <v>11972.328576503836</v>
      </c>
      <c r="I21" s="1861">
        <f>(('Table 3 Levels 1&amp;2'!AL23-D21)+('Table 4 Level 3'!P21-F21))*C21</f>
        <v>1330.2587307226486</v>
      </c>
      <c r="J21" s="1861">
        <f>+'[3]Oct midyear LA Connections'!K19</f>
        <v>1995.3880960839726</v>
      </c>
      <c r="K21" s="1861">
        <f>'[3]Feb midyear LA Connections'!K19</f>
        <v>-2993.0821441259591</v>
      </c>
      <c r="L21" s="1861">
        <f t="shared" si="34"/>
        <v>-997.69404804198643</v>
      </c>
      <c r="M21" s="1861">
        <f t="shared" si="35"/>
        <v>10974.634528461849</v>
      </c>
      <c r="N21" s="1861">
        <f t="shared" si="36"/>
        <v>-27.436586321154625</v>
      </c>
      <c r="O21" s="1862">
        <f t="shared" si="29"/>
        <v>10947.197942140694</v>
      </c>
      <c r="P21" s="1862">
        <f>'[34]LA Conn Adjustment'!X20+'[32]Oct midyear LA Connections'!K19+'[35]Feb midyear adj_Connections'!M21</f>
        <v>0</v>
      </c>
      <c r="Q21" s="1864">
        <f t="shared" si="37"/>
        <v>10947.197942140694</v>
      </c>
      <c r="R21" s="1864">
        <f>+'[4]Table 5C3 - LA Connections EBR'!N19*8</f>
        <v>7960</v>
      </c>
      <c r="S21" s="1864">
        <f t="shared" si="38"/>
        <v>2987.1979421406941</v>
      </c>
      <c r="T21" s="1864">
        <f t="shared" si="39"/>
        <v>747</v>
      </c>
      <c r="U21" s="1866">
        <f>'Table 5C1A-Madison Prep'!T23*90%</f>
        <v>11080.800000000001</v>
      </c>
      <c r="V21" s="1866">
        <f t="shared" si="30"/>
        <v>66484.800000000003</v>
      </c>
      <c r="W21" s="1932">
        <f>+'[3]Oct midyear LA Connections'!E19</f>
        <v>1</v>
      </c>
      <c r="X21" s="1866">
        <f t="shared" si="40"/>
        <v>11080.800000000001</v>
      </c>
      <c r="Y21" s="1932">
        <f>'[3]Feb midyear LA Connections'!E19</f>
        <v>-3</v>
      </c>
      <c r="Z21" s="1866">
        <f t="shared" si="41"/>
        <v>-16621.2</v>
      </c>
      <c r="AA21" s="1866">
        <f t="shared" si="42"/>
        <v>-5540.4</v>
      </c>
      <c r="AB21" s="1866">
        <f t="shared" si="43"/>
        <v>60944.4</v>
      </c>
      <c r="AC21" s="1866">
        <f t="shared" si="44"/>
        <v>-152.36100000000002</v>
      </c>
      <c r="AD21" s="1866">
        <f t="shared" si="45"/>
        <v>60792.039000000004</v>
      </c>
      <c r="AE21" s="1865">
        <f>'[34]LA Conn Adjustment'!AB20+'[32]Oct midyear LA Connections'!P19+'[35]Feb midyear adj_Connections'!S21</f>
        <v>0</v>
      </c>
      <c r="AF21" s="1867">
        <f t="shared" si="46"/>
        <v>60792.039000000004</v>
      </c>
      <c r="AG21" s="1867">
        <f>+'[4]Table 5C3 - LA Connections EBR'!U19*8</f>
        <v>43568</v>
      </c>
      <c r="AH21" s="1867">
        <f t="shared" si="47"/>
        <v>17224.039000000004</v>
      </c>
      <c r="AI21" s="1867">
        <f t="shared" si="48"/>
        <v>4306</v>
      </c>
      <c r="AJ21" s="1869">
        <f t="shared" si="49"/>
        <v>71739.236942140706</v>
      </c>
      <c r="AK21" s="1869">
        <f t="shared" si="50"/>
        <v>5053</v>
      </c>
      <c r="AM21" s="2042">
        <f>-'[4]Table 5C3 - LA Connections EBR'!Q19</f>
        <v>164</v>
      </c>
      <c r="AN21" s="2042">
        <f t="shared" si="51"/>
        <v>-152.36100000000002</v>
      </c>
      <c r="AO21" s="2042">
        <f t="shared" si="52"/>
        <v>11.638999999999982</v>
      </c>
    </row>
    <row r="22" spans="1:41" s="533" customFormat="1" ht="16.5" customHeight="1">
      <c r="A22" s="101">
        <v>17</v>
      </c>
      <c r="B22" s="772" t="s">
        <v>108</v>
      </c>
      <c r="C22" s="1870">
        <f>'2-1-13 SIS'!L23</f>
        <v>76</v>
      </c>
      <c r="D22" s="1871">
        <f>'Table 3 Levels 1&amp;2'!AL24*90%</f>
        <v>2981.7599681716024</v>
      </c>
      <c r="E22" s="1871">
        <f t="shared" si="31"/>
        <v>226613.75758104178</v>
      </c>
      <c r="F22" s="1872">
        <f>'Table 5B2_RSD_LA'!F7*90%</f>
        <v>721.32986175126121</v>
      </c>
      <c r="G22" s="1872">
        <f t="shared" si="32"/>
        <v>54821.069493095849</v>
      </c>
      <c r="H22" s="1872">
        <f t="shared" si="33"/>
        <v>281434.82707413763</v>
      </c>
      <c r="I22" s="1872">
        <f>(('Table 3 Levels 1&amp;2'!AL24-D22)+('Table 4 Level 3'!P22-F22))*C22</f>
        <v>31270.536341570853</v>
      </c>
      <c r="J22" s="1872">
        <f>+'[3]Oct midyear LA Connections'!K20</f>
        <v>44437.077959074362</v>
      </c>
      <c r="K22" s="1872">
        <f>'[3]Feb midyear LA Connections'!K20</f>
        <v>-5554.6347448842953</v>
      </c>
      <c r="L22" s="1872">
        <f t="shared" si="34"/>
        <v>38882.443214190069</v>
      </c>
      <c r="M22" s="1872">
        <f t="shared" si="35"/>
        <v>320317.27028832771</v>
      </c>
      <c r="N22" s="1872">
        <f t="shared" si="36"/>
        <v>-800.79317572081925</v>
      </c>
      <c r="O22" s="1873">
        <f t="shared" si="29"/>
        <v>319516.47711260687</v>
      </c>
      <c r="P22" s="1873">
        <f>'[34]LA Conn Adjustment'!X21+'[32]Oct midyear LA Connections'!K20+'[35]Feb midyear adj_Connections'!M22</f>
        <v>-3777.4818974478985</v>
      </c>
      <c r="Q22" s="1874">
        <f t="shared" si="37"/>
        <v>315738.99521515897</v>
      </c>
      <c r="R22" s="1874">
        <f>+'[4]Table 5C3 - LA Connections EBR'!N20*8</f>
        <v>184632</v>
      </c>
      <c r="S22" s="1874">
        <f t="shared" si="38"/>
        <v>131106.99521515897</v>
      </c>
      <c r="T22" s="1874">
        <f t="shared" si="39"/>
        <v>32777</v>
      </c>
      <c r="U22" s="1876">
        <f>'Table 5C1A-Madison Prep'!T24*90%</f>
        <v>6179.4000000000005</v>
      </c>
      <c r="V22" s="1876">
        <f t="shared" si="30"/>
        <v>469634.4</v>
      </c>
      <c r="W22" s="1933">
        <f>+'[3]Oct midyear LA Connections'!E20</f>
        <v>12</v>
      </c>
      <c r="X22" s="1876">
        <f t="shared" si="40"/>
        <v>74152.800000000003</v>
      </c>
      <c r="Y22" s="1933">
        <f>'[3]Feb midyear LA Connections'!E20</f>
        <v>-3</v>
      </c>
      <c r="Z22" s="1876">
        <f t="shared" si="41"/>
        <v>-9269.1</v>
      </c>
      <c r="AA22" s="1876">
        <f t="shared" si="42"/>
        <v>64883.700000000004</v>
      </c>
      <c r="AB22" s="1876">
        <f t="shared" si="43"/>
        <v>534518.1</v>
      </c>
      <c r="AC22" s="1876">
        <f t="shared" si="44"/>
        <v>-1336.2952499999999</v>
      </c>
      <c r="AD22" s="1876">
        <f t="shared" si="45"/>
        <v>533181.80475000001</v>
      </c>
      <c r="AE22" s="1875">
        <f>'[34]LA Conn Adjustment'!AB21+'[32]Oct midyear LA Connections'!P20+'[35]Feb midyear adj_Connections'!S22</f>
        <v>-5940.9000000000005</v>
      </c>
      <c r="AF22" s="1877">
        <f t="shared" si="46"/>
        <v>527240.90474999999</v>
      </c>
      <c r="AG22" s="1877">
        <f>+'[4]Table 5C3 - LA Connections EBR'!U20*8</f>
        <v>303664</v>
      </c>
      <c r="AH22" s="1877">
        <f t="shared" si="47"/>
        <v>223576.90474999999</v>
      </c>
      <c r="AI22" s="1877">
        <f t="shared" si="48"/>
        <v>55894</v>
      </c>
      <c r="AJ22" s="1878">
        <f t="shared" si="49"/>
        <v>842979.8999651589</v>
      </c>
      <c r="AK22" s="1878">
        <f t="shared" si="50"/>
        <v>88671</v>
      </c>
      <c r="AM22" s="2042">
        <f>-'[4]Table 5C3 - LA Connections EBR'!Q20</f>
        <v>1156</v>
      </c>
      <c r="AN22" s="2042">
        <f t="shared" si="51"/>
        <v>-1336.2952499999999</v>
      </c>
      <c r="AO22" s="2042">
        <f t="shared" si="52"/>
        <v>-180.2952499999999</v>
      </c>
    </row>
    <row r="23" spans="1:41" s="533" customFormat="1" ht="16.5" customHeight="1">
      <c r="A23" s="101">
        <v>18</v>
      </c>
      <c r="B23" s="772" t="s">
        <v>109</v>
      </c>
      <c r="C23" s="1870">
        <f>'2-1-13 SIS'!L24</f>
        <v>0</v>
      </c>
      <c r="D23" s="1871">
        <f>'Table 3 Levels 1&amp;2'!AL25*90%</f>
        <v>5390.221670356912</v>
      </c>
      <c r="E23" s="1871">
        <f t="shared" si="31"/>
        <v>0</v>
      </c>
      <c r="F23" s="1872">
        <f>'Table 4 Level 3'!P23*90%</f>
        <v>761.3549999999999</v>
      </c>
      <c r="G23" s="1872">
        <f t="shared" si="32"/>
        <v>0</v>
      </c>
      <c r="H23" s="1872">
        <f t="shared" si="33"/>
        <v>0</v>
      </c>
      <c r="I23" s="1872">
        <f>(('Table 3 Levels 1&amp;2'!AL25-D23)+('Table 4 Level 3'!P23-F23))*C23</f>
        <v>0</v>
      </c>
      <c r="J23" s="1872">
        <f>+'[3]Oct midyear LA Connections'!K21</f>
        <v>0</v>
      </c>
      <c r="K23" s="1872">
        <f>'[3]Feb midyear LA Connections'!K21</f>
        <v>0</v>
      </c>
      <c r="L23" s="1872">
        <f t="shared" si="34"/>
        <v>0</v>
      </c>
      <c r="M23" s="1872">
        <f t="shared" si="35"/>
        <v>0</v>
      </c>
      <c r="N23" s="1872">
        <f t="shared" si="36"/>
        <v>0</v>
      </c>
      <c r="O23" s="1873">
        <f t="shared" si="29"/>
        <v>0</v>
      </c>
      <c r="P23" s="1873">
        <f>'[34]LA Conn Adjustment'!X22+'[32]Oct midyear LA Connections'!K21+'[35]Feb midyear adj_Connections'!M23</f>
        <v>0</v>
      </c>
      <c r="Q23" s="1874">
        <f t="shared" si="37"/>
        <v>0</v>
      </c>
      <c r="R23" s="1874">
        <f>+'[4]Table 5C3 - LA Connections EBR'!N21*8</f>
        <v>0</v>
      </c>
      <c r="S23" s="1874">
        <f t="shared" si="38"/>
        <v>0</v>
      </c>
      <c r="T23" s="1874">
        <f t="shared" si="39"/>
        <v>0</v>
      </c>
      <c r="U23" s="1876">
        <f>'Table 5C1A-Madison Prep'!T25*90%</f>
        <v>2763.9</v>
      </c>
      <c r="V23" s="1876">
        <f t="shared" si="30"/>
        <v>0</v>
      </c>
      <c r="W23" s="1933">
        <f>+'[3]Oct midyear LA Connections'!E21</f>
        <v>0</v>
      </c>
      <c r="X23" s="1876">
        <f t="shared" si="40"/>
        <v>0</v>
      </c>
      <c r="Y23" s="1933">
        <f>'[3]Feb midyear LA Connections'!E21</f>
        <v>0</v>
      </c>
      <c r="Z23" s="1876">
        <f t="shared" si="41"/>
        <v>0</v>
      </c>
      <c r="AA23" s="1876">
        <f t="shared" si="42"/>
        <v>0</v>
      </c>
      <c r="AB23" s="1876">
        <f t="shared" si="43"/>
        <v>0</v>
      </c>
      <c r="AC23" s="1876">
        <f t="shared" si="44"/>
        <v>0</v>
      </c>
      <c r="AD23" s="1876">
        <f t="shared" si="45"/>
        <v>0</v>
      </c>
      <c r="AE23" s="1875">
        <f>'[34]LA Conn Adjustment'!AB22+'[32]Oct midyear LA Connections'!P21+'[35]Feb midyear adj_Connections'!S23</f>
        <v>0</v>
      </c>
      <c r="AF23" s="1877">
        <f t="shared" si="46"/>
        <v>0</v>
      </c>
      <c r="AG23" s="1877">
        <f>+'[4]Table 5C3 - LA Connections EBR'!U21*8</f>
        <v>0</v>
      </c>
      <c r="AH23" s="1877">
        <f t="shared" si="47"/>
        <v>0</v>
      </c>
      <c r="AI23" s="1877">
        <f t="shared" si="48"/>
        <v>0</v>
      </c>
      <c r="AJ23" s="1878">
        <f t="shared" si="49"/>
        <v>0</v>
      </c>
      <c r="AK23" s="1878">
        <f t="shared" si="50"/>
        <v>0</v>
      </c>
      <c r="AM23" s="2042">
        <f>-'[4]Table 5C3 - LA Connections EBR'!Q21</f>
        <v>0</v>
      </c>
      <c r="AN23" s="2042">
        <f t="shared" si="51"/>
        <v>0</v>
      </c>
      <c r="AO23" s="2042">
        <f t="shared" si="52"/>
        <v>0</v>
      </c>
    </row>
    <row r="24" spans="1:41" s="533" customFormat="1" ht="16.5" customHeight="1">
      <c r="A24" s="101">
        <v>19</v>
      </c>
      <c r="B24" s="772" t="s">
        <v>110</v>
      </c>
      <c r="C24" s="1870">
        <f>'2-1-13 SIS'!L25</f>
        <v>6</v>
      </c>
      <c r="D24" s="1871">
        <f>'Table 3 Levels 1&amp;2'!AL26*90%</f>
        <v>4784.3022059737232</v>
      </c>
      <c r="E24" s="1871">
        <f t="shared" si="31"/>
        <v>28705.813235842339</v>
      </c>
      <c r="F24" s="1872">
        <f>'Table 4 Level 3'!P24*90%</f>
        <v>814.88699999999994</v>
      </c>
      <c r="G24" s="1872">
        <f t="shared" si="32"/>
        <v>4889.3220000000001</v>
      </c>
      <c r="H24" s="1872">
        <f t="shared" si="33"/>
        <v>33595.135235842339</v>
      </c>
      <c r="I24" s="1872">
        <f>(('Table 3 Levels 1&amp;2'!AL26-D24)+('Table 4 Level 3'!P24-F24))*C24</f>
        <v>3732.7928039824819</v>
      </c>
      <c r="J24" s="1872">
        <f>+'[3]Oct midyear LA Connections'!K22</f>
        <v>-5599.1892059737229</v>
      </c>
      <c r="K24" s="1872">
        <f>'[3]Feb midyear LA Connections'!K22</f>
        <v>2799.5946029868614</v>
      </c>
      <c r="L24" s="1872">
        <f t="shared" si="34"/>
        <v>-2799.5946029868614</v>
      </c>
      <c r="M24" s="1872">
        <f t="shared" si="35"/>
        <v>30795.540632855478</v>
      </c>
      <c r="N24" s="1872">
        <f t="shared" si="36"/>
        <v>-76.988851582138693</v>
      </c>
      <c r="O24" s="1873">
        <f t="shared" si="29"/>
        <v>30718.551781273338</v>
      </c>
      <c r="P24" s="1873">
        <f>'[34]LA Conn Adjustment'!X23+'[32]Oct midyear LA Connections'!K22+'[35]Feb midyear adj_Connections'!M24</f>
        <v>0</v>
      </c>
      <c r="Q24" s="1874">
        <f t="shared" si="37"/>
        <v>30718.551781273338</v>
      </c>
      <c r="R24" s="1874">
        <f>+'[4]Table 5C3 - LA Connections EBR'!N22*8</f>
        <v>22344</v>
      </c>
      <c r="S24" s="1874">
        <f t="shared" si="38"/>
        <v>8374.5517812733378</v>
      </c>
      <c r="T24" s="1874">
        <f t="shared" si="39"/>
        <v>2094</v>
      </c>
      <c r="U24" s="1876">
        <f>'Table 5C1A-Madison Prep'!T26*90%</f>
        <v>2309.4</v>
      </c>
      <c r="V24" s="1876">
        <f t="shared" si="30"/>
        <v>13856.400000000001</v>
      </c>
      <c r="W24" s="1933">
        <f>+'[3]Oct midyear LA Connections'!E22</f>
        <v>-1</v>
      </c>
      <c r="X24" s="1876">
        <f t="shared" si="40"/>
        <v>-2309.4</v>
      </c>
      <c r="Y24" s="1933">
        <f>'[3]Feb midyear LA Connections'!E22</f>
        <v>1</v>
      </c>
      <c r="Z24" s="1876">
        <f t="shared" si="41"/>
        <v>1154.7</v>
      </c>
      <c r="AA24" s="1876">
        <f t="shared" si="42"/>
        <v>-1154.7</v>
      </c>
      <c r="AB24" s="1876">
        <f t="shared" si="43"/>
        <v>12701.7</v>
      </c>
      <c r="AC24" s="1876">
        <f t="shared" si="44"/>
        <v>-31.754250000000003</v>
      </c>
      <c r="AD24" s="1876">
        <f t="shared" si="45"/>
        <v>12669.945750000001</v>
      </c>
      <c r="AE24" s="1875">
        <f>'[34]LA Conn Adjustment'!AB23+'[32]Oct midyear LA Connections'!P22+'[35]Feb midyear adj_Connections'!S24</f>
        <v>0</v>
      </c>
      <c r="AF24" s="1877">
        <f t="shared" si="46"/>
        <v>12669.945750000001</v>
      </c>
      <c r="AG24" s="1877">
        <f>+'[4]Table 5C3 - LA Connections EBR'!U22*8</f>
        <v>9224</v>
      </c>
      <c r="AH24" s="1877">
        <f t="shared" si="47"/>
        <v>3445.9457500000008</v>
      </c>
      <c r="AI24" s="1877">
        <f t="shared" si="48"/>
        <v>861</v>
      </c>
      <c r="AJ24" s="1878">
        <f t="shared" si="49"/>
        <v>43388.497531273337</v>
      </c>
      <c r="AK24" s="1878">
        <f t="shared" si="50"/>
        <v>2955</v>
      </c>
      <c r="AM24" s="2042">
        <f>-'[4]Table 5C3 - LA Connections EBR'!Q22</f>
        <v>35</v>
      </c>
      <c r="AN24" s="2042">
        <f t="shared" si="51"/>
        <v>-31.754250000000003</v>
      </c>
      <c r="AO24" s="2042">
        <f t="shared" si="52"/>
        <v>3.2457499999999975</v>
      </c>
    </row>
    <row r="25" spans="1:41" s="533" customFormat="1" ht="16.5" customHeight="1">
      <c r="A25" s="102">
        <v>20</v>
      </c>
      <c r="B25" s="773" t="s">
        <v>111</v>
      </c>
      <c r="C25" s="1879">
        <f>'2-1-13 SIS'!L26</f>
        <v>4</v>
      </c>
      <c r="D25" s="1880">
        <f>'Table 3 Levels 1&amp;2'!AL27*90%</f>
        <v>4878.1838627285251</v>
      </c>
      <c r="E25" s="1880">
        <f t="shared" si="31"/>
        <v>19512.735450914101</v>
      </c>
      <c r="F25" s="1881">
        <f>'Table 4 Level 3'!P25*90%</f>
        <v>527.553</v>
      </c>
      <c r="G25" s="1881">
        <f t="shared" si="32"/>
        <v>2110.212</v>
      </c>
      <c r="H25" s="1881">
        <f t="shared" si="33"/>
        <v>21622.9474509141</v>
      </c>
      <c r="I25" s="1881">
        <f>(('Table 3 Levels 1&amp;2'!AL27-D25)+('Table 4 Level 3'!P25-F25))*C25</f>
        <v>2402.5497167682324</v>
      </c>
      <c r="J25" s="1881">
        <f>+'[3]Oct midyear LA Connections'!K23</f>
        <v>16217.210588185575</v>
      </c>
      <c r="K25" s="1881">
        <f>'[3]Feb midyear LA Connections'!K23</f>
        <v>-2702.8684313642625</v>
      </c>
      <c r="L25" s="1881">
        <f t="shared" si="34"/>
        <v>13514.342156821313</v>
      </c>
      <c r="M25" s="1881">
        <f t="shared" si="35"/>
        <v>35137.289607735409</v>
      </c>
      <c r="N25" s="1881">
        <f t="shared" si="36"/>
        <v>-87.843224019338521</v>
      </c>
      <c r="O25" s="1882">
        <f t="shared" si="29"/>
        <v>35049.446383716073</v>
      </c>
      <c r="P25" s="1882">
        <f>'[34]LA Conn Adjustment'!X24+'[32]Oct midyear LA Connections'!K23+'[35]Feb midyear adj_Connections'!M25</f>
        <v>0</v>
      </c>
      <c r="Q25" s="1883">
        <f t="shared" si="37"/>
        <v>35049.446383716073</v>
      </c>
      <c r="R25" s="1883">
        <f>+'[4]Table 5C3 - LA Connections EBR'!N23*8</f>
        <v>14376</v>
      </c>
      <c r="S25" s="1883">
        <f t="shared" si="38"/>
        <v>20673.446383716073</v>
      </c>
      <c r="T25" s="1883">
        <f t="shared" si="39"/>
        <v>5168</v>
      </c>
      <c r="U25" s="1885">
        <f>'Table 5C1A-Madison Prep'!T27*90%</f>
        <v>2358.9</v>
      </c>
      <c r="V25" s="1885">
        <f t="shared" si="30"/>
        <v>9435.6</v>
      </c>
      <c r="W25" s="1934">
        <f>+'[3]Oct midyear LA Connections'!E23</f>
        <v>3</v>
      </c>
      <c r="X25" s="1885">
        <f t="shared" si="40"/>
        <v>7076.7000000000007</v>
      </c>
      <c r="Y25" s="1934">
        <f>'[3]Feb midyear LA Connections'!E23</f>
        <v>-1</v>
      </c>
      <c r="Z25" s="1885">
        <f t="shared" si="41"/>
        <v>-1179.45</v>
      </c>
      <c r="AA25" s="1885">
        <f t="shared" si="42"/>
        <v>5897.2500000000009</v>
      </c>
      <c r="AB25" s="1885">
        <f t="shared" si="43"/>
        <v>15332.850000000002</v>
      </c>
      <c r="AC25" s="1885">
        <f t="shared" si="44"/>
        <v>-38.332125000000005</v>
      </c>
      <c r="AD25" s="1885">
        <f t="shared" si="45"/>
        <v>15294.517875000001</v>
      </c>
      <c r="AE25" s="1884">
        <f>'[34]LA Conn Adjustment'!AB24+'[32]Oct midyear LA Connections'!P23+'[35]Feb midyear adj_Connections'!S25</f>
        <v>0</v>
      </c>
      <c r="AF25" s="1886">
        <f t="shared" si="46"/>
        <v>15294.517875000001</v>
      </c>
      <c r="AG25" s="1886">
        <f>+'[4]Table 5C3 - LA Connections EBR'!U23*8</f>
        <v>5792</v>
      </c>
      <c r="AH25" s="1886">
        <f t="shared" si="47"/>
        <v>9502.5178750000014</v>
      </c>
      <c r="AI25" s="1886">
        <f t="shared" si="48"/>
        <v>2376</v>
      </c>
      <c r="AJ25" s="1887">
        <f t="shared" si="49"/>
        <v>50343.964258716078</v>
      </c>
      <c r="AK25" s="1887">
        <f t="shared" si="50"/>
        <v>7544</v>
      </c>
      <c r="AM25" s="2042">
        <f>-'[4]Table 5C3 - LA Connections EBR'!Q23</f>
        <v>22</v>
      </c>
      <c r="AN25" s="2042">
        <f t="shared" si="51"/>
        <v>-38.332125000000005</v>
      </c>
      <c r="AO25" s="2042">
        <f t="shared" si="52"/>
        <v>-16.332125000000005</v>
      </c>
    </row>
    <row r="26" spans="1:41" s="533" customFormat="1" ht="16.5" customHeight="1">
      <c r="A26" s="101">
        <v>21</v>
      </c>
      <c r="B26" s="772" t="s">
        <v>112</v>
      </c>
      <c r="C26" s="1859">
        <f>'2-1-13 SIS'!L27</f>
        <v>10</v>
      </c>
      <c r="D26" s="1860">
        <f>'Table 3 Levels 1&amp;2'!AL28*90%</f>
        <v>5152.0864424651163</v>
      </c>
      <c r="E26" s="1860">
        <f t="shared" si="31"/>
        <v>51520.864424651161</v>
      </c>
      <c r="F26" s="1861">
        <f>'Table 4 Level 3'!P26*90%</f>
        <v>549.31500000000005</v>
      </c>
      <c r="G26" s="1861">
        <f t="shared" si="32"/>
        <v>5493.1500000000005</v>
      </c>
      <c r="H26" s="1861">
        <f t="shared" si="33"/>
        <v>57014.014424651163</v>
      </c>
      <c r="I26" s="1861">
        <f>(('Table 3 Levels 1&amp;2'!AL28-D26)+('Table 4 Level 3'!P26-F26))*C26</f>
        <v>6334.8904916279034</v>
      </c>
      <c r="J26" s="1861">
        <f>+'[3]Oct midyear LA Connections'!K24</f>
        <v>-11402.802884930232</v>
      </c>
      <c r="K26" s="1861">
        <f>'[3]Feb midyear LA Connections'!K24</f>
        <v>-5701.4014424651159</v>
      </c>
      <c r="L26" s="1861">
        <f t="shared" si="34"/>
        <v>-17104.204327395346</v>
      </c>
      <c r="M26" s="1861">
        <f t="shared" si="35"/>
        <v>39909.810097255817</v>
      </c>
      <c r="N26" s="1861">
        <f t="shared" si="36"/>
        <v>-99.77452524313955</v>
      </c>
      <c r="O26" s="1862">
        <f t="shared" si="29"/>
        <v>39810.035572012675</v>
      </c>
      <c r="P26" s="1862">
        <f>'[34]LA Conn Adjustment'!X25+'[32]Oct midyear LA Connections'!K24+'[35]Feb midyear adj_Connections'!M26</f>
        <v>0</v>
      </c>
      <c r="Q26" s="1864">
        <f t="shared" si="37"/>
        <v>39810.035572012675</v>
      </c>
      <c r="R26" s="1864">
        <f>+'[4]Table 5C3 - LA Connections EBR'!N24*8</f>
        <v>37912</v>
      </c>
      <c r="S26" s="1864">
        <f t="shared" si="38"/>
        <v>1898.0355720126754</v>
      </c>
      <c r="T26" s="1864">
        <f t="shared" si="39"/>
        <v>475</v>
      </c>
      <c r="U26" s="1866">
        <f>'Table 5C1A-Madison Prep'!T28*90%</f>
        <v>2200.5</v>
      </c>
      <c r="V26" s="1866">
        <f t="shared" si="30"/>
        <v>22005</v>
      </c>
      <c r="W26" s="1932">
        <f>+'[3]Oct midyear LA Connections'!E24</f>
        <v>-2</v>
      </c>
      <c r="X26" s="1866">
        <f t="shared" si="40"/>
        <v>-4401</v>
      </c>
      <c r="Y26" s="1932">
        <f>'[3]Feb midyear LA Connections'!E24</f>
        <v>-2</v>
      </c>
      <c r="Z26" s="1866">
        <f t="shared" si="41"/>
        <v>-2200.5</v>
      </c>
      <c r="AA26" s="1866">
        <f t="shared" si="42"/>
        <v>-6601.5</v>
      </c>
      <c r="AB26" s="1866">
        <f t="shared" si="43"/>
        <v>15403.5</v>
      </c>
      <c r="AC26" s="1866">
        <f t="shared" si="44"/>
        <v>-38.508749999999999</v>
      </c>
      <c r="AD26" s="1866">
        <f t="shared" si="45"/>
        <v>15364.991249999999</v>
      </c>
      <c r="AE26" s="1865">
        <f>'[34]LA Conn Adjustment'!AB25+'[32]Oct midyear LA Connections'!P24+'[35]Feb midyear adj_Connections'!S26</f>
        <v>0</v>
      </c>
      <c r="AF26" s="1867">
        <f t="shared" si="46"/>
        <v>15364.991249999999</v>
      </c>
      <c r="AG26" s="1867">
        <f>+'[4]Table 5C3 - LA Connections EBR'!U24*8</f>
        <v>13552</v>
      </c>
      <c r="AH26" s="1867">
        <f t="shared" si="47"/>
        <v>1812.9912499999991</v>
      </c>
      <c r="AI26" s="1867">
        <f t="shared" si="48"/>
        <v>453</v>
      </c>
      <c r="AJ26" s="1869">
        <f t="shared" si="49"/>
        <v>55175.026822012675</v>
      </c>
      <c r="AK26" s="1869">
        <f t="shared" si="50"/>
        <v>928</v>
      </c>
      <c r="AM26" s="2042">
        <f>-'[4]Table 5C3 - LA Connections EBR'!Q24</f>
        <v>51</v>
      </c>
      <c r="AN26" s="2042">
        <f t="shared" si="51"/>
        <v>-38.508749999999999</v>
      </c>
      <c r="AO26" s="2042">
        <f t="shared" si="52"/>
        <v>12.491250000000001</v>
      </c>
    </row>
    <row r="27" spans="1:41" s="533" customFormat="1" ht="16.5" customHeight="1">
      <c r="A27" s="101">
        <v>22</v>
      </c>
      <c r="B27" s="772" t="s">
        <v>113</v>
      </c>
      <c r="C27" s="1870">
        <f>'2-1-13 SIS'!L28</f>
        <v>5</v>
      </c>
      <c r="D27" s="1871">
        <f>'Table 3 Levels 1&amp;2'!AL29*90%</f>
        <v>5582.9640391850471</v>
      </c>
      <c r="E27" s="1871">
        <f t="shared" si="31"/>
        <v>27914.820195925236</v>
      </c>
      <c r="F27" s="1872">
        <f>'Table 4 Level 3'!P27*90%</f>
        <v>446.72400000000005</v>
      </c>
      <c r="G27" s="1872">
        <f t="shared" si="32"/>
        <v>2233.6200000000003</v>
      </c>
      <c r="H27" s="1872">
        <f t="shared" si="33"/>
        <v>30148.440195925235</v>
      </c>
      <c r="I27" s="1872">
        <f>(('Table 3 Levels 1&amp;2'!AL29-D27)+('Table 4 Level 3'!P27-F27))*C27</f>
        <v>3349.8266884361351</v>
      </c>
      <c r="J27" s="1872">
        <f>+'[3]Oct midyear LA Connections'!K25</f>
        <v>30148.440195925235</v>
      </c>
      <c r="K27" s="1872">
        <f>'[3]Feb midyear LA Connections'!K25</f>
        <v>-3014.8440195925236</v>
      </c>
      <c r="L27" s="1872">
        <f t="shared" si="34"/>
        <v>27133.59617633271</v>
      </c>
      <c r="M27" s="1872">
        <f t="shared" si="35"/>
        <v>57282.03637225795</v>
      </c>
      <c r="N27" s="1872">
        <f t="shared" si="36"/>
        <v>-143.20509093064487</v>
      </c>
      <c r="O27" s="1873">
        <f t="shared" si="29"/>
        <v>57138.831281327308</v>
      </c>
      <c r="P27" s="1873">
        <f>'[34]LA Conn Adjustment'!X26+'[32]Oct midyear LA Connections'!K25+'[35]Feb midyear adj_Connections'!M27</f>
        <v>0</v>
      </c>
      <c r="Q27" s="1874">
        <f t="shared" si="37"/>
        <v>57138.831281327308</v>
      </c>
      <c r="R27" s="1874">
        <f>+'[4]Table 5C3 - LA Connections EBR'!N25*8</f>
        <v>20048</v>
      </c>
      <c r="S27" s="1874">
        <f t="shared" si="38"/>
        <v>37090.831281327308</v>
      </c>
      <c r="T27" s="1874">
        <f t="shared" si="39"/>
        <v>9273</v>
      </c>
      <c r="U27" s="1876">
        <f>'Table 5C1A-Madison Prep'!T29*90%</f>
        <v>1367.1000000000001</v>
      </c>
      <c r="V27" s="1876">
        <f t="shared" si="30"/>
        <v>6835.5000000000009</v>
      </c>
      <c r="W27" s="1933">
        <f>+'[3]Oct midyear LA Connections'!E25</f>
        <v>5</v>
      </c>
      <c r="X27" s="1876">
        <f t="shared" si="40"/>
        <v>6835.5000000000009</v>
      </c>
      <c r="Y27" s="1933">
        <f>'[3]Feb midyear LA Connections'!E25</f>
        <v>-1</v>
      </c>
      <c r="Z27" s="1876">
        <f t="shared" si="41"/>
        <v>-683.55000000000007</v>
      </c>
      <c r="AA27" s="1876">
        <f t="shared" si="42"/>
        <v>6151.9500000000007</v>
      </c>
      <c r="AB27" s="1876">
        <f t="shared" si="43"/>
        <v>12987.45</v>
      </c>
      <c r="AC27" s="1876">
        <f t="shared" si="44"/>
        <v>-32.468625000000003</v>
      </c>
      <c r="AD27" s="1876">
        <f t="shared" si="45"/>
        <v>12954.981375000001</v>
      </c>
      <c r="AE27" s="1875">
        <f>'[34]LA Conn Adjustment'!AB26+'[32]Oct midyear LA Connections'!P25+'[35]Feb midyear adj_Connections'!S27</f>
        <v>0</v>
      </c>
      <c r="AF27" s="1877">
        <f t="shared" si="46"/>
        <v>12954.981375000001</v>
      </c>
      <c r="AG27" s="1877">
        <f>+'[4]Table 5C3 - LA Connections EBR'!U25*8</f>
        <v>4304</v>
      </c>
      <c r="AH27" s="1877">
        <f t="shared" si="47"/>
        <v>8650.9813750000012</v>
      </c>
      <c r="AI27" s="1877">
        <f t="shared" si="48"/>
        <v>2163</v>
      </c>
      <c r="AJ27" s="1878">
        <f t="shared" si="49"/>
        <v>70093.812656327311</v>
      </c>
      <c r="AK27" s="1878">
        <f t="shared" si="50"/>
        <v>11436</v>
      </c>
      <c r="AM27" s="2042">
        <f>-'[4]Table 5C3 - LA Connections EBR'!Q25</f>
        <v>16</v>
      </c>
      <c r="AN27" s="2042">
        <f t="shared" si="51"/>
        <v>-32.468625000000003</v>
      </c>
      <c r="AO27" s="2042">
        <f t="shared" si="52"/>
        <v>-16.468625000000003</v>
      </c>
    </row>
    <row r="28" spans="1:41" s="533" customFormat="1" ht="16.5" customHeight="1">
      <c r="A28" s="101">
        <v>23</v>
      </c>
      <c r="B28" s="772" t="s">
        <v>114</v>
      </c>
      <c r="C28" s="1870">
        <f>'2-1-13 SIS'!L29</f>
        <v>18</v>
      </c>
      <c r="D28" s="1871">
        <f>'Table 3 Levels 1&amp;2'!AL30*90%</f>
        <v>4361.4722241060917</v>
      </c>
      <c r="E28" s="1871">
        <f t="shared" si="31"/>
        <v>78506.500033909659</v>
      </c>
      <c r="F28" s="1872">
        <f>'Table 4 Level 3'!P28*90%</f>
        <v>619.72200000000009</v>
      </c>
      <c r="G28" s="1872">
        <f t="shared" si="32"/>
        <v>11154.996000000001</v>
      </c>
      <c r="H28" s="1872">
        <f t="shared" si="33"/>
        <v>89661.496033909658</v>
      </c>
      <c r="I28" s="1872">
        <f>(('Table 3 Levels 1&amp;2'!AL30-D28)+('Table 4 Level 3'!P28-F28))*C28</f>
        <v>9962.3884482121739</v>
      </c>
      <c r="J28" s="1872">
        <f>+'[3]Oct midyear LA Connections'!K26</f>
        <v>24905.971120530456</v>
      </c>
      <c r="K28" s="1872">
        <f>'[3]Feb midyear LA Connections'!K26</f>
        <v>2490.5971120530457</v>
      </c>
      <c r="L28" s="1872">
        <f t="shared" si="34"/>
        <v>27396.568232583501</v>
      </c>
      <c r="M28" s="1872">
        <f t="shared" si="35"/>
        <v>117058.06426649317</v>
      </c>
      <c r="N28" s="1872">
        <f t="shared" si="36"/>
        <v>-292.64516066623293</v>
      </c>
      <c r="O28" s="1873">
        <f t="shared" si="29"/>
        <v>116765.41910582694</v>
      </c>
      <c r="P28" s="1873">
        <f>'[34]LA Conn Adjustment'!X27+'[32]Oct midyear LA Connections'!K26+'[35]Feb midyear adj_Connections'!M28</f>
        <v>0</v>
      </c>
      <c r="Q28" s="1874">
        <f t="shared" si="37"/>
        <v>116765.41910582694</v>
      </c>
      <c r="R28" s="1874">
        <f>+'[4]Table 5C3 - LA Connections EBR'!N26*8</f>
        <v>59624</v>
      </c>
      <c r="S28" s="1874">
        <f t="shared" si="38"/>
        <v>57141.419105826935</v>
      </c>
      <c r="T28" s="1874">
        <f t="shared" si="39"/>
        <v>14285</v>
      </c>
      <c r="U28" s="1876">
        <f>'Table 5C1A-Madison Prep'!T30*90%</f>
        <v>3028.5</v>
      </c>
      <c r="V28" s="1876">
        <f t="shared" si="30"/>
        <v>54513</v>
      </c>
      <c r="W28" s="1933">
        <f>+'[3]Oct midyear LA Connections'!E26</f>
        <v>5</v>
      </c>
      <c r="X28" s="1876">
        <f t="shared" si="40"/>
        <v>15142.5</v>
      </c>
      <c r="Y28" s="1933">
        <f>'[3]Feb midyear LA Connections'!E26</f>
        <v>1</v>
      </c>
      <c r="Z28" s="1876">
        <f t="shared" si="41"/>
        <v>1514.25</v>
      </c>
      <c r="AA28" s="1876">
        <f t="shared" si="42"/>
        <v>16656.75</v>
      </c>
      <c r="AB28" s="1876">
        <f t="shared" si="43"/>
        <v>71169.75</v>
      </c>
      <c r="AC28" s="1876">
        <f t="shared" si="44"/>
        <v>-177.924375</v>
      </c>
      <c r="AD28" s="1876">
        <f t="shared" si="45"/>
        <v>70991.825624999998</v>
      </c>
      <c r="AE28" s="1875">
        <f>'[34]LA Conn Adjustment'!AB27+'[32]Oct midyear LA Connections'!P26+'[35]Feb midyear adj_Connections'!S28</f>
        <v>0</v>
      </c>
      <c r="AF28" s="1877">
        <f t="shared" si="46"/>
        <v>70991.825624999998</v>
      </c>
      <c r="AG28" s="1877">
        <f>+'[4]Table 5C3 - LA Connections EBR'!U26*8</f>
        <v>36480</v>
      </c>
      <c r="AH28" s="1877">
        <f t="shared" si="47"/>
        <v>34511.825624999998</v>
      </c>
      <c r="AI28" s="1877">
        <f t="shared" si="48"/>
        <v>8628</v>
      </c>
      <c r="AJ28" s="1878">
        <f t="shared" si="49"/>
        <v>187757.24473082693</v>
      </c>
      <c r="AK28" s="1878">
        <f t="shared" si="50"/>
        <v>22913</v>
      </c>
      <c r="AM28" s="2042">
        <f>-'[4]Table 5C3 - LA Connections EBR'!Q26</f>
        <v>137</v>
      </c>
      <c r="AN28" s="2042">
        <f t="shared" si="51"/>
        <v>-177.924375</v>
      </c>
      <c r="AO28" s="2042">
        <f t="shared" si="52"/>
        <v>-40.924374999999998</v>
      </c>
    </row>
    <row r="29" spans="1:41" s="533" customFormat="1" ht="16.5" customHeight="1">
      <c r="A29" s="101">
        <v>24</v>
      </c>
      <c r="B29" s="772" t="s">
        <v>115</v>
      </c>
      <c r="C29" s="1870">
        <f>'2-1-13 SIS'!L30</f>
        <v>1</v>
      </c>
      <c r="D29" s="1871">
        <f>'Table 3 Levels 1&amp;2'!AL31*90%</f>
        <v>2487.7095079787237</v>
      </c>
      <c r="E29" s="1871">
        <f t="shared" si="31"/>
        <v>2487.7095079787237</v>
      </c>
      <c r="F29" s="1872">
        <f>'Table 4 Level 3'!P29*90%</f>
        <v>768.82499999999993</v>
      </c>
      <c r="G29" s="1872">
        <f t="shared" si="32"/>
        <v>768.82499999999993</v>
      </c>
      <c r="H29" s="1872">
        <f t="shared" si="33"/>
        <v>3256.5345079787235</v>
      </c>
      <c r="I29" s="1872">
        <f>(('Table 3 Levels 1&amp;2'!AL31-D29)+('Table 4 Level 3'!P29-F29))*C29</f>
        <v>361.83716755319142</v>
      </c>
      <c r="J29" s="1872">
        <f>+'[3]Oct midyear LA Connections'!K27</f>
        <v>0</v>
      </c>
      <c r="K29" s="1872">
        <f>'[3]Feb midyear LA Connections'!K27</f>
        <v>1628.2672539893617</v>
      </c>
      <c r="L29" s="1872">
        <f t="shared" si="34"/>
        <v>1628.2672539893617</v>
      </c>
      <c r="M29" s="1872">
        <f t="shared" si="35"/>
        <v>4884.801761968085</v>
      </c>
      <c r="N29" s="1872">
        <f t="shared" si="36"/>
        <v>-12.212004404920213</v>
      </c>
      <c r="O29" s="1873">
        <f t="shared" si="29"/>
        <v>4872.5897575631643</v>
      </c>
      <c r="P29" s="1873">
        <f>'[34]LA Conn Adjustment'!X28+'[32]Oct midyear LA Connections'!K27+'[35]Feb midyear adj_Connections'!M29</f>
        <v>0</v>
      </c>
      <c r="Q29" s="1874">
        <f t="shared" si="37"/>
        <v>4872.5897575631643</v>
      </c>
      <c r="R29" s="1874">
        <f>+'[4]Table 5C3 - LA Connections EBR'!N27*8</f>
        <v>2168</v>
      </c>
      <c r="S29" s="1874">
        <f t="shared" si="38"/>
        <v>2704.5897575631643</v>
      </c>
      <c r="T29" s="1874">
        <f t="shared" si="39"/>
        <v>676</v>
      </c>
      <c r="U29" s="1876">
        <f>'Table 5C1A-Madison Prep'!T31*90%</f>
        <v>9816.3000000000011</v>
      </c>
      <c r="V29" s="1876">
        <f t="shared" si="30"/>
        <v>9816.3000000000011</v>
      </c>
      <c r="W29" s="1933">
        <f>+'[3]Oct midyear LA Connections'!E27</f>
        <v>0</v>
      </c>
      <c r="X29" s="1876">
        <f t="shared" si="40"/>
        <v>0</v>
      </c>
      <c r="Y29" s="1933">
        <f>'[3]Feb midyear LA Connections'!E27</f>
        <v>1</v>
      </c>
      <c r="Z29" s="1876">
        <f t="shared" si="41"/>
        <v>4908.1500000000005</v>
      </c>
      <c r="AA29" s="1876">
        <f t="shared" si="42"/>
        <v>4908.1500000000005</v>
      </c>
      <c r="AB29" s="1876">
        <f t="shared" si="43"/>
        <v>14724.45</v>
      </c>
      <c r="AC29" s="1876">
        <f t="shared" si="44"/>
        <v>-36.811125000000004</v>
      </c>
      <c r="AD29" s="1876">
        <f t="shared" si="45"/>
        <v>14687.638875000001</v>
      </c>
      <c r="AE29" s="1875">
        <f>'[34]LA Conn Adjustment'!AB28+'[32]Oct midyear LA Connections'!P27+'[35]Feb midyear adj_Connections'!S29</f>
        <v>0</v>
      </c>
      <c r="AF29" s="1877">
        <f t="shared" si="46"/>
        <v>14687.638875000001</v>
      </c>
      <c r="AG29" s="1877">
        <f>+'[4]Table 5C3 - LA Connections EBR'!U27*8</f>
        <v>5840</v>
      </c>
      <c r="AH29" s="1877">
        <f t="shared" si="47"/>
        <v>8847.6388750000006</v>
      </c>
      <c r="AI29" s="1877">
        <f t="shared" si="48"/>
        <v>2212</v>
      </c>
      <c r="AJ29" s="1878">
        <f t="shared" si="49"/>
        <v>19560.228632563165</v>
      </c>
      <c r="AK29" s="1878">
        <f t="shared" si="50"/>
        <v>2888</v>
      </c>
      <c r="AM29" s="2042">
        <f>-'[4]Table 5C3 - LA Connections EBR'!Q27</f>
        <v>22</v>
      </c>
      <c r="AN29" s="2042">
        <f t="shared" si="51"/>
        <v>-36.811125000000004</v>
      </c>
      <c r="AO29" s="2042">
        <f t="shared" si="52"/>
        <v>-14.811125000000004</v>
      </c>
    </row>
    <row r="30" spans="1:41" s="533" customFormat="1" ht="16.5" customHeight="1">
      <c r="A30" s="102">
        <v>25</v>
      </c>
      <c r="B30" s="773" t="s">
        <v>116</v>
      </c>
      <c r="C30" s="1879">
        <f>'2-1-13 SIS'!L31</f>
        <v>1</v>
      </c>
      <c r="D30" s="1880">
        <f>'Table 3 Levels 1&amp;2'!AL32*90%</f>
        <v>3480.7032622847933</v>
      </c>
      <c r="E30" s="1880">
        <f t="shared" si="31"/>
        <v>3480.7032622847933</v>
      </c>
      <c r="F30" s="1881">
        <f>'Table 4 Level 3'!P30*90%</f>
        <v>588.35700000000008</v>
      </c>
      <c r="G30" s="1881">
        <f t="shared" si="32"/>
        <v>588.35700000000008</v>
      </c>
      <c r="H30" s="1881">
        <f t="shared" si="33"/>
        <v>4069.0602622847932</v>
      </c>
      <c r="I30" s="1881">
        <f>(('Table 3 Levels 1&amp;2'!AL32-D30)+('Table 4 Level 3'!P30-F30))*C30</f>
        <v>452.11780692053242</v>
      </c>
      <c r="J30" s="1881">
        <f>+'[3]Oct midyear LA Connections'!K28</f>
        <v>-4069.0602622847932</v>
      </c>
      <c r="K30" s="1881">
        <f>'[3]Feb midyear LA Connections'!K28</f>
        <v>2034.5301311423966</v>
      </c>
      <c r="L30" s="1881">
        <f t="shared" si="34"/>
        <v>-2034.5301311423966</v>
      </c>
      <c r="M30" s="1881">
        <f t="shared" si="35"/>
        <v>2034.5301311423966</v>
      </c>
      <c r="N30" s="1881">
        <f t="shared" si="36"/>
        <v>-5.0863253278559917</v>
      </c>
      <c r="O30" s="1882">
        <f t="shared" si="29"/>
        <v>2029.4438058145406</v>
      </c>
      <c r="P30" s="1882">
        <f>'[34]LA Conn Adjustment'!X29+'[32]Oct midyear LA Connections'!K28+'[35]Feb midyear adj_Connections'!M30</f>
        <v>0</v>
      </c>
      <c r="Q30" s="1883">
        <f t="shared" si="37"/>
        <v>2029.4438058145406</v>
      </c>
      <c r="R30" s="1883">
        <f>+'[4]Table 5C3 - LA Connections EBR'!N28*8</f>
        <v>2704</v>
      </c>
      <c r="S30" s="1883">
        <f t="shared" si="38"/>
        <v>-674.55619418545939</v>
      </c>
      <c r="T30" s="1883">
        <f t="shared" si="39"/>
        <v>-169</v>
      </c>
      <c r="U30" s="1885">
        <f>'Table 5C1A-Madison Prep'!T32*90%</f>
        <v>4640.4000000000005</v>
      </c>
      <c r="V30" s="1885">
        <f t="shared" si="30"/>
        <v>4640.4000000000005</v>
      </c>
      <c r="W30" s="1934">
        <f>+'[3]Oct midyear LA Connections'!E28</f>
        <v>-1</v>
      </c>
      <c r="X30" s="1885">
        <f t="shared" si="40"/>
        <v>-4640.4000000000005</v>
      </c>
      <c r="Y30" s="1934">
        <f>'[3]Feb midyear LA Connections'!E28</f>
        <v>1</v>
      </c>
      <c r="Z30" s="1885">
        <f t="shared" si="41"/>
        <v>2320.2000000000003</v>
      </c>
      <c r="AA30" s="1885">
        <f t="shared" si="42"/>
        <v>-2320.2000000000003</v>
      </c>
      <c r="AB30" s="1885">
        <f t="shared" si="43"/>
        <v>2320.2000000000003</v>
      </c>
      <c r="AC30" s="1885">
        <f t="shared" si="44"/>
        <v>-5.8005000000000004</v>
      </c>
      <c r="AD30" s="1885">
        <f t="shared" si="45"/>
        <v>2314.3995000000004</v>
      </c>
      <c r="AE30" s="1884">
        <f>'[34]LA Conn Adjustment'!AB29+'[32]Oct midyear LA Connections'!P28+'[35]Feb midyear adj_Connections'!S30</f>
        <v>0</v>
      </c>
      <c r="AF30" s="1886">
        <f t="shared" si="46"/>
        <v>2314.3995000000004</v>
      </c>
      <c r="AG30" s="1886">
        <f>+'[4]Table 5C3 - LA Connections EBR'!U28*8</f>
        <v>2896</v>
      </c>
      <c r="AH30" s="1886">
        <f t="shared" si="47"/>
        <v>-581.60049999999956</v>
      </c>
      <c r="AI30" s="1886">
        <f t="shared" si="48"/>
        <v>-145</v>
      </c>
      <c r="AJ30" s="1887">
        <f t="shared" si="49"/>
        <v>4343.8433058145411</v>
      </c>
      <c r="AK30" s="1887">
        <f t="shared" si="50"/>
        <v>-314</v>
      </c>
      <c r="AM30" s="2042">
        <f>-'[4]Table 5C3 - LA Connections EBR'!Q28</f>
        <v>11</v>
      </c>
      <c r="AN30" s="2042">
        <f t="shared" si="51"/>
        <v>-5.8005000000000004</v>
      </c>
      <c r="AO30" s="2042">
        <f t="shared" si="52"/>
        <v>5.1994999999999996</v>
      </c>
    </row>
    <row r="31" spans="1:41" s="533" customFormat="1" ht="16.5" customHeight="1">
      <c r="A31" s="101">
        <v>26</v>
      </c>
      <c r="B31" s="772" t="s">
        <v>117</v>
      </c>
      <c r="C31" s="1859">
        <f>'2-1-13 SIS'!L32</f>
        <v>98</v>
      </c>
      <c r="D31" s="1860">
        <f>'Table 3 Levels 1&amp;2'!AL33*90%</f>
        <v>2964.1333741113194</v>
      </c>
      <c r="E31" s="1860">
        <f t="shared" si="31"/>
        <v>290485.0706629093</v>
      </c>
      <c r="F31" s="1861">
        <f>'Table 4 Level 3'!P31*90%</f>
        <v>753.14700000000005</v>
      </c>
      <c r="G31" s="1861">
        <f t="shared" si="32"/>
        <v>73808.406000000003</v>
      </c>
      <c r="H31" s="1861">
        <f t="shared" si="33"/>
        <v>364293.47666290932</v>
      </c>
      <c r="I31" s="1861">
        <f>(('Table 3 Levels 1&amp;2'!AL33-D31)+('Table 4 Level 3'!P31-F31))*C31</f>
        <v>40477.052962545487</v>
      </c>
      <c r="J31" s="1861">
        <f>+'[3]Oct midyear LA Connections'!K29</f>
        <v>18586.401870556598</v>
      </c>
      <c r="K31" s="1861">
        <f>'[3]Feb midyear LA Connections'!K29</f>
        <v>-1858.6401870556597</v>
      </c>
      <c r="L31" s="1861">
        <f t="shared" si="34"/>
        <v>16727.761683500939</v>
      </c>
      <c r="M31" s="1861">
        <f t="shared" si="35"/>
        <v>381021.23834641027</v>
      </c>
      <c r="N31" s="1861">
        <f t="shared" si="36"/>
        <v>-952.55309586602573</v>
      </c>
      <c r="O31" s="1862">
        <f t="shared" si="29"/>
        <v>380068.68525054422</v>
      </c>
      <c r="P31" s="1862">
        <f>'[34]LA Conn Adjustment'!X30+'[32]Oct midyear LA Connections'!K29+'[35]Feb midyear adj_Connections'!M31</f>
        <v>0</v>
      </c>
      <c r="Q31" s="1864">
        <f t="shared" si="37"/>
        <v>380068.68525054422</v>
      </c>
      <c r="R31" s="1864">
        <f>+'[4]Table 5C3 - LA Connections EBR'!N29*8</f>
        <v>242256</v>
      </c>
      <c r="S31" s="1864">
        <f t="shared" si="38"/>
        <v>137812.68525054422</v>
      </c>
      <c r="T31" s="1864">
        <f t="shared" si="39"/>
        <v>34453</v>
      </c>
      <c r="U31" s="1866">
        <f>'Table 5C1A-Madison Prep'!T33*90%</f>
        <v>4809.6000000000004</v>
      </c>
      <c r="V31" s="1866">
        <f t="shared" si="30"/>
        <v>471340.80000000005</v>
      </c>
      <c r="W31" s="1932">
        <f>+'[3]Oct midyear LA Connections'!E29</f>
        <v>5</v>
      </c>
      <c r="X31" s="1866">
        <f t="shared" si="40"/>
        <v>24048</v>
      </c>
      <c r="Y31" s="1932">
        <f>'[3]Feb midyear LA Connections'!E29</f>
        <v>-1</v>
      </c>
      <c r="Z31" s="1866">
        <f t="shared" si="41"/>
        <v>-2404.8000000000002</v>
      </c>
      <c r="AA31" s="1866">
        <f t="shared" si="42"/>
        <v>21643.200000000001</v>
      </c>
      <c r="AB31" s="1866">
        <f t="shared" si="43"/>
        <v>492984.00000000006</v>
      </c>
      <c r="AC31" s="1866">
        <f t="shared" si="44"/>
        <v>-1232.4600000000003</v>
      </c>
      <c r="AD31" s="1866">
        <f t="shared" si="45"/>
        <v>491751.54000000004</v>
      </c>
      <c r="AE31" s="1865">
        <f>'[34]LA Conn Adjustment'!AB30+'[32]Oct midyear LA Connections'!P29+'[35]Feb midyear adj_Connections'!S31</f>
        <v>0</v>
      </c>
      <c r="AF31" s="1867">
        <f t="shared" si="46"/>
        <v>491751.54000000004</v>
      </c>
      <c r="AG31" s="1867">
        <f>+'[4]Table 5C3 - LA Connections EBR'!U29*8</f>
        <v>310864</v>
      </c>
      <c r="AH31" s="1867">
        <f t="shared" si="47"/>
        <v>180887.54000000004</v>
      </c>
      <c r="AI31" s="1867">
        <f t="shared" si="48"/>
        <v>45222</v>
      </c>
      <c r="AJ31" s="1869">
        <f t="shared" si="49"/>
        <v>871820.22525054426</v>
      </c>
      <c r="AK31" s="1869">
        <f t="shared" si="50"/>
        <v>79675</v>
      </c>
      <c r="AM31" s="2042">
        <f>-'[4]Table 5C3 - LA Connections EBR'!Q29</f>
        <v>1169</v>
      </c>
      <c r="AN31" s="2042">
        <f t="shared" si="51"/>
        <v>-1232.4600000000003</v>
      </c>
      <c r="AO31" s="2042">
        <f t="shared" si="52"/>
        <v>-63.460000000000264</v>
      </c>
    </row>
    <row r="32" spans="1:41" s="533" customFormat="1" ht="16.5" customHeight="1">
      <c r="A32" s="101">
        <v>27</v>
      </c>
      <c r="B32" s="772" t="s">
        <v>118</v>
      </c>
      <c r="C32" s="1870">
        <f>'2-1-13 SIS'!L33</f>
        <v>7</v>
      </c>
      <c r="D32" s="1871">
        <f>'Table 3 Levels 1&amp;2'!AL34*90%</f>
        <v>5112.6954765643777</v>
      </c>
      <c r="E32" s="1871">
        <f t="shared" si="31"/>
        <v>35788.868335950647</v>
      </c>
      <c r="F32" s="1872">
        <f>'Table 4 Level 3'!P32*90%</f>
        <v>623.75400000000002</v>
      </c>
      <c r="G32" s="1872">
        <f t="shared" si="32"/>
        <v>4366.2780000000002</v>
      </c>
      <c r="H32" s="1872">
        <f t="shared" si="33"/>
        <v>40155.146335950645</v>
      </c>
      <c r="I32" s="1872">
        <f>(('Table 3 Levels 1&amp;2'!AL34-D32)+('Table 4 Level 3'!P32-F32))*C32</f>
        <v>4461.6829262167366</v>
      </c>
      <c r="J32" s="1872">
        <f>+'[3]Oct midyear LA Connections'!K30</f>
        <v>-11472.898953128755</v>
      </c>
      <c r="K32" s="1872">
        <f>'[3]Feb midyear LA Connections'!K30</f>
        <v>0</v>
      </c>
      <c r="L32" s="1872">
        <f t="shared" si="34"/>
        <v>-11472.898953128755</v>
      </c>
      <c r="M32" s="1872">
        <f t="shared" si="35"/>
        <v>28682.24738282189</v>
      </c>
      <c r="N32" s="1872">
        <f t="shared" si="36"/>
        <v>-71.705618457054726</v>
      </c>
      <c r="O32" s="1873">
        <f t="shared" si="29"/>
        <v>28610.541764364836</v>
      </c>
      <c r="P32" s="1873">
        <f>'[34]LA Conn Adjustment'!X31+'[32]Oct midyear LA Connections'!K30+'[35]Feb midyear adj_Connections'!M32</f>
        <v>0</v>
      </c>
      <c r="Q32" s="1874">
        <f t="shared" si="37"/>
        <v>28610.541764364836</v>
      </c>
      <c r="R32" s="1874">
        <f>+'[4]Table 5C3 - LA Connections EBR'!N30*8</f>
        <v>26704</v>
      </c>
      <c r="S32" s="1874">
        <f t="shared" si="38"/>
        <v>1906.5417643648361</v>
      </c>
      <c r="T32" s="1874">
        <f t="shared" si="39"/>
        <v>477</v>
      </c>
      <c r="U32" s="1876">
        <f>'Table 5C1A-Madison Prep'!T34*90%</f>
        <v>2943.9</v>
      </c>
      <c r="V32" s="1876">
        <f t="shared" si="30"/>
        <v>20607.3</v>
      </c>
      <c r="W32" s="1933">
        <f>+'[3]Oct midyear LA Connections'!E30</f>
        <v>-2</v>
      </c>
      <c r="X32" s="1876">
        <f t="shared" si="40"/>
        <v>-5887.8</v>
      </c>
      <c r="Y32" s="1933">
        <f>'[3]Feb midyear LA Connections'!E30</f>
        <v>0</v>
      </c>
      <c r="Z32" s="1876">
        <f t="shared" si="41"/>
        <v>0</v>
      </c>
      <c r="AA32" s="1876">
        <f t="shared" si="42"/>
        <v>-5887.8</v>
      </c>
      <c r="AB32" s="1876">
        <f t="shared" si="43"/>
        <v>14719.5</v>
      </c>
      <c r="AC32" s="1876">
        <f t="shared" si="44"/>
        <v>-36.798749999999998</v>
      </c>
      <c r="AD32" s="1876">
        <f t="shared" si="45"/>
        <v>14682.70125</v>
      </c>
      <c r="AE32" s="1875">
        <f>'[34]LA Conn Adjustment'!AB31+'[32]Oct midyear LA Connections'!P30+'[35]Feb midyear adj_Connections'!S32</f>
        <v>0</v>
      </c>
      <c r="AF32" s="1877">
        <f t="shared" si="46"/>
        <v>14682.70125</v>
      </c>
      <c r="AG32" s="1877">
        <f>+'[4]Table 5C3 - LA Connections EBR'!U30*8</f>
        <v>13624</v>
      </c>
      <c r="AH32" s="1877">
        <f t="shared" si="47"/>
        <v>1058.7012500000001</v>
      </c>
      <c r="AI32" s="1877">
        <f t="shared" si="48"/>
        <v>265</v>
      </c>
      <c r="AJ32" s="1878">
        <f t="shared" si="49"/>
        <v>43293.243014364838</v>
      </c>
      <c r="AK32" s="1878">
        <f t="shared" si="50"/>
        <v>742</v>
      </c>
      <c r="AM32" s="2042">
        <f>-'[4]Table 5C3 - LA Connections EBR'!Q30</f>
        <v>51</v>
      </c>
      <c r="AN32" s="2042">
        <f t="shared" si="51"/>
        <v>-36.798749999999998</v>
      </c>
      <c r="AO32" s="2042">
        <f t="shared" si="52"/>
        <v>14.201250000000002</v>
      </c>
    </row>
    <row r="33" spans="1:41" s="533" customFormat="1" ht="16.5" customHeight="1">
      <c r="A33" s="101">
        <v>28</v>
      </c>
      <c r="B33" s="772" t="s">
        <v>119</v>
      </c>
      <c r="C33" s="1870">
        <f>'2-1-13 SIS'!L34</f>
        <v>46</v>
      </c>
      <c r="D33" s="1871">
        <f>'Table 3 Levels 1&amp;2'!AL35*90%</f>
        <v>2846.8524994634854</v>
      </c>
      <c r="E33" s="1871">
        <f t="shared" si="31"/>
        <v>130955.21497532033</v>
      </c>
      <c r="F33" s="1872">
        <f>'Table 4 Level 3'!P33*90%</f>
        <v>624.96</v>
      </c>
      <c r="G33" s="1872">
        <f t="shared" si="32"/>
        <v>28748.160000000003</v>
      </c>
      <c r="H33" s="1872">
        <f t="shared" si="33"/>
        <v>159703.37497532033</v>
      </c>
      <c r="I33" s="1872">
        <f>(('Table 3 Levels 1&amp;2'!AL35-D33)+('Table 4 Level 3'!P33-F33))*C33</f>
        <v>17744.819441702246</v>
      </c>
      <c r="J33" s="1872">
        <f>+'[3]Oct midyear LA Connections'!K31</f>
        <v>31246.312495171369</v>
      </c>
      <c r="K33" s="1872">
        <f>'[3]Feb midyear LA Connections'!K31</f>
        <v>-3471.8124994634854</v>
      </c>
      <c r="L33" s="1872">
        <f t="shared" si="34"/>
        <v>27774.499995707883</v>
      </c>
      <c r="M33" s="1872">
        <f t="shared" si="35"/>
        <v>187477.87497102821</v>
      </c>
      <c r="N33" s="1872">
        <f t="shared" si="36"/>
        <v>-468.69468742757056</v>
      </c>
      <c r="O33" s="1873">
        <f t="shared" si="29"/>
        <v>187009.18028360064</v>
      </c>
      <c r="P33" s="1873">
        <f>'[34]LA Conn Adjustment'!X32+'[32]Oct midyear LA Connections'!K31+'[35]Feb midyear adj_Connections'!M33</f>
        <v>0</v>
      </c>
      <c r="Q33" s="1874">
        <f t="shared" si="37"/>
        <v>187009.18028360064</v>
      </c>
      <c r="R33" s="1874">
        <f>+'[4]Table 5C3 - LA Connections EBR'!N31*8</f>
        <v>106200</v>
      </c>
      <c r="S33" s="1874">
        <f t="shared" si="38"/>
        <v>80809.180283600639</v>
      </c>
      <c r="T33" s="1874">
        <f t="shared" si="39"/>
        <v>20202</v>
      </c>
      <c r="U33" s="1876">
        <f>'Table 5C1A-Madison Prep'!T35*90%</f>
        <v>5082.3</v>
      </c>
      <c r="V33" s="1876">
        <f t="shared" si="30"/>
        <v>233785.80000000002</v>
      </c>
      <c r="W33" s="1933">
        <f>+'[3]Oct midyear LA Connections'!E31</f>
        <v>9</v>
      </c>
      <c r="X33" s="1876">
        <f t="shared" si="40"/>
        <v>45740.700000000004</v>
      </c>
      <c r="Y33" s="1933">
        <f>'[3]Feb midyear LA Connections'!E31</f>
        <v>-2</v>
      </c>
      <c r="Z33" s="1876">
        <f t="shared" si="41"/>
        <v>-5082.3</v>
      </c>
      <c r="AA33" s="1876">
        <f t="shared" si="42"/>
        <v>40658.400000000001</v>
      </c>
      <c r="AB33" s="1876">
        <f t="shared" si="43"/>
        <v>274444.2</v>
      </c>
      <c r="AC33" s="1876">
        <f t="shared" si="44"/>
        <v>-686.1105</v>
      </c>
      <c r="AD33" s="1876">
        <f t="shared" si="45"/>
        <v>273758.0895</v>
      </c>
      <c r="AE33" s="1875">
        <f>'[34]LA Conn Adjustment'!AB32+'[32]Oct midyear LA Connections'!P31+'[35]Feb midyear adj_Connections'!S33</f>
        <v>0</v>
      </c>
      <c r="AF33" s="1877">
        <f t="shared" si="46"/>
        <v>273758.0895</v>
      </c>
      <c r="AG33" s="1877">
        <f>+'[4]Table 5C3 - LA Connections EBR'!U31*8</f>
        <v>147568</v>
      </c>
      <c r="AH33" s="1877">
        <f t="shared" si="47"/>
        <v>126190.0895</v>
      </c>
      <c r="AI33" s="1877">
        <f t="shared" si="48"/>
        <v>31548</v>
      </c>
      <c r="AJ33" s="1878">
        <f t="shared" si="49"/>
        <v>460767.26978360064</v>
      </c>
      <c r="AK33" s="1878">
        <f t="shared" si="50"/>
        <v>51750</v>
      </c>
      <c r="AM33" s="2042">
        <f>-'[4]Table 5C3 - LA Connections EBR'!Q31</f>
        <v>555</v>
      </c>
      <c r="AN33" s="2042">
        <f t="shared" si="51"/>
        <v>-686.1105</v>
      </c>
      <c r="AO33" s="2042">
        <f t="shared" si="52"/>
        <v>-131.1105</v>
      </c>
    </row>
    <row r="34" spans="1:41" s="533" customFormat="1" ht="16.5" customHeight="1">
      <c r="A34" s="101">
        <v>29</v>
      </c>
      <c r="B34" s="772" t="s">
        <v>120</v>
      </c>
      <c r="C34" s="1870">
        <f>'2-1-13 SIS'!L35</f>
        <v>8</v>
      </c>
      <c r="D34" s="1871">
        <f>'Table 3 Levels 1&amp;2'!AL36*90%</f>
        <v>3557.3027519747384</v>
      </c>
      <c r="E34" s="1871">
        <f t="shared" si="31"/>
        <v>28458.422015797907</v>
      </c>
      <c r="F34" s="1872">
        <f>'Table 4 Level 3'!P34*90%</f>
        <v>679.45499999999993</v>
      </c>
      <c r="G34" s="1872">
        <f t="shared" si="32"/>
        <v>5435.6399999999994</v>
      </c>
      <c r="H34" s="1872">
        <f t="shared" si="33"/>
        <v>33894.062015797906</v>
      </c>
      <c r="I34" s="1872">
        <f>(('Table 3 Levels 1&amp;2'!AL36-D34)+('Table 4 Level 3'!P34-F34))*C34</f>
        <v>3766.0068906442111</v>
      </c>
      <c r="J34" s="1872">
        <f>+'[3]Oct midyear LA Connections'!K32</f>
        <v>-21183.788759873692</v>
      </c>
      <c r="K34" s="1872">
        <f>'[3]Feb midyear LA Connections'!K32</f>
        <v>0</v>
      </c>
      <c r="L34" s="1872">
        <f t="shared" si="34"/>
        <v>-21183.788759873692</v>
      </c>
      <c r="M34" s="1872">
        <f t="shared" si="35"/>
        <v>12710.273255924214</v>
      </c>
      <c r="N34" s="1872">
        <f t="shared" si="36"/>
        <v>-31.775683139810535</v>
      </c>
      <c r="O34" s="1873">
        <f t="shared" si="29"/>
        <v>12678.497572784403</v>
      </c>
      <c r="P34" s="1873">
        <f>'[34]LA Conn Adjustment'!X33+'[32]Oct midyear LA Connections'!K32+'[35]Feb midyear adj_Connections'!M34</f>
        <v>0</v>
      </c>
      <c r="Q34" s="1874">
        <f t="shared" si="37"/>
        <v>12678.497572784403</v>
      </c>
      <c r="R34" s="1874">
        <f>+'[4]Table 5C3 - LA Connections EBR'!N32*8</f>
        <v>22536</v>
      </c>
      <c r="S34" s="1874">
        <f t="shared" si="38"/>
        <v>-9857.502427215597</v>
      </c>
      <c r="T34" s="1874">
        <f t="shared" si="39"/>
        <v>-2464</v>
      </c>
      <c r="U34" s="1876">
        <f>'Table 5C1A-Madison Prep'!T36*90%</f>
        <v>4343.4000000000005</v>
      </c>
      <c r="V34" s="1876">
        <f t="shared" si="30"/>
        <v>34747.200000000004</v>
      </c>
      <c r="W34" s="1933">
        <f>+'[3]Oct midyear LA Connections'!E32</f>
        <v>-5</v>
      </c>
      <c r="X34" s="1876">
        <f t="shared" si="40"/>
        <v>-21717.000000000004</v>
      </c>
      <c r="Y34" s="1933">
        <f>'[3]Feb midyear LA Connections'!E32</f>
        <v>0</v>
      </c>
      <c r="Z34" s="1876">
        <f t="shared" si="41"/>
        <v>0</v>
      </c>
      <c r="AA34" s="1876">
        <f t="shared" si="42"/>
        <v>-21717.000000000004</v>
      </c>
      <c r="AB34" s="1876">
        <f t="shared" si="43"/>
        <v>13030.2</v>
      </c>
      <c r="AC34" s="1876">
        <f t="shared" si="44"/>
        <v>-32.575500000000005</v>
      </c>
      <c r="AD34" s="1876">
        <f t="shared" si="45"/>
        <v>12997.6245</v>
      </c>
      <c r="AE34" s="1875">
        <f>'[34]LA Conn Adjustment'!AB33+'[32]Oct midyear LA Connections'!P32+'[35]Feb midyear adj_Connections'!S34</f>
        <v>0</v>
      </c>
      <c r="AF34" s="1877">
        <f t="shared" si="46"/>
        <v>12997.6245</v>
      </c>
      <c r="AG34" s="1877">
        <f>+'[4]Table 5C3 - LA Connections EBR'!U32*8</f>
        <v>22808</v>
      </c>
      <c r="AH34" s="1877">
        <f t="shared" si="47"/>
        <v>-9810.3755000000001</v>
      </c>
      <c r="AI34" s="1877">
        <f t="shared" si="48"/>
        <v>-2453</v>
      </c>
      <c r="AJ34" s="1878">
        <f t="shared" si="49"/>
        <v>25676.122072784405</v>
      </c>
      <c r="AK34" s="1878">
        <f t="shared" si="50"/>
        <v>-4917</v>
      </c>
      <c r="AM34" s="2042">
        <f>-'[4]Table 5C3 - LA Connections EBR'!Q32</f>
        <v>86</v>
      </c>
      <c r="AN34" s="2042">
        <f t="shared" si="51"/>
        <v>-32.575500000000005</v>
      </c>
      <c r="AO34" s="2042">
        <f t="shared" si="52"/>
        <v>53.424499999999995</v>
      </c>
    </row>
    <row r="35" spans="1:41" s="533" customFormat="1" ht="16.5" customHeight="1">
      <c r="A35" s="102">
        <v>30</v>
      </c>
      <c r="B35" s="773" t="s">
        <v>121</v>
      </c>
      <c r="C35" s="1879">
        <f>'2-1-13 SIS'!L36</f>
        <v>2</v>
      </c>
      <c r="D35" s="1880">
        <f>'Table 3 Levels 1&amp;2'!AL37*90%</f>
        <v>5083.7859419267688</v>
      </c>
      <c r="E35" s="1880">
        <f t="shared" si="31"/>
        <v>10167.571883853538</v>
      </c>
      <c r="F35" s="1881">
        <f>'Table 4 Level 3'!P35*90%</f>
        <v>654.45299999999997</v>
      </c>
      <c r="G35" s="1881">
        <f t="shared" si="32"/>
        <v>1308.9059999999999</v>
      </c>
      <c r="H35" s="1881">
        <f t="shared" si="33"/>
        <v>11476.477883853539</v>
      </c>
      <c r="I35" s="1881">
        <f>(('Table 3 Levels 1&amp;2'!AL37-D35)+('Table 4 Level 3'!P35-F35))*C35</f>
        <v>1275.1642093170601</v>
      </c>
      <c r="J35" s="1881">
        <f>+'[3]Oct midyear LA Connections'!K33</f>
        <v>0</v>
      </c>
      <c r="K35" s="1881">
        <f>'[3]Feb midyear LA Connections'!K33</f>
        <v>2869.1194709633846</v>
      </c>
      <c r="L35" s="1881">
        <f t="shared" si="34"/>
        <v>2869.1194709633846</v>
      </c>
      <c r="M35" s="1881">
        <f t="shared" si="35"/>
        <v>14345.597354816924</v>
      </c>
      <c r="N35" s="1881">
        <f t="shared" si="36"/>
        <v>-35.863993387042314</v>
      </c>
      <c r="O35" s="1882">
        <f t="shared" si="29"/>
        <v>14309.733361429882</v>
      </c>
      <c r="P35" s="1882">
        <f>'[34]LA Conn Adjustment'!X34+'[32]Oct midyear LA Connections'!K33+'[35]Feb midyear adj_Connections'!M35</f>
        <v>0</v>
      </c>
      <c r="Q35" s="1883">
        <f t="shared" si="37"/>
        <v>14309.733361429882</v>
      </c>
      <c r="R35" s="1883">
        <f>+'[4]Table 5C3 - LA Connections EBR'!N33*8</f>
        <v>7632</v>
      </c>
      <c r="S35" s="1883">
        <f t="shared" si="38"/>
        <v>6677.7333614298823</v>
      </c>
      <c r="T35" s="1883">
        <f t="shared" si="39"/>
        <v>1669</v>
      </c>
      <c r="U35" s="1885">
        <f>'Table 5C1A-Madison Prep'!T37*90%</f>
        <v>3773.7000000000003</v>
      </c>
      <c r="V35" s="1885">
        <f t="shared" si="30"/>
        <v>7547.4000000000005</v>
      </c>
      <c r="W35" s="1934">
        <f>+'[3]Oct midyear LA Connections'!E33</f>
        <v>0</v>
      </c>
      <c r="X35" s="1885">
        <f t="shared" si="40"/>
        <v>0</v>
      </c>
      <c r="Y35" s="1934">
        <f>'[3]Feb midyear LA Connections'!E33</f>
        <v>1</v>
      </c>
      <c r="Z35" s="1885">
        <f t="shared" si="41"/>
        <v>1886.8500000000001</v>
      </c>
      <c r="AA35" s="1885">
        <f t="shared" si="42"/>
        <v>1886.8500000000001</v>
      </c>
      <c r="AB35" s="1885">
        <f t="shared" si="43"/>
        <v>9434.25</v>
      </c>
      <c r="AC35" s="1885">
        <f t="shared" si="44"/>
        <v>-23.585625</v>
      </c>
      <c r="AD35" s="1885">
        <f t="shared" si="45"/>
        <v>9410.6643750000003</v>
      </c>
      <c r="AE35" s="1884">
        <f>'[34]LA Conn Adjustment'!AB34+'[32]Oct midyear LA Connections'!P33+'[35]Feb midyear adj_Connections'!S35</f>
        <v>0</v>
      </c>
      <c r="AF35" s="1886">
        <f t="shared" si="46"/>
        <v>9410.6643750000003</v>
      </c>
      <c r="AG35" s="1886">
        <f>+'[4]Table 5C3 - LA Connections EBR'!U33*8</f>
        <v>3872</v>
      </c>
      <c r="AH35" s="1886">
        <f t="shared" si="47"/>
        <v>5538.6643750000003</v>
      </c>
      <c r="AI35" s="1886">
        <f t="shared" si="48"/>
        <v>1385</v>
      </c>
      <c r="AJ35" s="1887">
        <f t="shared" si="49"/>
        <v>23720.397736429884</v>
      </c>
      <c r="AK35" s="1887">
        <f t="shared" si="50"/>
        <v>3054</v>
      </c>
      <c r="AM35" s="2042">
        <f>-'[4]Table 5C3 - LA Connections EBR'!Q33</f>
        <v>15</v>
      </c>
      <c r="AN35" s="2042">
        <f t="shared" si="51"/>
        <v>-23.585625</v>
      </c>
      <c r="AO35" s="2042">
        <f t="shared" si="52"/>
        <v>-8.5856250000000003</v>
      </c>
    </row>
    <row r="36" spans="1:41" s="533" customFormat="1" ht="16.5" customHeight="1">
      <c r="A36" s="101">
        <v>31</v>
      </c>
      <c r="B36" s="772" t="s">
        <v>122</v>
      </c>
      <c r="C36" s="1859">
        <f>'2-1-13 SIS'!L37</f>
        <v>4</v>
      </c>
      <c r="D36" s="1860">
        <f>'Table 3 Levels 1&amp;2'!AL38*90%</f>
        <v>3914.0377109309675</v>
      </c>
      <c r="E36" s="1860">
        <f t="shared" si="31"/>
        <v>15656.15084372387</v>
      </c>
      <c r="F36" s="1861">
        <f>'Table 4 Level 3'!P36*90%</f>
        <v>558.74700000000007</v>
      </c>
      <c r="G36" s="1861">
        <f t="shared" si="32"/>
        <v>2234.9880000000003</v>
      </c>
      <c r="H36" s="1861">
        <f t="shared" si="33"/>
        <v>17891.138843723871</v>
      </c>
      <c r="I36" s="1861">
        <f>(('Table 3 Levels 1&amp;2'!AL38-D36)+('Table 4 Level 3'!P36-F36))*C36</f>
        <v>1987.9043159693188</v>
      </c>
      <c r="J36" s="1861">
        <f>+'[3]Oct midyear LA Connections'!K34</f>
        <v>0</v>
      </c>
      <c r="K36" s="1861">
        <f>'[3]Feb midyear LA Connections'!K34</f>
        <v>-2236.3923554654839</v>
      </c>
      <c r="L36" s="1861">
        <f t="shared" si="34"/>
        <v>-2236.3923554654839</v>
      </c>
      <c r="M36" s="1861">
        <f t="shared" si="35"/>
        <v>15654.746488258388</v>
      </c>
      <c r="N36" s="1861">
        <f t="shared" si="36"/>
        <v>-39.13686622064597</v>
      </c>
      <c r="O36" s="1862">
        <f t="shared" si="29"/>
        <v>15615.609622037742</v>
      </c>
      <c r="P36" s="1862">
        <f>'[34]LA Conn Adjustment'!X35+'[32]Oct midyear LA Connections'!K34+'[35]Feb midyear adj_Connections'!M36</f>
        <v>0</v>
      </c>
      <c r="Q36" s="1864">
        <f t="shared" si="37"/>
        <v>15615.609622037742</v>
      </c>
      <c r="R36" s="1864">
        <f>+'[4]Table 5C3 - LA Connections EBR'!N34*8</f>
        <v>11896</v>
      </c>
      <c r="S36" s="1864">
        <f t="shared" si="38"/>
        <v>3719.6096220377422</v>
      </c>
      <c r="T36" s="1864">
        <f t="shared" si="39"/>
        <v>930</v>
      </c>
      <c r="U36" s="1866">
        <f>'Table 5C1A-Madison Prep'!T38*90%</f>
        <v>4410.9000000000005</v>
      </c>
      <c r="V36" s="1866">
        <f t="shared" si="30"/>
        <v>17643.600000000002</v>
      </c>
      <c r="W36" s="1932">
        <f>+'[3]Oct midyear LA Connections'!E34</f>
        <v>0</v>
      </c>
      <c r="X36" s="1866">
        <f t="shared" si="40"/>
        <v>0</v>
      </c>
      <c r="Y36" s="1932">
        <f>'[3]Feb midyear LA Connections'!E34</f>
        <v>-1</v>
      </c>
      <c r="Z36" s="1866">
        <f t="shared" si="41"/>
        <v>-2205.4500000000003</v>
      </c>
      <c r="AA36" s="1866">
        <f t="shared" si="42"/>
        <v>-2205.4500000000003</v>
      </c>
      <c r="AB36" s="1866">
        <f t="shared" si="43"/>
        <v>15438.150000000001</v>
      </c>
      <c r="AC36" s="1866">
        <f t="shared" si="44"/>
        <v>-38.595375000000004</v>
      </c>
      <c r="AD36" s="1866">
        <f t="shared" si="45"/>
        <v>15399.554625000001</v>
      </c>
      <c r="AE36" s="1865">
        <f>'[34]LA Conn Adjustment'!AB35+'[32]Oct midyear LA Connections'!P34+'[35]Feb midyear adj_Connections'!S36</f>
        <v>0</v>
      </c>
      <c r="AF36" s="1867">
        <f t="shared" si="46"/>
        <v>15399.554625000001</v>
      </c>
      <c r="AG36" s="1867">
        <f>+'[4]Table 5C3 - LA Connections EBR'!U34*8</f>
        <v>11480</v>
      </c>
      <c r="AH36" s="1867">
        <f t="shared" si="47"/>
        <v>3919.5546250000007</v>
      </c>
      <c r="AI36" s="1867">
        <f t="shared" si="48"/>
        <v>980</v>
      </c>
      <c r="AJ36" s="1869">
        <f t="shared" si="49"/>
        <v>31015.164247037741</v>
      </c>
      <c r="AK36" s="1869">
        <f t="shared" si="50"/>
        <v>1910</v>
      </c>
      <c r="AM36" s="2042">
        <f>-'[4]Table 5C3 - LA Connections EBR'!Q34</f>
        <v>43</v>
      </c>
      <c r="AN36" s="2042">
        <f t="shared" si="51"/>
        <v>-38.595375000000004</v>
      </c>
      <c r="AO36" s="2042">
        <f t="shared" si="52"/>
        <v>4.4046249999999958</v>
      </c>
    </row>
    <row r="37" spans="1:41" s="533" customFormat="1" ht="16.5" customHeight="1">
      <c r="A37" s="101">
        <v>32</v>
      </c>
      <c r="B37" s="772" t="s">
        <v>123</v>
      </c>
      <c r="C37" s="1870">
        <f>'2-1-13 SIS'!L38</f>
        <v>76</v>
      </c>
      <c r="D37" s="1871">
        <f>'Table 3 Levels 1&amp;2'!AL39*90%</f>
        <v>4978.3641889911114</v>
      </c>
      <c r="E37" s="1871">
        <f t="shared" si="31"/>
        <v>378355.67836332449</v>
      </c>
      <c r="F37" s="1872">
        <f>'Table 4 Level 3'!P37*90%</f>
        <v>503.79300000000001</v>
      </c>
      <c r="G37" s="1872">
        <f t="shared" si="32"/>
        <v>38288.268000000004</v>
      </c>
      <c r="H37" s="1872">
        <f t="shared" si="33"/>
        <v>416643.94636332447</v>
      </c>
      <c r="I37" s="1872">
        <f>(('Table 3 Levels 1&amp;2'!AL39-D37)+('Table 4 Level 3'!P37-F37))*C37</f>
        <v>46293.771818147114</v>
      </c>
      <c r="J37" s="1872">
        <f>+'[3]Oct midyear LA Connections'!K35</f>
        <v>-27410.785944955554</v>
      </c>
      <c r="K37" s="1872">
        <f>'[3]Feb midyear LA Connections'!K35</f>
        <v>5482.1571889911111</v>
      </c>
      <c r="L37" s="1872">
        <f t="shared" si="34"/>
        <v>-21928.628755964444</v>
      </c>
      <c r="M37" s="1872">
        <f t="shared" si="35"/>
        <v>394715.31760736002</v>
      </c>
      <c r="N37" s="1872">
        <f t="shared" si="36"/>
        <v>-986.78829401840005</v>
      </c>
      <c r="O37" s="1873">
        <f t="shared" si="29"/>
        <v>393728.5293133416</v>
      </c>
      <c r="P37" s="1873">
        <f>'[34]LA Conn Adjustment'!X36+'[32]Oct midyear LA Connections'!K35+'[35]Feb midyear adj_Connections'!M37</f>
        <v>0</v>
      </c>
      <c r="Q37" s="1874">
        <f t="shared" si="37"/>
        <v>393728.5293133416</v>
      </c>
      <c r="R37" s="1874">
        <f>+'[4]Table 5C3 - LA Connections EBR'!N35*8</f>
        <v>277064</v>
      </c>
      <c r="S37" s="1874">
        <f t="shared" si="38"/>
        <v>116664.5293133416</v>
      </c>
      <c r="T37" s="1874">
        <f t="shared" si="39"/>
        <v>29166</v>
      </c>
      <c r="U37" s="1876">
        <f>'Table 5C1A-Madison Prep'!T39*90%</f>
        <v>1866.6000000000001</v>
      </c>
      <c r="V37" s="1876">
        <f t="shared" si="30"/>
        <v>141861.6</v>
      </c>
      <c r="W37" s="1933">
        <f>+'[3]Oct midyear LA Connections'!E35</f>
        <v>-5</v>
      </c>
      <c r="X37" s="1876">
        <f t="shared" si="40"/>
        <v>-9333</v>
      </c>
      <c r="Y37" s="1933">
        <f>'[3]Feb midyear LA Connections'!E35</f>
        <v>2</v>
      </c>
      <c r="Z37" s="1876">
        <f t="shared" si="41"/>
        <v>1866.6000000000001</v>
      </c>
      <c r="AA37" s="1876">
        <f t="shared" si="42"/>
        <v>-7466.4</v>
      </c>
      <c r="AB37" s="1876">
        <f t="shared" si="43"/>
        <v>134395.20000000001</v>
      </c>
      <c r="AC37" s="1876">
        <f t="shared" si="44"/>
        <v>-335.98800000000006</v>
      </c>
      <c r="AD37" s="1876">
        <f t="shared" si="45"/>
        <v>134059.212</v>
      </c>
      <c r="AE37" s="1875">
        <f>'[34]LA Conn Adjustment'!AB36+'[32]Oct midyear LA Connections'!P35+'[35]Feb midyear adj_Connections'!S37</f>
        <v>0</v>
      </c>
      <c r="AF37" s="1877">
        <f t="shared" si="46"/>
        <v>134059.212</v>
      </c>
      <c r="AG37" s="1877">
        <f>+'[4]Table 5C3 - LA Connections EBR'!U35*8</f>
        <v>95928</v>
      </c>
      <c r="AH37" s="1877">
        <f t="shared" si="47"/>
        <v>38131.212</v>
      </c>
      <c r="AI37" s="1877">
        <f t="shared" si="48"/>
        <v>9533</v>
      </c>
      <c r="AJ37" s="1878">
        <f t="shared" si="49"/>
        <v>527787.74131334154</v>
      </c>
      <c r="AK37" s="1878">
        <f t="shared" si="50"/>
        <v>38699</v>
      </c>
      <c r="AM37" s="2042">
        <f>-'[4]Table 5C3 - LA Connections EBR'!Q35</f>
        <v>361</v>
      </c>
      <c r="AN37" s="2042">
        <f t="shared" si="51"/>
        <v>-335.98800000000006</v>
      </c>
      <c r="AO37" s="2042">
        <f t="shared" si="52"/>
        <v>25.011999999999944</v>
      </c>
    </row>
    <row r="38" spans="1:41" s="533" customFormat="1" ht="16.5" customHeight="1">
      <c r="A38" s="101">
        <v>33</v>
      </c>
      <c r="B38" s="772" t="s">
        <v>124</v>
      </c>
      <c r="C38" s="1870">
        <f>'2-1-13 SIS'!L39</f>
        <v>4</v>
      </c>
      <c r="D38" s="1871">
        <f>'Table 3 Levels 1&amp;2'!AL40*90%</f>
        <v>4796.5899803866068</v>
      </c>
      <c r="E38" s="1871">
        <f t="shared" si="31"/>
        <v>19186.359921546427</v>
      </c>
      <c r="F38" s="1872">
        <f>'Table 4 Level 3'!P38*90%</f>
        <v>589.77900000000011</v>
      </c>
      <c r="G38" s="1872">
        <f t="shared" si="32"/>
        <v>2359.1160000000004</v>
      </c>
      <c r="H38" s="1872">
        <f t="shared" si="33"/>
        <v>21545.475921546429</v>
      </c>
      <c r="I38" s="1872">
        <f>(('Table 3 Levels 1&amp;2'!AL40-D38)+('Table 4 Level 3'!P38-F38))*C38</f>
        <v>2393.9417690607152</v>
      </c>
      <c r="J38" s="1872">
        <f>+'[3]Oct midyear LA Connections'!K36</f>
        <v>-21545.475921546429</v>
      </c>
      <c r="K38" s="1872">
        <f>'[3]Feb midyear LA Connections'!K36</f>
        <v>0</v>
      </c>
      <c r="L38" s="1872">
        <f t="shared" si="34"/>
        <v>-21545.475921546429</v>
      </c>
      <c r="M38" s="1872">
        <f t="shared" si="35"/>
        <v>0</v>
      </c>
      <c r="N38" s="1872">
        <f t="shared" si="36"/>
        <v>0</v>
      </c>
      <c r="O38" s="1873">
        <f t="shared" ref="O38:O69" si="53">M38+N38</f>
        <v>0</v>
      </c>
      <c r="P38" s="1873">
        <f>'[34]LA Conn Adjustment'!X37+'[32]Oct midyear LA Connections'!K36+'[35]Feb midyear adj_Connections'!M38</f>
        <v>0</v>
      </c>
      <c r="Q38" s="1874">
        <f t="shared" si="37"/>
        <v>0</v>
      </c>
      <c r="R38" s="1874">
        <f>+'[4]Table 5C3 - LA Connections EBR'!N36*8</f>
        <v>14328</v>
      </c>
      <c r="S38" s="1874">
        <f t="shared" si="38"/>
        <v>-14328</v>
      </c>
      <c r="T38" s="1874">
        <f t="shared" si="39"/>
        <v>-3582</v>
      </c>
      <c r="U38" s="1876">
        <f>'Table 5C1A-Madison Prep'!T40*90%</f>
        <v>3150.9</v>
      </c>
      <c r="V38" s="1876">
        <f t="shared" ref="V38:V69" si="54">U38*C38</f>
        <v>12603.6</v>
      </c>
      <c r="W38" s="1933">
        <f>+'[3]Oct midyear LA Connections'!E36</f>
        <v>-4</v>
      </c>
      <c r="X38" s="1876">
        <f t="shared" si="40"/>
        <v>-12603.6</v>
      </c>
      <c r="Y38" s="1933">
        <f>'[3]Feb midyear LA Connections'!E36</f>
        <v>0</v>
      </c>
      <c r="Z38" s="1876">
        <f t="shared" si="41"/>
        <v>0</v>
      </c>
      <c r="AA38" s="1876">
        <f t="shared" si="42"/>
        <v>-12603.6</v>
      </c>
      <c r="AB38" s="1876">
        <f t="shared" si="43"/>
        <v>0</v>
      </c>
      <c r="AC38" s="1876">
        <f t="shared" si="44"/>
        <v>0</v>
      </c>
      <c r="AD38" s="1876">
        <f t="shared" si="45"/>
        <v>0</v>
      </c>
      <c r="AE38" s="1875">
        <f>'[34]LA Conn Adjustment'!AB37+'[32]Oct midyear LA Connections'!P36+'[35]Feb midyear adj_Connections'!S38</f>
        <v>0</v>
      </c>
      <c r="AF38" s="1877">
        <f t="shared" si="46"/>
        <v>0</v>
      </c>
      <c r="AG38" s="1877">
        <f>+'[4]Table 5C3 - LA Connections EBR'!U36*8</f>
        <v>6344</v>
      </c>
      <c r="AH38" s="1877">
        <f t="shared" si="47"/>
        <v>-6344</v>
      </c>
      <c r="AI38" s="1877">
        <f t="shared" si="48"/>
        <v>-1586</v>
      </c>
      <c r="AJ38" s="1878">
        <f t="shared" si="49"/>
        <v>0</v>
      </c>
      <c r="AK38" s="1878">
        <f t="shared" si="50"/>
        <v>-5168</v>
      </c>
      <c r="AM38" s="2042">
        <f>-'[4]Table 5C3 - LA Connections EBR'!Q36</f>
        <v>24</v>
      </c>
      <c r="AN38" s="2042">
        <f t="shared" si="51"/>
        <v>0</v>
      </c>
      <c r="AO38" s="2042">
        <f t="shared" si="52"/>
        <v>24</v>
      </c>
    </row>
    <row r="39" spans="1:41" s="533" customFormat="1" ht="16.5" customHeight="1">
      <c r="A39" s="101">
        <v>34</v>
      </c>
      <c r="B39" s="772" t="s">
        <v>125</v>
      </c>
      <c r="C39" s="1870">
        <f>'2-1-13 SIS'!L40</f>
        <v>7</v>
      </c>
      <c r="D39" s="1871">
        <f>'Table 3 Levels 1&amp;2'!AL41*90%</f>
        <v>5403.2696388067425</v>
      </c>
      <c r="E39" s="1871">
        <f t="shared" si="31"/>
        <v>37822.887471647198</v>
      </c>
      <c r="F39" s="1872">
        <f>'Table 4 Level 3'!P39*90%</f>
        <v>579.69900000000018</v>
      </c>
      <c r="G39" s="1872">
        <f t="shared" si="32"/>
        <v>4057.8930000000014</v>
      </c>
      <c r="H39" s="1872">
        <f t="shared" si="33"/>
        <v>41880.780471647202</v>
      </c>
      <c r="I39" s="1872">
        <f>(('Table 3 Levels 1&amp;2'!AL41-D39)+('Table 4 Level 3'!P39-F39))*C39</f>
        <v>4653.4200524052394</v>
      </c>
      <c r="J39" s="1872">
        <f>+'[3]Oct midyear LA Connections'!K37</f>
        <v>-17948.90591642023</v>
      </c>
      <c r="K39" s="1872">
        <f>'[3]Feb midyear LA Connections'!K37</f>
        <v>0</v>
      </c>
      <c r="L39" s="1872">
        <f t="shared" si="34"/>
        <v>-17948.90591642023</v>
      </c>
      <c r="M39" s="1872">
        <f t="shared" si="35"/>
        <v>23931.874555226972</v>
      </c>
      <c r="N39" s="1872">
        <f t="shared" si="36"/>
        <v>-59.829686388067429</v>
      </c>
      <c r="O39" s="1873">
        <f t="shared" si="53"/>
        <v>23872.044868838904</v>
      </c>
      <c r="P39" s="1873">
        <f>'[34]LA Conn Adjustment'!X38+'[32]Oct midyear LA Connections'!K37+'[35]Feb midyear adj_Connections'!M39</f>
        <v>0</v>
      </c>
      <c r="Q39" s="1874">
        <f t="shared" si="37"/>
        <v>23872.044868838904</v>
      </c>
      <c r="R39" s="1874">
        <f>+'[4]Table 5C3 - LA Connections EBR'!N37*8</f>
        <v>27848</v>
      </c>
      <c r="S39" s="1874">
        <f t="shared" si="38"/>
        <v>-3975.9551311610958</v>
      </c>
      <c r="T39" s="1874">
        <f t="shared" si="39"/>
        <v>-994</v>
      </c>
      <c r="U39" s="1876">
        <f>'Table 5C1A-Madison Prep'!T41*90%</f>
        <v>2494.8000000000002</v>
      </c>
      <c r="V39" s="1876">
        <f t="shared" si="54"/>
        <v>17463.600000000002</v>
      </c>
      <c r="W39" s="1933">
        <f>+'[3]Oct midyear LA Connections'!E37</f>
        <v>-3</v>
      </c>
      <c r="X39" s="1876">
        <f t="shared" si="40"/>
        <v>-7484.4000000000005</v>
      </c>
      <c r="Y39" s="1933">
        <f>'[3]Feb midyear LA Connections'!E37</f>
        <v>0</v>
      </c>
      <c r="Z39" s="1876">
        <f t="shared" si="41"/>
        <v>0</v>
      </c>
      <c r="AA39" s="1876">
        <f t="shared" si="42"/>
        <v>-7484.4000000000005</v>
      </c>
      <c r="AB39" s="1876">
        <f t="shared" si="43"/>
        <v>9979.2000000000007</v>
      </c>
      <c r="AC39" s="1876">
        <f t="shared" si="44"/>
        <v>-24.948000000000004</v>
      </c>
      <c r="AD39" s="1876">
        <f t="shared" si="45"/>
        <v>9954.2520000000004</v>
      </c>
      <c r="AE39" s="1875">
        <f>'[34]LA Conn Adjustment'!AB38+'[32]Oct midyear LA Connections'!P37+'[35]Feb midyear adj_Connections'!S39</f>
        <v>0</v>
      </c>
      <c r="AF39" s="1877">
        <f t="shared" si="46"/>
        <v>9954.2520000000004</v>
      </c>
      <c r="AG39" s="1877">
        <f>+'[4]Table 5C3 - LA Connections EBR'!U37*8</f>
        <v>11800</v>
      </c>
      <c r="AH39" s="1877">
        <f t="shared" si="47"/>
        <v>-1845.7479999999996</v>
      </c>
      <c r="AI39" s="1877">
        <f t="shared" si="48"/>
        <v>-461</v>
      </c>
      <c r="AJ39" s="1878">
        <f t="shared" si="49"/>
        <v>33826.296868838908</v>
      </c>
      <c r="AK39" s="1878">
        <f t="shared" si="50"/>
        <v>-1455</v>
      </c>
      <c r="AM39" s="2042">
        <f>-'[4]Table 5C3 - LA Connections EBR'!Q37</f>
        <v>44</v>
      </c>
      <c r="AN39" s="2042">
        <f t="shared" si="51"/>
        <v>-24.948000000000004</v>
      </c>
      <c r="AO39" s="2042">
        <f t="shared" si="52"/>
        <v>19.051999999999996</v>
      </c>
    </row>
    <row r="40" spans="1:41" s="533" customFormat="1" ht="16.5" customHeight="1">
      <c r="A40" s="102">
        <v>35</v>
      </c>
      <c r="B40" s="773" t="s">
        <v>126</v>
      </c>
      <c r="C40" s="1879">
        <f>'2-1-13 SIS'!L41</f>
        <v>16</v>
      </c>
      <c r="D40" s="1880">
        <f>'Table 3 Levels 1&amp;2'!AL42*90%</f>
        <v>4146.4445774600581</v>
      </c>
      <c r="E40" s="1880">
        <f t="shared" si="31"/>
        <v>66343.11323936093</v>
      </c>
      <c r="F40" s="1881">
        <f>'Table 4 Level 3'!P40*90%</f>
        <v>484.16400000000004</v>
      </c>
      <c r="G40" s="1881">
        <f t="shared" si="32"/>
        <v>7746.6240000000007</v>
      </c>
      <c r="H40" s="1881">
        <f t="shared" si="33"/>
        <v>74089.737239360926</v>
      </c>
      <c r="I40" s="1881">
        <f>(('Table 3 Levels 1&amp;2'!AL42-D40)+('Table 4 Level 3'!P40-F40))*C40</f>
        <v>8232.193026595658</v>
      </c>
      <c r="J40" s="1881">
        <f>+'[3]Oct midyear LA Connections'!K38</f>
        <v>0</v>
      </c>
      <c r="K40" s="1881">
        <f>'[3]Feb midyear LA Connections'!K38</f>
        <v>6945.9128661900868</v>
      </c>
      <c r="L40" s="1881">
        <f t="shared" si="34"/>
        <v>6945.9128661900868</v>
      </c>
      <c r="M40" s="1881">
        <f t="shared" si="35"/>
        <v>81035.650105551016</v>
      </c>
      <c r="N40" s="1881">
        <f t="shared" si="36"/>
        <v>-202.58912526387755</v>
      </c>
      <c r="O40" s="1882">
        <f t="shared" si="53"/>
        <v>80833.060980287133</v>
      </c>
      <c r="P40" s="1882">
        <f>'[34]LA Conn Adjustment'!X39+'[32]Oct midyear LA Connections'!K38+'[35]Feb midyear adj_Connections'!M40</f>
        <v>0</v>
      </c>
      <c r="Q40" s="1883">
        <f t="shared" si="37"/>
        <v>80833.060980287133</v>
      </c>
      <c r="R40" s="1883">
        <f>+'[4]Table 5C3 - LA Connections EBR'!N38*8</f>
        <v>49272</v>
      </c>
      <c r="S40" s="1883">
        <f t="shared" si="38"/>
        <v>31561.060980287133</v>
      </c>
      <c r="T40" s="1883">
        <f t="shared" si="39"/>
        <v>7890</v>
      </c>
      <c r="U40" s="1885">
        <f>'Table 5C1A-Madison Prep'!T42*90%</f>
        <v>2826</v>
      </c>
      <c r="V40" s="1885">
        <f t="shared" si="54"/>
        <v>45216</v>
      </c>
      <c r="W40" s="1934">
        <f>+'[3]Oct midyear LA Connections'!E38</f>
        <v>0</v>
      </c>
      <c r="X40" s="1885">
        <f t="shared" si="40"/>
        <v>0</v>
      </c>
      <c r="Y40" s="1934">
        <f>'[3]Feb midyear LA Connections'!E38</f>
        <v>3</v>
      </c>
      <c r="Z40" s="1885">
        <f t="shared" si="41"/>
        <v>4239</v>
      </c>
      <c r="AA40" s="1885">
        <f t="shared" si="42"/>
        <v>4239</v>
      </c>
      <c r="AB40" s="1885">
        <f t="shared" si="43"/>
        <v>49455</v>
      </c>
      <c r="AC40" s="1885">
        <f t="shared" si="44"/>
        <v>-123.6375</v>
      </c>
      <c r="AD40" s="1885">
        <f t="shared" si="45"/>
        <v>49331.362500000003</v>
      </c>
      <c r="AE40" s="1884">
        <f>'[34]LA Conn Adjustment'!AB39+'[32]Oct midyear LA Connections'!P38+'[35]Feb midyear adj_Connections'!S40</f>
        <v>0</v>
      </c>
      <c r="AF40" s="1886">
        <f t="shared" si="46"/>
        <v>49331.362500000003</v>
      </c>
      <c r="AG40" s="1886">
        <f>+'[4]Table 5C3 - LA Connections EBR'!U38*8</f>
        <v>31584</v>
      </c>
      <c r="AH40" s="1886">
        <f t="shared" si="47"/>
        <v>17747.362500000003</v>
      </c>
      <c r="AI40" s="1886">
        <f t="shared" si="48"/>
        <v>4437</v>
      </c>
      <c r="AJ40" s="1887">
        <f t="shared" si="49"/>
        <v>130164.42348028714</v>
      </c>
      <c r="AK40" s="1887">
        <f t="shared" si="50"/>
        <v>12327</v>
      </c>
      <c r="AM40" s="2042">
        <f>-'[4]Table 5C3 - LA Connections EBR'!Q38</f>
        <v>119</v>
      </c>
      <c r="AN40" s="2042">
        <f t="shared" si="51"/>
        <v>-123.6375</v>
      </c>
      <c r="AO40" s="2042">
        <f t="shared" si="52"/>
        <v>-4.6375000000000028</v>
      </c>
    </row>
    <row r="41" spans="1:41" s="533" customFormat="1" ht="16.5" customHeight="1">
      <c r="A41" s="101">
        <v>36</v>
      </c>
      <c r="B41" s="772" t="s">
        <v>127</v>
      </c>
      <c r="C41" s="1859">
        <f>'2-1-13 SIS'!L42</f>
        <v>43</v>
      </c>
      <c r="D41" s="1860">
        <f>'Table 3 Levels 1&amp;2'!AL43*90%</f>
        <v>3168.4404903940576</v>
      </c>
      <c r="E41" s="1860">
        <f t="shared" si="31"/>
        <v>136242.94108694448</v>
      </c>
      <c r="F41" s="1861">
        <f>'Table 5B1_RSD_Orleans'!F78*90%</f>
        <v>671.43020547945218</v>
      </c>
      <c r="G41" s="1861">
        <f t="shared" si="32"/>
        <v>28871.498835616443</v>
      </c>
      <c r="H41" s="1861">
        <f t="shared" si="33"/>
        <v>165114.43992256094</v>
      </c>
      <c r="I41" s="1861">
        <f>(('Table 3 Levels 1&amp;2'!AL43-D41)+('Table 4 Level 3'!P41-F41))*C41</f>
        <v>17537.572159500727</v>
      </c>
      <c r="J41" s="1861">
        <f>+'[3]Oct midyear LA Connections'!K39</f>
        <v>-26879.094871114568</v>
      </c>
      <c r="K41" s="1861">
        <f>'[3]Feb midyear LA Connections'!K39</f>
        <v>-9599.6767396837749</v>
      </c>
      <c r="L41" s="1861">
        <f t="shared" si="34"/>
        <v>-36478.771610798343</v>
      </c>
      <c r="M41" s="1861">
        <f t="shared" si="35"/>
        <v>128635.66831176259</v>
      </c>
      <c r="N41" s="1861">
        <f t="shared" si="36"/>
        <v>-321.58917077940652</v>
      </c>
      <c r="O41" s="1862">
        <f t="shared" si="53"/>
        <v>128314.07914098319</v>
      </c>
      <c r="P41" s="1862">
        <f>'[34]LA Conn Adjustment'!X40+'[32]Oct midyear LA Connections'!K39+'[35]Feb midyear adj_Connections'!M41</f>
        <v>0</v>
      </c>
      <c r="Q41" s="1864">
        <f t="shared" si="37"/>
        <v>128314.07914098319</v>
      </c>
      <c r="R41" s="1864">
        <f>+'[4]Table 5C3 - LA Connections EBR'!N39*8</f>
        <v>109800</v>
      </c>
      <c r="S41" s="1864">
        <f t="shared" si="38"/>
        <v>18514.079140983187</v>
      </c>
      <c r="T41" s="1864">
        <f t="shared" si="39"/>
        <v>4629</v>
      </c>
      <c r="U41" s="1866">
        <f>'Table 5C1A-Madison Prep'!T43*90%</f>
        <v>4889.7</v>
      </c>
      <c r="V41" s="1866">
        <f t="shared" si="54"/>
        <v>210257.1</v>
      </c>
      <c r="W41" s="1932">
        <f>+'[3]Oct midyear LA Connections'!E39</f>
        <v>-7</v>
      </c>
      <c r="X41" s="1866">
        <f t="shared" si="40"/>
        <v>-34227.9</v>
      </c>
      <c r="Y41" s="1932">
        <f>'[3]Feb midyear LA Connections'!E39</f>
        <v>-5</v>
      </c>
      <c r="Z41" s="1866">
        <f t="shared" si="41"/>
        <v>-12224.25</v>
      </c>
      <c r="AA41" s="1866">
        <f t="shared" si="42"/>
        <v>-46452.15</v>
      </c>
      <c r="AB41" s="1866">
        <f t="shared" si="43"/>
        <v>163804.95000000001</v>
      </c>
      <c r="AC41" s="1866">
        <f t="shared" si="44"/>
        <v>-409.51237500000002</v>
      </c>
      <c r="AD41" s="1866">
        <f t="shared" si="45"/>
        <v>163395.43762500002</v>
      </c>
      <c r="AE41" s="1865">
        <f>'[34]LA Conn Adjustment'!AB40+'[32]Oct midyear LA Connections'!P39+'[35]Feb midyear adj_Connections'!S41</f>
        <v>0</v>
      </c>
      <c r="AF41" s="1867">
        <f t="shared" si="46"/>
        <v>163395.43762500002</v>
      </c>
      <c r="AG41" s="1867">
        <f>+'[4]Table 5C3 - LA Connections EBR'!U39*8</f>
        <v>140024</v>
      </c>
      <c r="AH41" s="1867">
        <f t="shared" si="47"/>
        <v>23371.43762500002</v>
      </c>
      <c r="AI41" s="1867">
        <f t="shared" si="48"/>
        <v>5843</v>
      </c>
      <c r="AJ41" s="1869">
        <f t="shared" si="49"/>
        <v>291709.51676598319</v>
      </c>
      <c r="AK41" s="1869">
        <f t="shared" si="50"/>
        <v>10472</v>
      </c>
      <c r="AM41" s="2042">
        <f>-'[4]Table 5C3 - LA Connections EBR'!Q39</f>
        <v>526</v>
      </c>
      <c r="AN41" s="2042">
        <f t="shared" si="51"/>
        <v>-409.51237500000002</v>
      </c>
      <c r="AO41" s="2042">
        <f t="shared" si="52"/>
        <v>116.48762499999998</v>
      </c>
    </row>
    <row r="42" spans="1:41" s="533" customFormat="1" ht="16.5" customHeight="1">
      <c r="A42" s="101">
        <v>37</v>
      </c>
      <c r="B42" s="772" t="s">
        <v>128</v>
      </c>
      <c r="C42" s="1870">
        <f>'2-1-13 SIS'!L43</f>
        <v>17</v>
      </c>
      <c r="D42" s="1871">
        <f>'Table 3 Levels 1&amp;2'!AL44*90%</f>
        <v>4953.383607763697</v>
      </c>
      <c r="E42" s="1871">
        <f t="shared" si="31"/>
        <v>84207.521331982847</v>
      </c>
      <c r="F42" s="1872">
        <f>'Table 4 Level 3'!P42*90%</f>
        <v>588.24900000000002</v>
      </c>
      <c r="G42" s="1872">
        <f t="shared" si="32"/>
        <v>10000.233</v>
      </c>
      <c r="H42" s="1872">
        <f t="shared" si="33"/>
        <v>94207.75433198284</v>
      </c>
      <c r="I42" s="1872">
        <f>(('Table 3 Levels 1&amp;2'!AL44-D42)+('Table 4 Level 3'!P42-F42))*C42</f>
        <v>10467.5282591092</v>
      </c>
      <c r="J42" s="1872">
        <f>+'[3]Oct midyear LA Connections'!K40</f>
        <v>49874.693469873273</v>
      </c>
      <c r="K42" s="1872">
        <f>'[3]Feb midyear LA Connections'!K40</f>
        <v>11083.265215527394</v>
      </c>
      <c r="L42" s="1872">
        <f t="shared" si="34"/>
        <v>60957.958685400663</v>
      </c>
      <c r="M42" s="1872">
        <f t="shared" si="35"/>
        <v>155165.7130173835</v>
      </c>
      <c r="N42" s="1872">
        <f t="shared" si="36"/>
        <v>-387.91428254345874</v>
      </c>
      <c r="O42" s="1873">
        <f t="shared" si="53"/>
        <v>154777.79873484003</v>
      </c>
      <c r="P42" s="1873">
        <f>'[34]LA Conn Adjustment'!X41+'[32]Oct midyear LA Connections'!K40+'[35]Feb midyear adj_Connections'!M42</f>
        <v>0</v>
      </c>
      <c r="Q42" s="1874">
        <f t="shared" si="37"/>
        <v>154777.79873484003</v>
      </c>
      <c r="R42" s="1874">
        <f>+'[4]Table 5C3 - LA Connections EBR'!N40*8</f>
        <v>62648</v>
      </c>
      <c r="S42" s="1874">
        <f t="shared" si="38"/>
        <v>92129.798734840035</v>
      </c>
      <c r="T42" s="1874">
        <f t="shared" si="39"/>
        <v>23032</v>
      </c>
      <c r="U42" s="1876">
        <f>'Table 5C1A-Madison Prep'!T44*90%</f>
        <v>2979</v>
      </c>
      <c r="V42" s="1876">
        <f t="shared" si="54"/>
        <v>50643</v>
      </c>
      <c r="W42" s="1933">
        <f>+'[3]Oct midyear LA Connections'!E40</f>
        <v>9</v>
      </c>
      <c r="X42" s="1876">
        <f t="shared" si="40"/>
        <v>26811</v>
      </c>
      <c r="Y42" s="1933">
        <f>'[3]Feb midyear LA Connections'!E40</f>
        <v>4</v>
      </c>
      <c r="Z42" s="1876">
        <f t="shared" si="41"/>
        <v>5958</v>
      </c>
      <c r="AA42" s="1876">
        <f t="shared" si="42"/>
        <v>32769</v>
      </c>
      <c r="AB42" s="1876">
        <f t="shared" si="43"/>
        <v>83412</v>
      </c>
      <c r="AC42" s="1876">
        <f t="shared" si="44"/>
        <v>-208.53</v>
      </c>
      <c r="AD42" s="1876">
        <f t="shared" si="45"/>
        <v>83203.47</v>
      </c>
      <c r="AE42" s="1875">
        <f>'[34]LA Conn Adjustment'!AB41+'[32]Oct midyear LA Connections'!P40+'[35]Feb midyear adj_Connections'!S42</f>
        <v>0</v>
      </c>
      <c r="AF42" s="1877">
        <f t="shared" si="46"/>
        <v>83203.47</v>
      </c>
      <c r="AG42" s="1877">
        <f>+'[4]Table 5C3 - LA Connections EBR'!U40*8</f>
        <v>32832</v>
      </c>
      <c r="AH42" s="1877">
        <f t="shared" si="47"/>
        <v>50371.47</v>
      </c>
      <c r="AI42" s="1877">
        <f t="shared" si="48"/>
        <v>12593</v>
      </c>
      <c r="AJ42" s="1878">
        <f t="shared" si="49"/>
        <v>237981.26873484004</v>
      </c>
      <c r="AK42" s="1878">
        <f t="shared" si="50"/>
        <v>35625</v>
      </c>
      <c r="AM42" s="2042">
        <f>-'[4]Table 5C3 - LA Connections EBR'!Q40</f>
        <v>123</v>
      </c>
      <c r="AN42" s="2042">
        <f t="shared" si="51"/>
        <v>-208.53</v>
      </c>
      <c r="AO42" s="2042">
        <f t="shared" si="52"/>
        <v>-85.53</v>
      </c>
    </row>
    <row r="43" spans="1:41" s="533" customFormat="1" ht="16.5" customHeight="1">
      <c r="A43" s="101">
        <v>38</v>
      </c>
      <c r="B43" s="772" t="s">
        <v>129</v>
      </c>
      <c r="C43" s="1870">
        <f>'2-1-13 SIS'!L44</f>
        <v>6</v>
      </c>
      <c r="D43" s="1871">
        <f>'Table 3 Levels 1&amp;2'!AL45*90%</f>
        <v>1973.4790748031496</v>
      </c>
      <c r="E43" s="1871">
        <f t="shared" si="31"/>
        <v>11840.874448818897</v>
      </c>
      <c r="F43" s="1872">
        <f>'Table 4 Level 3'!P43*90%</f>
        <v>746.92800000000011</v>
      </c>
      <c r="G43" s="1872">
        <f t="shared" si="32"/>
        <v>4481.5680000000011</v>
      </c>
      <c r="H43" s="1872">
        <f t="shared" si="33"/>
        <v>16322.442448818898</v>
      </c>
      <c r="I43" s="1872">
        <f>(('Table 3 Levels 1&amp;2'!AL45-D43)+('Table 4 Level 3'!P43-F43))*C43</f>
        <v>1813.6047165354325</v>
      </c>
      <c r="J43" s="1872">
        <f>+'[3]Oct midyear LA Connections'!K41</f>
        <v>0</v>
      </c>
      <c r="K43" s="1872">
        <f>'[3]Feb midyear LA Connections'!K41</f>
        <v>0</v>
      </c>
      <c r="L43" s="1872">
        <f t="shared" si="34"/>
        <v>0</v>
      </c>
      <c r="M43" s="1872">
        <f t="shared" si="35"/>
        <v>16322.442448818898</v>
      </c>
      <c r="N43" s="1872">
        <f t="shared" si="36"/>
        <v>-40.806106122047247</v>
      </c>
      <c r="O43" s="1873">
        <f t="shared" si="53"/>
        <v>16281.636342696851</v>
      </c>
      <c r="P43" s="1873">
        <f>'[34]LA Conn Adjustment'!X42+'[32]Oct midyear LA Connections'!K41+'[35]Feb midyear adj_Connections'!M43</f>
        <v>0</v>
      </c>
      <c r="Q43" s="1874">
        <f t="shared" si="37"/>
        <v>16281.636342696851</v>
      </c>
      <c r="R43" s="1874">
        <f>+'[4]Table 5C3 - LA Connections EBR'!N41*8</f>
        <v>10856</v>
      </c>
      <c r="S43" s="1874">
        <f t="shared" si="38"/>
        <v>5425.636342696851</v>
      </c>
      <c r="T43" s="1874">
        <f t="shared" si="39"/>
        <v>1356</v>
      </c>
      <c r="U43" s="1876">
        <f>'Table 5C1A-Madison Prep'!T45*90%</f>
        <v>11268.9</v>
      </c>
      <c r="V43" s="1876">
        <f t="shared" si="54"/>
        <v>67613.399999999994</v>
      </c>
      <c r="W43" s="1933">
        <f>+'[3]Oct midyear LA Connections'!E41</f>
        <v>0</v>
      </c>
      <c r="X43" s="1876">
        <f t="shared" si="40"/>
        <v>0</v>
      </c>
      <c r="Y43" s="1933">
        <f>'[3]Feb midyear LA Connections'!E41</f>
        <v>0</v>
      </c>
      <c r="Z43" s="1876">
        <f t="shared" si="41"/>
        <v>0</v>
      </c>
      <c r="AA43" s="1876">
        <f t="shared" si="42"/>
        <v>0</v>
      </c>
      <c r="AB43" s="1876">
        <f t="shared" si="43"/>
        <v>67613.399999999994</v>
      </c>
      <c r="AC43" s="1876">
        <f t="shared" si="44"/>
        <v>-169.03349999999998</v>
      </c>
      <c r="AD43" s="1876">
        <f t="shared" si="45"/>
        <v>67444.366499999989</v>
      </c>
      <c r="AE43" s="1875">
        <f>'[34]LA Conn Adjustment'!AB42+'[32]Oct midyear LA Connections'!P41+'[35]Feb midyear adj_Connections'!S43</f>
        <v>0</v>
      </c>
      <c r="AF43" s="1877">
        <f t="shared" si="46"/>
        <v>67444.366499999989</v>
      </c>
      <c r="AG43" s="1877">
        <f>+'[4]Table 5C3 - LA Connections EBR'!U41*8</f>
        <v>39024</v>
      </c>
      <c r="AH43" s="1877">
        <f t="shared" si="47"/>
        <v>28420.366499999989</v>
      </c>
      <c r="AI43" s="1877">
        <f t="shared" si="48"/>
        <v>7105</v>
      </c>
      <c r="AJ43" s="1878">
        <f t="shared" si="49"/>
        <v>83726.002842696835</v>
      </c>
      <c r="AK43" s="1878">
        <f t="shared" si="50"/>
        <v>8461</v>
      </c>
      <c r="AM43" s="2042">
        <f>-'[4]Table 5C3 - LA Connections EBR'!Q41</f>
        <v>147</v>
      </c>
      <c r="AN43" s="2042">
        <f t="shared" si="51"/>
        <v>-169.03349999999998</v>
      </c>
      <c r="AO43" s="2042">
        <f t="shared" si="52"/>
        <v>-22.033499999999975</v>
      </c>
    </row>
    <row r="44" spans="1:41" s="533" customFormat="1" ht="16.5" customHeight="1">
      <c r="A44" s="101">
        <v>39</v>
      </c>
      <c r="B44" s="772" t="s">
        <v>130</v>
      </c>
      <c r="C44" s="1870">
        <f>'2-1-13 SIS'!L45</f>
        <v>5</v>
      </c>
      <c r="D44" s="1871">
        <f>'Table 3 Levels 1&amp;2'!AL46*90%</f>
        <v>3275.9948500256428</v>
      </c>
      <c r="E44" s="1871">
        <f t="shared" si="31"/>
        <v>16379.974250128214</v>
      </c>
      <c r="F44" s="1872">
        <f>'Table 5B2_RSD_LA'!F21*90%</f>
        <v>701.69015738498797</v>
      </c>
      <c r="G44" s="1872">
        <f t="shared" si="32"/>
        <v>3508.4507869249401</v>
      </c>
      <c r="H44" s="1872">
        <f t="shared" si="33"/>
        <v>19888.425037053155</v>
      </c>
      <c r="I44" s="1872">
        <f>(('Table 3 Levels 1&amp;2'!AL46-D44)+('Table 4 Level 3'!P44-F44))*C44</f>
        <v>2209.8250041170159</v>
      </c>
      <c r="J44" s="1872">
        <f>+'[3]Oct midyear LA Connections'!K42</f>
        <v>19888.425037053152</v>
      </c>
      <c r="K44" s="1872">
        <f>'[3]Feb midyear LA Connections'!K42</f>
        <v>-1988.8425037053153</v>
      </c>
      <c r="L44" s="1872">
        <f t="shared" si="34"/>
        <v>17899.582533347835</v>
      </c>
      <c r="M44" s="1872">
        <f t="shared" si="35"/>
        <v>37788.007570400994</v>
      </c>
      <c r="N44" s="1872">
        <f t="shared" si="36"/>
        <v>-94.470018926002481</v>
      </c>
      <c r="O44" s="1873">
        <f t="shared" si="53"/>
        <v>37693.53755147499</v>
      </c>
      <c r="P44" s="1873">
        <f>'[34]LA Conn Adjustment'!X43+'[32]Oct midyear LA Connections'!K42+'[35]Feb midyear adj_Connections'!M44</f>
        <v>0</v>
      </c>
      <c r="Q44" s="1874">
        <f t="shared" si="37"/>
        <v>37693.53755147499</v>
      </c>
      <c r="R44" s="1874">
        <f>+'[4]Table 5C3 - LA Connections EBR'!N42*8</f>
        <v>13224</v>
      </c>
      <c r="S44" s="1874">
        <f t="shared" si="38"/>
        <v>24469.53755147499</v>
      </c>
      <c r="T44" s="1874">
        <f t="shared" si="39"/>
        <v>6117</v>
      </c>
      <c r="U44" s="1876">
        <f>'Table 5C1A-Madison Prep'!T46*90%</f>
        <v>3992.4</v>
      </c>
      <c r="V44" s="1876">
        <f t="shared" si="54"/>
        <v>19962</v>
      </c>
      <c r="W44" s="1933">
        <f>+'[3]Oct midyear LA Connections'!E42</f>
        <v>5</v>
      </c>
      <c r="X44" s="1876">
        <f t="shared" si="40"/>
        <v>19962</v>
      </c>
      <c r="Y44" s="1933">
        <f>'[3]Feb midyear LA Connections'!E42</f>
        <v>-1</v>
      </c>
      <c r="Z44" s="1876">
        <f t="shared" si="41"/>
        <v>-1996.2</v>
      </c>
      <c r="AA44" s="1876">
        <f t="shared" si="42"/>
        <v>17965.8</v>
      </c>
      <c r="AB44" s="1876">
        <f t="shared" si="43"/>
        <v>37927.800000000003</v>
      </c>
      <c r="AC44" s="1876">
        <f t="shared" si="44"/>
        <v>-94.819500000000005</v>
      </c>
      <c r="AD44" s="1876">
        <f t="shared" si="45"/>
        <v>37832.980500000005</v>
      </c>
      <c r="AE44" s="1875">
        <f>'[34]LA Conn Adjustment'!AB43+'[32]Oct midyear LA Connections'!P42+'[35]Feb midyear adj_Connections'!S44</f>
        <v>0</v>
      </c>
      <c r="AF44" s="1877">
        <f t="shared" si="46"/>
        <v>37832.980500000005</v>
      </c>
      <c r="AG44" s="1877">
        <f>+'[4]Table 5C3 - LA Connections EBR'!U42*8</f>
        <v>12936</v>
      </c>
      <c r="AH44" s="1877">
        <f t="shared" si="47"/>
        <v>24896.980500000005</v>
      </c>
      <c r="AI44" s="1877">
        <f t="shared" si="48"/>
        <v>6224</v>
      </c>
      <c r="AJ44" s="1878">
        <f t="shared" si="49"/>
        <v>75526.518051474995</v>
      </c>
      <c r="AK44" s="1878">
        <f t="shared" si="50"/>
        <v>12341</v>
      </c>
      <c r="AM44" s="2042">
        <f>-'[4]Table 5C3 - LA Connections EBR'!Q42</f>
        <v>49</v>
      </c>
      <c r="AN44" s="2042">
        <f t="shared" si="51"/>
        <v>-94.819500000000005</v>
      </c>
      <c r="AO44" s="2042">
        <f t="shared" si="52"/>
        <v>-45.819500000000005</v>
      </c>
    </row>
    <row r="45" spans="1:41" s="533" customFormat="1" ht="16.5" customHeight="1">
      <c r="A45" s="102">
        <v>40</v>
      </c>
      <c r="B45" s="773" t="s">
        <v>131</v>
      </c>
      <c r="C45" s="1879">
        <f>'2-1-13 SIS'!L46</f>
        <v>27</v>
      </c>
      <c r="D45" s="1880">
        <f>'Table 3 Levels 1&amp;2'!AL47*90%</f>
        <v>4435.6477016431081</v>
      </c>
      <c r="E45" s="1880">
        <f t="shared" si="31"/>
        <v>119762.48794436392</v>
      </c>
      <c r="F45" s="1881">
        <f>'Table 4 Level 3'!P45*90%</f>
        <v>630.24300000000005</v>
      </c>
      <c r="G45" s="1881">
        <f t="shared" si="32"/>
        <v>17016.561000000002</v>
      </c>
      <c r="H45" s="1881">
        <f t="shared" si="33"/>
        <v>136779.04894436392</v>
      </c>
      <c r="I45" s="1881">
        <f>(('Table 3 Levels 1&amp;2'!AL47-D45)+('Table 4 Level 3'!P45-F45))*C45</f>
        <v>15197.672104929328</v>
      </c>
      <c r="J45" s="1881">
        <f>+'[3]Oct midyear LA Connections'!K43</f>
        <v>35461.234911501757</v>
      </c>
      <c r="K45" s="1881">
        <f>'[3]Feb midyear LA Connections'!K43</f>
        <v>2532.9453508215543</v>
      </c>
      <c r="L45" s="1881">
        <f t="shared" si="34"/>
        <v>37994.180262323309</v>
      </c>
      <c r="M45" s="1881">
        <f t="shared" si="35"/>
        <v>174773.22920668725</v>
      </c>
      <c r="N45" s="1881">
        <f t="shared" si="36"/>
        <v>-436.93307301671814</v>
      </c>
      <c r="O45" s="1882">
        <f t="shared" si="53"/>
        <v>174336.29613367052</v>
      </c>
      <c r="P45" s="1882">
        <f>'[34]LA Conn Adjustment'!X44+'[32]Oct midyear LA Connections'!K43+'[35]Feb midyear adj_Connections'!M45</f>
        <v>0</v>
      </c>
      <c r="Q45" s="1883">
        <f t="shared" si="37"/>
        <v>174336.29613367052</v>
      </c>
      <c r="R45" s="1883">
        <f>+'[4]Table 5C3 - LA Connections EBR'!N43*8</f>
        <v>90960</v>
      </c>
      <c r="S45" s="1883">
        <f t="shared" si="38"/>
        <v>83376.296133670519</v>
      </c>
      <c r="T45" s="1883">
        <f t="shared" si="39"/>
        <v>20844</v>
      </c>
      <c r="U45" s="1885">
        <f>'Table 5C1A-Madison Prep'!T47*90%</f>
        <v>2717.1</v>
      </c>
      <c r="V45" s="1885">
        <f t="shared" si="54"/>
        <v>73361.7</v>
      </c>
      <c r="W45" s="1934">
        <f>+'[3]Oct midyear LA Connections'!E43</f>
        <v>7</v>
      </c>
      <c r="X45" s="1885">
        <f t="shared" si="40"/>
        <v>19019.7</v>
      </c>
      <c r="Y45" s="1934">
        <f>'[3]Feb midyear LA Connections'!E43</f>
        <v>1</v>
      </c>
      <c r="Z45" s="1885">
        <f t="shared" si="41"/>
        <v>1358.55</v>
      </c>
      <c r="AA45" s="1885">
        <f t="shared" si="42"/>
        <v>20378.25</v>
      </c>
      <c r="AB45" s="1885">
        <f t="shared" si="43"/>
        <v>93739.95</v>
      </c>
      <c r="AC45" s="1885">
        <f t="shared" si="44"/>
        <v>-234.349875</v>
      </c>
      <c r="AD45" s="1885">
        <f t="shared" si="45"/>
        <v>93505.600124999997</v>
      </c>
      <c r="AE45" s="1884">
        <f>'[34]LA Conn Adjustment'!AB44+'[32]Oct midyear LA Connections'!P43+'[35]Feb midyear adj_Connections'!S45</f>
        <v>0</v>
      </c>
      <c r="AF45" s="1886">
        <f t="shared" si="46"/>
        <v>93505.600124999997</v>
      </c>
      <c r="AG45" s="1886">
        <f>+'[4]Table 5C3 - LA Connections EBR'!U43*8</f>
        <v>48592</v>
      </c>
      <c r="AH45" s="1886">
        <f t="shared" si="47"/>
        <v>44913.600124999997</v>
      </c>
      <c r="AI45" s="1886">
        <f t="shared" si="48"/>
        <v>11228</v>
      </c>
      <c r="AJ45" s="1887">
        <f t="shared" si="49"/>
        <v>267841.89625867049</v>
      </c>
      <c r="AK45" s="1887">
        <f t="shared" si="50"/>
        <v>32072</v>
      </c>
      <c r="AM45" s="2042">
        <f>-'[4]Table 5C3 - LA Connections EBR'!Q43</f>
        <v>183</v>
      </c>
      <c r="AN45" s="2042">
        <f t="shared" si="51"/>
        <v>-234.349875</v>
      </c>
      <c r="AO45" s="2042">
        <f t="shared" si="52"/>
        <v>-51.349874999999997</v>
      </c>
    </row>
    <row r="46" spans="1:41" s="533" customFormat="1" ht="16.5" customHeight="1">
      <c r="A46" s="101">
        <v>41</v>
      </c>
      <c r="B46" s="772" t="s">
        <v>132</v>
      </c>
      <c r="C46" s="1859">
        <f>'2-1-13 SIS'!L47</f>
        <v>1</v>
      </c>
      <c r="D46" s="1860">
        <f>'Table 3 Levels 1&amp;2'!AL48*90%</f>
        <v>1454.0412119064495</v>
      </c>
      <c r="E46" s="1860">
        <f t="shared" si="31"/>
        <v>1454.0412119064495</v>
      </c>
      <c r="F46" s="1861">
        <f>'Table 4 Level 3'!P46*90%</f>
        <v>797.59800000000007</v>
      </c>
      <c r="G46" s="1861">
        <f t="shared" si="32"/>
        <v>797.59800000000007</v>
      </c>
      <c r="H46" s="1861">
        <f t="shared" si="33"/>
        <v>2251.6392119064494</v>
      </c>
      <c r="I46" s="1861">
        <f>(('Table 3 Levels 1&amp;2'!AL48-D46)+('Table 4 Level 3'!P46-F46))*C46</f>
        <v>250.18213465627207</v>
      </c>
      <c r="J46" s="1861">
        <f>+'[3]Oct midyear LA Connections'!K44</f>
        <v>-2251.6392119064494</v>
      </c>
      <c r="K46" s="1861">
        <f>'[3]Feb midyear LA Connections'!K44</f>
        <v>0</v>
      </c>
      <c r="L46" s="1861">
        <f t="shared" si="34"/>
        <v>-2251.6392119064494</v>
      </c>
      <c r="M46" s="1861">
        <f t="shared" si="35"/>
        <v>0</v>
      </c>
      <c r="N46" s="1861">
        <f t="shared" si="36"/>
        <v>0</v>
      </c>
      <c r="O46" s="1862">
        <f t="shared" si="53"/>
        <v>0</v>
      </c>
      <c r="P46" s="1862">
        <f>'[34]LA Conn Adjustment'!X45+'[32]Oct midyear LA Connections'!K44+'[35]Feb midyear adj_Connections'!M46</f>
        <v>0</v>
      </c>
      <c r="Q46" s="1864">
        <f t="shared" si="37"/>
        <v>0</v>
      </c>
      <c r="R46" s="1864">
        <f>+'[4]Table 5C3 - LA Connections EBR'!N44*8</f>
        <v>1496</v>
      </c>
      <c r="S46" s="1864">
        <f t="shared" si="38"/>
        <v>-1496</v>
      </c>
      <c r="T46" s="1864">
        <f t="shared" si="39"/>
        <v>-374</v>
      </c>
      <c r="U46" s="1866">
        <f>'Table 5C1A-Madison Prep'!T48*90%</f>
        <v>8067.6</v>
      </c>
      <c r="V46" s="1866">
        <f t="shared" si="54"/>
        <v>8067.6</v>
      </c>
      <c r="W46" s="1932">
        <f>+'[3]Oct midyear LA Connections'!E44</f>
        <v>-1</v>
      </c>
      <c r="X46" s="1866">
        <f t="shared" si="40"/>
        <v>-8067.6</v>
      </c>
      <c r="Y46" s="1932">
        <f>'[3]Feb midyear LA Connections'!E44</f>
        <v>0</v>
      </c>
      <c r="Z46" s="1866">
        <f t="shared" si="41"/>
        <v>0</v>
      </c>
      <c r="AA46" s="1866">
        <f t="shared" si="42"/>
        <v>-8067.6</v>
      </c>
      <c r="AB46" s="1866">
        <f t="shared" si="43"/>
        <v>0</v>
      </c>
      <c r="AC46" s="1866">
        <f t="shared" si="44"/>
        <v>0</v>
      </c>
      <c r="AD46" s="1866">
        <f t="shared" si="45"/>
        <v>0</v>
      </c>
      <c r="AE46" s="1865">
        <f>'[34]LA Conn Adjustment'!AB45+'[32]Oct midyear LA Connections'!P44+'[35]Feb midyear adj_Connections'!S46</f>
        <v>0</v>
      </c>
      <c r="AF46" s="1867">
        <f t="shared" si="46"/>
        <v>0</v>
      </c>
      <c r="AG46" s="1867">
        <f>+'[4]Table 5C3 - LA Connections EBR'!U44*8</f>
        <v>5440</v>
      </c>
      <c r="AH46" s="1867">
        <f t="shared" si="47"/>
        <v>-5440</v>
      </c>
      <c r="AI46" s="1867">
        <f t="shared" si="48"/>
        <v>-1360</v>
      </c>
      <c r="AJ46" s="1869">
        <f t="shared" si="49"/>
        <v>0</v>
      </c>
      <c r="AK46" s="1869">
        <f t="shared" si="50"/>
        <v>-1734</v>
      </c>
      <c r="AM46" s="2042">
        <f>-'[4]Table 5C3 - LA Connections EBR'!Q44</f>
        <v>20</v>
      </c>
      <c r="AN46" s="2042">
        <f t="shared" si="51"/>
        <v>0</v>
      </c>
      <c r="AO46" s="2042">
        <f t="shared" si="52"/>
        <v>20</v>
      </c>
    </row>
    <row r="47" spans="1:41" s="533" customFormat="1" ht="16.5" customHeight="1">
      <c r="A47" s="101">
        <v>42</v>
      </c>
      <c r="B47" s="772" t="s">
        <v>133</v>
      </c>
      <c r="C47" s="1870">
        <f>'2-1-13 SIS'!L48</f>
        <v>5</v>
      </c>
      <c r="D47" s="1871">
        <f>'Table 3 Levels 1&amp;2'!AL49*90%</f>
        <v>4578.7257414889027</v>
      </c>
      <c r="E47" s="1871">
        <f t="shared" si="31"/>
        <v>22893.628707444514</v>
      </c>
      <c r="F47" s="1872">
        <f>'Table 4 Level 3'!P47*90%</f>
        <v>480.85199999999998</v>
      </c>
      <c r="G47" s="1872">
        <f t="shared" si="32"/>
        <v>2404.2599999999998</v>
      </c>
      <c r="H47" s="1872">
        <f t="shared" si="33"/>
        <v>25297.888707444512</v>
      </c>
      <c r="I47" s="1872">
        <f>(('Table 3 Levels 1&amp;2'!AL49-D47)+('Table 4 Level 3'!P47-F47))*C47</f>
        <v>2810.8765230493877</v>
      </c>
      <c r="J47" s="1872">
        <f>+'[3]Oct midyear LA Connections'!K45</f>
        <v>0</v>
      </c>
      <c r="K47" s="1872">
        <f>'[3]Feb midyear LA Connections'!K45</f>
        <v>0</v>
      </c>
      <c r="L47" s="1872">
        <f t="shared" si="34"/>
        <v>0</v>
      </c>
      <c r="M47" s="1872">
        <f t="shared" si="35"/>
        <v>25297.888707444512</v>
      </c>
      <c r="N47" s="1872">
        <f t="shared" si="36"/>
        <v>-63.244721768611278</v>
      </c>
      <c r="O47" s="1873">
        <f t="shared" si="53"/>
        <v>25234.643985675899</v>
      </c>
      <c r="P47" s="1873">
        <f>'[34]LA Conn Adjustment'!X46+'[32]Oct midyear LA Connections'!K45+'[35]Feb midyear adj_Connections'!M47</f>
        <v>0</v>
      </c>
      <c r="Q47" s="1874">
        <f t="shared" si="37"/>
        <v>25234.643985675899</v>
      </c>
      <c r="R47" s="1874">
        <f>+'[4]Table 5C3 - LA Connections EBR'!N45*8</f>
        <v>16824</v>
      </c>
      <c r="S47" s="1874">
        <f t="shared" si="38"/>
        <v>8410.6439856758989</v>
      </c>
      <c r="T47" s="1874">
        <f t="shared" si="39"/>
        <v>2103</v>
      </c>
      <c r="U47" s="1876">
        <f>'Table 5C1A-Madison Prep'!T49*90%</f>
        <v>3181.5</v>
      </c>
      <c r="V47" s="1876">
        <f t="shared" si="54"/>
        <v>15907.5</v>
      </c>
      <c r="W47" s="1933">
        <f>+'[3]Oct midyear LA Connections'!E45</f>
        <v>0</v>
      </c>
      <c r="X47" s="1876">
        <f t="shared" si="40"/>
        <v>0</v>
      </c>
      <c r="Y47" s="1933">
        <f>'[3]Feb midyear LA Connections'!E45</f>
        <v>0</v>
      </c>
      <c r="Z47" s="1876">
        <f t="shared" si="41"/>
        <v>0</v>
      </c>
      <c r="AA47" s="1876">
        <f t="shared" si="42"/>
        <v>0</v>
      </c>
      <c r="AB47" s="1876">
        <f t="shared" si="43"/>
        <v>15907.5</v>
      </c>
      <c r="AC47" s="1876">
        <f t="shared" si="44"/>
        <v>-39.768750000000004</v>
      </c>
      <c r="AD47" s="1876">
        <f t="shared" si="45"/>
        <v>15867.731250000001</v>
      </c>
      <c r="AE47" s="1875">
        <f>'[34]LA Conn Adjustment'!AB46+'[32]Oct midyear LA Connections'!P45+'[35]Feb midyear adj_Connections'!S47</f>
        <v>0</v>
      </c>
      <c r="AF47" s="1877">
        <f t="shared" si="46"/>
        <v>15867.731250000001</v>
      </c>
      <c r="AG47" s="1877">
        <f>+'[4]Table 5C3 - LA Connections EBR'!U45*8</f>
        <v>8576</v>
      </c>
      <c r="AH47" s="1877">
        <f t="shared" si="47"/>
        <v>7291.7312500000007</v>
      </c>
      <c r="AI47" s="1877">
        <f t="shared" si="48"/>
        <v>1823</v>
      </c>
      <c r="AJ47" s="1878">
        <f t="shared" si="49"/>
        <v>41102.3752356759</v>
      </c>
      <c r="AK47" s="1878">
        <f t="shared" si="50"/>
        <v>3926</v>
      </c>
      <c r="AM47" s="2042">
        <f>-'[4]Table 5C3 - LA Connections EBR'!Q45</f>
        <v>32</v>
      </c>
      <c r="AN47" s="2042">
        <f t="shared" si="51"/>
        <v>-39.768750000000004</v>
      </c>
      <c r="AO47" s="2042">
        <f t="shared" si="52"/>
        <v>-7.7687500000000043</v>
      </c>
    </row>
    <row r="48" spans="1:41" s="533" customFormat="1" ht="16.5" customHeight="1">
      <c r="A48" s="101">
        <v>43</v>
      </c>
      <c r="B48" s="772" t="s">
        <v>134</v>
      </c>
      <c r="C48" s="1870">
        <f>'2-1-13 SIS'!L49</f>
        <v>6</v>
      </c>
      <c r="D48" s="1871">
        <f>'Table 3 Levels 1&amp;2'!AL50*90%</f>
        <v>4246.0572917452528</v>
      </c>
      <c r="E48" s="1871">
        <f t="shared" si="31"/>
        <v>25476.343750471518</v>
      </c>
      <c r="F48" s="1872">
        <f>'Table 4 Level 3'!P48*90%</f>
        <v>517.14899999999989</v>
      </c>
      <c r="G48" s="1872">
        <f t="shared" si="32"/>
        <v>3102.8939999999993</v>
      </c>
      <c r="H48" s="1872">
        <f t="shared" si="33"/>
        <v>28579.237750471519</v>
      </c>
      <c r="I48" s="1872">
        <f>(('Table 3 Levels 1&amp;2'!AL50-D48)+('Table 4 Level 3'!P48-F48))*C48</f>
        <v>3175.4708611635019</v>
      </c>
      <c r="J48" s="1872">
        <f>+'[3]Oct midyear LA Connections'!K46</f>
        <v>-4763.2062917452531</v>
      </c>
      <c r="K48" s="1872">
        <f>'[3]Feb midyear LA Connections'!K46</f>
        <v>2381.6031458726266</v>
      </c>
      <c r="L48" s="1872">
        <f t="shared" si="34"/>
        <v>-2381.6031458726266</v>
      </c>
      <c r="M48" s="1872">
        <f t="shared" si="35"/>
        <v>26197.63460459889</v>
      </c>
      <c r="N48" s="1872">
        <f t="shared" si="36"/>
        <v>-65.49408651149723</v>
      </c>
      <c r="O48" s="1873">
        <f t="shared" si="53"/>
        <v>26132.140518087392</v>
      </c>
      <c r="P48" s="1873">
        <f>'[34]LA Conn Adjustment'!X47+'[32]Oct midyear LA Connections'!K46+'[35]Feb midyear adj_Connections'!M48</f>
        <v>0</v>
      </c>
      <c r="Q48" s="1874">
        <f t="shared" si="37"/>
        <v>26132.140518087392</v>
      </c>
      <c r="R48" s="1874">
        <f>+'[4]Table 5C3 - LA Connections EBR'!N46*8</f>
        <v>19008</v>
      </c>
      <c r="S48" s="1874">
        <f t="shared" si="38"/>
        <v>7124.1405180873917</v>
      </c>
      <c r="T48" s="1874">
        <f t="shared" si="39"/>
        <v>1781</v>
      </c>
      <c r="U48" s="1876">
        <f>'Table 5C1A-Madison Prep'!T50*90%</f>
        <v>3233.7000000000003</v>
      </c>
      <c r="V48" s="1876">
        <f t="shared" si="54"/>
        <v>19402.2</v>
      </c>
      <c r="W48" s="1933">
        <f>+'[3]Oct midyear LA Connections'!E46</f>
        <v>-1</v>
      </c>
      <c r="X48" s="1876">
        <f t="shared" si="40"/>
        <v>-3233.7000000000003</v>
      </c>
      <c r="Y48" s="1933">
        <f>'[3]Feb midyear LA Connections'!E46</f>
        <v>1</v>
      </c>
      <c r="Z48" s="1876">
        <f t="shared" si="41"/>
        <v>1616.8500000000001</v>
      </c>
      <c r="AA48" s="1876">
        <f t="shared" si="42"/>
        <v>-1616.8500000000001</v>
      </c>
      <c r="AB48" s="1876">
        <f t="shared" si="43"/>
        <v>17785.350000000002</v>
      </c>
      <c r="AC48" s="1876">
        <f t="shared" si="44"/>
        <v>-44.463375000000006</v>
      </c>
      <c r="AD48" s="1876">
        <f t="shared" si="45"/>
        <v>17740.886625000003</v>
      </c>
      <c r="AE48" s="1875">
        <f>'[34]LA Conn Adjustment'!AB47+'[32]Oct midyear LA Connections'!P46+'[35]Feb midyear adj_Connections'!S48</f>
        <v>0</v>
      </c>
      <c r="AF48" s="1877">
        <f t="shared" si="46"/>
        <v>17740.886625000003</v>
      </c>
      <c r="AG48" s="1877">
        <f>+'[4]Table 5C3 - LA Connections EBR'!U46*8</f>
        <v>12880</v>
      </c>
      <c r="AH48" s="1877">
        <f t="shared" si="47"/>
        <v>4860.8866250000028</v>
      </c>
      <c r="AI48" s="1877">
        <f t="shared" si="48"/>
        <v>1215</v>
      </c>
      <c r="AJ48" s="1878">
        <f t="shared" si="49"/>
        <v>43873.027143087398</v>
      </c>
      <c r="AK48" s="1878">
        <f t="shared" si="50"/>
        <v>2996</v>
      </c>
      <c r="AM48" s="2042">
        <f>-'[4]Table 5C3 - LA Connections EBR'!Q46</f>
        <v>48</v>
      </c>
      <c r="AN48" s="2042">
        <f t="shared" si="51"/>
        <v>-44.463375000000006</v>
      </c>
      <c r="AO48" s="2042">
        <f t="shared" si="52"/>
        <v>3.5366249999999937</v>
      </c>
    </row>
    <row r="49" spans="1:41" s="533" customFormat="1" ht="16.5" customHeight="1">
      <c r="A49" s="101">
        <v>44</v>
      </c>
      <c r="B49" s="772" t="s">
        <v>135</v>
      </c>
      <c r="C49" s="1870">
        <f>'2-1-13 SIS'!L50</f>
        <v>9</v>
      </c>
      <c r="D49" s="1871">
        <f>'Table 3 Levels 1&amp;2'!AL51*90%</f>
        <v>4226.9599105433163</v>
      </c>
      <c r="E49" s="1871">
        <f t="shared" si="31"/>
        <v>38042.639194889845</v>
      </c>
      <c r="F49" s="1872">
        <f>'Table 4 Level 3'!P49*90%</f>
        <v>596.84400000000005</v>
      </c>
      <c r="G49" s="1872">
        <f t="shared" si="32"/>
        <v>5371.5960000000005</v>
      </c>
      <c r="H49" s="1872">
        <f t="shared" si="33"/>
        <v>43414.235194889843</v>
      </c>
      <c r="I49" s="1872">
        <f>(('Table 3 Levels 1&amp;2'!AL51-D49)+('Table 4 Level 3'!P49-F49))*C49</f>
        <v>4823.8039105433118</v>
      </c>
      <c r="J49" s="1872">
        <f>+'[3]Oct midyear LA Connections'!K47</f>
        <v>-19295.215642173265</v>
      </c>
      <c r="K49" s="1872">
        <f>'[3]Feb midyear LA Connections'!K47</f>
        <v>2411.9019552716582</v>
      </c>
      <c r="L49" s="1872">
        <f t="shared" si="34"/>
        <v>-16883.313686901609</v>
      </c>
      <c r="M49" s="1872">
        <f t="shared" si="35"/>
        <v>26530.921507988234</v>
      </c>
      <c r="N49" s="1872">
        <f t="shared" si="36"/>
        <v>-66.327303769970584</v>
      </c>
      <c r="O49" s="1873">
        <f t="shared" si="53"/>
        <v>26464.594204218265</v>
      </c>
      <c r="P49" s="1873">
        <f>'[34]LA Conn Adjustment'!X48+'[32]Oct midyear LA Connections'!K47+'[35]Feb midyear adj_Connections'!M49</f>
        <v>0</v>
      </c>
      <c r="Q49" s="1874">
        <f t="shared" si="37"/>
        <v>26464.594204218265</v>
      </c>
      <c r="R49" s="1874">
        <f>+'[4]Table 5C3 - LA Connections EBR'!N47*8</f>
        <v>28872</v>
      </c>
      <c r="S49" s="1874">
        <f t="shared" si="38"/>
        <v>-2407.4057957817349</v>
      </c>
      <c r="T49" s="1874">
        <f t="shared" si="39"/>
        <v>-602</v>
      </c>
      <c r="U49" s="1876">
        <f>'Table 5C1A-Madison Prep'!T51*90%</f>
        <v>3890.7000000000003</v>
      </c>
      <c r="V49" s="1876">
        <f t="shared" si="54"/>
        <v>35016.300000000003</v>
      </c>
      <c r="W49" s="1933">
        <f>+'[3]Oct midyear LA Connections'!E47</f>
        <v>-4</v>
      </c>
      <c r="X49" s="1876">
        <f t="shared" si="40"/>
        <v>-15562.800000000001</v>
      </c>
      <c r="Y49" s="1933">
        <f>'[3]Feb midyear LA Connections'!E47</f>
        <v>1</v>
      </c>
      <c r="Z49" s="1876">
        <f t="shared" si="41"/>
        <v>1945.3500000000001</v>
      </c>
      <c r="AA49" s="1876">
        <f t="shared" si="42"/>
        <v>-13617.45</v>
      </c>
      <c r="AB49" s="1876">
        <f t="shared" si="43"/>
        <v>21398.850000000002</v>
      </c>
      <c r="AC49" s="1876">
        <f t="shared" si="44"/>
        <v>-53.497125000000004</v>
      </c>
      <c r="AD49" s="1876">
        <f t="shared" si="45"/>
        <v>21345.352875</v>
      </c>
      <c r="AE49" s="1875">
        <f>'[34]LA Conn Adjustment'!AB48+'[32]Oct midyear LA Connections'!P47+'[35]Feb midyear adj_Connections'!S49</f>
        <v>0</v>
      </c>
      <c r="AF49" s="1877">
        <f t="shared" si="46"/>
        <v>21345.352875</v>
      </c>
      <c r="AG49" s="1877">
        <f>+'[4]Table 5C3 - LA Connections EBR'!U47*8</f>
        <v>24560</v>
      </c>
      <c r="AH49" s="1877">
        <f t="shared" si="47"/>
        <v>-3214.6471249999995</v>
      </c>
      <c r="AI49" s="1877">
        <f t="shared" si="48"/>
        <v>-804</v>
      </c>
      <c r="AJ49" s="1878">
        <f t="shared" si="49"/>
        <v>47809.947079218269</v>
      </c>
      <c r="AK49" s="1878">
        <f t="shared" si="50"/>
        <v>-1406</v>
      </c>
      <c r="AM49" s="2042">
        <f>-'[4]Table 5C3 - LA Connections EBR'!Q47</f>
        <v>92</v>
      </c>
      <c r="AN49" s="2042">
        <f t="shared" si="51"/>
        <v>-53.497125000000004</v>
      </c>
      <c r="AO49" s="2042">
        <f t="shared" si="52"/>
        <v>38.502874999999996</v>
      </c>
    </row>
    <row r="50" spans="1:41" s="533" customFormat="1" ht="16.5" customHeight="1">
      <c r="A50" s="102">
        <v>45</v>
      </c>
      <c r="B50" s="773" t="s">
        <v>136</v>
      </c>
      <c r="C50" s="1879">
        <f>'2-1-13 SIS'!L51</f>
        <v>19</v>
      </c>
      <c r="D50" s="1880">
        <f>'Table 3 Levels 1&amp;2'!AL52*90%</f>
        <v>1973.2423085039036</v>
      </c>
      <c r="E50" s="1880">
        <f t="shared" si="31"/>
        <v>37491.603861574171</v>
      </c>
      <c r="F50" s="1881">
        <f>'Table 4 Level 3'!P50*90%</f>
        <v>678.56400000000019</v>
      </c>
      <c r="G50" s="1881">
        <f t="shared" si="32"/>
        <v>12892.716000000004</v>
      </c>
      <c r="H50" s="1881">
        <f t="shared" si="33"/>
        <v>50384.319861574171</v>
      </c>
      <c r="I50" s="1881">
        <f>(('Table 3 Levels 1&amp;2'!AL52-D50)+('Table 4 Level 3'!P50-F50))*C50</f>
        <v>5598.2577623971292</v>
      </c>
      <c r="J50" s="1881">
        <f>+'[3]Oct midyear LA Connections'!K48</f>
        <v>-23866.256776535134</v>
      </c>
      <c r="K50" s="1881">
        <f>'[3]Feb midyear LA Connections'!K48</f>
        <v>3977.7094627558558</v>
      </c>
      <c r="L50" s="1881">
        <f t="shared" si="34"/>
        <v>-19888.54731377928</v>
      </c>
      <c r="M50" s="1881">
        <f t="shared" si="35"/>
        <v>30495.772547794892</v>
      </c>
      <c r="N50" s="1881">
        <f t="shared" si="36"/>
        <v>-76.239431369487235</v>
      </c>
      <c r="O50" s="1882">
        <f t="shared" si="53"/>
        <v>30419.533116425406</v>
      </c>
      <c r="P50" s="1882">
        <f>'[34]LA Conn Adjustment'!X49+'[32]Oct midyear LA Connections'!K48+'[35]Feb midyear adj_Connections'!M50</f>
        <v>0</v>
      </c>
      <c r="Q50" s="1883">
        <f t="shared" si="37"/>
        <v>30419.533116425406</v>
      </c>
      <c r="R50" s="1883">
        <f>+'[4]Table 5C3 - LA Connections EBR'!N48*8</f>
        <v>33504</v>
      </c>
      <c r="S50" s="1883">
        <f t="shared" si="38"/>
        <v>-3084.4668835745942</v>
      </c>
      <c r="T50" s="1883">
        <f t="shared" si="39"/>
        <v>-771</v>
      </c>
      <c r="U50" s="1885">
        <f>'Table 5C1A-Madison Prep'!T52*90%</f>
        <v>11512.800000000001</v>
      </c>
      <c r="V50" s="1885">
        <f t="shared" si="54"/>
        <v>218743.2</v>
      </c>
      <c r="W50" s="1934">
        <f>+'[3]Oct midyear LA Connections'!E48</f>
        <v>-9</v>
      </c>
      <c r="X50" s="1885">
        <f t="shared" si="40"/>
        <v>-103615.20000000001</v>
      </c>
      <c r="Y50" s="1934">
        <f>'[3]Feb midyear LA Connections'!E48</f>
        <v>3</v>
      </c>
      <c r="Z50" s="1885">
        <f t="shared" si="41"/>
        <v>17269.2</v>
      </c>
      <c r="AA50" s="1885">
        <f t="shared" si="42"/>
        <v>-86346.000000000015</v>
      </c>
      <c r="AB50" s="1885">
        <f t="shared" si="43"/>
        <v>132397.20000000001</v>
      </c>
      <c r="AC50" s="1885">
        <f t="shared" si="44"/>
        <v>-330.99300000000005</v>
      </c>
      <c r="AD50" s="1885">
        <f t="shared" si="45"/>
        <v>132066.20700000002</v>
      </c>
      <c r="AE50" s="1884">
        <f>'[34]LA Conn Adjustment'!AB49+'[32]Oct midyear LA Connections'!P48+'[35]Feb midyear adj_Connections'!S50</f>
        <v>0</v>
      </c>
      <c r="AF50" s="1886">
        <f t="shared" si="46"/>
        <v>132066.20700000002</v>
      </c>
      <c r="AG50" s="1886">
        <f>+'[4]Table 5C3 - LA Connections EBR'!U48*8</f>
        <v>128336</v>
      </c>
      <c r="AH50" s="1886">
        <f t="shared" si="47"/>
        <v>3730.207000000024</v>
      </c>
      <c r="AI50" s="1886">
        <f t="shared" si="48"/>
        <v>933</v>
      </c>
      <c r="AJ50" s="1887">
        <f t="shared" si="49"/>
        <v>162485.74011642544</v>
      </c>
      <c r="AK50" s="1887">
        <f t="shared" si="50"/>
        <v>162</v>
      </c>
      <c r="AM50" s="2042">
        <f>-'[4]Table 5C3 - LA Connections EBR'!Q48</f>
        <v>482</v>
      </c>
      <c r="AN50" s="2042">
        <f t="shared" si="51"/>
        <v>-330.99300000000005</v>
      </c>
      <c r="AO50" s="2042">
        <f t="shared" si="52"/>
        <v>151.00699999999995</v>
      </c>
    </row>
    <row r="51" spans="1:41" s="533" customFormat="1" ht="16.5" customHeight="1">
      <c r="A51" s="101">
        <v>46</v>
      </c>
      <c r="B51" s="772" t="s">
        <v>137</v>
      </c>
      <c r="C51" s="1859">
        <f>'2-1-13 SIS'!L52</f>
        <v>5</v>
      </c>
      <c r="D51" s="1860">
        <f>'Table 3 Levels 1&amp;2'!AL53*90%</f>
        <v>5080.1939203717475</v>
      </c>
      <c r="E51" s="1860">
        <f t="shared" si="31"/>
        <v>25400.969601858738</v>
      </c>
      <c r="F51" s="1861">
        <f>'Table 4 Level 3'!P51*90%</f>
        <v>655.25400000000002</v>
      </c>
      <c r="G51" s="1861">
        <f t="shared" si="32"/>
        <v>3276.27</v>
      </c>
      <c r="H51" s="1861">
        <f t="shared" si="33"/>
        <v>28677.239601858739</v>
      </c>
      <c r="I51" s="1861">
        <f>(('Table 3 Levels 1&amp;2'!AL53-D51)+('Table 4 Level 3'!P51-F51))*C51</f>
        <v>3186.3599557620792</v>
      </c>
      <c r="J51" s="1861">
        <f>+'[3]Oct midyear LA Connections'!K49</f>
        <v>5735.4479203717474</v>
      </c>
      <c r="K51" s="1861">
        <f>'[3]Feb midyear LA Connections'!K49</f>
        <v>0</v>
      </c>
      <c r="L51" s="1861">
        <f t="shared" si="34"/>
        <v>5735.4479203717474</v>
      </c>
      <c r="M51" s="1861">
        <f t="shared" si="35"/>
        <v>34412.687522230488</v>
      </c>
      <c r="N51" s="1861">
        <f t="shared" si="36"/>
        <v>-86.031718805576219</v>
      </c>
      <c r="O51" s="1862">
        <f t="shared" si="53"/>
        <v>34326.65580342491</v>
      </c>
      <c r="P51" s="1862">
        <f>'[34]LA Conn Adjustment'!X50+'[32]Oct midyear LA Connections'!K49+'[35]Feb midyear adj_Connections'!M51</f>
        <v>0</v>
      </c>
      <c r="Q51" s="1864">
        <f t="shared" si="37"/>
        <v>34326.65580342491</v>
      </c>
      <c r="R51" s="1864">
        <f>+'[4]Table 5C3 - LA Connections EBR'!N49*8</f>
        <v>19072</v>
      </c>
      <c r="S51" s="1864">
        <f t="shared" si="38"/>
        <v>15254.65580342491</v>
      </c>
      <c r="T51" s="1864">
        <f t="shared" si="39"/>
        <v>3814</v>
      </c>
      <c r="U51" s="1866">
        <f>'Table 5C1A-Madison Prep'!T53*90%</f>
        <v>2180.7000000000003</v>
      </c>
      <c r="V51" s="1866">
        <f t="shared" si="54"/>
        <v>10903.500000000002</v>
      </c>
      <c r="W51" s="1932">
        <f>+'[3]Oct midyear LA Connections'!E49</f>
        <v>1</v>
      </c>
      <c r="X51" s="1866">
        <f t="shared" si="40"/>
        <v>2180.7000000000003</v>
      </c>
      <c r="Y51" s="1932">
        <f>'[3]Feb midyear LA Connections'!E49</f>
        <v>0</v>
      </c>
      <c r="Z51" s="1866">
        <f t="shared" si="41"/>
        <v>0</v>
      </c>
      <c r="AA51" s="1866">
        <f t="shared" si="42"/>
        <v>2180.7000000000003</v>
      </c>
      <c r="AB51" s="1866">
        <f t="shared" si="43"/>
        <v>13084.200000000003</v>
      </c>
      <c r="AC51" s="1866">
        <f t="shared" si="44"/>
        <v>-32.71050000000001</v>
      </c>
      <c r="AD51" s="1866">
        <f t="shared" si="45"/>
        <v>13051.489500000003</v>
      </c>
      <c r="AE51" s="1865">
        <f>'[34]LA Conn Adjustment'!AB50+'[32]Oct midyear LA Connections'!P49+'[35]Feb midyear adj_Connections'!S51</f>
        <v>0</v>
      </c>
      <c r="AF51" s="1867">
        <f t="shared" si="46"/>
        <v>13051.489500000003</v>
      </c>
      <c r="AG51" s="1867">
        <f>+'[4]Table 5C3 - LA Connections EBR'!U49*8</f>
        <v>6432</v>
      </c>
      <c r="AH51" s="1867">
        <f t="shared" si="47"/>
        <v>6619.4895000000033</v>
      </c>
      <c r="AI51" s="1867">
        <f t="shared" si="48"/>
        <v>1655</v>
      </c>
      <c r="AJ51" s="1869">
        <f t="shared" si="49"/>
        <v>47378.145303424913</v>
      </c>
      <c r="AK51" s="1869">
        <f t="shared" si="50"/>
        <v>5469</v>
      </c>
      <c r="AM51" s="2042">
        <f>-'[4]Table 5C3 - LA Connections EBR'!Q49</f>
        <v>24</v>
      </c>
      <c r="AN51" s="2042">
        <f t="shared" si="51"/>
        <v>-32.71050000000001</v>
      </c>
      <c r="AO51" s="2042">
        <f t="shared" si="52"/>
        <v>-8.7105000000000103</v>
      </c>
    </row>
    <row r="52" spans="1:41" s="533" customFormat="1" ht="16.5" customHeight="1">
      <c r="A52" s="101">
        <v>47</v>
      </c>
      <c r="B52" s="772" t="s">
        <v>138</v>
      </c>
      <c r="C52" s="1870">
        <f>'2-1-13 SIS'!L53</f>
        <v>1</v>
      </c>
      <c r="D52" s="1871">
        <f>'Table 3 Levels 1&amp;2'!AL54*90%</f>
        <v>2458.1199668599834</v>
      </c>
      <c r="E52" s="1871">
        <f t="shared" si="31"/>
        <v>2458.1199668599834</v>
      </c>
      <c r="F52" s="1872">
        <f>'Table 4 Level 3'!P52*90%</f>
        <v>819.68399999999997</v>
      </c>
      <c r="G52" s="1872">
        <f t="shared" si="32"/>
        <v>819.68399999999997</v>
      </c>
      <c r="H52" s="1872">
        <f t="shared" si="33"/>
        <v>3277.8039668599831</v>
      </c>
      <c r="I52" s="1872">
        <f>(('Table 3 Levels 1&amp;2'!AL54-D52)+('Table 4 Level 3'!P52-F52))*C52</f>
        <v>364.2004407622203</v>
      </c>
      <c r="J52" s="1872">
        <f>+'[3]Oct midyear LA Connections'!K50</f>
        <v>0</v>
      </c>
      <c r="K52" s="1872">
        <f>'[3]Feb midyear LA Connections'!K50</f>
        <v>0</v>
      </c>
      <c r="L52" s="1872">
        <f t="shared" si="34"/>
        <v>0</v>
      </c>
      <c r="M52" s="1872">
        <f t="shared" si="35"/>
        <v>3277.8039668599831</v>
      </c>
      <c r="N52" s="1872">
        <f t="shared" si="36"/>
        <v>-8.1945099171499578</v>
      </c>
      <c r="O52" s="1873">
        <f t="shared" si="53"/>
        <v>3269.6094569428333</v>
      </c>
      <c r="P52" s="1873">
        <f>'[34]LA Conn Adjustment'!X51+'[32]Oct midyear LA Connections'!K50+'[35]Feb midyear adj_Connections'!M52</f>
        <v>0</v>
      </c>
      <c r="Q52" s="1874">
        <f t="shared" si="37"/>
        <v>3269.6094569428333</v>
      </c>
      <c r="R52" s="1874">
        <f>+'[4]Table 5C3 - LA Connections EBR'!N50*8</f>
        <v>2176</v>
      </c>
      <c r="S52" s="1874">
        <f t="shared" si="38"/>
        <v>1093.6094569428333</v>
      </c>
      <c r="T52" s="1874">
        <f t="shared" si="39"/>
        <v>273</v>
      </c>
      <c r="U52" s="1876">
        <f>'Table 5C1A-Madison Prep'!T54*90%</f>
        <v>11666.7</v>
      </c>
      <c r="V52" s="1876">
        <f t="shared" si="54"/>
        <v>11666.7</v>
      </c>
      <c r="W52" s="1933">
        <f>+'[3]Oct midyear LA Connections'!E50</f>
        <v>0</v>
      </c>
      <c r="X52" s="1876">
        <f t="shared" si="40"/>
        <v>0</v>
      </c>
      <c r="Y52" s="1933">
        <f>'[3]Feb midyear LA Connections'!E50</f>
        <v>0</v>
      </c>
      <c r="Z52" s="1876">
        <f t="shared" si="41"/>
        <v>0</v>
      </c>
      <c r="AA52" s="1876">
        <f t="shared" si="42"/>
        <v>0</v>
      </c>
      <c r="AB52" s="1876">
        <f t="shared" si="43"/>
        <v>11666.7</v>
      </c>
      <c r="AC52" s="1876">
        <f t="shared" si="44"/>
        <v>-29.166750000000004</v>
      </c>
      <c r="AD52" s="1876">
        <f t="shared" si="45"/>
        <v>11637.53325</v>
      </c>
      <c r="AE52" s="1875">
        <f>'[34]LA Conn Adjustment'!AB51+'[32]Oct midyear LA Connections'!P50+'[35]Feb midyear adj_Connections'!S52</f>
        <v>0</v>
      </c>
      <c r="AF52" s="1877">
        <f t="shared" si="46"/>
        <v>11637.53325</v>
      </c>
      <c r="AG52" s="1877">
        <f>+'[4]Table 5C3 - LA Connections EBR'!U50*8</f>
        <v>7952</v>
      </c>
      <c r="AH52" s="1877">
        <f t="shared" si="47"/>
        <v>3685.5332500000004</v>
      </c>
      <c r="AI52" s="1877">
        <f t="shared" si="48"/>
        <v>921</v>
      </c>
      <c r="AJ52" s="1878">
        <f t="shared" si="49"/>
        <v>14907.142706942834</v>
      </c>
      <c r="AK52" s="1878">
        <f t="shared" si="50"/>
        <v>1194</v>
      </c>
      <c r="AM52" s="2042">
        <f>-'[4]Table 5C3 - LA Connections EBR'!Q50</f>
        <v>30</v>
      </c>
      <c r="AN52" s="2042">
        <f t="shared" si="51"/>
        <v>-29.166750000000004</v>
      </c>
      <c r="AO52" s="2042">
        <f t="shared" si="52"/>
        <v>0.83324999999999605</v>
      </c>
    </row>
    <row r="53" spans="1:41" s="533" customFormat="1" ht="16.5" customHeight="1">
      <c r="A53" s="101">
        <v>48</v>
      </c>
      <c r="B53" s="772" t="s">
        <v>195</v>
      </c>
      <c r="C53" s="1870">
        <f>'2-1-13 SIS'!L54</f>
        <v>18</v>
      </c>
      <c r="D53" s="1871">
        <f>'Table 3 Levels 1&amp;2'!AL55*90%</f>
        <v>3845.4509907755478</v>
      </c>
      <c r="E53" s="1871">
        <f t="shared" si="31"/>
        <v>69218.117833959855</v>
      </c>
      <c r="F53" s="1872">
        <f>'Table 4 Level 3'!P53*90%</f>
        <v>783.96300000000008</v>
      </c>
      <c r="G53" s="1872">
        <f t="shared" si="32"/>
        <v>14111.334000000001</v>
      </c>
      <c r="H53" s="1872">
        <f t="shared" si="33"/>
        <v>83329.451833959858</v>
      </c>
      <c r="I53" s="1872">
        <f>(('Table 3 Levels 1&amp;2'!AL55-D53)+('Table 4 Level 3'!P53-F53))*C53</f>
        <v>9258.8279815510941</v>
      </c>
      <c r="J53" s="1872">
        <f>+'[3]Oct midyear LA Connections'!K51</f>
        <v>37035.311926204384</v>
      </c>
      <c r="K53" s="1872">
        <f>'[3]Feb midyear LA Connections'!K51</f>
        <v>4629.413990775548</v>
      </c>
      <c r="L53" s="1872">
        <f t="shared" si="34"/>
        <v>41664.725916979929</v>
      </c>
      <c r="M53" s="1872">
        <f t="shared" si="35"/>
        <v>124994.17775093979</v>
      </c>
      <c r="N53" s="1872">
        <f t="shared" si="36"/>
        <v>-312.48544437734949</v>
      </c>
      <c r="O53" s="1873">
        <f t="shared" si="53"/>
        <v>124681.69230656244</v>
      </c>
      <c r="P53" s="1873">
        <f>'[34]LA Conn Adjustment'!X52+'[32]Oct midyear LA Connections'!K51+'[35]Feb midyear adj_Connections'!M53</f>
        <v>0</v>
      </c>
      <c r="Q53" s="1874">
        <f t="shared" si="37"/>
        <v>124681.69230656244</v>
      </c>
      <c r="R53" s="1874">
        <f>+'[4]Table 5C3 - LA Connections EBR'!N51*8</f>
        <v>55416</v>
      </c>
      <c r="S53" s="1874">
        <f t="shared" si="38"/>
        <v>69265.692306562443</v>
      </c>
      <c r="T53" s="1874">
        <f t="shared" si="39"/>
        <v>17316</v>
      </c>
      <c r="U53" s="1876">
        <f>'Table 5C1A-Madison Prep'!T55*90%</f>
        <v>5926.5</v>
      </c>
      <c r="V53" s="1876">
        <f t="shared" si="54"/>
        <v>106677</v>
      </c>
      <c r="W53" s="1933">
        <f>+'[3]Oct midyear LA Connections'!E51</f>
        <v>8</v>
      </c>
      <c r="X53" s="1876">
        <f t="shared" si="40"/>
        <v>47412</v>
      </c>
      <c r="Y53" s="1933">
        <f>'[3]Feb midyear LA Connections'!E51</f>
        <v>2</v>
      </c>
      <c r="Z53" s="1876">
        <f t="shared" si="41"/>
        <v>5926.5</v>
      </c>
      <c r="AA53" s="1876">
        <f t="shared" si="42"/>
        <v>53338.5</v>
      </c>
      <c r="AB53" s="1876">
        <f t="shared" si="43"/>
        <v>160015.5</v>
      </c>
      <c r="AC53" s="1876">
        <f t="shared" si="44"/>
        <v>-400.03874999999999</v>
      </c>
      <c r="AD53" s="1876">
        <f t="shared" si="45"/>
        <v>159615.46124999999</v>
      </c>
      <c r="AE53" s="1875">
        <f>'[34]LA Conn Adjustment'!AB52+'[32]Oct midyear LA Connections'!P51+'[35]Feb midyear adj_Connections'!S53</f>
        <v>0</v>
      </c>
      <c r="AF53" s="1877">
        <f t="shared" si="46"/>
        <v>159615.46124999999</v>
      </c>
      <c r="AG53" s="1877">
        <f>+'[4]Table 5C3 - LA Connections EBR'!U51*8</f>
        <v>69520</v>
      </c>
      <c r="AH53" s="1877">
        <f t="shared" si="47"/>
        <v>90095.461249999993</v>
      </c>
      <c r="AI53" s="1877">
        <f t="shared" si="48"/>
        <v>22524</v>
      </c>
      <c r="AJ53" s="1878">
        <f t="shared" si="49"/>
        <v>284297.15355656244</v>
      </c>
      <c r="AK53" s="1878">
        <f t="shared" si="50"/>
        <v>39840</v>
      </c>
      <c r="AM53" s="2042">
        <f>-'[4]Table 5C3 - LA Connections EBR'!Q51</f>
        <v>261</v>
      </c>
      <c r="AN53" s="2042">
        <f t="shared" si="51"/>
        <v>-400.03874999999999</v>
      </c>
      <c r="AO53" s="2042">
        <f t="shared" si="52"/>
        <v>-139.03874999999999</v>
      </c>
    </row>
    <row r="54" spans="1:41" s="533" customFormat="1" ht="16.5" customHeight="1">
      <c r="A54" s="101">
        <v>49</v>
      </c>
      <c r="B54" s="772" t="s">
        <v>139</v>
      </c>
      <c r="C54" s="1870">
        <f>'2-1-13 SIS'!L55</f>
        <v>32</v>
      </c>
      <c r="D54" s="1871">
        <f>'Table 3 Levels 1&amp;2'!AL56*90%</f>
        <v>4353.0383313299299</v>
      </c>
      <c r="E54" s="1871">
        <f t="shared" si="31"/>
        <v>139297.22660255776</v>
      </c>
      <c r="F54" s="1872">
        <f>'Table 4 Level 3'!P54*90%</f>
        <v>516.99599999999998</v>
      </c>
      <c r="G54" s="1872">
        <f t="shared" si="32"/>
        <v>16543.871999999999</v>
      </c>
      <c r="H54" s="1872">
        <f t="shared" si="33"/>
        <v>155841.09860255776</v>
      </c>
      <c r="I54" s="1872">
        <f>(('Table 3 Levels 1&amp;2'!AL56-D54)+('Table 4 Level 3'!P54-F54))*C54</f>
        <v>17315.67762250641</v>
      </c>
      <c r="J54" s="1872">
        <f>+'[3]Oct midyear LA Connections'!K52</f>
        <v>9740.0686626598599</v>
      </c>
      <c r="K54" s="1872">
        <f>'[3]Feb midyear LA Connections'!K52</f>
        <v>2435.017165664965</v>
      </c>
      <c r="L54" s="1872">
        <f t="shared" si="34"/>
        <v>12175.085828324825</v>
      </c>
      <c r="M54" s="1872">
        <f t="shared" si="35"/>
        <v>168016.1844308826</v>
      </c>
      <c r="N54" s="1872">
        <f t="shared" si="36"/>
        <v>-420.04046107720649</v>
      </c>
      <c r="O54" s="1873">
        <f t="shared" si="53"/>
        <v>167596.14396980539</v>
      </c>
      <c r="P54" s="1873">
        <f>'[34]LA Conn Adjustment'!X53+'[32]Oct midyear LA Connections'!K52+'[35]Feb midyear adj_Connections'!M54</f>
        <v>0</v>
      </c>
      <c r="Q54" s="1874">
        <f t="shared" si="37"/>
        <v>167596.14396980539</v>
      </c>
      <c r="R54" s="1874">
        <f>+'[4]Table 5C3 - LA Connections EBR'!N52*8</f>
        <v>103632</v>
      </c>
      <c r="S54" s="1874">
        <f t="shared" si="38"/>
        <v>63964.143969805387</v>
      </c>
      <c r="T54" s="1874">
        <f t="shared" si="39"/>
        <v>15991</v>
      </c>
      <c r="U54" s="1876">
        <f>'Table 5C1A-Madison Prep'!T56*90%</f>
        <v>2161.8000000000002</v>
      </c>
      <c r="V54" s="1876">
        <f t="shared" si="54"/>
        <v>69177.600000000006</v>
      </c>
      <c r="W54" s="1933">
        <f>+'[3]Oct midyear LA Connections'!E52</f>
        <v>2</v>
      </c>
      <c r="X54" s="1876">
        <f t="shared" si="40"/>
        <v>4323.6000000000004</v>
      </c>
      <c r="Y54" s="1933">
        <f>'[3]Feb midyear LA Connections'!E52</f>
        <v>1</v>
      </c>
      <c r="Z54" s="1876">
        <f t="shared" si="41"/>
        <v>1080.9000000000001</v>
      </c>
      <c r="AA54" s="1876">
        <f t="shared" si="42"/>
        <v>5404.5</v>
      </c>
      <c r="AB54" s="1876">
        <f t="shared" si="43"/>
        <v>74582.100000000006</v>
      </c>
      <c r="AC54" s="1876">
        <f t="shared" si="44"/>
        <v>-186.45525000000001</v>
      </c>
      <c r="AD54" s="1876">
        <f t="shared" si="45"/>
        <v>74395.644750000007</v>
      </c>
      <c r="AE54" s="1875">
        <f>'[34]LA Conn Adjustment'!AB53+'[32]Oct midyear LA Connections'!P52+'[35]Feb midyear adj_Connections'!S54</f>
        <v>0</v>
      </c>
      <c r="AF54" s="1877">
        <f t="shared" si="46"/>
        <v>74395.644750000007</v>
      </c>
      <c r="AG54" s="1877">
        <f>+'[4]Table 5C3 - LA Connections EBR'!U52*8</f>
        <v>43800</v>
      </c>
      <c r="AH54" s="1877">
        <f t="shared" si="47"/>
        <v>30595.644750000007</v>
      </c>
      <c r="AI54" s="1877">
        <f t="shared" si="48"/>
        <v>7649</v>
      </c>
      <c r="AJ54" s="1878">
        <f t="shared" si="49"/>
        <v>241991.78871980539</v>
      </c>
      <c r="AK54" s="1878">
        <f t="shared" si="50"/>
        <v>23640</v>
      </c>
      <c r="AM54" s="2042">
        <f>-'[4]Table 5C3 - LA Connections EBR'!Q52</f>
        <v>165</v>
      </c>
      <c r="AN54" s="2042">
        <f t="shared" si="51"/>
        <v>-186.45525000000001</v>
      </c>
      <c r="AO54" s="2042">
        <f t="shared" si="52"/>
        <v>-21.455250000000007</v>
      </c>
    </row>
    <row r="55" spans="1:41" s="533" customFormat="1" ht="16.5" customHeight="1">
      <c r="A55" s="102">
        <v>50</v>
      </c>
      <c r="B55" s="773" t="s">
        <v>140</v>
      </c>
      <c r="C55" s="1879">
        <f>'2-1-13 SIS'!L56</f>
        <v>11</v>
      </c>
      <c r="D55" s="1880">
        <f>'Table 3 Levels 1&amp;2'!AL57*90%</f>
        <v>4529.4176605515404</v>
      </c>
      <c r="E55" s="1880">
        <f t="shared" si="31"/>
        <v>49823.594266066946</v>
      </c>
      <c r="F55" s="1881">
        <f>'Table 4 Level 3'!P55*90%</f>
        <v>571.01400000000001</v>
      </c>
      <c r="G55" s="1881">
        <f t="shared" si="32"/>
        <v>6281.1540000000005</v>
      </c>
      <c r="H55" s="1881">
        <f t="shared" si="33"/>
        <v>56104.748266066948</v>
      </c>
      <c r="I55" s="1881">
        <f>(('Table 3 Levels 1&amp;2'!AL57-D55)+('Table 4 Level 3'!P55-F55))*C55</f>
        <v>6233.8609184518782</v>
      </c>
      <c r="J55" s="1881">
        <f>+'[3]Oct midyear LA Connections'!K53</f>
        <v>-25502.158302757703</v>
      </c>
      <c r="K55" s="1881">
        <f>'[3]Feb midyear LA Connections'!K53</f>
        <v>0</v>
      </c>
      <c r="L55" s="1881">
        <f t="shared" si="34"/>
        <v>-25502.158302757703</v>
      </c>
      <c r="M55" s="1881">
        <f t="shared" si="35"/>
        <v>30602.589963309245</v>
      </c>
      <c r="N55" s="1881">
        <f t="shared" si="36"/>
        <v>-76.50647490827312</v>
      </c>
      <c r="O55" s="1882">
        <f t="shared" si="53"/>
        <v>30526.083488400971</v>
      </c>
      <c r="P55" s="1882">
        <f>'[34]LA Conn Adjustment'!X54+'[32]Oct midyear LA Connections'!K53+'[35]Feb midyear adj_Connections'!M55</f>
        <v>0</v>
      </c>
      <c r="Q55" s="1883">
        <f t="shared" si="37"/>
        <v>30526.083488400971</v>
      </c>
      <c r="R55" s="1883">
        <f>+'[4]Table 5C3 - LA Connections EBR'!N53*8</f>
        <v>37312</v>
      </c>
      <c r="S55" s="1883">
        <f t="shared" si="38"/>
        <v>-6785.916511599029</v>
      </c>
      <c r="T55" s="1883">
        <f t="shared" si="39"/>
        <v>-1696</v>
      </c>
      <c r="U55" s="1885">
        <f>'Table 5C1A-Madison Prep'!T57*90%</f>
        <v>2828.7000000000003</v>
      </c>
      <c r="V55" s="1885">
        <f t="shared" si="54"/>
        <v>31115.700000000004</v>
      </c>
      <c r="W55" s="1934">
        <f>+'[3]Oct midyear LA Connections'!E53</f>
        <v>-5</v>
      </c>
      <c r="X55" s="1885">
        <f t="shared" si="40"/>
        <v>-14143.500000000002</v>
      </c>
      <c r="Y55" s="1934">
        <f>'[3]Feb midyear LA Connections'!E53</f>
        <v>0</v>
      </c>
      <c r="Z55" s="1885">
        <f t="shared" si="41"/>
        <v>0</v>
      </c>
      <c r="AA55" s="1885">
        <f t="shared" si="42"/>
        <v>-14143.500000000002</v>
      </c>
      <c r="AB55" s="1885">
        <f t="shared" si="43"/>
        <v>16972.200000000004</v>
      </c>
      <c r="AC55" s="1885">
        <f t="shared" si="44"/>
        <v>-42.430500000000009</v>
      </c>
      <c r="AD55" s="1885">
        <f t="shared" si="45"/>
        <v>16929.769500000006</v>
      </c>
      <c r="AE55" s="1884">
        <f>'[34]LA Conn Adjustment'!AB54+'[32]Oct midyear LA Connections'!P53+'[35]Feb midyear adj_Connections'!S55</f>
        <v>0</v>
      </c>
      <c r="AF55" s="1886">
        <f t="shared" si="46"/>
        <v>16929.769500000006</v>
      </c>
      <c r="AG55" s="1886">
        <f>+'[4]Table 5C3 - LA Connections EBR'!U53*8</f>
        <v>18440</v>
      </c>
      <c r="AH55" s="1886">
        <f t="shared" si="47"/>
        <v>-1510.2304999999942</v>
      </c>
      <c r="AI55" s="1886">
        <f t="shared" si="48"/>
        <v>-378</v>
      </c>
      <c r="AJ55" s="1887">
        <f t="shared" si="49"/>
        <v>47455.852988400977</v>
      </c>
      <c r="AK55" s="1887">
        <f t="shared" si="50"/>
        <v>-2074</v>
      </c>
      <c r="AM55" s="2042">
        <f>-'[4]Table 5C3 - LA Connections EBR'!Q53</f>
        <v>69</v>
      </c>
      <c r="AN55" s="2042">
        <f t="shared" si="51"/>
        <v>-42.430500000000009</v>
      </c>
      <c r="AO55" s="2042">
        <f t="shared" si="52"/>
        <v>26.569499999999991</v>
      </c>
    </row>
    <row r="56" spans="1:41" s="533" customFormat="1" ht="16.5" customHeight="1">
      <c r="A56" s="101">
        <v>51</v>
      </c>
      <c r="B56" s="772" t="s">
        <v>141</v>
      </c>
      <c r="C56" s="1859">
        <f>'2-1-13 SIS'!L57</f>
        <v>1</v>
      </c>
      <c r="D56" s="1860">
        <f>'Table 3 Levels 1&amp;2'!AL58*90%</f>
        <v>3821.4305885514241</v>
      </c>
      <c r="E56" s="1860">
        <f t="shared" si="31"/>
        <v>3821.4305885514241</v>
      </c>
      <c r="F56" s="1861">
        <f>'Table 4 Level 3'!P56*90%</f>
        <v>635.99400000000003</v>
      </c>
      <c r="G56" s="1861">
        <f t="shared" si="32"/>
        <v>635.99400000000003</v>
      </c>
      <c r="H56" s="1861">
        <f t="shared" si="33"/>
        <v>4457.4245885514238</v>
      </c>
      <c r="I56" s="1861">
        <f>(('Table 3 Levels 1&amp;2'!AL58-D56)+('Table 4 Level 3'!P56-F56))*C56</f>
        <v>495.26939872793605</v>
      </c>
      <c r="J56" s="1861">
        <f>+'[3]Oct midyear LA Connections'!K54</f>
        <v>17829.698354205695</v>
      </c>
      <c r="K56" s="1861">
        <f>'[3]Feb midyear LA Connections'!K54</f>
        <v>-2228.7122942757119</v>
      </c>
      <c r="L56" s="1861">
        <f t="shared" si="34"/>
        <v>15600.986059929983</v>
      </c>
      <c r="M56" s="1861">
        <f t="shared" si="35"/>
        <v>20058.410648481407</v>
      </c>
      <c r="N56" s="1861">
        <f t="shared" si="36"/>
        <v>-50.146026621203518</v>
      </c>
      <c r="O56" s="1862">
        <f t="shared" si="53"/>
        <v>20008.264621860202</v>
      </c>
      <c r="P56" s="1862">
        <f>'[34]LA Conn Adjustment'!X55+'[32]Oct midyear LA Connections'!K54+'[35]Feb midyear adj_Connections'!M56</f>
        <v>0</v>
      </c>
      <c r="Q56" s="1864">
        <f t="shared" si="37"/>
        <v>20008.264621860202</v>
      </c>
      <c r="R56" s="1864">
        <f>+'[4]Table 5C3 - LA Connections EBR'!N54*8</f>
        <v>2968</v>
      </c>
      <c r="S56" s="1864">
        <f t="shared" si="38"/>
        <v>17040.264621860202</v>
      </c>
      <c r="T56" s="1864">
        <f t="shared" si="39"/>
        <v>4260</v>
      </c>
      <c r="U56" s="1866">
        <f>'Table 5C1A-Madison Prep'!T58*90%</f>
        <v>3933</v>
      </c>
      <c r="V56" s="1866">
        <f t="shared" si="54"/>
        <v>3933</v>
      </c>
      <c r="W56" s="1932">
        <f>+'[3]Oct midyear LA Connections'!E54</f>
        <v>4</v>
      </c>
      <c r="X56" s="1866">
        <f t="shared" si="40"/>
        <v>15732</v>
      </c>
      <c r="Y56" s="1932">
        <f>'[3]Feb midyear LA Connections'!E54</f>
        <v>-1</v>
      </c>
      <c r="Z56" s="1866">
        <f t="shared" si="41"/>
        <v>-1966.5</v>
      </c>
      <c r="AA56" s="1866">
        <f t="shared" si="42"/>
        <v>13765.5</v>
      </c>
      <c r="AB56" s="1866">
        <f t="shared" si="43"/>
        <v>17698.5</v>
      </c>
      <c r="AC56" s="1866">
        <f t="shared" si="44"/>
        <v>-44.246250000000003</v>
      </c>
      <c r="AD56" s="1866">
        <f t="shared" si="45"/>
        <v>17654.25375</v>
      </c>
      <c r="AE56" s="1865">
        <f>'[34]LA Conn Adjustment'!AB55+'[32]Oct midyear LA Connections'!P54+'[35]Feb midyear adj_Connections'!S56</f>
        <v>0</v>
      </c>
      <c r="AF56" s="1867">
        <f t="shared" si="46"/>
        <v>17654.25375</v>
      </c>
      <c r="AG56" s="1867">
        <f>+'[4]Table 5C3 - LA Connections EBR'!U54*8</f>
        <v>2520</v>
      </c>
      <c r="AH56" s="1867">
        <f t="shared" si="47"/>
        <v>15134.25375</v>
      </c>
      <c r="AI56" s="1867">
        <f t="shared" si="48"/>
        <v>3784</v>
      </c>
      <c r="AJ56" s="1869">
        <f t="shared" si="49"/>
        <v>37662.518371860206</v>
      </c>
      <c r="AK56" s="1869">
        <f t="shared" si="50"/>
        <v>8044</v>
      </c>
      <c r="AM56" s="2042">
        <f>-'[4]Table 5C3 - LA Connections EBR'!Q54</f>
        <v>9</v>
      </c>
      <c r="AN56" s="2042">
        <f t="shared" si="51"/>
        <v>-44.246250000000003</v>
      </c>
      <c r="AO56" s="2042">
        <f t="shared" si="52"/>
        <v>-35.246250000000003</v>
      </c>
    </row>
    <row r="57" spans="1:41" s="533" customFormat="1" ht="16.5" customHeight="1">
      <c r="A57" s="101">
        <v>52</v>
      </c>
      <c r="B57" s="772" t="s">
        <v>142</v>
      </c>
      <c r="C57" s="1870">
        <f>'2-1-13 SIS'!L58</f>
        <v>107</v>
      </c>
      <c r="D57" s="1871">
        <f>'Table 3 Levels 1&amp;2'!AL59*90%</f>
        <v>4512.0994245101929</v>
      </c>
      <c r="E57" s="1871">
        <f t="shared" si="31"/>
        <v>482794.63842259062</v>
      </c>
      <c r="F57" s="1872">
        <f>'Table 4 Level 3'!P57*90%</f>
        <v>592.53300000000002</v>
      </c>
      <c r="G57" s="1872">
        <f t="shared" si="32"/>
        <v>63401.031000000003</v>
      </c>
      <c r="H57" s="1872">
        <f t="shared" si="33"/>
        <v>546195.66942259064</v>
      </c>
      <c r="I57" s="1872">
        <f>(('Table 3 Levels 1&amp;2'!AL59-D57)+('Table 4 Level 3'!P57-F57))*C57</f>
        <v>60688.407713621127</v>
      </c>
      <c r="J57" s="1872">
        <f>+'[3]Oct midyear LA Connections'!K55</f>
        <v>-56150.956669612126</v>
      </c>
      <c r="K57" s="1872">
        <f>'[3]Feb midyear LA Connections'!K55</f>
        <v>10209.264849020386</v>
      </c>
      <c r="L57" s="1872">
        <f t="shared" si="34"/>
        <v>-45941.691820591739</v>
      </c>
      <c r="M57" s="1872">
        <f t="shared" si="35"/>
        <v>500253.97760199889</v>
      </c>
      <c r="N57" s="1872">
        <f t="shared" si="36"/>
        <v>-1250.6349440049974</v>
      </c>
      <c r="O57" s="1873">
        <f t="shared" si="53"/>
        <v>499003.3426579939</v>
      </c>
      <c r="P57" s="1873">
        <f>'[34]LA Conn Adjustment'!X56+'[32]Oct midyear LA Connections'!K55+'[35]Feb midyear adj_Connections'!M57</f>
        <v>0</v>
      </c>
      <c r="Q57" s="1874">
        <f t="shared" si="37"/>
        <v>499003.3426579939</v>
      </c>
      <c r="R57" s="1874">
        <f>+'[4]Table 5C3 - LA Connections EBR'!N55*8</f>
        <v>363224</v>
      </c>
      <c r="S57" s="1874">
        <f t="shared" si="38"/>
        <v>135779.3426579939</v>
      </c>
      <c r="T57" s="1874">
        <f t="shared" si="39"/>
        <v>33945</v>
      </c>
      <c r="U57" s="1876">
        <f>'Table 5C1A-Madison Prep'!T59*90%</f>
        <v>4628.7</v>
      </c>
      <c r="V57" s="1876">
        <f t="shared" si="54"/>
        <v>495270.89999999997</v>
      </c>
      <c r="W57" s="1933">
        <f>+'[3]Oct midyear LA Connections'!E55</f>
        <v>-11</v>
      </c>
      <c r="X57" s="1876">
        <f t="shared" si="40"/>
        <v>-50915.7</v>
      </c>
      <c r="Y57" s="1933">
        <f>'[3]Feb midyear LA Connections'!E55</f>
        <v>4</v>
      </c>
      <c r="Z57" s="1876">
        <f t="shared" si="41"/>
        <v>9257.4</v>
      </c>
      <c r="AA57" s="1876">
        <f t="shared" si="42"/>
        <v>-41658.299999999996</v>
      </c>
      <c r="AB57" s="1876">
        <f t="shared" si="43"/>
        <v>453612.6</v>
      </c>
      <c r="AC57" s="1876">
        <f t="shared" si="44"/>
        <v>-1134.0315000000001</v>
      </c>
      <c r="AD57" s="1876">
        <f t="shared" si="45"/>
        <v>452478.56849999999</v>
      </c>
      <c r="AE57" s="1875">
        <f>'[34]LA Conn Adjustment'!AB56+'[32]Oct midyear LA Connections'!P55+'[35]Feb midyear adj_Connections'!S57</f>
        <v>0</v>
      </c>
      <c r="AF57" s="1877">
        <f t="shared" si="46"/>
        <v>452478.56849999999</v>
      </c>
      <c r="AG57" s="1877">
        <f>+'[4]Table 5C3 - LA Connections EBR'!U55*8</f>
        <v>313088</v>
      </c>
      <c r="AH57" s="1877">
        <f t="shared" si="47"/>
        <v>139390.56849999999</v>
      </c>
      <c r="AI57" s="1877">
        <f t="shared" si="48"/>
        <v>34848</v>
      </c>
      <c r="AJ57" s="1878">
        <f t="shared" si="49"/>
        <v>951481.91115799383</v>
      </c>
      <c r="AK57" s="1878">
        <f t="shared" si="50"/>
        <v>68793</v>
      </c>
      <c r="AM57" s="2042">
        <f>-'[4]Table 5C3 - LA Connections EBR'!Q55</f>
        <v>1177</v>
      </c>
      <c r="AN57" s="2042">
        <f t="shared" si="51"/>
        <v>-1134.0315000000001</v>
      </c>
      <c r="AO57" s="2042">
        <f t="shared" si="52"/>
        <v>42.968499999999949</v>
      </c>
    </row>
    <row r="58" spans="1:41" s="533" customFormat="1" ht="16.5" customHeight="1">
      <c r="A58" s="101">
        <v>53</v>
      </c>
      <c r="B58" s="772" t="s">
        <v>143</v>
      </c>
      <c r="C58" s="1870">
        <f>'2-1-13 SIS'!L59</f>
        <v>55</v>
      </c>
      <c r="D58" s="1871">
        <f>'Table 3 Levels 1&amp;2'!AL60*90%</f>
        <v>4298.0289872022986</v>
      </c>
      <c r="E58" s="1871">
        <f t="shared" si="31"/>
        <v>236391.59429612642</v>
      </c>
      <c r="F58" s="1872">
        <f>'Table 4 Level 3'!P58*90%</f>
        <v>620.76600000000008</v>
      </c>
      <c r="G58" s="1872">
        <f t="shared" si="32"/>
        <v>34142.130000000005</v>
      </c>
      <c r="H58" s="1872">
        <f t="shared" si="33"/>
        <v>270533.7242961264</v>
      </c>
      <c r="I58" s="1872">
        <f>(('Table 3 Levels 1&amp;2'!AL60-D58)+('Table 4 Level 3'!P58-F58))*C58</f>
        <v>30059.302699569576</v>
      </c>
      <c r="J58" s="1872">
        <f>+'[3]Oct midyear LA Connections'!K56</f>
        <v>59025.539846427579</v>
      </c>
      <c r="K58" s="1872">
        <f>'[3]Feb midyear LA Connections'!K56</f>
        <v>0</v>
      </c>
      <c r="L58" s="1872">
        <f t="shared" si="34"/>
        <v>59025.539846427579</v>
      </c>
      <c r="M58" s="1872">
        <f t="shared" si="35"/>
        <v>329559.26414255396</v>
      </c>
      <c r="N58" s="1872">
        <f t="shared" si="36"/>
        <v>-823.89816035638489</v>
      </c>
      <c r="O58" s="1873">
        <f t="shared" si="53"/>
        <v>328735.36598219757</v>
      </c>
      <c r="P58" s="1873">
        <f>'[34]LA Conn Adjustment'!X57+'[32]Oct midyear LA Connections'!K56+'[35]Feb midyear adj_Connections'!M58</f>
        <v>0</v>
      </c>
      <c r="Q58" s="1874">
        <f t="shared" si="37"/>
        <v>328735.36598219757</v>
      </c>
      <c r="R58" s="1874">
        <f>+'[4]Table 5C3 - LA Connections EBR'!N56*8</f>
        <v>179904</v>
      </c>
      <c r="S58" s="1874">
        <f t="shared" si="38"/>
        <v>148831.36598219757</v>
      </c>
      <c r="T58" s="1874">
        <f t="shared" si="39"/>
        <v>37208</v>
      </c>
      <c r="U58" s="1876">
        <f>'Table 5C1A-Madison Prep'!T60*90%</f>
        <v>1898.1000000000001</v>
      </c>
      <c r="V58" s="1876">
        <f t="shared" si="54"/>
        <v>104395.50000000001</v>
      </c>
      <c r="W58" s="1933">
        <f>+'[3]Oct midyear LA Connections'!E56</f>
        <v>12</v>
      </c>
      <c r="X58" s="1876">
        <f t="shared" si="40"/>
        <v>22777.200000000001</v>
      </c>
      <c r="Y58" s="1933">
        <f>'[3]Feb midyear LA Connections'!E56</f>
        <v>0</v>
      </c>
      <c r="Z58" s="1876">
        <f t="shared" si="41"/>
        <v>0</v>
      </c>
      <c r="AA58" s="1876">
        <f t="shared" si="42"/>
        <v>22777.200000000001</v>
      </c>
      <c r="AB58" s="1876">
        <f t="shared" si="43"/>
        <v>127172.70000000001</v>
      </c>
      <c r="AC58" s="1876">
        <f t="shared" si="44"/>
        <v>-317.93175000000002</v>
      </c>
      <c r="AD58" s="1876">
        <f t="shared" si="45"/>
        <v>126854.76825000001</v>
      </c>
      <c r="AE58" s="1875">
        <f>'[34]LA Conn Adjustment'!AB57+'[32]Oct midyear LA Connections'!P56+'[35]Feb midyear adj_Connections'!S58</f>
        <v>0</v>
      </c>
      <c r="AF58" s="1877">
        <f t="shared" si="46"/>
        <v>126854.76825000001</v>
      </c>
      <c r="AG58" s="1877">
        <f>+'[4]Table 5C3 - LA Connections EBR'!U56*8</f>
        <v>69752</v>
      </c>
      <c r="AH58" s="1877">
        <f t="shared" si="47"/>
        <v>57102.768250000008</v>
      </c>
      <c r="AI58" s="1877">
        <f t="shared" si="48"/>
        <v>14276</v>
      </c>
      <c r="AJ58" s="1878">
        <f t="shared" si="49"/>
        <v>455590.1342321976</v>
      </c>
      <c r="AK58" s="1878">
        <f t="shared" si="50"/>
        <v>51484</v>
      </c>
      <c r="AM58" s="2042">
        <f>-'[4]Table 5C3 - LA Connections EBR'!Q56</f>
        <v>262</v>
      </c>
      <c r="AN58" s="2042">
        <f t="shared" si="51"/>
        <v>-317.93175000000002</v>
      </c>
      <c r="AO58" s="2042">
        <f t="shared" si="52"/>
        <v>-55.931750000000022</v>
      </c>
    </row>
    <row r="59" spans="1:41" s="533" customFormat="1" ht="16.5" customHeight="1">
      <c r="A59" s="101">
        <v>54</v>
      </c>
      <c r="B59" s="772" t="s">
        <v>144</v>
      </c>
      <c r="C59" s="1870">
        <f>'2-1-13 SIS'!L60</f>
        <v>5</v>
      </c>
      <c r="D59" s="1871">
        <f>'Table 3 Levels 1&amp;2'!AL61*90%</f>
        <v>5356.6208447648096</v>
      </c>
      <c r="E59" s="1871">
        <f t="shared" si="31"/>
        <v>26783.104223824048</v>
      </c>
      <c r="F59" s="1872">
        <f>'Table 4 Level 3'!P59*90%</f>
        <v>856.30500000000006</v>
      </c>
      <c r="G59" s="1872">
        <f t="shared" si="32"/>
        <v>4281.5250000000005</v>
      </c>
      <c r="H59" s="1872">
        <f t="shared" si="33"/>
        <v>31064.629223824049</v>
      </c>
      <c r="I59" s="1872">
        <f>(('Table 3 Levels 1&amp;2'!AL61-D59)+('Table 4 Level 3'!P59-F59))*C59</f>
        <v>3451.625469313783</v>
      </c>
      <c r="J59" s="1872">
        <f>+'[3]Oct midyear LA Connections'!K57</f>
        <v>6212.9258447648099</v>
      </c>
      <c r="K59" s="1872">
        <f>'[3]Feb midyear LA Connections'!K57</f>
        <v>0</v>
      </c>
      <c r="L59" s="1872">
        <f t="shared" si="34"/>
        <v>6212.9258447648099</v>
      </c>
      <c r="M59" s="1872">
        <f t="shared" si="35"/>
        <v>37277.555068588859</v>
      </c>
      <c r="N59" s="1872">
        <f t="shared" si="36"/>
        <v>-93.193887671472154</v>
      </c>
      <c r="O59" s="1873">
        <f t="shared" si="53"/>
        <v>37184.361180917389</v>
      </c>
      <c r="P59" s="1873">
        <f>'[34]LA Conn Adjustment'!X58+'[32]Oct midyear LA Connections'!K57+'[35]Feb midyear adj_Connections'!M59</f>
        <v>0</v>
      </c>
      <c r="Q59" s="1874">
        <f t="shared" si="37"/>
        <v>37184.361180917389</v>
      </c>
      <c r="R59" s="1874">
        <f>+'[4]Table 5C3 - LA Connections EBR'!N57*8</f>
        <v>20656</v>
      </c>
      <c r="S59" s="1874">
        <f t="shared" si="38"/>
        <v>16528.361180917389</v>
      </c>
      <c r="T59" s="1874">
        <f t="shared" si="39"/>
        <v>4132</v>
      </c>
      <c r="U59" s="1876">
        <f>'Table 5C1A-Madison Prep'!T61*90%</f>
        <v>3384</v>
      </c>
      <c r="V59" s="1876">
        <f t="shared" si="54"/>
        <v>16920</v>
      </c>
      <c r="W59" s="1933">
        <f>+'[3]Oct midyear LA Connections'!E57</f>
        <v>1</v>
      </c>
      <c r="X59" s="1876">
        <f t="shared" si="40"/>
        <v>3384</v>
      </c>
      <c r="Y59" s="1933">
        <f>'[3]Feb midyear LA Connections'!E57</f>
        <v>0</v>
      </c>
      <c r="Z59" s="1876">
        <f t="shared" si="41"/>
        <v>0</v>
      </c>
      <c r="AA59" s="1876">
        <f t="shared" si="42"/>
        <v>3384</v>
      </c>
      <c r="AB59" s="1876">
        <f t="shared" si="43"/>
        <v>20304</v>
      </c>
      <c r="AC59" s="1876">
        <f t="shared" si="44"/>
        <v>-50.76</v>
      </c>
      <c r="AD59" s="1876">
        <f t="shared" si="45"/>
        <v>20253.240000000002</v>
      </c>
      <c r="AE59" s="1875">
        <f>'[34]LA Conn Adjustment'!AB58+'[32]Oct midyear LA Connections'!P57+'[35]Feb midyear adj_Connections'!S59</f>
        <v>0</v>
      </c>
      <c r="AF59" s="1877">
        <f t="shared" si="46"/>
        <v>20253.240000000002</v>
      </c>
      <c r="AG59" s="1877">
        <f>+'[4]Table 5C3 - LA Connections EBR'!U57*8</f>
        <v>11040</v>
      </c>
      <c r="AH59" s="1877">
        <f t="shared" si="47"/>
        <v>9213.2400000000016</v>
      </c>
      <c r="AI59" s="1877">
        <f t="shared" si="48"/>
        <v>2303</v>
      </c>
      <c r="AJ59" s="1878">
        <f t="shared" si="49"/>
        <v>57437.601180917394</v>
      </c>
      <c r="AK59" s="1878">
        <f t="shared" si="50"/>
        <v>6435</v>
      </c>
      <c r="AM59" s="2042">
        <f>-'[4]Table 5C3 - LA Connections EBR'!Q57</f>
        <v>42</v>
      </c>
      <c r="AN59" s="2042">
        <f t="shared" si="51"/>
        <v>-50.76</v>
      </c>
      <c r="AO59" s="2042">
        <f t="shared" si="52"/>
        <v>-8.759999999999998</v>
      </c>
    </row>
    <row r="60" spans="1:41" s="533" customFormat="1" ht="16.5" customHeight="1">
      <c r="A60" s="102">
        <v>55</v>
      </c>
      <c r="B60" s="773" t="s">
        <v>145</v>
      </c>
      <c r="C60" s="1879">
        <f>'2-1-13 SIS'!L61</f>
        <v>39</v>
      </c>
      <c r="D60" s="1880">
        <f>'Table 3 Levels 1&amp;2'!AL62*90%</f>
        <v>3753.9391261709843</v>
      </c>
      <c r="E60" s="1880">
        <f t="shared" si="31"/>
        <v>146403.62592066839</v>
      </c>
      <c r="F60" s="1881">
        <f>'Table 4 Level 3'!P60*90%</f>
        <v>715.62599999999998</v>
      </c>
      <c r="G60" s="1881">
        <f t="shared" si="32"/>
        <v>27909.414000000001</v>
      </c>
      <c r="H60" s="1881">
        <f t="shared" si="33"/>
        <v>174313.03992066838</v>
      </c>
      <c r="I60" s="1881">
        <f>(('Table 3 Levels 1&amp;2'!AL62-D60)+('Table 4 Level 3'!P60-F60))*C60</f>
        <v>19368.115546740926</v>
      </c>
      <c r="J60" s="1881">
        <f>+'[3]Oct midyear LA Connections'!K58</f>
        <v>-31286.95588319689</v>
      </c>
      <c r="K60" s="1881">
        <f>'[3]Feb midyear LA Connections'!K58</f>
        <v>-2234.7825630854923</v>
      </c>
      <c r="L60" s="1881">
        <f t="shared" si="34"/>
        <v>-33521.738446282383</v>
      </c>
      <c r="M60" s="1881">
        <f t="shared" si="35"/>
        <v>140791.30147438601</v>
      </c>
      <c r="N60" s="1881">
        <f t="shared" si="36"/>
        <v>-351.97825368596506</v>
      </c>
      <c r="O60" s="1882">
        <f t="shared" si="53"/>
        <v>140439.32322070005</v>
      </c>
      <c r="P60" s="1882">
        <f>'[34]LA Conn Adjustment'!X59+'[32]Oct midyear LA Connections'!K58+'[35]Feb midyear adj_Connections'!M60</f>
        <v>0</v>
      </c>
      <c r="Q60" s="1883">
        <f t="shared" si="37"/>
        <v>140439.32322070005</v>
      </c>
      <c r="R60" s="1883">
        <f>+'[4]Table 5C3 - LA Connections EBR'!N58*8</f>
        <v>115920</v>
      </c>
      <c r="S60" s="1883">
        <f t="shared" si="38"/>
        <v>24519.323220700055</v>
      </c>
      <c r="T60" s="1883">
        <f t="shared" si="39"/>
        <v>6130</v>
      </c>
      <c r="U60" s="1885">
        <f>'Table 5C1A-Madison Prep'!T62*90%</f>
        <v>3023.1</v>
      </c>
      <c r="V60" s="1885">
        <f t="shared" si="54"/>
        <v>117900.9</v>
      </c>
      <c r="W60" s="1934">
        <f>+'[3]Oct midyear LA Connections'!E58</f>
        <v>-7</v>
      </c>
      <c r="X60" s="1885">
        <f t="shared" si="40"/>
        <v>-21161.7</v>
      </c>
      <c r="Y60" s="1934">
        <f>'[3]Feb midyear LA Connections'!E58</f>
        <v>-1</v>
      </c>
      <c r="Z60" s="1885">
        <f t="shared" si="41"/>
        <v>-1511.55</v>
      </c>
      <c r="AA60" s="1885">
        <f t="shared" si="42"/>
        <v>-22673.25</v>
      </c>
      <c r="AB60" s="1885">
        <f t="shared" si="43"/>
        <v>95227.65</v>
      </c>
      <c r="AC60" s="1885">
        <f t="shared" si="44"/>
        <v>-238.06912499999999</v>
      </c>
      <c r="AD60" s="1885">
        <f t="shared" si="45"/>
        <v>94989.580875</v>
      </c>
      <c r="AE60" s="1884">
        <f>'[34]LA Conn Adjustment'!AB59+'[32]Oct midyear LA Connections'!P58+'[35]Feb midyear adj_Connections'!S60</f>
        <v>0</v>
      </c>
      <c r="AF60" s="1886">
        <f t="shared" si="46"/>
        <v>94989.580875</v>
      </c>
      <c r="AG60" s="1886">
        <f>+'[4]Table 5C3 - LA Connections EBR'!U58*8</f>
        <v>73688</v>
      </c>
      <c r="AH60" s="1886">
        <f t="shared" si="47"/>
        <v>21301.580875</v>
      </c>
      <c r="AI60" s="1886">
        <f t="shared" si="48"/>
        <v>5325</v>
      </c>
      <c r="AJ60" s="1887">
        <f t="shared" si="49"/>
        <v>235428.90409570007</v>
      </c>
      <c r="AK60" s="1887">
        <f t="shared" si="50"/>
        <v>11455</v>
      </c>
      <c r="AM60" s="2042">
        <f>-'[4]Table 5C3 - LA Connections EBR'!Q58</f>
        <v>277</v>
      </c>
      <c r="AN60" s="2042">
        <f t="shared" si="51"/>
        <v>-238.06912499999999</v>
      </c>
      <c r="AO60" s="2042">
        <f t="shared" si="52"/>
        <v>38.930875000000015</v>
      </c>
    </row>
    <row r="61" spans="1:41" s="533" customFormat="1" ht="16.5" customHeight="1">
      <c r="A61" s="101">
        <v>56</v>
      </c>
      <c r="B61" s="772" t="s">
        <v>146</v>
      </c>
      <c r="C61" s="1859">
        <f>'2-1-13 SIS'!L62</f>
        <v>5</v>
      </c>
      <c r="D61" s="1860">
        <f>'Table 3 Levels 1&amp;2'!AL63*90%</f>
        <v>4471.7338707054541</v>
      </c>
      <c r="E61" s="1860">
        <f t="shared" si="31"/>
        <v>22358.669353527272</v>
      </c>
      <c r="F61" s="1861">
        <f>'Table 4 Level 3'!P61*90%</f>
        <v>553.19400000000007</v>
      </c>
      <c r="G61" s="1861">
        <f t="shared" si="32"/>
        <v>2765.9700000000003</v>
      </c>
      <c r="H61" s="1861">
        <f t="shared" si="33"/>
        <v>25124.639353527273</v>
      </c>
      <c r="I61" s="1861">
        <f>(('Table 3 Levels 1&amp;2'!AL63-D61)+('Table 4 Level 3'!P61-F61))*C61</f>
        <v>2791.6265948363643</v>
      </c>
      <c r="J61" s="1861">
        <f>+'[3]Oct midyear LA Connections'!K59</f>
        <v>-10049.855741410909</v>
      </c>
      <c r="K61" s="1861">
        <f>'[3]Feb midyear LA Connections'!K59</f>
        <v>2512.4639353527273</v>
      </c>
      <c r="L61" s="1861">
        <f t="shared" si="34"/>
        <v>-7537.3918060581818</v>
      </c>
      <c r="M61" s="1861">
        <f t="shared" si="35"/>
        <v>17587.247547469091</v>
      </c>
      <c r="N61" s="1861">
        <f t="shared" si="36"/>
        <v>-43.968118868672725</v>
      </c>
      <c r="O61" s="1862">
        <f t="shared" si="53"/>
        <v>17543.279428600417</v>
      </c>
      <c r="P61" s="1862">
        <f>'[34]LA Conn Adjustment'!X60+'[32]Oct midyear LA Connections'!K59+'[35]Feb midyear adj_Connections'!M61</f>
        <v>0</v>
      </c>
      <c r="Q61" s="1864">
        <f t="shared" si="37"/>
        <v>17543.279428600417</v>
      </c>
      <c r="R61" s="1864">
        <f>+'[4]Table 5C3 - LA Connections EBR'!N59*8</f>
        <v>16704</v>
      </c>
      <c r="S61" s="1864">
        <f t="shared" si="38"/>
        <v>839.2794286004173</v>
      </c>
      <c r="T61" s="1864">
        <f t="shared" si="39"/>
        <v>210</v>
      </c>
      <c r="U61" s="1866">
        <f>'Table 5C1A-Madison Prep'!T63*90%</f>
        <v>2567.7000000000003</v>
      </c>
      <c r="V61" s="1866">
        <f t="shared" si="54"/>
        <v>12838.500000000002</v>
      </c>
      <c r="W61" s="1932">
        <f>+'[3]Oct midyear LA Connections'!E59</f>
        <v>-2</v>
      </c>
      <c r="X61" s="1866">
        <f t="shared" si="40"/>
        <v>-5135.4000000000005</v>
      </c>
      <c r="Y61" s="1932">
        <f>'[3]Feb midyear LA Connections'!E59</f>
        <v>1</v>
      </c>
      <c r="Z61" s="1866">
        <f t="shared" si="41"/>
        <v>1283.8500000000001</v>
      </c>
      <c r="AA61" s="1866">
        <f t="shared" si="42"/>
        <v>-3851.55</v>
      </c>
      <c r="AB61" s="1866">
        <f t="shared" si="43"/>
        <v>8986.9500000000007</v>
      </c>
      <c r="AC61" s="1866">
        <f t="shared" si="44"/>
        <v>-22.467375000000001</v>
      </c>
      <c r="AD61" s="1866">
        <f t="shared" si="45"/>
        <v>8964.4826250000006</v>
      </c>
      <c r="AE61" s="1865">
        <f>'[34]LA Conn Adjustment'!AB60+'[32]Oct midyear LA Connections'!P59+'[35]Feb midyear adj_Connections'!S61</f>
        <v>0</v>
      </c>
      <c r="AF61" s="1867">
        <f t="shared" si="46"/>
        <v>8964.4826250000006</v>
      </c>
      <c r="AG61" s="1867">
        <f>+'[4]Table 5C3 - LA Connections EBR'!U59*8</f>
        <v>8320</v>
      </c>
      <c r="AH61" s="1867">
        <f t="shared" si="47"/>
        <v>644.48262500000055</v>
      </c>
      <c r="AI61" s="1867">
        <f t="shared" si="48"/>
        <v>161</v>
      </c>
      <c r="AJ61" s="1869">
        <f t="shared" si="49"/>
        <v>26507.762053600418</v>
      </c>
      <c r="AK61" s="1869">
        <f t="shared" si="50"/>
        <v>371</v>
      </c>
      <c r="AM61" s="2042">
        <f>-'[4]Table 5C3 - LA Connections EBR'!Q59</f>
        <v>31</v>
      </c>
      <c r="AN61" s="2042">
        <f t="shared" si="51"/>
        <v>-22.467375000000001</v>
      </c>
      <c r="AO61" s="2042">
        <f t="shared" si="52"/>
        <v>8.5326249999999995</v>
      </c>
    </row>
    <row r="62" spans="1:41" s="533" customFormat="1" ht="16.5" customHeight="1">
      <c r="A62" s="101">
        <v>57</v>
      </c>
      <c r="B62" s="772" t="s">
        <v>147</v>
      </c>
      <c r="C62" s="1870">
        <f>'2-1-13 SIS'!L63</f>
        <v>6</v>
      </c>
      <c r="D62" s="1871">
        <f>'Table 3 Levels 1&amp;2'!AL64*90%</f>
        <v>4037.1365718196976</v>
      </c>
      <c r="E62" s="1871">
        <f t="shared" si="31"/>
        <v>24222.819430918185</v>
      </c>
      <c r="F62" s="1872">
        <f>'Table 4 Level 3'!P62*90%</f>
        <v>688.05899999999997</v>
      </c>
      <c r="G62" s="1872">
        <f t="shared" si="32"/>
        <v>4128.3539999999994</v>
      </c>
      <c r="H62" s="1872">
        <f t="shared" si="33"/>
        <v>28351.173430918185</v>
      </c>
      <c r="I62" s="1872">
        <f>(('Table 3 Levels 1&amp;2'!AL64-D62)+('Table 4 Level 3'!P62-F62))*C62</f>
        <v>3150.13038121313</v>
      </c>
      <c r="J62" s="1872">
        <f>+'[3]Oct midyear LA Connections'!K60</f>
        <v>4725.1955718196978</v>
      </c>
      <c r="K62" s="1872">
        <f>'[3]Feb midyear LA Connections'!K60</f>
        <v>0</v>
      </c>
      <c r="L62" s="1872">
        <f t="shared" si="34"/>
        <v>4725.1955718196978</v>
      </c>
      <c r="M62" s="1872">
        <f t="shared" si="35"/>
        <v>33076.369002737883</v>
      </c>
      <c r="N62" s="1872">
        <f t="shared" si="36"/>
        <v>-82.690922506844714</v>
      </c>
      <c r="O62" s="1873">
        <f t="shared" si="53"/>
        <v>32993.678080231039</v>
      </c>
      <c r="P62" s="1873">
        <f>'[34]LA Conn Adjustment'!X61+'[32]Oct midyear LA Connections'!K60+'[35]Feb midyear adj_Connections'!M62</f>
        <v>0</v>
      </c>
      <c r="Q62" s="1874">
        <f t="shared" si="37"/>
        <v>32993.678080231039</v>
      </c>
      <c r="R62" s="1874">
        <f>+'[4]Table 5C3 - LA Connections EBR'!N60*8</f>
        <v>18856</v>
      </c>
      <c r="S62" s="1874">
        <f t="shared" si="38"/>
        <v>14137.678080231039</v>
      </c>
      <c r="T62" s="1874">
        <f t="shared" si="39"/>
        <v>3534</v>
      </c>
      <c r="U62" s="1876">
        <f>'Table 5C1A-Madison Prep'!T64*90%</f>
        <v>2860.2000000000003</v>
      </c>
      <c r="V62" s="1876">
        <f t="shared" si="54"/>
        <v>17161.2</v>
      </c>
      <c r="W62" s="1933">
        <f>+'[3]Oct midyear LA Connections'!E60</f>
        <v>1</v>
      </c>
      <c r="X62" s="1876">
        <f t="shared" si="40"/>
        <v>2860.2000000000003</v>
      </c>
      <c r="Y62" s="1933">
        <f>'[3]Feb midyear LA Connections'!E60</f>
        <v>0</v>
      </c>
      <c r="Z62" s="1876">
        <f t="shared" si="41"/>
        <v>0</v>
      </c>
      <c r="AA62" s="1876">
        <f t="shared" si="42"/>
        <v>2860.2000000000003</v>
      </c>
      <c r="AB62" s="1876">
        <f t="shared" si="43"/>
        <v>20021.400000000001</v>
      </c>
      <c r="AC62" s="1876">
        <f t="shared" si="44"/>
        <v>-50.053500000000007</v>
      </c>
      <c r="AD62" s="1876">
        <f t="shared" si="45"/>
        <v>19971.3465</v>
      </c>
      <c r="AE62" s="1875">
        <f>'[34]LA Conn Adjustment'!AB61+'[32]Oct midyear LA Connections'!P60+'[35]Feb midyear adj_Connections'!S62</f>
        <v>0</v>
      </c>
      <c r="AF62" s="1877">
        <f t="shared" si="46"/>
        <v>19971.3465</v>
      </c>
      <c r="AG62" s="1877">
        <f>+'[4]Table 5C3 - LA Connections EBR'!U60*8</f>
        <v>11160</v>
      </c>
      <c r="AH62" s="1877">
        <f t="shared" si="47"/>
        <v>8811.3464999999997</v>
      </c>
      <c r="AI62" s="1877">
        <f t="shared" si="48"/>
        <v>2203</v>
      </c>
      <c r="AJ62" s="1878">
        <f t="shared" si="49"/>
        <v>52965.024580231038</v>
      </c>
      <c r="AK62" s="1878">
        <f t="shared" si="50"/>
        <v>5737</v>
      </c>
      <c r="AM62" s="2042">
        <f>-'[4]Table 5C3 - LA Connections EBR'!Q60</f>
        <v>42</v>
      </c>
      <c r="AN62" s="2042">
        <f t="shared" si="51"/>
        <v>-50.053500000000007</v>
      </c>
      <c r="AO62" s="2042">
        <f t="shared" si="52"/>
        <v>-8.0535000000000068</v>
      </c>
    </row>
    <row r="63" spans="1:41" s="533" customFormat="1" ht="16.5" customHeight="1">
      <c r="A63" s="101">
        <v>58</v>
      </c>
      <c r="B63" s="772" t="s">
        <v>148</v>
      </c>
      <c r="C63" s="1870">
        <f>'2-1-13 SIS'!L64</f>
        <v>28</v>
      </c>
      <c r="D63" s="1871">
        <f>'Table 3 Levels 1&amp;2'!AL65*90%</f>
        <v>4912.079652312872</v>
      </c>
      <c r="E63" s="1871">
        <f t="shared" si="31"/>
        <v>137538.23026476041</v>
      </c>
      <c r="F63" s="1872">
        <f>'Table 4 Level 3'!P63*90%</f>
        <v>627.33600000000001</v>
      </c>
      <c r="G63" s="1872">
        <f t="shared" si="32"/>
        <v>17565.407999999999</v>
      </c>
      <c r="H63" s="1872">
        <f t="shared" si="33"/>
        <v>155103.6382647604</v>
      </c>
      <c r="I63" s="1872">
        <f>(('Table 3 Levels 1&amp;2'!AL65-D63)+('Table 4 Level 3'!P63-F63))*C63</f>
        <v>17233.737584973376</v>
      </c>
      <c r="J63" s="1872">
        <f>+'[3]Oct midyear LA Connections'!K61</f>
        <v>16618.246956938616</v>
      </c>
      <c r="K63" s="1872">
        <f>'[3]Feb midyear LA Connections'!K61</f>
        <v>-8309.1234784693079</v>
      </c>
      <c r="L63" s="1872">
        <f t="shared" si="34"/>
        <v>8309.1234784693079</v>
      </c>
      <c r="M63" s="1872">
        <f t="shared" si="35"/>
        <v>163412.7617432297</v>
      </c>
      <c r="N63" s="1872">
        <f t="shared" si="36"/>
        <v>-408.53190435807426</v>
      </c>
      <c r="O63" s="1873">
        <f t="shared" si="53"/>
        <v>163004.22983887163</v>
      </c>
      <c r="P63" s="1873">
        <f>'[34]LA Conn Adjustment'!X62+'[32]Oct midyear LA Connections'!K61+'[35]Feb midyear adj_Connections'!M63</f>
        <v>0</v>
      </c>
      <c r="Q63" s="1874">
        <f t="shared" si="37"/>
        <v>163004.22983887163</v>
      </c>
      <c r="R63" s="1874">
        <f>+'[4]Table 5C3 - LA Connections EBR'!N61*8</f>
        <v>103144</v>
      </c>
      <c r="S63" s="1874">
        <f t="shared" si="38"/>
        <v>59860.22983887163</v>
      </c>
      <c r="T63" s="1874">
        <f t="shared" si="39"/>
        <v>14965</v>
      </c>
      <c r="U63" s="1876">
        <f>'Table 5C1A-Madison Prep'!T65*90%</f>
        <v>1914.3</v>
      </c>
      <c r="V63" s="1876">
        <f t="shared" si="54"/>
        <v>53600.4</v>
      </c>
      <c r="W63" s="1933">
        <f>+'[3]Oct midyear LA Connections'!E61</f>
        <v>3</v>
      </c>
      <c r="X63" s="1876">
        <f t="shared" si="40"/>
        <v>5742.9</v>
      </c>
      <c r="Y63" s="1933">
        <f>'[3]Feb midyear LA Connections'!E61</f>
        <v>-3</v>
      </c>
      <c r="Z63" s="1876">
        <f t="shared" si="41"/>
        <v>-2871.45</v>
      </c>
      <c r="AA63" s="1876">
        <f t="shared" si="42"/>
        <v>2871.45</v>
      </c>
      <c r="AB63" s="1876">
        <f t="shared" si="43"/>
        <v>56471.85</v>
      </c>
      <c r="AC63" s="1876">
        <f t="shared" si="44"/>
        <v>-141.17962499999999</v>
      </c>
      <c r="AD63" s="1876">
        <f t="shared" si="45"/>
        <v>56330.670375000002</v>
      </c>
      <c r="AE63" s="1875">
        <f>'[34]LA Conn Adjustment'!AB62+'[32]Oct midyear LA Connections'!P61+'[35]Feb midyear adj_Connections'!S63</f>
        <v>0</v>
      </c>
      <c r="AF63" s="1877">
        <f t="shared" si="46"/>
        <v>56330.670375000002</v>
      </c>
      <c r="AG63" s="1877">
        <f>+'[4]Table 5C3 - LA Connections EBR'!U61*8</f>
        <v>35272</v>
      </c>
      <c r="AH63" s="1877">
        <f t="shared" si="47"/>
        <v>21058.670375000002</v>
      </c>
      <c r="AI63" s="1877">
        <f t="shared" si="48"/>
        <v>5265</v>
      </c>
      <c r="AJ63" s="1878">
        <f t="shared" si="49"/>
        <v>219334.90021387162</v>
      </c>
      <c r="AK63" s="1878">
        <f t="shared" si="50"/>
        <v>20230</v>
      </c>
      <c r="AM63" s="2042">
        <f>-'[4]Table 5C3 - LA Connections EBR'!Q61</f>
        <v>133</v>
      </c>
      <c r="AN63" s="2042">
        <f t="shared" si="51"/>
        <v>-141.17962499999999</v>
      </c>
      <c r="AO63" s="2042">
        <f t="shared" si="52"/>
        <v>-8.1796249999999873</v>
      </c>
    </row>
    <row r="64" spans="1:41" s="533" customFormat="1" ht="16.5" customHeight="1">
      <c r="A64" s="101">
        <v>59</v>
      </c>
      <c r="B64" s="772" t="s">
        <v>149</v>
      </c>
      <c r="C64" s="1870">
        <f>'2-1-13 SIS'!L65</f>
        <v>14</v>
      </c>
      <c r="D64" s="1871">
        <f>'Table 3 Levels 1&amp;2'!AL66*90%</f>
        <v>5646.8507704205831</v>
      </c>
      <c r="E64" s="1871">
        <f t="shared" si="31"/>
        <v>79055.910785888162</v>
      </c>
      <c r="F64" s="1872">
        <f>'Table 4 Level 3'!P64*90%</f>
        <v>620.56799999999998</v>
      </c>
      <c r="G64" s="1872">
        <f t="shared" si="32"/>
        <v>8687.9519999999993</v>
      </c>
      <c r="H64" s="1872">
        <f t="shared" si="33"/>
        <v>87743.862785888166</v>
      </c>
      <c r="I64" s="1872">
        <f>(('Table 3 Levels 1&amp;2'!AL66-D64)+('Table 4 Level 3'!P64-F64))*C64</f>
        <v>9749.3180873209094</v>
      </c>
      <c r="J64" s="1872">
        <f>+'[3]Oct midyear LA Connections'!K62</f>
        <v>12534.837540841167</v>
      </c>
      <c r="K64" s="1872">
        <f>'[3]Feb midyear LA Connections'!K62</f>
        <v>-21935.965696472042</v>
      </c>
      <c r="L64" s="1872">
        <f t="shared" si="34"/>
        <v>-9401.128155630875</v>
      </c>
      <c r="M64" s="1872">
        <f t="shared" si="35"/>
        <v>78342.734630257299</v>
      </c>
      <c r="N64" s="1872">
        <f t="shared" si="36"/>
        <v>-195.85683657564326</v>
      </c>
      <c r="O64" s="1873">
        <f t="shared" si="53"/>
        <v>78146.877793681662</v>
      </c>
      <c r="P64" s="1873">
        <f>'[34]LA Conn Adjustment'!X63+'[32]Oct midyear LA Connections'!K62+'[35]Feb midyear adj_Connections'!M64</f>
        <v>-4541.6003403141385</v>
      </c>
      <c r="Q64" s="1874">
        <f t="shared" si="37"/>
        <v>73605.277453367526</v>
      </c>
      <c r="R64" s="1874">
        <f>+'[4]Table 5C3 - LA Connections EBR'!N62*8</f>
        <v>55320</v>
      </c>
      <c r="S64" s="1874">
        <f t="shared" si="38"/>
        <v>18285.277453367526</v>
      </c>
      <c r="T64" s="1874">
        <f t="shared" si="39"/>
        <v>4571</v>
      </c>
      <c r="U64" s="1876">
        <f>'Table 5C1A-Madison Prep'!T66*90%</f>
        <v>1556.1000000000001</v>
      </c>
      <c r="V64" s="1876">
        <f t="shared" si="54"/>
        <v>21785.4</v>
      </c>
      <c r="W64" s="1933">
        <f>+'[3]Oct midyear LA Connections'!E62</f>
        <v>2</v>
      </c>
      <c r="X64" s="1876">
        <f t="shared" si="40"/>
        <v>3112.2000000000003</v>
      </c>
      <c r="Y64" s="1933">
        <f>'[3]Feb midyear LA Connections'!E62</f>
        <v>-7</v>
      </c>
      <c r="Z64" s="1876">
        <f t="shared" si="41"/>
        <v>-5446.35</v>
      </c>
      <c r="AA64" s="1876">
        <f t="shared" si="42"/>
        <v>-2334.15</v>
      </c>
      <c r="AB64" s="1876">
        <f t="shared" si="43"/>
        <v>19451.25</v>
      </c>
      <c r="AC64" s="1876">
        <f t="shared" si="44"/>
        <v>-48.628125000000004</v>
      </c>
      <c r="AD64" s="1876">
        <f t="shared" si="45"/>
        <v>19402.621875000001</v>
      </c>
      <c r="AE64" s="1875">
        <f>'[34]LA Conn Adjustment'!AB63+'[32]Oct midyear LA Connections'!P62+'[35]Feb midyear adj_Connections'!S64</f>
        <v>-2959.2000000000003</v>
      </c>
      <c r="AF64" s="1877">
        <f t="shared" si="46"/>
        <v>16443.421875</v>
      </c>
      <c r="AG64" s="1877">
        <f>+'[4]Table 5C3 - LA Connections EBR'!U62*8</f>
        <v>10680</v>
      </c>
      <c r="AH64" s="1877">
        <f t="shared" si="47"/>
        <v>5763.421875</v>
      </c>
      <c r="AI64" s="1877">
        <f t="shared" si="48"/>
        <v>1441</v>
      </c>
      <c r="AJ64" s="1878">
        <f t="shared" si="49"/>
        <v>90048.699328367526</v>
      </c>
      <c r="AK64" s="1878">
        <f t="shared" si="50"/>
        <v>6012</v>
      </c>
      <c r="AM64" s="2042">
        <f>-'[4]Table 5C3 - LA Connections EBR'!Q62</f>
        <v>48</v>
      </c>
      <c r="AN64" s="2042">
        <f t="shared" si="51"/>
        <v>-48.628125000000004</v>
      </c>
      <c r="AO64" s="2042">
        <f t="shared" si="52"/>
        <v>-0.62812500000000426</v>
      </c>
    </row>
    <row r="65" spans="1:41" s="533" customFormat="1" ht="16.5" customHeight="1">
      <c r="A65" s="102">
        <v>60</v>
      </c>
      <c r="B65" s="773" t="s">
        <v>150</v>
      </c>
      <c r="C65" s="1879">
        <f>'2-1-13 SIS'!L66</f>
        <v>26</v>
      </c>
      <c r="D65" s="1880">
        <f>'Table 3 Levels 1&amp;2'!AL67*90%</f>
        <v>4446.8250098049375</v>
      </c>
      <c r="E65" s="1880">
        <f t="shared" si="31"/>
        <v>115617.45025492838</v>
      </c>
      <c r="F65" s="1881">
        <f>'Table 4 Level 3'!P65*90%</f>
        <v>534.63599999999997</v>
      </c>
      <c r="G65" s="1881">
        <f t="shared" si="32"/>
        <v>13900.536</v>
      </c>
      <c r="H65" s="1881">
        <f t="shared" si="33"/>
        <v>129517.98625492837</v>
      </c>
      <c r="I65" s="1881">
        <f>(('Table 3 Levels 1&amp;2'!AL67-D65)+('Table 4 Level 3'!P65-F65))*C65</f>
        <v>14390.887361658693</v>
      </c>
      <c r="J65" s="1881">
        <f>+'[3]Oct midyear LA Connections'!K63</f>
        <v>-39851.688078439503</v>
      </c>
      <c r="K65" s="1881">
        <f>'[3]Feb midyear LA Connections'!K63</f>
        <v>2490.730504902469</v>
      </c>
      <c r="L65" s="1881">
        <f t="shared" si="34"/>
        <v>-37360.957573537031</v>
      </c>
      <c r="M65" s="1881">
        <f t="shared" si="35"/>
        <v>92157.028681391341</v>
      </c>
      <c r="N65" s="1881">
        <f t="shared" si="36"/>
        <v>-230.39257170347835</v>
      </c>
      <c r="O65" s="1882">
        <f t="shared" si="53"/>
        <v>91926.636109687868</v>
      </c>
      <c r="P65" s="1882">
        <f>'[34]LA Conn Adjustment'!X64+'[32]Oct midyear LA Connections'!K63+'[35]Feb midyear adj_Connections'!M65</f>
        <v>0</v>
      </c>
      <c r="Q65" s="1883">
        <f t="shared" si="37"/>
        <v>91926.636109687868</v>
      </c>
      <c r="R65" s="1883">
        <f>+'[4]Table 5C3 - LA Connections EBR'!N63*8</f>
        <v>86128</v>
      </c>
      <c r="S65" s="1883">
        <f t="shared" si="38"/>
        <v>5798.6361096878682</v>
      </c>
      <c r="T65" s="1883">
        <f t="shared" si="39"/>
        <v>1450</v>
      </c>
      <c r="U65" s="1885">
        <f>'Table 5C1A-Madison Prep'!T67*90%</f>
        <v>3420.9</v>
      </c>
      <c r="V65" s="1885">
        <f t="shared" si="54"/>
        <v>88943.400000000009</v>
      </c>
      <c r="W65" s="1934">
        <f>+'[3]Oct midyear LA Connections'!E63</f>
        <v>-8</v>
      </c>
      <c r="X65" s="1885">
        <f t="shared" si="40"/>
        <v>-27367.200000000001</v>
      </c>
      <c r="Y65" s="1934">
        <f>'[3]Feb midyear LA Connections'!E63</f>
        <v>1</v>
      </c>
      <c r="Z65" s="1885">
        <f t="shared" si="41"/>
        <v>1710.45</v>
      </c>
      <c r="AA65" s="1885">
        <f t="shared" si="42"/>
        <v>-25656.75</v>
      </c>
      <c r="AB65" s="1885">
        <f t="shared" si="43"/>
        <v>63286.650000000009</v>
      </c>
      <c r="AC65" s="1885">
        <f t="shared" si="44"/>
        <v>-158.21662500000002</v>
      </c>
      <c r="AD65" s="1885">
        <f t="shared" si="45"/>
        <v>63128.433375000008</v>
      </c>
      <c r="AE65" s="1884">
        <f>'[34]LA Conn Adjustment'!AB64+'[32]Oct midyear LA Connections'!P63+'[35]Feb midyear adj_Connections'!S65</f>
        <v>0</v>
      </c>
      <c r="AF65" s="1886">
        <f t="shared" si="46"/>
        <v>63128.433375000008</v>
      </c>
      <c r="AG65" s="1886">
        <f>+'[4]Table 5C3 - LA Connections EBR'!U63*8</f>
        <v>59024</v>
      </c>
      <c r="AH65" s="1886">
        <f t="shared" si="47"/>
        <v>4104.4333750000078</v>
      </c>
      <c r="AI65" s="1886">
        <f t="shared" si="48"/>
        <v>1026</v>
      </c>
      <c r="AJ65" s="1887">
        <f t="shared" si="49"/>
        <v>155055.06948468788</v>
      </c>
      <c r="AK65" s="1887">
        <f t="shared" si="50"/>
        <v>2476</v>
      </c>
      <c r="AM65" s="2042">
        <f>-'[4]Table 5C3 - LA Connections EBR'!Q63</f>
        <v>222</v>
      </c>
      <c r="AN65" s="2042">
        <f t="shared" si="51"/>
        <v>-158.21662500000002</v>
      </c>
      <c r="AO65" s="2042">
        <f t="shared" si="52"/>
        <v>63.783374999999978</v>
      </c>
    </row>
    <row r="66" spans="1:41" s="533" customFormat="1" ht="16.5" customHeight="1">
      <c r="A66" s="101">
        <v>61</v>
      </c>
      <c r="B66" s="772" t="s">
        <v>151</v>
      </c>
      <c r="C66" s="1859">
        <f>'2-1-13 SIS'!L67</f>
        <v>9</v>
      </c>
      <c r="D66" s="1860">
        <f>'Table 3 Levels 1&amp;2'!AL68*90%</f>
        <v>2617.2310382405308</v>
      </c>
      <c r="E66" s="1860">
        <f t="shared" si="31"/>
        <v>23555.079344164777</v>
      </c>
      <c r="F66" s="1861">
        <f>'Table 4 Level 3'!P66*90%</f>
        <v>750.33899999999994</v>
      </c>
      <c r="G66" s="1861">
        <f t="shared" si="32"/>
        <v>6753.0509999999995</v>
      </c>
      <c r="H66" s="1861">
        <f t="shared" si="33"/>
        <v>30308.130344164776</v>
      </c>
      <c r="I66" s="1861">
        <f>(('Table 3 Levels 1&amp;2'!AL68-D66)+('Table 4 Level 3'!P66-F66))*C66</f>
        <v>3367.5700382405284</v>
      </c>
      <c r="J66" s="1861">
        <f>+'[3]Oct midyear LA Connections'!K64</f>
        <v>0</v>
      </c>
      <c r="K66" s="1861">
        <f>'[3]Feb midyear LA Connections'!K64</f>
        <v>1683.7850191202654</v>
      </c>
      <c r="L66" s="1861">
        <f t="shared" si="34"/>
        <v>1683.7850191202654</v>
      </c>
      <c r="M66" s="1861">
        <f t="shared" si="35"/>
        <v>31991.915363285043</v>
      </c>
      <c r="N66" s="1861">
        <f t="shared" si="36"/>
        <v>-79.979788408212613</v>
      </c>
      <c r="O66" s="1862">
        <f t="shared" si="53"/>
        <v>31911.935574876832</v>
      </c>
      <c r="P66" s="1862">
        <f>'[34]LA Conn Adjustment'!X65+'[32]Oct midyear LA Connections'!K64+'[35]Feb midyear adj_Connections'!M66</f>
        <v>0</v>
      </c>
      <c r="Q66" s="1864">
        <f t="shared" si="37"/>
        <v>31911.935574876832</v>
      </c>
      <c r="R66" s="1864">
        <f>+'[4]Table 5C3 - LA Connections EBR'!N64*8</f>
        <v>20152</v>
      </c>
      <c r="S66" s="1864">
        <f t="shared" si="38"/>
        <v>11759.935574876832</v>
      </c>
      <c r="T66" s="1864">
        <f t="shared" si="39"/>
        <v>2940</v>
      </c>
      <c r="U66" s="1866">
        <f>'Table 5C1A-Madison Prep'!T68*90%</f>
        <v>5937.3</v>
      </c>
      <c r="V66" s="1866">
        <f t="shared" si="54"/>
        <v>53435.700000000004</v>
      </c>
      <c r="W66" s="1932">
        <f>+'[3]Oct midyear LA Connections'!E64</f>
        <v>0</v>
      </c>
      <c r="X66" s="1866">
        <f t="shared" si="40"/>
        <v>0</v>
      </c>
      <c r="Y66" s="1932">
        <f>'[3]Feb midyear LA Connections'!E64</f>
        <v>1</v>
      </c>
      <c r="Z66" s="1866">
        <f t="shared" si="41"/>
        <v>2968.65</v>
      </c>
      <c r="AA66" s="1866">
        <f t="shared" si="42"/>
        <v>2968.65</v>
      </c>
      <c r="AB66" s="1866">
        <f t="shared" si="43"/>
        <v>56404.350000000006</v>
      </c>
      <c r="AC66" s="1866">
        <f t="shared" si="44"/>
        <v>-141.01087500000003</v>
      </c>
      <c r="AD66" s="1866">
        <f t="shared" si="45"/>
        <v>56263.339125000006</v>
      </c>
      <c r="AE66" s="1865">
        <f>'[34]LA Conn Adjustment'!AB65+'[32]Oct midyear LA Connections'!P64+'[35]Feb midyear adj_Connections'!S66</f>
        <v>0</v>
      </c>
      <c r="AF66" s="1867">
        <f t="shared" si="46"/>
        <v>56263.339125000006</v>
      </c>
      <c r="AG66" s="1867">
        <f>+'[4]Table 5C3 - LA Connections EBR'!U64*8</f>
        <v>35384</v>
      </c>
      <c r="AH66" s="1867">
        <f t="shared" si="47"/>
        <v>20879.339125000006</v>
      </c>
      <c r="AI66" s="1867">
        <f t="shared" si="48"/>
        <v>5220</v>
      </c>
      <c r="AJ66" s="1869">
        <f t="shared" si="49"/>
        <v>88175.274699876842</v>
      </c>
      <c r="AK66" s="1869">
        <f t="shared" si="50"/>
        <v>8160</v>
      </c>
      <c r="AM66" s="2042">
        <f>-'[4]Table 5C3 - LA Connections EBR'!Q64</f>
        <v>133</v>
      </c>
      <c r="AN66" s="2042">
        <f t="shared" si="51"/>
        <v>-141.01087500000003</v>
      </c>
      <c r="AO66" s="2042">
        <f t="shared" si="52"/>
        <v>-8.0108750000000271</v>
      </c>
    </row>
    <row r="67" spans="1:41" s="533" customFormat="1" ht="16.5" customHeight="1">
      <c r="A67" s="101">
        <v>62</v>
      </c>
      <c r="B67" s="772" t="s">
        <v>152</v>
      </c>
      <c r="C67" s="1870">
        <f>'2-1-13 SIS'!L68</f>
        <v>1</v>
      </c>
      <c r="D67" s="1871">
        <f>'Table 3 Levels 1&amp;2'!AL69*90%</f>
        <v>5086.9557663049882</v>
      </c>
      <c r="E67" s="1871">
        <f t="shared" si="31"/>
        <v>5086.9557663049882</v>
      </c>
      <c r="F67" s="1872">
        <f>'Table 4 Level 3'!P67*90%</f>
        <v>464.47200000000004</v>
      </c>
      <c r="G67" s="1872">
        <f t="shared" si="32"/>
        <v>464.47200000000004</v>
      </c>
      <c r="H67" s="1872">
        <f t="shared" si="33"/>
        <v>5551.4277663049879</v>
      </c>
      <c r="I67" s="1872">
        <f>(('Table 3 Levels 1&amp;2'!AL69-D67)+('Table 4 Level 3'!P67-F67))*C67</f>
        <v>616.82530736722106</v>
      </c>
      <c r="J67" s="1872">
        <f>+'[3]Oct midyear LA Connections'!K65</f>
        <v>0</v>
      </c>
      <c r="K67" s="1872">
        <f>'[3]Feb midyear LA Connections'!K65</f>
        <v>0</v>
      </c>
      <c r="L67" s="1872">
        <f t="shared" si="34"/>
        <v>0</v>
      </c>
      <c r="M67" s="1872">
        <f t="shared" si="35"/>
        <v>5551.4277663049879</v>
      </c>
      <c r="N67" s="1872">
        <f t="shared" si="36"/>
        <v>-13.87856941576247</v>
      </c>
      <c r="O67" s="1873">
        <f t="shared" si="53"/>
        <v>5537.5491968892256</v>
      </c>
      <c r="P67" s="1873">
        <f>'[34]LA Conn Adjustment'!X66+'[32]Oct midyear LA Connections'!K65+'[35]Feb midyear adj_Connections'!M67</f>
        <v>0</v>
      </c>
      <c r="Q67" s="1874">
        <f t="shared" si="37"/>
        <v>5537.5491968892256</v>
      </c>
      <c r="R67" s="1874">
        <f>+'[4]Table 5C3 - LA Connections EBR'!N65*8</f>
        <v>3688</v>
      </c>
      <c r="S67" s="1874">
        <f t="shared" si="38"/>
        <v>1849.5491968892256</v>
      </c>
      <c r="T67" s="1874">
        <f t="shared" si="39"/>
        <v>462</v>
      </c>
      <c r="U67" s="1876">
        <f>'Table 5C1A-Madison Prep'!T69*90%</f>
        <v>1798.2</v>
      </c>
      <c r="V67" s="1876">
        <f t="shared" si="54"/>
        <v>1798.2</v>
      </c>
      <c r="W67" s="1933">
        <f>+'[3]Oct midyear LA Connections'!E65</f>
        <v>0</v>
      </c>
      <c r="X67" s="1876">
        <f t="shared" si="40"/>
        <v>0</v>
      </c>
      <c r="Y67" s="1933">
        <f>'[3]Feb midyear LA Connections'!E65</f>
        <v>0</v>
      </c>
      <c r="Z67" s="1876">
        <f t="shared" si="41"/>
        <v>0</v>
      </c>
      <c r="AA67" s="1876">
        <f t="shared" si="42"/>
        <v>0</v>
      </c>
      <c r="AB67" s="1876">
        <f t="shared" si="43"/>
        <v>1798.2</v>
      </c>
      <c r="AC67" s="1876">
        <f t="shared" si="44"/>
        <v>-4.4954999999999998</v>
      </c>
      <c r="AD67" s="1876">
        <f t="shared" si="45"/>
        <v>1793.7045000000001</v>
      </c>
      <c r="AE67" s="1875">
        <f>'[34]LA Conn Adjustment'!AB66+'[32]Oct midyear LA Connections'!P65+'[35]Feb midyear adj_Connections'!S67</f>
        <v>0</v>
      </c>
      <c r="AF67" s="1877">
        <f t="shared" si="46"/>
        <v>1793.7045000000001</v>
      </c>
      <c r="AG67" s="1877">
        <f>+'[4]Table 5C3 - LA Connections EBR'!U65*8</f>
        <v>1160</v>
      </c>
      <c r="AH67" s="1877">
        <f t="shared" si="47"/>
        <v>633.70450000000005</v>
      </c>
      <c r="AI67" s="1877">
        <f t="shared" si="48"/>
        <v>158</v>
      </c>
      <c r="AJ67" s="1878">
        <f t="shared" si="49"/>
        <v>7331.2536968892255</v>
      </c>
      <c r="AK67" s="1878">
        <f t="shared" si="50"/>
        <v>620</v>
      </c>
      <c r="AM67" s="2042">
        <f>-'[4]Table 5C3 - LA Connections EBR'!Q65</f>
        <v>4</v>
      </c>
      <c r="AN67" s="2042">
        <f t="shared" si="51"/>
        <v>-4.4954999999999998</v>
      </c>
      <c r="AO67" s="2042">
        <f t="shared" si="52"/>
        <v>-0.49549999999999983</v>
      </c>
    </row>
    <row r="68" spans="1:41" s="533" customFormat="1" ht="16.5" customHeight="1">
      <c r="A68" s="101">
        <v>63</v>
      </c>
      <c r="B68" s="772" t="s">
        <v>153</v>
      </c>
      <c r="C68" s="1870">
        <f>'2-1-13 SIS'!L69</f>
        <v>1</v>
      </c>
      <c r="D68" s="1871">
        <f>'Table 3 Levels 1&amp;2'!AL70*90%</f>
        <v>3926.0706784293629</v>
      </c>
      <c r="E68" s="1871">
        <f t="shared" si="31"/>
        <v>3926.0706784293629</v>
      </c>
      <c r="F68" s="1872">
        <f>'Table 4 Level 3'!P68*90%</f>
        <v>681.11099999999999</v>
      </c>
      <c r="G68" s="1872">
        <f t="shared" si="32"/>
        <v>681.11099999999999</v>
      </c>
      <c r="H68" s="1872">
        <f t="shared" si="33"/>
        <v>4607.1816784293633</v>
      </c>
      <c r="I68" s="1872">
        <f>(('Table 3 Levels 1&amp;2'!AL70-D68)+('Table 4 Level 3'!P68-F68))*C68</f>
        <v>511.90907538104</v>
      </c>
      <c r="J68" s="1872">
        <f>+'[3]Oct midyear LA Connections'!K66</f>
        <v>-4607.1816784293633</v>
      </c>
      <c r="K68" s="1872">
        <f>'[3]Feb midyear LA Connections'!K66</f>
        <v>0</v>
      </c>
      <c r="L68" s="1872">
        <f t="shared" si="34"/>
        <v>-4607.1816784293633</v>
      </c>
      <c r="M68" s="1872">
        <f t="shared" si="35"/>
        <v>0</v>
      </c>
      <c r="N68" s="1872">
        <f t="shared" si="36"/>
        <v>0</v>
      </c>
      <c r="O68" s="1873">
        <f t="shared" si="53"/>
        <v>0</v>
      </c>
      <c r="P68" s="1873">
        <f>'[34]LA Conn Adjustment'!X67+'[32]Oct midyear LA Connections'!K66+'[35]Feb midyear adj_Connections'!M68</f>
        <v>0</v>
      </c>
      <c r="Q68" s="1874">
        <f t="shared" si="37"/>
        <v>0</v>
      </c>
      <c r="R68" s="1874">
        <f>+'[4]Table 5C3 - LA Connections EBR'!N66*8</f>
        <v>3064</v>
      </c>
      <c r="S68" s="1874">
        <f t="shared" si="38"/>
        <v>-3064</v>
      </c>
      <c r="T68" s="1874">
        <f t="shared" si="39"/>
        <v>-766</v>
      </c>
      <c r="U68" s="1876">
        <f>'Table 5C1A-Madison Prep'!T70*90%</f>
        <v>6651.9000000000005</v>
      </c>
      <c r="V68" s="1876">
        <f t="shared" si="54"/>
        <v>6651.9000000000005</v>
      </c>
      <c r="W68" s="1933">
        <f>+'[3]Oct midyear LA Connections'!E66</f>
        <v>-1</v>
      </c>
      <c r="X68" s="1876">
        <f t="shared" si="40"/>
        <v>-6651.9000000000005</v>
      </c>
      <c r="Y68" s="1933">
        <f>'[3]Feb midyear LA Connections'!E66</f>
        <v>0</v>
      </c>
      <c r="Z68" s="1876">
        <f t="shared" si="41"/>
        <v>0</v>
      </c>
      <c r="AA68" s="1876">
        <f t="shared" si="42"/>
        <v>-6651.9000000000005</v>
      </c>
      <c r="AB68" s="1876">
        <f t="shared" si="43"/>
        <v>0</v>
      </c>
      <c r="AC68" s="1876">
        <f t="shared" si="44"/>
        <v>0</v>
      </c>
      <c r="AD68" s="1876">
        <f t="shared" si="45"/>
        <v>0</v>
      </c>
      <c r="AE68" s="1875">
        <f>'[34]LA Conn Adjustment'!AB67+'[32]Oct midyear LA Connections'!P66+'[35]Feb midyear adj_Connections'!S68</f>
        <v>0</v>
      </c>
      <c r="AF68" s="1877">
        <f t="shared" si="46"/>
        <v>0</v>
      </c>
      <c r="AG68" s="1877">
        <f>+'[4]Table 5C3 - LA Connections EBR'!U66*8</f>
        <v>4216</v>
      </c>
      <c r="AH68" s="1877">
        <f t="shared" si="47"/>
        <v>-4216</v>
      </c>
      <c r="AI68" s="1877">
        <f t="shared" si="48"/>
        <v>-1054</v>
      </c>
      <c r="AJ68" s="1878">
        <f t="shared" si="49"/>
        <v>0</v>
      </c>
      <c r="AK68" s="1878">
        <f t="shared" si="50"/>
        <v>-1820</v>
      </c>
      <c r="AM68" s="2042">
        <f>-'[4]Table 5C3 - LA Connections EBR'!Q66</f>
        <v>16</v>
      </c>
      <c r="AN68" s="2042">
        <f t="shared" si="51"/>
        <v>0</v>
      </c>
      <c r="AO68" s="2042">
        <f t="shared" si="52"/>
        <v>16</v>
      </c>
    </row>
    <row r="69" spans="1:41" s="533" customFormat="1" ht="16.5" customHeight="1">
      <c r="A69" s="101">
        <v>64</v>
      </c>
      <c r="B69" s="772" t="s">
        <v>154</v>
      </c>
      <c r="C69" s="1870">
        <f>'2-1-13 SIS'!L70</f>
        <v>4</v>
      </c>
      <c r="D69" s="1871">
        <f>'Table 3 Levels 1&amp;2'!AL71*90%</f>
        <v>5364.1844164803006</v>
      </c>
      <c r="E69" s="1871">
        <f t="shared" si="31"/>
        <v>21456.737665921202</v>
      </c>
      <c r="F69" s="1872">
        <f>'Table 4 Level 3'!P69*90%</f>
        <v>533.39400000000001</v>
      </c>
      <c r="G69" s="1872">
        <f t="shared" si="32"/>
        <v>2133.576</v>
      </c>
      <c r="H69" s="1872">
        <f t="shared" si="33"/>
        <v>23590.313665921203</v>
      </c>
      <c r="I69" s="1872">
        <f>(('Table 3 Levels 1&amp;2'!AL71-D69)+('Table 4 Level 3'!P69-F69))*C69</f>
        <v>2621.1459628801326</v>
      </c>
      <c r="J69" s="1872">
        <f>+'[3]Oct midyear LA Connections'!K67</f>
        <v>5897.5784164803008</v>
      </c>
      <c r="K69" s="1872">
        <f>'[3]Feb midyear LA Connections'!K67</f>
        <v>-5897.5784164803008</v>
      </c>
      <c r="L69" s="1872">
        <f t="shared" si="34"/>
        <v>0</v>
      </c>
      <c r="M69" s="1872">
        <f t="shared" si="35"/>
        <v>23590.313665921203</v>
      </c>
      <c r="N69" s="1872">
        <f t="shared" si="36"/>
        <v>-58.975784164803009</v>
      </c>
      <c r="O69" s="1873">
        <f t="shared" si="53"/>
        <v>23531.337881756401</v>
      </c>
      <c r="P69" s="1873">
        <f>'[34]LA Conn Adjustment'!X68+'[32]Oct midyear LA Connections'!K67+'[35]Feb midyear adj_Connections'!M69</f>
        <v>0</v>
      </c>
      <c r="Q69" s="1874">
        <f t="shared" si="37"/>
        <v>23531.337881756401</v>
      </c>
      <c r="R69" s="1874">
        <f>+'[4]Table 5C3 - LA Connections EBR'!N67*8</f>
        <v>15688</v>
      </c>
      <c r="S69" s="1874">
        <f t="shared" si="38"/>
        <v>7843.3378817564007</v>
      </c>
      <c r="T69" s="1874">
        <f t="shared" si="39"/>
        <v>1961</v>
      </c>
      <c r="U69" s="1876">
        <f>'Table 5C1A-Madison Prep'!T71*90%</f>
        <v>2611.8000000000002</v>
      </c>
      <c r="V69" s="1876">
        <f t="shared" si="54"/>
        <v>10447.200000000001</v>
      </c>
      <c r="W69" s="1933">
        <f>+'[3]Oct midyear LA Connections'!E67</f>
        <v>1</v>
      </c>
      <c r="X69" s="1876">
        <f t="shared" si="40"/>
        <v>2611.8000000000002</v>
      </c>
      <c r="Y69" s="1933">
        <f>'[3]Feb midyear LA Connections'!E67</f>
        <v>-2</v>
      </c>
      <c r="Z69" s="1876">
        <f t="shared" si="41"/>
        <v>-2611.8000000000002</v>
      </c>
      <c r="AA69" s="1876">
        <f t="shared" si="42"/>
        <v>0</v>
      </c>
      <c r="AB69" s="1876">
        <f t="shared" si="43"/>
        <v>10447.200000000001</v>
      </c>
      <c r="AC69" s="1876">
        <f t="shared" si="44"/>
        <v>-26.118000000000002</v>
      </c>
      <c r="AD69" s="1876">
        <f t="shared" si="45"/>
        <v>10421.082</v>
      </c>
      <c r="AE69" s="1875">
        <f>'[34]LA Conn Adjustment'!AB68+'[32]Oct midyear LA Connections'!P67+'[35]Feb midyear adj_Connections'!S69</f>
        <v>0</v>
      </c>
      <c r="AF69" s="1877">
        <f t="shared" si="46"/>
        <v>10421.082</v>
      </c>
      <c r="AG69" s="1877">
        <f>+'[4]Table 5C3 - LA Connections EBR'!U67*8</f>
        <v>6944</v>
      </c>
      <c r="AH69" s="1877">
        <f t="shared" si="47"/>
        <v>3477.0820000000003</v>
      </c>
      <c r="AI69" s="1877">
        <f t="shared" si="48"/>
        <v>869</v>
      </c>
      <c r="AJ69" s="1878">
        <f t="shared" si="49"/>
        <v>33952.419881756403</v>
      </c>
      <c r="AK69" s="1878">
        <f t="shared" si="50"/>
        <v>2830</v>
      </c>
      <c r="AM69" s="2042">
        <f>-'[4]Table 5C3 - LA Connections EBR'!Q67</f>
        <v>26</v>
      </c>
      <c r="AN69" s="2042">
        <f t="shared" si="51"/>
        <v>-26.118000000000002</v>
      </c>
      <c r="AO69" s="2042">
        <f t="shared" si="52"/>
        <v>-0.1180000000000021</v>
      </c>
    </row>
    <row r="70" spans="1:41" s="533" customFormat="1" ht="16.5" customHeight="1">
      <c r="A70" s="102">
        <v>65</v>
      </c>
      <c r="B70" s="773" t="s">
        <v>155</v>
      </c>
      <c r="C70" s="1879">
        <f>'2-1-13 SIS'!L71</f>
        <v>4</v>
      </c>
      <c r="D70" s="1880">
        <f>'Table 3 Levels 1&amp;2'!AL72*90%</f>
        <v>4121.3495072796013</v>
      </c>
      <c r="E70" s="1880">
        <f t="shared" si="31"/>
        <v>16485.398029118405</v>
      </c>
      <c r="F70" s="1881">
        <f>'Table 4 Level 3'!P70*90%</f>
        <v>746.20799999999997</v>
      </c>
      <c r="G70" s="1881">
        <f t="shared" si="32"/>
        <v>2984.8319999999999</v>
      </c>
      <c r="H70" s="1881">
        <f t="shared" si="33"/>
        <v>19470.230029118404</v>
      </c>
      <c r="I70" s="1881">
        <f>(('Table 3 Levels 1&amp;2'!AL72-D70)+('Table 4 Level 3'!P70-F70))*C70</f>
        <v>2163.3588921242654</v>
      </c>
      <c r="J70" s="1881">
        <f>+'[3]Oct midyear LA Connections'!K68</f>
        <v>-19470.230029118404</v>
      </c>
      <c r="K70" s="1881">
        <f>'[3]Feb midyear LA Connections'!K68</f>
        <v>0</v>
      </c>
      <c r="L70" s="1881">
        <f t="shared" si="34"/>
        <v>-19470.230029118404</v>
      </c>
      <c r="M70" s="1881">
        <f t="shared" si="35"/>
        <v>0</v>
      </c>
      <c r="N70" s="1881">
        <f t="shared" si="36"/>
        <v>0</v>
      </c>
      <c r="O70" s="1882">
        <f t="shared" ref="O70:O74" si="55">M70+N70</f>
        <v>0</v>
      </c>
      <c r="P70" s="1882">
        <f>'[34]LA Conn Adjustment'!X69+'[32]Oct midyear LA Connections'!K68+'[35]Feb midyear adj_Connections'!M70</f>
        <v>0</v>
      </c>
      <c r="Q70" s="1883">
        <f t="shared" si="37"/>
        <v>0</v>
      </c>
      <c r="R70" s="1883">
        <f>+'[4]Table 5C3 - LA Connections EBR'!N68*8</f>
        <v>12944</v>
      </c>
      <c r="S70" s="1883">
        <f t="shared" si="38"/>
        <v>-12944</v>
      </c>
      <c r="T70" s="1883">
        <f t="shared" si="39"/>
        <v>-3236</v>
      </c>
      <c r="U70" s="1885">
        <f>'Table 5C1A-Madison Prep'!T72*90%</f>
        <v>4340.7</v>
      </c>
      <c r="V70" s="1885">
        <f t="shared" ref="V70:V74" si="56">U70*C70</f>
        <v>17362.8</v>
      </c>
      <c r="W70" s="1934">
        <f>+'[3]Oct midyear LA Connections'!E68</f>
        <v>-4</v>
      </c>
      <c r="X70" s="1885">
        <f t="shared" si="40"/>
        <v>-17362.8</v>
      </c>
      <c r="Y70" s="1934">
        <f>'[3]Feb midyear LA Connections'!E68</f>
        <v>0</v>
      </c>
      <c r="Z70" s="1885">
        <f t="shared" si="41"/>
        <v>0</v>
      </c>
      <c r="AA70" s="1885">
        <f t="shared" si="42"/>
        <v>-17362.8</v>
      </c>
      <c r="AB70" s="1885">
        <f t="shared" si="43"/>
        <v>0</v>
      </c>
      <c r="AC70" s="1885">
        <f t="shared" si="44"/>
        <v>0</v>
      </c>
      <c r="AD70" s="1885">
        <f t="shared" si="45"/>
        <v>0</v>
      </c>
      <c r="AE70" s="1884">
        <f>'[34]LA Conn Adjustment'!AB69+'[32]Oct midyear LA Connections'!P68+'[35]Feb midyear adj_Connections'!S70</f>
        <v>0</v>
      </c>
      <c r="AF70" s="1886">
        <f t="shared" si="46"/>
        <v>0</v>
      </c>
      <c r="AG70" s="1886">
        <f>+'[4]Table 5C3 - LA Connections EBR'!U68*8</f>
        <v>11976</v>
      </c>
      <c r="AH70" s="1886">
        <f t="shared" si="47"/>
        <v>-11976</v>
      </c>
      <c r="AI70" s="1886">
        <f t="shared" si="48"/>
        <v>-2994</v>
      </c>
      <c r="AJ70" s="1887">
        <f t="shared" si="49"/>
        <v>0</v>
      </c>
      <c r="AK70" s="1887">
        <f t="shared" si="50"/>
        <v>-6230</v>
      </c>
      <c r="AM70" s="2042">
        <f>-'[4]Table 5C3 - LA Connections EBR'!Q68</f>
        <v>45</v>
      </c>
      <c r="AN70" s="2042">
        <f t="shared" si="51"/>
        <v>0</v>
      </c>
      <c r="AO70" s="2042">
        <f t="shared" si="52"/>
        <v>45</v>
      </c>
    </row>
    <row r="71" spans="1:41" s="533" customFormat="1" ht="16.5" customHeight="1">
      <c r="A71" s="101">
        <v>66</v>
      </c>
      <c r="B71" s="772" t="s">
        <v>156</v>
      </c>
      <c r="C71" s="1859">
        <f>'2-1-13 SIS'!L72</f>
        <v>2</v>
      </c>
      <c r="D71" s="1860">
        <f>'Table 3 Levels 1&amp;2'!AL73*90%</f>
        <v>5733.7297376142224</v>
      </c>
      <c r="E71" s="1860">
        <f t="shared" ref="E71:E74" si="57">C71*D71</f>
        <v>11467.459475228445</v>
      </c>
      <c r="F71" s="1861">
        <f>'Table 4 Level 3'!P71*90%</f>
        <v>657.05399999999997</v>
      </c>
      <c r="G71" s="1861">
        <f t="shared" ref="G71:G74" si="58">F71*C71</f>
        <v>1314.1079999999999</v>
      </c>
      <c r="H71" s="1861">
        <f t="shared" ref="H71:H74" si="59">E71+G71</f>
        <v>12781.567475228445</v>
      </c>
      <c r="I71" s="1861">
        <f>(('Table 3 Levels 1&amp;2'!AL73-D71)+('Table 4 Level 3'!P71-F71))*C71</f>
        <v>1420.1741639142722</v>
      </c>
      <c r="J71" s="1861">
        <f>+'[3]Oct midyear LA Connections'!K69</f>
        <v>-12781.567475228445</v>
      </c>
      <c r="K71" s="1861">
        <f>'[3]Feb midyear LA Connections'!K69</f>
        <v>15976.959344035557</v>
      </c>
      <c r="L71" s="1861">
        <f t="shared" ref="L71:L74" si="60">+J71+K71</f>
        <v>3195.3918688071117</v>
      </c>
      <c r="M71" s="1861">
        <f t="shared" ref="M71:M74" si="61">+H71+L71</f>
        <v>15976.959344035557</v>
      </c>
      <c r="N71" s="1861">
        <f t="shared" ref="N71:N74" si="62">-0.25%*M71</f>
        <v>-39.942398360088895</v>
      </c>
      <c r="O71" s="1862">
        <f t="shared" si="55"/>
        <v>15937.016945675468</v>
      </c>
      <c r="P71" s="1862">
        <f>'[34]LA Conn Adjustment'!X70+'[32]Oct midyear LA Connections'!K69+'[35]Feb midyear adj_Connections'!M71</f>
        <v>2850.3979091489873</v>
      </c>
      <c r="Q71" s="1864">
        <f t="shared" ref="Q71:Q74" si="63">SUM(O71:P71)</f>
        <v>18787.414854824456</v>
      </c>
      <c r="R71" s="1864">
        <f>+'[4]Table 5C3 - LA Connections EBR'!N69*8</f>
        <v>10400</v>
      </c>
      <c r="S71" s="1864">
        <f t="shared" ref="S71:S74" si="64">+Q71-R71</f>
        <v>8387.4148548244557</v>
      </c>
      <c r="T71" s="1864">
        <f t="shared" ref="T71:T74" si="65">ROUND(S71/4,0)</f>
        <v>2097</v>
      </c>
      <c r="U71" s="1866">
        <f>'Table 5C1A-Madison Prep'!T73*90%</f>
        <v>3171.6</v>
      </c>
      <c r="V71" s="1866">
        <f t="shared" si="56"/>
        <v>6343.2</v>
      </c>
      <c r="W71" s="1932">
        <f>+'[3]Oct midyear LA Connections'!E69</f>
        <v>-2</v>
      </c>
      <c r="X71" s="1866">
        <f t="shared" ref="X71:X74" si="66">+U71*W71</f>
        <v>-6343.2</v>
      </c>
      <c r="Y71" s="1932">
        <f>'[3]Feb midyear LA Connections'!E69</f>
        <v>5</v>
      </c>
      <c r="Z71" s="1866">
        <f t="shared" ref="Z71:Z74" si="67">(U71*Y71)*0.5</f>
        <v>7929</v>
      </c>
      <c r="AA71" s="1866">
        <f t="shared" ref="AA71:AA74" si="68">+X71+Z71</f>
        <v>1585.8000000000002</v>
      </c>
      <c r="AB71" s="1866">
        <f t="shared" ref="AB71:AB74" si="69">+V71+AA71</f>
        <v>7929</v>
      </c>
      <c r="AC71" s="1866">
        <f t="shared" ref="AC71:AC74" si="70">AB71*-0.25%</f>
        <v>-19.822500000000002</v>
      </c>
      <c r="AD71" s="1866">
        <f t="shared" ref="AD71:AD74" si="71">SUM(AB71:AC71)</f>
        <v>7909.1774999999998</v>
      </c>
      <c r="AE71" s="1865">
        <f>'[34]LA Conn Adjustment'!AB70+'[32]Oct midyear LA Connections'!P69+'[35]Feb midyear adj_Connections'!S71</f>
        <v>6170.4000000000005</v>
      </c>
      <c r="AF71" s="1867">
        <f t="shared" ref="AF71:AF74" si="72">SUM(AD71:AE71)</f>
        <v>14079.577499999999</v>
      </c>
      <c r="AG71" s="1867">
        <f>+'[4]Table 5C3 - LA Connections EBR'!U69*8</f>
        <v>8200</v>
      </c>
      <c r="AH71" s="1867">
        <f t="shared" ref="AH71:AH74" si="73">+AF71-AG71</f>
        <v>5879.5774999999994</v>
      </c>
      <c r="AI71" s="1867">
        <f t="shared" ref="AI71:AI74" si="74">ROUND(AH71/4,0)</f>
        <v>1470</v>
      </c>
      <c r="AJ71" s="1869">
        <f t="shared" ref="AJ71:AJ74" si="75">AF71+Q71</f>
        <v>32866.992354824455</v>
      </c>
      <c r="AK71" s="1869">
        <f t="shared" ref="AK71:AK74" si="76">T71+AI71</f>
        <v>3567</v>
      </c>
      <c r="AM71" s="2042">
        <f>-'[4]Table 5C3 - LA Connections EBR'!Q69</f>
        <v>15</v>
      </c>
      <c r="AN71" s="2042">
        <f t="shared" ref="AN71:AN74" si="77">AC71</f>
        <v>-19.822500000000002</v>
      </c>
      <c r="AO71" s="2042">
        <f t="shared" ref="AO71:AO74" si="78">SUM(AM71:AN71)</f>
        <v>-4.8225000000000016</v>
      </c>
    </row>
    <row r="72" spans="1:41" s="533" customFormat="1" ht="16.5" customHeight="1">
      <c r="A72" s="101">
        <v>67</v>
      </c>
      <c r="B72" s="772" t="s">
        <v>32</v>
      </c>
      <c r="C72" s="1870">
        <f>'2-1-13 SIS'!L73</f>
        <v>3</v>
      </c>
      <c r="D72" s="1871">
        <f>'Table 3 Levels 1&amp;2'!AL74*90%</f>
        <v>4456.4408938895622</v>
      </c>
      <c r="E72" s="1871">
        <f t="shared" si="57"/>
        <v>13369.322681668687</v>
      </c>
      <c r="F72" s="1872">
        <f>'Table 4 Level 3'!P72*90%</f>
        <v>644.04899999999998</v>
      </c>
      <c r="G72" s="1872">
        <f t="shared" si="58"/>
        <v>1932.1469999999999</v>
      </c>
      <c r="H72" s="1872">
        <f t="shared" si="59"/>
        <v>15301.469681668688</v>
      </c>
      <c r="I72" s="1872">
        <f>(('Table 3 Levels 1&amp;2'!AL74-D72)+('Table 4 Level 3'!P72-F72))*C72</f>
        <v>1700.1632979631868</v>
      </c>
      <c r="J72" s="1872">
        <f>+'[3]Oct midyear LA Connections'!K70</f>
        <v>-15301.469681668686</v>
      </c>
      <c r="K72" s="1872">
        <f>'[3]Feb midyear LA Connections'!K70</f>
        <v>0</v>
      </c>
      <c r="L72" s="1872">
        <f t="shared" si="60"/>
        <v>-15301.469681668686</v>
      </c>
      <c r="M72" s="1872">
        <f t="shared" si="61"/>
        <v>0</v>
      </c>
      <c r="N72" s="1872">
        <f t="shared" si="62"/>
        <v>0</v>
      </c>
      <c r="O72" s="1873">
        <f t="shared" si="55"/>
        <v>0</v>
      </c>
      <c r="P72" s="1873">
        <f>'[34]LA Conn Adjustment'!X71+'[32]Oct midyear LA Connections'!K70+'[35]Feb midyear adj_Connections'!M72</f>
        <v>0</v>
      </c>
      <c r="Q72" s="1874">
        <f t="shared" si="63"/>
        <v>0</v>
      </c>
      <c r="R72" s="1874">
        <f>+'[4]Table 5C3 - LA Connections EBR'!N70*8</f>
        <v>10176</v>
      </c>
      <c r="S72" s="1874">
        <f t="shared" si="64"/>
        <v>-10176</v>
      </c>
      <c r="T72" s="1874">
        <f t="shared" si="65"/>
        <v>-2544</v>
      </c>
      <c r="U72" s="1876">
        <f>'Table 5C1A-Madison Prep'!T74*90%</f>
        <v>4506.3</v>
      </c>
      <c r="V72" s="1876">
        <f t="shared" si="56"/>
        <v>13518.900000000001</v>
      </c>
      <c r="W72" s="1933">
        <f>+'[3]Oct midyear LA Connections'!E70</f>
        <v>-3</v>
      </c>
      <c r="X72" s="1876">
        <f t="shared" si="66"/>
        <v>-13518.900000000001</v>
      </c>
      <c r="Y72" s="1933">
        <f>'[3]Feb midyear LA Connections'!E70</f>
        <v>0</v>
      </c>
      <c r="Z72" s="1876">
        <f t="shared" si="67"/>
        <v>0</v>
      </c>
      <c r="AA72" s="1876">
        <f t="shared" si="68"/>
        <v>-13518.900000000001</v>
      </c>
      <c r="AB72" s="1876">
        <f t="shared" si="69"/>
        <v>0</v>
      </c>
      <c r="AC72" s="1876">
        <f t="shared" si="70"/>
        <v>0</v>
      </c>
      <c r="AD72" s="1876">
        <f t="shared" si="71"/>
        <v>0</v>
      </c>
      <c r="AE72" s="1875">
        <f>'[34]LA Conn Adjustment'!AB71+'[32]Oct midyear LA Connections'!P70+'[35]Feb midyear adj_Connections'!S72</f>
        <v>0</v>
      </c>
      <c r="AF72" s="1877">
        <f t="shared" si="72"/>
        <v>0</v>
      </c>
      <c r="AG72" s="1877">
        <f>+'[4]Table 5C3 - LA Connections EBR'!U70*8</f>
        <v>9376</v>
      </c>
      <c r="AH72" s="1877">
        <f t="shared" si="73"/>
        <v>-9376</v>
      </c>
      <c r="AI72" s="1877">
        <f t="shared" si="74"/>
        <v>-2344</v>
      </c>
      <c r="AJ72" s="1878">
        <f t="shared" si="75"/>
        <v>0</v>
      </c>
      <c r="AK72" s="1878">
        <f t="shared" si="76"/>
        <v>-4888</v>
      </c>
      <c r="AM72" s="2042">
        <f>-'[4]Table 5C3 - LA Connections EBR'!Q70</f>
        <v>35</v>
      </c>
      <c r="AN72" s="2042">
        <f t="shared" si="77"/>
        <v>0</v>
      </c>
      <c r="AO72" s="2042">
        <f t="shared" si="78"/>
        <v>35</v>
      </c>
    </row>
    <row r="73" spans="1:41" s="533" customFormat="1" ht="16.5" customHeight="1">
      <c r="A73" s="101">
        <v>68</v>
      </c>
      <c r="B73" s="772" t="s">
        <v>30</v>
      </c>
      <c r="C73" s="1870">
        <f>'2-1-13 SIS'!L74</f>
        <v>11</v>
      </c>
      <c r="D73" s="1871">
        <f>'Table 3 Levels 1&amp;2'!AL75*90%</f>
        <v>5469.5158860329057</v>
      </c>
      <c r="E73" s="1871">
        <f t="shared" si="57"/>
        <v>60164.674746361961</v>
      </c>
      <c r="F73" s="1872">
        <f>'Table 4 Level 3'!P73*90%</f>
        <v>718.83</v>
      </c>
      <c r="G73" s="1872">
        <f t="shared" si="58"/>
        <v>7907.13</v>
      </c>
      <c r="H73" s="1872">
        <f t="shared" si="59"/>
        <v>68071.804746361959</v>
      </c>
      <c r="I73" s="1872">
        <f>(('Table 3 Levels 1&amp;2'!AL75-D73)+('Table 4 Level 3'!P73-F73))*C73</f>
        <v>7563.5338607068788</v>
      </c>
      <c r="J73" s="1872">
        <f>+'[3]Oct midyear LA Connections'!K71</f>
        <v>-68071.804746361959</v>
      </c>
      <c r="K73" s="1872">
        <f>'[3]Feb midyear LA Connections'!K71</f>
        <v>0</v>
      </c>
      <c r="L73" s="1872">
        <f t="shared" si="60"/>
        <v>-68071.804746361959</v>
      </c>
      <c r="M73" s="1872">
        <f t="shared" si="61"/>
        <v>0</v>
      </c>
      <c r="N73" s="1872">
        <f t="shared" si="62"/>
        <v>0</v>
      </c>
      <c r="O73" s="1873">
        <f t="shared" si="55"/>
        <v>0</v>
      </c>
      <c r="P73" s="1873">
        <f>'[34]LA Conn Adjustment'!X72+'[32]Oct midyear LA Connections'!K71+'[35]Feb midyear adj_Connections'!M73</f>
        <v>0</v>
      </c>
      <c r="Q73" s="1874">
        <f t="shared" si="63"/>
        <v>0</v>
      </c>
      <c r="R73" s="1874">
        <f>+'[4]Table 5C3 - LA Connections EBR'!N71*8</f>
        <v>45264</v>
      </c>
      <c r="S73" s="1874">
        <f t="shared" si="64"/>
        <v>-45264</v>
      </c>
      <c r="T73" s="1874">
        <f t="shared" si="65"/>
        <v>-11316</v>
      </c>
      <c r="U73" s="1876">
        <f>'Table 5C1A-Madison Prep'!T75*90%</f>
        <v>2634.3</v>
      </c>
      <c r="V73" s="1876">
        <f t="shared" si="56"/>
        <v>28977.300000000003</v>
      </c>
      <c r="W73" s="1933">
        <f>+'[3]Oct midyear LA Connections'!E71</f>
        <v>-11</v>
      </c>
      <c r="X73" s="1876">
        <f t="shared" si="66"/>
        <v>-28977.300000000003</v>
      </c>
      <c r="Y73" s="1933">
        <f>'[3]Feb midyear LA Connections'!E71</f>
        <v>0</v>
      </c>
      <c r="Z73" s="1876">
        <f t="shared" si="67"/>
        <v>0</v>
      </c>
      <c r="AA73" s="1876">
        <f t="shared" si="68"/>
        <v>-28977.300000000003</v>
      </c>
      <c r="AB73" s="1876">
        <f t="shared" si="69"/>
        <v>0</v>
      </c>
      <c r="AC73" s="1876">
        <f t="shared" si="70"/>
        <v>0</v>
      </c>
      <c r="AD73" s="1876">
        <f t="shared" si="71"/>
        <v>0</v>
      </c>
      <c r="AE73" s="1875">
        <f>'[34]LA Conn Adjustment'!AB72+'[32]Oct midyear LA Connections'!P71+'[35]Feb midyear adj_Connections'!S73</f>
        <v>0</v>
      </c>
      <c r="AF73" s="1877">
        <f t="shared" si="72"/>
        <v>0</v>
      </c>
      <c r="AG73" s="1877">
        <f>+'[4]Table 5C3 - LA Connections EBR'!U71*8</f>
        <v>17648</v>
      </c>
      <c r="AH73" s="1877">
        <f t="shared" si="73"/>
        <v>-17648</v>
      </c>
      <c r="AI73" s="1877">
        <f t="shared" si="74"/>
        <v>-4412</v>
      </c>
      <c r="AJ73" s="1878">
        <f t="shared" si="75"/>
        <v>0</v>
      </c>
      <c r="AK73" s="1878">
        <f t="shared" si="76"/>
        <v>-15728</v>
      </c>
      <c r="AM73" s="2042">
        <f>-'[4]Table 5C3 - LA Connections EBR'!Q71</f>
        <v>66</v>
      </c>
      <c r="AN73" s="2042">
        <f t="shared" si="77"/>
        <v>0</v>
      </c>
      <c r="AO73" s="2042">
        <f t="shared" si="78"/>
        <v>66</v>
      </c>
    </row>
    <row r="74" spans="1:41" s="533" customFormat="1" ht="16.5" customHeight="1">
      <c r="A74" s="101">
        <v>69</v>
      </c>
      <c r="B74" s="772" t="s">
        <v>205</v>
      </c>
      <c r="C74" s="1870">
        <f>'2-1-13 SIS'!L75</f>
        <v>2</v>
      </c>
      <c r="D74" s="1871">
        <f>'Table 3 Levels 1&amp;2'!AL76*90%</f>
        <v>5027.2427796017919</v>
      </c>
      <c r="E74" s="1871">
        <f t="shared" si="57"/>
        <v>10054.485559203584</v>
      </c>
      <c r="F74" s="1872">
        <f>'Table 4 Level 3'!P74*90%</f>
        <v>635.10299999999995</v>
      </c>
      <c r="G74" s="1872">
        <f t="shared" si="58"/>
        <v>1270.2059999999999</v>
      </c>
      <c r="H74" s="1872">
        <f t="shared" si="59"/>
        <v>11324.691559203584</v>
      </c>
      <c r="I74" s="1872">
        <f>(('Table 3 Levels 1&amp;2'!AL76-D74)+('Table 4 Level 3'!P74-F74))*C74</f>
        <v>1258.2990621337321</v>
      </c>
      <c r="J74" s="1872">
        <f>+'[3]Oct midyear LA Connections'!K72</f>
        <v>-11324.691559203584</v>
      </c>
      <c r="K74" s="1872">
        <f>'[3]Feb midyear LA Connections'!K72</f>
        <v>0</v>
      </c>
      <c r="L74" s="1872">
        <f t="shared" si="60"/>
        <v>-11324.691559203584</v>
      </c>
      <c r="M74" s="1872">
        <f t="shared" si="61"/>
        <v>0</v>
      </c>
      <c r="N74" s="1872">
        <f t="shared" si="62"/>
        <v>0</v>
      </c>
      <c r="O74" s="1873">
        <f t="shared" si="55"/>
        <v>0</v>
      </c>
      <c r="P74" s="1873">
        <f>'[34]LA Conn Adjustment'!X73+'[32]Oct midyear LA Connections'!K72+'[35]Feb midyear adj_Connections'!M74</f>
        <v>0</v>
      </c>
      <c r="Q74" s="1874">
        <f t="shared" si="63"/>
        <v>0</v>
      </c>
      <c r="R74" s="1874">
        <f>+'[4]Table 5C3 - LA Connections EBR'!N72*8</f>
        <v>7528</v>
      </c>
      <c r="S74" s="1874">
        <f t="shared" si="64"/>
        <v>-7528</v>
      </c>
      <c r="T74" s="1874">
        <f t="shared" si="65"/>
        <v>-1882</v>
      </c>
      <c r="U74" s="1876">
        <f>'Table 5C1A-Madison Prep'!T76*90%</f>
        <v>3063.6</v>
      </c>
      <c r="V74" s="1876">
        <f t="shared" si="56"/>
        <v>6127.2</v>
      </c>
      <c r="W74" s="1933">
        <f>+'[3]Oct midyear LA Connections'!E72</f>
        <v>-2</v>
      </c>
      <c r="X74" s="1876">
        <f t="shared" si="66"/>
        <v>-6127.2</v>
      </c>
      <c r="Y74" s="1933">
        <f>'[3]Feb midyear LA Connections'!E72</f>
        <v>0</v>
      </c>
      <c r="Z74" s="1876">
        <f t="shared" si="67"/>
        <v>0</v>
      </c>
      <c r="AA74" s="1876">
        <f t="shared" si="68"/>
        <v>-6127.2</v>
      </c>
      <c r="AB74" s="1876">
        <f t="shared" si="69"/>
        <v>0</v>
      </c>
      <c r="AC74" s="1876">
        <f t="shared" si="70"/>
        <v>0</v>
      </c>
      <c r="AD74" s="1876">
        <f t="shared" si="71"/>
        <v>0</v>
      </c>
      <c r="AE74" s="1875">
        <f>'[34]LA Conn Adjustment'!AB73+'[32]Oct midyear LA Connections'!P72+'[35]Feb midyear adj_Connections'!S74</f>
        <v>0</v>
      </c>
      <c r="AF74" s="1877">
        <f t="shared" si="72"/>
        <v>0</v>
      </c>
      <c r="AG74" s="1877">
        <f>+'[4]Table 5C3 - LA Connections EBR'!U72*8</f>
        <v>3904</v>
      </c>
      <c r="AH74" s="1877">
        <f t="shared" si="73"/>
        <v>-3904</v>
      </c>
      <c r="AI74" s="1877">
        <f t="shared" si="74"/>
        <v>-976</v>
      </c>
      <c r="AJ74" s="1878">
        <f t="shared" si="75"/>
        <v>0</v>
      </c>
      <c r="AK74" s="1878">
        <f t="shared" si="76"/>
        <v>-2858</v>
      </c>
      <c r="AM74" s="2042">
        <f>-'[4]Table 5C3 - LA Connections EBR'!Q72</f>
        <v>15</v>
      </c>
      <c r="AN74" s="2042">
        <f t="shared" si="77"/>
        <v>0</v>
      </c>
      <c r="AO74" s="2042">
        <f t="shared" si="78"/>
        <v>15</v>
      </c>
    </row>
    <row r="75" spans="1:41" s="780" customFormat="1" ht="16.5" customHeight="1">
      <c r="A75" s="779"/>
      <c r="B75" s="774" t="s">
        <v>405</v>
      </c>
      <c r="C75" s="1890">
        <f>SUM(C6:C74)</f>
        <v>1200</v>
      </c>
      <c r="D75" s="1891"/>
      <c r="E75" s="1891">
        <f t="shared" ref="E75:AK75" si="79">SUM(E6:E74)</f>
        <v>4800205.0669112299</v>
      </c>
      <c r="F75" s="1892"/>
      <c r="G75" s="1892">
        <f t="shared" si="79"/>
        <v>755643.25911563728</v>
      </c>
      <c r="H75" s="1892">
        <f t="shared" si="79"/>
        <v>5555848.3260268662</v>
      </c>
      <c r="I75" s="1892">
        <f t="shared" si="79"/>
        <v>616508.00394886779</v>
      </c>
      <c r="J75" s="1935">
        <f t="shared" si="79"/>
        <v>-5957.8629076271354</v>
      </c>
      <c r="K75" s="1935">
        <f t="shared" si="79"/>
        <v>6465.8889394742346</v>
      </c>
      <c r="L75" s="1935">
        <f t="shared" si="79"/>
        <v>508.02603184707914</v>
      </c>
      <c r="M75" s="1935">
        <f t="shared" si="79"/>
        <v>5556356.3520587124</v>
      </c>
      <c r="N75" s="1892">
        <f t="shared" si="79"/>
        <v>-13890.890880146784</v>
      </c>
      <c r="O75" s="1893">
        <f t="shared" si="79"/>
        <v>5542465.4611785654</v>
      </c>
      <c r="P75" s="1893">
        <f t="shared" si="79"/>
        <v>-5468.6843286130497</v>
      </c>
      <c r="Q75" s="1894">
        <f t="shared" si="79"/>
        <v>5536996.7768499525</v>
      </c>
      <c r="R75" s="1936">
        <f t="shared" si="79"/>
        <v>3690960</v>
      </c>
      <c r="S75" s="1936">
        <f t="shared" si="79"/>
        <v>1846036.776849953</v>
      </c>
      <c r="T75" s="1894">
        <f t="shared" si="79"/>
        <v>461511</v>
      </c>
      <c r="U75" s="1896">
        <f>'Table 5C1A-Madison Prep'!T77*90%</f>
        <v>4163.4000000000005</v>
      </c>
      <c r="V75" s="1896">
        <f t="shared" si="79"/>
        <v>4781822.4000000041</v>
      </c>
      <c r="W75" s="1937">
        <f>SUM(W6:W74)</f>
        <v>0</v>
      </c>
      <c r="X75" s="1938">
        <f t="shared" si="79"/>
        <v>-63115.199999999983</v>
      </c>
      <c r="Y75" s="1937">
        <f t="shared" si="79"/>
        <v>0</v>
      </c>
      <c r="Z75" s="1938">
        <f t="shared" si="79"/>
        <v>13435.199999999993</v>
      </c>
      <c r="AA75" s="1938">
        <f t="shared" si="79"/>
        <v>-49680.000000000029</v>
      </c>
      <c r="AB75" s="1938">
        <f t="shared" si="79"/>
        <v>4732142.4000000032</v>
      </c>
      <c r="AC75" s="1896">
        <f t="shared" si="79"/>
        <v>-11830.356</v>
      </c>
      <c r="AD75" s="1896">
        <f t="shared" si="79"/>
        <v>4720312.0439999998</v>
      </c>
      <c r="AE75" s="1896">
        <f t="shared" si="79"/>
        <v>-2729.7</v>
      </c>
      <c r="AF75" s="1900">
        <f t="shared" si="79"/>
        <v>4717582.3439999996</v>
      </c>
      <c r="AG75" s="1939">
        <f t="shared" si="79"/>
        <v>3087432</v>
      </c>
      <c r="AH75" s="1939">
        <f t="shared" si="79"/>
        <v>1630150.3439999996</v>
      </c>
      <c r="AI75" s="1900">
        <f t="shared" si="79"/>
        <v>407538</v>
      </c>
      <c r="AJ75" s="1940">
        <f t="shared" si="79"/>
        <v>10254579.120849947</v>
      </c>
      <c r="AK75" s="1940">
        <f t="shared" si="79"/>
        <v>869049</v>
      </c>
      <c r="AM75" s="2043">
        <f>SUM(AM6:AM74)</f>
        <v>11612</v>
      </c>
      <c r="AN75" s="2043">
        <f t="shared" ref="AN75:AO75" si="80">SUM(AN6:AN74)</f>
        <v>-11830.356</v>
      </c>
      <c r="AO75" s="2043">
        <f t="shared" si="80"/>
        <v>-218.35600000000039</v>
      </c>
    </row>
    <row r="76" spans="1:41" s="775" customFormat="1" ht="6.75" customHeight="1">
      <c r="A76" s="778"/>
      <c r="B76" s="777"/>
      <c r="C76" s="1901"/>
      <c r="D76" s="1902"/>
      <c r="E76" s="1902"/>
      <c r="F76" s="1902"/>
      <c r="G76" s="1902"/>
      <c r="H76" s="1902"/>
      <c r="I76" s="1902"/>
      <c r="J76" s="1941"/>
      <c r="K76" s="1941"/>
      <c r="L76" s="1941"/>
      <c r="M76" s="1941"/>
      <c r="N76" s="1902"/>
      <c r="O76" s="1902"/>
      <c r="P76" s="1902"/>
      <c r="Q76" s="1902"/>
      <c r="R76" s="1941"/>
      <c r="S76" s="1941"/>
      <c r="T76" s="1902"/>
      <c r="U76" s="1905"/>
      <c r="V76" s="1905"/>
      <c r="W76" s="1907"/>
      <c r="X76" s="1907"/>
      <c r="Y76" s="1907"/>
      <c r="Z76" s="1907"/>
      <c r="AA76" s="1907"/>
      <c r="AB76" s="1907"/>
      <c r="AC76" s="1908"/>
      <c r="AD76" s="1908"/>
      <c r="AE76" s="1908"/>
      <c r="AF76" s="1942"/>
      <c r="AG76" s="1943"/>
      <c r="AH76" s="1943"/>
      <c r="AI76" s="1942"/>
      <c r="AJ76" s="1905"/>
      <c r="AK76" s="1905"/>
    </row>
    <row r="77" spans="1:41" s="533" customFormat="1" ht="33" customHeight="1">
      <c r="A77" s="778"/>
      <c r="B77" s="783" t="s">
        <v>403</v>
      </c>
      <c r="C77" s="1909"/>
      <c r="D77" s="1910"/>
      <c r="E77" s="1910"/>
      <c r="F77" s="1911"/>
      <c r="G77" s="1911"/>
      <c r="H77" s="1911"/>
      <c r="I77" s="1911"/>
      <c r="J77" s="1944"/>
      <c r="K77" s="1944"/>
      <c r="L77" s="1944"/>
      <c r="M77" s="1944"/>
      <c r="N77" s="1911">
        <f>-N75</f>
        <v>13890.890880146784</v>
      </c>
      <c r="O77" s="1913">
        <f>N77</f>
        <v>13890.890880146784</v>
      </c>
      <c r="P77" s="1913"/>
      <c r="Q77" s="1914">
        <f>O77</f>
        <v>13890.890880146784</v>
      </c>
      <c r="R77" s="1945"/>
      <c r="S77" s="1945"/>
      <c r="T77" s="1914"/>
      <c r="U77" s="1916"/>
      <c r="V77" s="1917"/>
      <c r="W77" s="1919"/>
      <c r="X77" s="1919"/>
      <c r="Y77" s="1919"/>
      <c r="Z77" s="1919"/>
      <c r="AA77" s="1919"/>
      <c r="AB77" s="1919"/>
      <c r="AC77" s="1917">
        <f>-AC75</f>
        <v>11830.356</v>
      </c>
      <c r="AD77" s="1917">
        <f>AC77</f>
        <v>11830.356</v>
      </c>
      <c r="AE77" s="1917"/>
      <c r="AF77" s="1920">
        <f>AD77</f>
        <v>11830.356</v>
      </c>
      <c r="AG77" s="1946"/>
      <c r="AH77" s="1946"/>
      <c r="AI77" s="1920"/>
      <c r="AJ77" s="1922">
        <f t="shared" ref="AJ77" si="81">AF77+Q77</f>
        <v>25721.246880146784</v>
      </c>
      <c r="AK77" s="1922"/>
    </row>
    <row r="78" spans="1:41" s="775" customFormat="1" ht="6" customHeight="1">
      <c r="A78" s="778"/>
      <c r="B78" s="777"/>
      <c r="C78" s="1901"/>
      <c r="D78" s="1902"/>
      <c r="E78" s="1902"/>
      <c r="F78" s="1902"/>
      <c r="G78" s="1902"/>
      <c r="H78" s="1902"/>
      <c r="I78" s="1902"/>
      <c r="J78" s="1941"/>
      <c r="K78" s="1941"/>
      <c r="L78" s="1941"/>
      <c r="M78" s="1941"/>
      <c r="N78" s="1902"/>
      <c r="O78" s="1902"/>
      <c r="P78" s="1902"/>
      <c r="Q78" s="1902"/>
      <c r="R78" s="1941"/>
      <c r="S78" s="1941"/>
      <c r="T78" s="1902"/>
      <c r="U78" s="1905"/>
      <c r="V78" s="1905"/>
      <c r="W78" s="1907"/>
      <c r="X78" s="1907"/>
      <c r="Y78" s="1907"/>
      <c r="Z78" s="1907"/>
      <c r="AA78" s="1907"/>
      <c r="AB78" s="1907"/>
      <c r="AC78" s="1908"/>
      <c r="AD78" s="1908"/>
      <c r="AE78" s="1908"/>
      <c r="AF78" s="1942"/>
      <c r="AG78" s="1943"/>
      <c r="AH78" s="1943"/>
      <c r="AI78" s="1942"/>
      <c r="AJ78" s="1905"/>
      <c r="AK78" s="1905"/>
    </row>
    <row r="79" spans="1:41" s="782" customFormat="1" ht="33" customHeight="1">
      <c r="A79" s="781"/>
      <c r="B79" s="776" t="s">
        <v>404</v>
      </c>
      <c r="C79" s="1923">
        <f>SUM(C75:C78)</f>
        <v>1200</v>
      </c>
      <c r="D79" s="1924"/>
      <c r="E79" s="1924">
        <f t="shared" ref="E79:AK79" si="82">SUM(E75:E78)</f>
        <v>4800205.0669112299</v>
      </c>
      <c r="F79" s="1925"/>
      <c r="G79" s="1925">
        <f t="shared" si="82"/>
        <v>755643.25911563728</v>
      </c>
      <c r="H79" s="1925">
        <f t="shared" si="82"/>
        <v>5555848.3260268662</v>
      </c>
      <c r="I79" s="1925">
        <f t="shared" si="82"/>
        <v>616508.00394886779</v>
      </c>
      <c r="J79" s="1925">
        <f t="shared" si="82"/>
        <v>-5957.8629076271354</v>
      </c>
      <c r="K79" s="1925">
        <f t="shared" si="82"/>
        <v>6465.8889394742346</v>
      </c>
      <c r="L79" s="1925">
        <f t="shared" si="82"/>
        <v>508.02603184707914</v>
      </c>
      <c r="M79" s="1925">
        <f t="shared" si="82"/>
        <v>5556356.3520587124</v>
      </c>
      <c r="N79" s="1925">
        <f t="shared" si="82"/>
        <v>0</v>
      </c>
      <c r="O79" s="1926">
        <f t="shared" si="82"/>
        <v>5556356.3520587124</v>
      </c>
      <c r="P79" s="1926">
        <f t="shared" si="82"/>
        <v>-5468.6843286130497</v>
      </c>
      <c r="Q79" s="1927">
        <f t="shared" si="82"/>
        <v>5550887.6677300995</v>
      </c>
      <c r="R79" s="1927">
        <f t="shared" si="82"/>
        <v>3690960</v>
      </c>
      <c r="S79" s="1927">
        <f t="shared" si="82"/>
        <v>1846036.776849953</v>
      </c>
      <c r="T79" s="1927">
        <f t="shared" si="82"/>
        <v>461511</v>
      </c>
      <c r="U79" s="1928"/>
      <c r="V79" s="1929">
        <f t="shared" si="82"/>
        <v>4781822.4000000041</v>
      </c>
      <c r="W79" s="1929">
        <f t="shared" si="82"/>
        <v>0</v>
      </c>
      <c r="X79" s="1929">
        <f t="shared" si="82"/>
        <v>-63115.199999999983</v>
      </c>
      <c r="Y79" s="1929">
        <f t="shared" si="82"/>
        <v>0</v>
      </c>
      <c r="Z79" s="1929">
        <f t="shared" si="82"/>
        <v>13435.199999999993</v>
      </c>
      <c r="AA79" s="1929">
        <f t="shared" si="82"/>
        <v>-49680.000000000029</v>
      </c>
      <c r="AB79" s="1929">
        <f t="shared" si="82"/>
        <v>4732142.4000000032</v>
      </c>
      <c r="AC79" s="1929">
        <f t="shared" si="82"/>
        <v>0</v>
      </c>
      <c r="AD79" s="1929">
        <f t="shared" si="82"/>
        <v>4732142.3999999994</v>
      </c>
      <c r="AE79" s="1929">
        <f t="shared" si="82"/>
        <v>-2729.7</v>
      </c>
      <c r="AF79" s="1930">
        <f t="shared" si="82"/>
        <v>4729412.6999999993</v>
      </c>
      <c r="AG79" s="1930">
        <f t="shared" si="82"/>
        <v>3087432</v>
      </c>
      <c r="AH79" s="1930">
        <f t="shared" si="82"/>
        <v>1630150.3439999996</v>
      </c>
      <c r="AI79" s="1930">
        <f t="shared" si="82"/>
        <v>407538</v>
      </c>
      <c r="AJ79" s="1931">
        <f t="shared" si="82"/>
        <v>10280300.367730094</v>
      </c>
      <c r="AK79" s="1931">
        <f t="shared" si="82"/>
        <v>869049</v>
      </c>
    </row>
    <row r="80" spans="1:41" ht="11.25" customHeight="1">
      <c r="B80" s="534"/>
      <c r="C80" s="535"/>
      <c r="D80" s="536"/>
      <c r="E80" s="535"/>
      <c r="F80" s="535"/>
      <c r="G80" s="535"/>
      <c r="H80" s="1947"/>
      <c r="I80" s="1947"/>
      <c r="J80" s="1947"/>
      <c r="K80" s="1947"/>
      <c r="L80" s="1947"/>
      <c r="M80" s="1947"/>
      <c r="N80" s="1947"/>
      <c r="O80" s="1947"/>
      <c r="P80" s="1947"/>
      <c r="Q80" s="1947"/>
      <c r="R80" s="1947"/>
      <c r="S80" s="1947"/>
      <c r="T80" s="1947"/>
      <c r="U80" s="1948"/>
      <c r="V80" s="1948"/>
      <c r="W80" s="1948"/>
      <c r="X80" s="1948"/>
      <c r="Y80" s="1948"/>
      <c r="Z80" s="1948"/>
      <c r="AA80" s="1948"/>
      <c r="AB80" s="1948"/>
      <c r="AC80" s="1948"/>
      <c r="AD80" s="1948"/>
      <c r="AE80" s="1948"/>
      <c r="AF80" s="1948"/>
      <c r="AG80" s="1948"/>
      <c r="AH80" s="1948"/>
      <c r="AI80" s="1948"/>
      <c r="AJ80" s="1948"/>
      <c r="AK80" s="1948"/>
    </row>
    <row r="81" spans="1:37" ht="17.25" hidden="1" customHeight="1">
      <c r="C81" s="2423"/>
      <c r="D81" s="2423"/>
      <c r="E81" s="2423"/>
      <c r="F81" s="2423"/>
      <c r="G81" s="2423"/>
      <c r="H81" s="2423"/>
      <c r="I81" s="2423"/>
      <c r="J81" s="2423"/>
      <c r="K81" s="2423"/>
      <c r="L81" s="2423"/>
      <c r="M81" s="2423"/>
      <c r="N81" s="2423"/>
      <c r="O81" s="2423"/>
      <c r="P81" s="2423"/>
      <c r="Q81" s="2423"/>
      <c r="R81" s="2423"/>
      <c r="S81" s="2423"/>
      <c r="T81" s="2423"/>
      <c r="U81" s="1948"/>
      <c r="V81" s="1948"/>
      <c r="W81" s="1948"/>
      <c r="X81" s="1948"/>
      <c r="Y81" s="1948"/>
      <c r="Z81" s="1948"/>
      <c r="AA81" s="1948"/>
      <c r="AB81" s="1948"/>
      <c r="AC81" s="1948"/>
      <c r="AD81" s="1948"/>
      <c r="AE81" s="1948"/>
      <c r="AF81" s="1948"/>
      <c r="AG81" s="1948"/>
      <c r="AH81" s="1948"/>
      <c r="AI81" s="1948"/>
      <c r="AJ81" s="1948"/>
      <c r="AK81" s="1948"/>
    </row>
    <row r="82" spans="1:37" s="559" customFormat="1" ht="15" hidden="1" customHeight="1">
      <c r="A82" s="1498">
        <f>(G79/90%)*10%</f>
        <v>83960.362123959698</v>
      </c>
      <c r="N82" s="771" t="s">
        <v>951</v>
      </c>
      <c r="O82" s="705">
        <f>-'[4]Table 5C3 - LA Connections EBR'!$J$73</f>
        <v>13893</v>
      </c>
    </row>
    <row r="83" spans="1:37" s="559" customFormat="1" ht="15" hidden="1" customHeight="1">
      <c r="N83" s="771" t="s">
        <v>952</v>
      </c>
      <c r="O83" s="705">
        <f>N75</f>
        <v>-13890.890880146784</v>
      </c>
    </row>
    <row r="84" spans="1:37" s="559" customFormat="1" ht="15" hidden="1" customHeight="1">
      <c r="N84" s="771" t="s">
        <v>953</v>
      </c>
      <c r="O84" s="705">
        <f>SUM(O82:O83)</f>
        <v>2.109119853215816</v>
      </c>
    </row>
    <row r="85" spans="1:37" ht="60.75" customHeight="1">
      <c r="B85" s="538"/>
    </row>
  </sheetData>
  <mergeCells count="38">
    <mergeCell ref="U1:AI1"/>
    <mergeCell ref="W2:AA2"/>
    <mergeCell ref="W3:W4"/>
    <mergeCell ref="X3:X4"/>
    <mergeCell ref="Y3:Y4"/>
    <mergeCell ref="Z3:Z4"/>
    <mergeCell ref="AB3:AB4"/>
    <mergeCell ref="A1:A4"/>
    <mergeCell ref="B1:B4"/>
    <mergeCell ref="D3:D4"/>
    <mergeCell ref="C3:C4"/>
    <mergeCell ref="E3:E4"/>
    <mergeCell ref="C1:T1"/>
    <mergeCell ref="J2:L2"/>
    <mergeCell ref="R3:R4"/>
    <mergeCell ref="S3:S4"/>
    <mergeCell ref="J3:J4"/>
    <mergeCell ref="K3:K4"/>
    <mergeCell ref="L3:L4"/>
    <mergeCell ref="M3:M4"/>
    <mergeCell ref="I3:I4"/>
    <mergeCell ref="C81:T81"/>
    <mergeCell ref="U3:U4"/>
    <mergeCell ref="V3:V4"/>
    <mergeCell ref="AD3:AD4"/>
    <mergeCell ref="AE3:AE4"/>
    <mergeCell ref="O3:O4"/>
    <mergeCell ref="P3:P4"/>
    <mergeCell ref="Q3:Q4"/>
    <mergeCell ref="T3:T4"/>
    <mergeCell ref="F3:F4"/>
    <mergeCell ref="G3:G4"/>
    <mergeCell ref="H3:H4"/>
    <mergeCell ref="AM3:AM4"/>
    <mergeCell ref="AN3:AN4"/>
    <mergeCell ref="AF3:AF4"/>
    <mergeCell ref="AJ3:AJ4"/>
    <mergeCell ref="AK3:AK4"/>
  </mergeCells>
  <printOptions horizontalCentered="1"/>
  <pageMargins left="0.2" right="0.25" top="0.86" bottom="0.25" header="0.24" footer="0.25"/>
  <pageSetup paperSize="5" scale="60" firstPageNumber="69" orientation="portrait" useFirstPageNumber="1" r:id="rId1"/>
  <headerFooter alignWithMargins="0">
    <oddHeader xml:space="preserve">&amp;L&amp;"Arial,Bold"&amp;20Table 5C-3: FY2013-14 MFP Budget Letter (March 2014) 
Type 2 Charter School Allocation (Louisiana Connections Academy) </oddHeader>
    <oddFooter>&amp;R&amp;P</oddFooter>
  </headerFooter>
  <colBreaks count="3" manualBreakCount="3">
    <brk id="13" max="83" man="1"/>
    <brk id="20" max="83" man="1"/>
    <brk id="37" max="83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view="pageBreakPreview" zoomScale="70" zoomScaleNormal="70" zoomScaleSheetLayoutView="7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/>
    </sheetView>
  </sheetViews>
  <sheetFormatPr defaultColWidth="9.140625" defaultRowHeight="12.75"/>
  <cols>
    <col min="1" max="1" width="7.5703125" style="968" bestFit="1" customWidth="1"/>
    <col min="2" max="2" width="37.42578125" style="968" customWidth="1"/>
    <col min="3" max="3" width="11.140625" style="968" customWidth="1"/>
    <col min="4" max="4" width="11.85546875" style="968" customWidth="1"/>
    <col min="5" max="5" width="18" style="968" bestFit="1" customWidth="1"/>
    <col min="6" max="6" width="13.7109375" style="968" customWidth="1"/>
    <col min="7" max="7" width="19.140625" style="968" customWidth="1"/>
    <col min="8" max="8" width="20.7109375" style="968" customWidth="1"/>
    <col min="9" max="9" width="16.28515625" style="1506" bestFit="1" customWidth="1"/>
    <col min="10" max="10" width="14.85546875" style="1506" bestFit="1" customWidth="1"/>
    <col min="11" max="11" width="16.28515625" style="1506" bestFit="1" customWidth="1"/>
    <col min="12" max="12" width="17.140625" style="1506" bestFit="1" customWidth="1"/>
    <col min="13" max="13" width="18.140625" style="968" customWidth="1"/>
    <col min="14" max="14" width="18" style="968" bestFit="1" customWidth="1"/>
    <col min="15" max="15" width="14.140625" style="968" customWidth="1"/>
    <col min="16" max="16" width="18" style="968" bestFit="1" customWidth="1"/>
    <col min="17" max="17" width="16.5703125" style="1509" customWidth="1"/>
    <col min="18" max="18" width="16.28515625" style="1509" bestFit="1" customWidth="1"/>
    <col min="19" max="19" width="16.28515625" style="968" bestFit="1" customWidth="1"/>
    <col min="20" max="20" width="13.5703125" style="968" customWidth="1"/>
    <col min="21" max="21" width="18" style="968" customWidth="1"/>
    <col min="22" max="16384" width="9.140625" style="968"/>
  </cols>
  <sheetData>
    <row r="1" spans="1:21" ht="26.25" customHeight="1">
      <c r="B1" s="2437" t="s">
        <v>1006</v>
      </c>
      <c r="C1" s="2437"/>
      <c r="D1" s="2437"/>
      <c r="E1" s="2437"/>
      <c r="F1" s="2437"/>
      <c r="G1" s="2437"/>
      <c r="H1" s="2437"/>
      <c r="I1" s="2437"/>
      <c r="J1" s="2437"/>
      <c r="K1" s="2437"/>
      <c r="L1" s="2437"/>
      <c r="M1" s="2437"/>
      <c r="N1" s="1176"/>
      <c r="O1" s="1176"/>
      <c r="P1" s="1176"/>
      <c r="Q1" s="1176"/>
      <c r="R1" s="1176"/>
    </row>
    <row r="2" spans="1:21" ht="23.25">
      <c r="B2" s="1177" t="s">
        <v>747</v>
      </c>
      <c r="C2" s="1177"/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  <c r="O2" s="1177"/>
      <c r="P2" s="1177"/>
      <c r="Q2" s="1177"/>
      <c r="R2" s="1177"/>
    </row>
    <row r="3" spans="1:21" ht="18.75" customHeight="1">
      <c r="B3" s="2438"/>
      <c r="C3" s="2438"/>
      <c r="D3" s="2438"/>
      <c r="E3" s="2438"/>
      <c r="F3" s="2438"/>
      <c r="G3" s="2438"/>
      <c r="H3" s="2438"/>
      <c r="I3" s="2438"/>
      <c r="J3" s="2438"/>
      <c r="K3" s="2438"/>
      <c r="L3" s="2438"/>
      <c r="M3" s="2438"/>
      <c r="N3" s="2438"/>
      <c r="O3" s="2438"/>
      <c r="P3" s="2438"/>
      <c r="Q3" s="1389"/>
      <c r="R3" s="1389"/>
    </row>
    <row r="4" spans="1:21" ht="23.25" hidden="1">
      <c r="B4" s="2439"/>
      <c r="C4" s="2439"/>
      <c r="D4" s="2439"/>
      <c r="E4" s="2439"/>
      <c r="F4" s="2439"/>
      <c r="G4" s="2439"/>
      <c r="H4" s="2439"/>
      <c r="I4" s="2439"/>
      <c r="J4" s="2439"/>
      <c r="K4" s="2439"/>
      <c r="L4" s="2439"/>
      <c r="M4" s="2439"/>
      <c r="N4" s="2439"/>
      <c r="O4" s="2439"/>
      <c r="P4" s="2439"/>
      <c r="Q4" s="1390"/>
      <c r="R4" s="1390"/>
    </row>
    <row r="5" spans="1:21" ht="17.45" customHeight="1">
      <c r="B5" s="1178"/>
      <c r="C5" s="1178"/>
      <c r="D5" s="1178"/>
      <c r="E5" s="1178"/>
      <c r="F5" s="1179"/>
      <c r="G5" s="1179"/>
      <c r="H5" s="1179"/>
      <c r="I5" s="2347" t="s">
        <v>772</v>
      </c>
      <c r="J5" s="2348"/>
      <c r="K5" s="2349"/>
      <c r="L5" s="1179"/>
      <c r="M5" s="1179"/>
      <c r="N5" s="1179"/>
      <c r="O5" s="1179"/>
      <c r="P5" s="1180"/>
      <c r="Q5" s="1180"/>
      <c r="R5" s="1180"/>
    </row>
    <row r="6" spans="1:21" ht="63" customHeight="1">
      <c r="A6" s="2440" t="s">
        <v>183</v>
      </c>
      <c r="B6" s="2440" t="s">
        <v>706</v>
      </c>
      <c r="C6" s="2443" t="s">
        <v>724</v>
      </c>
      <c r="D6" s="2444" t="s">
        <v>763</v>
      </c>
      <c r="E6" s="2447" t="s">
        <v>707</v>
      </c>
      <c r="F6" s="2450" t="s">
        <v>708</v>
      </c>
      <c r="G6" s="2451"/>
      <c r="H6" s="2443" t="s">
        <v>852</v>
      </c>
      <c r="I6" s="2466" t="s">
        <v>846</v>
      </c>
      <c r="J6" s="2466" t="s">
        <v>845</v>
      </c>
      <c r="K6" s="2466" t="s">
        <v>847</v>
      </c>
      <c r="L6" s="2393" t="s">
        <v>855</v>
      </c>
      <c r="M6" s="2443" t="s">
        <v>709</v>
      </c>
      <c r="N6" s="2443" t="s">
        <v>853</v>
      </c>
      <c r="O6" s="2460" t="s">
        <v>854</v>
      </c>
      <c r="P6" s="2443" t="s">
        <v>856</v>
      </c>
      <c r="Q6" s="2455" t="s">
        <v>1007</v>
      </c>
      <c r="R6" s="2458" t="s">
        <v>1008</v>
      </c>
      <c r="S6" s="2443" t="s">
        <v>725</v>
      </c>
      <c r="T6" s="2463" t="s">
        <v>771</v>
      </c>
      <c r="U6" s="2434" t="s">
        <v>857</v>
      </c>
    </row>
    <row r="7" spans="1:21" ht="53.25" customHeight="1">
      <c r="A7" s="2441"/>
      <c r="B7" s="2441"/>
      <c r="C7" s="2435"/>
      <c r="D7" s="2445"/>
      <c r="E7" s="2448"/>
      <c r="F7" s="2452" t="s">
        <v>710</v>
      </c>
      <c r="G7" s="2452" t="s">
        <v>711</v>
      </c>
      <c r="H7" s="2435"/>
      <c r="I7" s="2406"/>
      <c r="J7" s="2406"/>
      <c r="K7" s="2406"/>
      <c r="L7" s="2459"/>
      <c r="M7" s="2435"/>
      <c r="N7" s="2435"/>
      <c r="O7" s="2461"/>
      <c r="P7" s="2435"/>
      <c r="Q7" s="2456"/>
      <c r="R7" s="2459"/>
      <c r="S7" s="2435"/>
      <c r="T7" s="2464"/>
      <c r="U7" s="2435"/>
    </row>
    <row r="8" spans="1:21" ht="127.5" customHeight="1">
      <c r="A8" s="2442"/>
      <c r="B8" s="2442"/>
      <c r="C8" s="2436"/>
      <c r="D8" s="2446"/>
      <c r="E8" s="2449"/>
      <c r="F8" s="2453"/>
      <c r="G8" s="2454"/>
      <c r="H8" s="2436"/>
      <c r="I8" s="2287"/>
      <c r="J8" s="2287"/>
      <c r="K8" s="2287"/>
      <c r="L8" s="2312"/>
      <c r="M8" s="2436"/>
      <c r="N8" s="2436"/>
      <c r="O8" s="2462"/>
      <c r="P8" s="2436"/>
      <c r="Q8" s="2457"/>
      <c r="R8" s="2312"/>
      <c r="S8" s="2436"/>
      <c r="T8" s="2465"/>
      <c r="U8" s="2436"/>
    </row>
    <row r="9" spans="1:21">
      <c r="A9" s="1181"/>
      <c r="B9" s="1181"/>
      <c r="C9" s="1182">
        <v>1</v>
      </c>
      <c r="D9" s="1182">
        <f t="shared" ref="D9:I9" si="0">C9+1</f>
        <v>2</v>
      </c>
      <c r="E9" s="1182">
        <f t="shared" si="0"/>
        <v>3</v>
      </c>
      <c r="F9" s="1182">
        <f t="shared" si="0"/>
        <v>4</v>
      </c>
      <c r="G9" s="1182">
        <f t="shared" si="0"/>
        <v>5</v>
      </c>
      <c r="H9" s="1182">
        <f t="shared" si="0"/>
        <v>6</v>
      </c>
      <c r="I9" s="1182">
        <f t="shared" si="0"/>
        <v>7</v>
      </c>
      <c r="J9" s="1182">
        <f t="shared" ref="J9" si="1">I9+1</f>
        <v>8</v>
      </c>
      <c r="K9" s="1182">
        <f t="shared" ref="K9" si="2">J9+1</f>
        <v>9</v>
      </c>
      <c r="L9" s="1182">
        <f t="shared" ref="L9" si="3">K9+1</f>
        <v>10</v>
      </c>
      <c r="M9" s="1182">
        <f t="shared" ref="M9" si="4">L9+1</f>
        <v>11</v>
      </c>
      <c r="N9" s="1182">
        <f t="shared" ref="N9" si="5">M9+1</f>
        <v>12</v>
      </c>
      <c r="O9" s="1182">
        <f t="shared" ref="O9" si="6">N9+1</f>
        <v>13</v>
      </c>
      <c r="P9" s="1182">
        <f t="shared" ref="P9" si="7">O9+1</f>
        <v>14</v>
      </c>
      <c r="Q9" s="1182">
        <f t="shared" ref="Q9" si="8">P9+1</f>
        <v>15</v>
      </c>
      <c r="R9" s="1182">
        <f t="shared" ref="R9" si="9">Q9+1</f>
        <v>16</v>
      </c>
      <c r="S9" s="1182">
        <f t="shared" ref="S9" si="10">R9+1</f>
        <v>17</v>
      </c>
      <c r="T9" s="1182">
        <f t="shared" ref="T9" si="11">S9+1</f>
        <v>18</v>
      </c>
      <c r="U9" s="1182">
        <f t="shared" ref="U9" si="12">T9+1</f>
        <v>19</v>
      </c>
    </row>
    <row r="10" spans="1:21" ht="52.5" customHeight="1">
      <c r="A10" s="1183" t="s">
        <v>418</v>
      </c>
      <c r="B10" s="1183" t="s">
        <v>712</v>
      </c>
      <c r="C10" s="1184">
        <v>319</v>
      </c>
      <c r="D10" s="1185">
        <f>'[14]FY2013-14 Final'!$L$72</f>
        <v>9402.2772303106685</v>
      </c>
      <c r="E10" s="1186">
        <f>C10*D10</f>
        <v>2999326.4364691032</v>
      </c>
      <c r="F10" s="1186">
        <v>716.29552188552179</v>
      </c>
      <c r="G10" s="1186">
        <f>C10*F10</f>
        <v>228498.27148148144</v>
      </c>
      <c r="H10" s="1186">
        <f>ROUND(E10+G10,0)</f>
        <v>3227825</v>
      </c>
      <c r="I10" s="1497">
        <f>+'[3]October midyear adj'!K85</f>
        <v>161897.16403513905</v>
      </c>
      <c r="J10" s="1497">
        <f>'[3]February midyear adj '!K85</f>
        <v>-50592.863760980952</v>
      </c>
      <c r="K10" s="1497">
        <f>+I10+J10</f>
        <v>111304.3002741581</v>
      </c>
      <c r="L10" s="1497">
        <f>H10+K10</f>
        <v>3339129.3002741579</v>
      </c>
      <c r="M10" s="1186">
        <f>-L10*0.25%</f>
        <v>-8347.8232506853947</v>
      </c>
      <c r="N10" s="1186">
        <f>SUM(L10:M10)</f>
        <v>3330781.4770234725</v>
      </c>
      <c r="O10" s="1187">
        <v>0</v>
      </c>
      <c r="P10" s="1188">
        <f>N10+O10</f>
        <v>3330781.4770234725</v>
      </c>
      <c r="Q10" s="1508">
        <f>+'[4]Table 5D- Legacy Type 2'!M10+'[27]Table 5D- Legacy Type 2'!T10+('[26]Table 5D- Legacy Type 2'!T10*3)+'[36]Table 5D- Legacy Type 2'!T10+('[5]Table 5D- Legacy Type 2'!T10*2)+286629</f>
        <v>2470893</v>
      </c>
      <c r="R10" s="1508">
        <f>P10-Q10</f>
        <v>859888.47702347254</v>
      </c>
      <c r="S10" s="1188">
        <f>ROUND(R10/3,0)</f>
        <v>286629</v>
      </c>
      <c r="T10" s="1186">
        <v>0</v>
      </c>
      <c r="U10" s="1188">
        <f>P10+T10</f>
        <v>3330781.4770234725</v>
      </c>
    </row>
    <row r="11" spans="1:21" ht="52.5" customHeight="1">
      <c r="A11" s="1189" t="s">
        <v>419</v>
      </c>
      <c r="B11" s="1189" t="s">
        <v>713</v>
      </c>
      <c r="C11" s="1184">
        <v>361</v>
      </c>
      <c r="D11" s="1185">
        <f>'[14]FY2013-14 Final'!$L$58</f>
        <v>8616.0339872793593</v>
      </c>
      <c r="E11" s="1186">
        <f t="shared" ref="E11:E19" si="13">C11*D11</f>
        <v>3110388.2694078488</v>
      </c>
      <c r="F11" s="1186">
        <v>598.40363440561384</v>
      </c>
      <c r="G11" s="1186">
        <f t="shared" ref="G11:G19" si="14">C11*F11</f>
        <v>216023.71202042661</v>
      </c>
      <c r="H11" s="1186">
        <f t="shared" ref="H11:H19" si="15">ROUND(E11+G11,0)</f>
        <v>3326412</v>
      </c>
      <c r="I11" s="1497">
        <f>+'[3]October midyear adj'!K86</f>
        <v>55286.625730109838</v>
      </c>
      <c r="J11" s="1497">
        <f>'[3]February midyear adj '!K86</f>
        <v>-18428.875243369945</v>
      </c>
      <c r="K11" s="1497">
        <f t="shared" ref="K11:K19" si="16">+I11+J11</f>
        <v>36857.750486739897</v>
      </c>
      <c r="L11" s="1497">
        <f>H11+K11</f>
        <v>3363269.7504867399</v>
      </c>
      <c r="M11" s="1186">
        <f t="shared" ref="M11:M19" si="17">-L11*0.25%</f>
        <v>-8408.1743762168499</v>
      </c>
      <c r="N11" s="1186">
        <f t="shared" ref="N11:N19" si="18">SUM(L11:M11)</f>
        <v>3354861.5761105232</v>
      </c>
      <c r="O11" s="1187">
        <v>0</v>
      </c>
      <c r="P11" s="1188">
        <f t="shared" ref="P11:P19" si="19">N11+O11</f>
        <v>3354861.5761105232</v>
      </c>
      <c r="Q11" s="1508">
        <f>+'[4]Table 5D- Legacy Type 2'!M11+'[27]Table 5D- Legacy Type 2'!T11+('[26]Table 5D- Legacy Type 2'!T11*3)+'[36]Table 5D- Legacy Type 2'!T11+('[5]Table 5D- Legacy Type 2'!T11*2)+295001</f>
        <v>2469857</v>
      </c>
      <c r="R11" s="1508">
        <f t="shared" ref="R11:R19" si="20">P11-Q11</f>
        <v>885004.57611052319</v>
      </c>
      <c r="S11" s="1188">
        <f>ROUND(R11/3,0)</f>
        <v>295002</v>
      </c>
      <c r="T11" s="1186">
        <v>0</v>
      </c>
      <c r="U11" s="1188">
        <f t="shared" ref="U11:U19" si="21">P11+T11</f>
        <v>3354861.5761105232</v>
      </c>
    </row>
    <row r="12" spans="1:21" ht="52.5" customHeight="1">
      <c r="A12" s="1190" t="s">
        <v>420</v>
      </c>
      <c r="B12" s="1190" t="s">
        <v>714</v>
      </c>
      <c r="C12" s="1558">
        <v>735</v>
      </c>
      <c r="D12" s="1559">
        <f>'[14]FY2013-14 Final'!$E$43</f>
        <v>8188.4894337711748</v>
      </c>
      <c r="E12" s="1559">
        <f t="shared" si="13"/>
        <v>6018539.7338218139</v>
      </c>
      <c r="F12" s="1559">
        <v>714.81015756302509</v>
      </c>
      <c r="G12" s="1559">
        <f t="shared" si="14"/>
        <v>525385.46580882347</v>
      </c>
      <c r="H12" s="1559">
        <f t="shared" si="15"/>
        <v>6543925</v>
      </c>
      <c r="I12" s="1560">
        <f>'[37]October midyear adj'!$K$87</f>
        <v>-943749.75668142526</v>
      </c>
      <c r="J12" s="1560">
        <f>'[37]February midyear adj '!$K$87</f>
        <v>-13354.949387001299</v>
      </c>
      <c r="K12" s="1560">
        <f t="shared" si="16"/>
        <v>-957104.7060684266</v>
      </c>
      <c r="L12" s="1560">
        <f>H12+K12</f>
        <v>5586820.2939315736</v>
      </c>
      <c r="M12" s="1559">
        <f t="shared" si="17"/>
        <v>-13967.050734828934</v>
      </c>
      <c r="N12" s="1559">
        <f t="shared" si="18"/>
        <v>5572853.2431967445</v>
      </c>
      <c r="O12" s="1561">
        <v>0</v>
      </c>
      <c r="P12" s="1559">
        <f t="shared" si="19"/>
        <v>5572853.2431967445</v>
      </c>
      <c r="Q12" s="1562"/>
      <c r="R12" s="1562"/>
      <c r="S12" s="1559"/>
      <c r="T12" s="1559"/>
      <c r="U12" s="1559"/>
    </row>
    <row r="13" spans="1:21" s="1509" customFormat="1" ht="52.5" customHeight="1">
      <c r="A13" s="1534" t="s">
        <v>420</v>
      </c>
      <c r="B13" s="1534" t="s">
        <v>776</v>
      </c>
      <c r="C13" s="1563">
        <v>0</v>
      </c>
      <c r="D13" s="1562">
        <f>'[14]FY2013-14 Final'!$L$43</f>
        <v>8953.4894337711739</v>
      </c>
      <c r="E13" s="1562">
        <f t="shared" ref="E13" si="22">C13*D13</f>
        <v>0</v>
      </c>
      <c r="F13" s="1562">
        <v>714.81015756302509</v>
      </c>
      <c r="G13" s="1562">
        <f t="shared" ref="G13" si="23">C13*F13</f>
        <v>0</v>
      </c>
      <c r="H13" s="1562">
        <f t="shared" ref="H13" si="24">ROUND(E13+G13,0)</f>
        <v>0</v>
      </c>
      <c r="I13" s="1562">
        <f>'[37]October midyear adj'!$K$88</f>
        <v>1904655.0194928371</v>
      </c>
      <c r="J13" s="1562">
        <f>'[37]February midyear adj '!$K$88</f>
        <v>-19336.599182668397</v>
      </c>
      <c r="K13" s="1562">
        <f t="shared" si="16"/>
        <v>1885318.4203101688</v>
      </c>
      <c r="L13" s="1562">
        <f>H13+K13</f>
        <v>1885318.4203101688</v>
      </c>
      <c r="M13" s="1562">
        <f t="shared" ref="M13" si="25">-L13*0.25%</f>
        <v>-4713.2960507754224</v>
      </c>
      <c r="N13" s="1562">
        <f t="shared" ref="N13" si="26">SUM(L13:M13)</f>
        <v>1880605.1242593934</v>
      </c>
      <c r="O13" s="1564">
        <v>0</v>
      </c>
      <c r="P13" s="1562">
        <f t="shared" ref="P13" si="27">N13+O13</f>
        <v>1880605.1242593934</v>
      </c>
      <c r="Q13" s="1562"/>
      <c r="R13" s="1562"/>
      <c r="S13" s="1562"/>
      <c r="T13" s="1562"/>
      <c r="U13" s="1562"/>
    </row>
    <row r="14" spans="1:21" s="1509" customFormat="1" ht="52.5" customHeight="1">
      <c r="A14" s="1534">
        <v>331</v>
      </c>
      <c r="B14" s="1534" t="s">
        <v>777</v>
      </c>
      <c r="C14" s="1563">
        <f>C13+C12</f>
        <v>735</v>
      </c>
      <c r="D14" s="1562"/>
      <c r="E14" s="1562">
        <f>E13+E12</f>
        <v>6018539.7338218139</v>
      </c>
      <c r="F14" s="1562"/>
      <c r="G14" s="1562">
        <f>G13+G12</f>
        <v>525385.46580882347</v>
      </c>
      <c r="H14" s="1562">
        <f>H13+H12</f>
        <v>6543925</v>
      </c>
      <c r="I14" s="1562">
        <f>I12+I13</f>
        <v>960905.26281141187</v>
      </c>
      <c r="J14" s="1562">
        <f>J12+J13</f>
        <v>-32691.548569669696</v>
      </c>
      <c r="K14" s="1562">
        <f t="shared" si="16"/>
        <v>928213.71424174216</v>
      </c>
      <c r="L14" s="1562">
        <f t="shared" ref="L14:P14" si="28">L13+L12</f>
        <v>7472138.7142417422</v>
      </c>
      <c r="M14" s="1562">
        <f t="shared" si="28"/>
        <v>-18680.346785604357</v>
      </c>
      <c r="N14" s="1562">
        <f t="shared" si="28"/>
        <v>7453458.3674561381</v>
      </c>
      <c r="O14" s="1564">
        <f t="shared" si="28"/>
        <v>0</v>
      </c>
      <c r="P14" s="1562">
        <f t="shared" si="28"/>
        <v>7453458.3674561381</v>
      </c>
      <c r="Q14" s="1562">
        <f>+'[4]Table 5D- Legacy Type 2'!M12+'[27]Table 5D- Legacy Type 2'!T12+('[26]Table 5D- Legacy Type 2'!T12*3)+'[36]Table 5D- Legacy Type 2'!T14+('[5]Table 5D- Legacy Type 2'!T14*2)+701022</f>
        <v>5465965</v>
      </c>
      <c r="R14" s="1562">
        <f t="shared" si="20"/>
        <v>1987493.3674561381</v>
      </c>
      <c r="S14" s="1562">
        <f t="shared" ref="S14:S19" si="29">ROUND(R14/3,0)</f>
        <v>662498</v>
      </c>
      <c r="T14" s="1562">
        <v>76000</v>
      </c>
      <c r="U14" s="1562">
        <f t="shared" si="21"/>
        <v>7529458.3674561381</v>
      </c>
    </row>
    <row r="15" spans="1:21" ht="52.5" customHeight="1">
      <c r="A15" s="1189" t="s">
        <v>421</v>
      </c>
      <c r="B15" s="1189" t="s">
        <v>715</v>
      </c>
      <c r="C15" s="1184">
        <v>694</v>
      </c>
      <c r="D15" s="1185">
        <f>'[14]FY2013-14 Final'!$L$12</f>
        <v>7072.8166927080074</v>
      </c>
      <c r="E15" s="1186">
        <f t="shared" si="13"/>
        <v>4908534.7847393574</v>
      </c>
      <c r="F15" s="1186">
        <v>536.12413544332276</v>
      </c>
      <c r="G15" s="1186">
        <f t="shared" si="14"/>
        <v>372070.14999766601</v>
      </c>
      <c r="H15" s="1186">
        <f t="shared" si="15"/>
        <v>5280605</v>
      </c>
      <c r="I15" s="1497">
        <f>+'[3]October midyear adj'!K89</f>
        <v>213050.34318823722</v>
      </c>
      <c r="J15" s="1497">
        <f>'[3]February midyear adj '!K89</f>
        <v>-22826.822484453987</v>
      </c>
      <c r="K15" s="1497">
        <f t="shared" si="16"/>
        <v>190223.52070378323</v>
      </c>
      <c r="L15" s="1497">
        <f>H15+K15</f>
        <v>5470828.5207037833</v>
      </c>
      <c r="M15" s="1186">
        <f t="shared" si="17"/>
        <v>-13677.071301759459</v>
      </c>
      <c r="N15" s="1186">
        <f t="shared" si="18"/>
        <v>5457151.449402024</v>
      </c>
      <c r="O15" s="1187">
        <v>0</v>
      </c>
      <c r="P15" s="1188">
        <f t="shared" si="19"/>
        <v>5457151.449402024</v>
      </c>
      <c r="Q15" s="1508">
        <f>+'[4]Table 5D- Legacy Type 2'!M13+'[27]Table 5D- Legacy Type 2'!T13+('[26]Table 5D- Legacy Type 2'!T13*3)+'[36]Table 5D- Legacy Type 2'!T15+('[5]Table 5D- Legacy Type 2'!T15*2)+489321</f>
        <v>3989190</v>
      </c>
      <c r="R15" s="1508">
        <f t="shared" si="20"/>
        <v>1467961.449402024</v>
      </c>
      <c r="S15" s="1188">
        <f t="shared" si="29"/>
        <v>489320</v>
      </c>
      <c r="T15" s="1186">
        <v>0</v>
      </c>
      <c r="U15" s="1188">
        <f t="shared" si="21"/>
        <v>5457151.449402024</v>
      </c>
    </row>
    <row r="16" spans="1:21" ht="52.5" customHeight="1">
      <c r="A16" s="1189" t="s">
        <v>422</v>
      </c>
      <c r="B16" s="1189" t="s">
        <v>716</v>
      </c>
      <c r="C16" s="1184">
        <v>675</v>
      </c>
      <c r="D16" s="1185">
        <f>'[14]FY2013-14 Final'!$L$49</f>
        <v>8622.4730460987812</v>
      </c>
      <c r="E16" s="1186">
        <f t="shared" si="13"/>
        <v>5820169.3061166769</v>
      </c>
      <c r="F16" s="1186">
        <v>527.02354414153262</v>
      </c>
      <c r="G16" s="1186">
        <f t="shared" si="14"/>
        <v>355740.89229553455</v>
      </c>
      <c r="H16" s="1186">
        <f t="shared" si="15"/>
        <v>6175910</v>
      </c>
      <c r="I16" s="1497">
        <f>+'[3]October midyear adj'!K90</f>
        <v>2278224.6509698383</v>
      </c>
      <c r="J16" s="1497">
        <f>'[3]February midyear adj '!K90</f>
        <v>-96069.71419752331</v>
      </c>
      <c r="K16" s="1497">
        <f t="shared" si="16"/>
        <v>2182154.9367723148</v>
      </c>
      <c r="L16" s="1497">
        <f>H16+K16</f>
        <v>8358064.9367723148</v>
      </c>
      <c r="M16" s="1186">
        <f t="shared" si="17"/>
        <v>-20895.162341930787</v>
      </c>
      <c r="N16" s="1186">
        <f t="shared" si="18"/>
        <v>8337169.7744303839</v>
      </c>
      <c r="O16" s="1187">
        <f>'[2]Adjusted Amounts'!$I$92</f>
        <v>-4508.0545995861094</v>
      </c>
      <c r="P16" s="1188">
        <f t="shared" si="19"/>
        <v>8332661.719830798</v>
      </c>
      <c r="Q16" s="1508">
        <f>+'[4]Table 5D- Legacy Type 2'!M14+'[27]Table 5D- Legacy Type 2'!T14+('[26]Table 5D- Legacy Type 2'!T14*3)+'[36]Table 5D- Legacy Type 2'!T16+('[5]Table 5D- Legacy Type 2'!T16*2)+792991</f>
        <v>5953687</v>
      </c>
      <c r="R16" s="1508">
        <f t="shared" si="20"/>
        <v>2378974.719830798</v>
      </c>
      <c r="S16" s="1188">
        <f t="shared" si="29"/>
        <v>792992</v>
      </c>
      <c r="T16" s="1186">
        <v>0</v>
      </c>
      <c r="U16" s="1188">
        <f t="shared" si="21"/>
        <v>8332661.719830798</v>
      </c>
    </row>
    <row r="17" spans="1:21" ht="52.5" customHeight="1">
      <c r="A17" s="1189" t="s">
        <v>423</v>
      </c>
      <c r="B17" s="1189" t="s">
        <v>717</v>
      </c>
      <c r="C17" s="1184">
        <v>951</v>
      </c>
      <c r="D17" s="1186">
        <f>'[14]FY2013-14 Final'!$L$45</f>
        <v>14713.754527559055</v>
      </c>
      <c r="E17" s="1186">
        <f t="shared" si="13"/>
        <v>13992780.555708662</v>
      </c>
      <c r="F17" s="1186">
        <v>788.90242015830813</v>
      </c>
      <c r="G17" s="1186">
        <f t="shared" si="14"/>
        <v>750246.20157055103</v>
      </c>
      <c r="H17" s="1186">
        <f t="shared" si="15"/>
        <v>14743027</v>
      </c>
      <c r="I17" s="1497">
        <f>+'[3]October midyear adj'!K91</f>
        <v>-77513.284738586823</v>
      </c>
      <c r="J17" s="1497">
        <f>'[3]February midyear adj '!K91</f>
        <v>-77513.284738586823</v>
      </c>
      <c r="K17" s="1497">
        <f t="shared" si="16"/>
        <v>-155026.56947717365</v>
      </c>
      <c r="L17" s="1497">
        <f>H17+K17</f>
        <v>14588000.430522826</v>
      </c>
      <c r="M17" s="1186">
        <f t="shared" si="17"/>
        <v>-36470.001076307068</v>
      </c>
      <c r="N17" s="1186">
        <f t="shared" si="18"/>
        <v>14551530.429446518</v>
      </c>
      <c r="O17" s="1187">
        <v>0</v>
      </c>
      <c r="P17" s="1188">
        <f t="shared" si="19"/>
        <v>14551530.429446518</v>
      </c>
      <c r="Q17" s="1508">
        <f>+'[4]Table 5D- Legacy Type 2'!M15+'[27]Table 5D- Legacy Type 2'!T15+('[26]Table 5D- Legacy Type 2'!T15*3)+'[36]Table 5D- Legacy Type 2'!T17+('[5]Table 5D- Legacy Type 2'!T17*2)+1448358</f>
        <v>10206457</v>
      </c>
      <c r="R17" s="1508">
        <f t="shared" si="20"/>
        <v>4345073.4294465184</v>
      </c>
      <c r="S17" s="1188">
        <f t="shared" si="29"/>
        <v>1448358</v>
      </c>
      <c r="T17" s="1186">
        <v>0</v>
      </c>
      <c r="U17" s="1188">
        <f t="shared" si="21"/>
        <v>14551530.429446518</v>
      </c>
    </row>
    <row r="18" spans="1:21" ht="52.5" customHeight="1">
      <c r="A18" s="1183" t="s">
        <v>424</v>
      </c>
      <c r="B18" s="1183" t="s">
        <v>718</v>
      </c>
      <c r="C18" s="1184">
        <v>458</v>
      </c>
      <c r="D18" s="1186">
        <f>'[14]FY2013-14 Final'!$L$43</f>
        <v>8953.4894337711739</v>
      </c>
      <c r="E18" s="1186">
        <f t="shared" si="13"/>
        <v>4100698.1606671978</v>
      </c>
      <c r="F18" s="1186">
        <v>705.7643831168831</v>
      </c>
      <c r="G18" s="1186">
        <f t="shared" si="14"/>
        <v>323240.08746753243</v>
      </c>
      <c r="H18" s="1186">
        <f t="shared" si="15"/>
        <v>4423938</v>
      </c>
      <c r="I18" s="1497">
        <f>+'[3]October midyear adj'!K92</f>
        <v>-1178428.9656603429</v>
      </c>
      <c r="J18" s="1497">
        <f>'[3]February midyear adj '!K92</f>
        <v>48296.269084440282</v>
      </c>
      <c r="K18" s="1497">
        <f t="shared" si="16"/>
        <v>-1130132.6965759026</v>
      </c>
      <c r="L18" s="1497">
        <f>H18+K18</f>
        <v>3293805.3034240976</v>
      </c>
      <c r="M18" s="1186">
        <f t="shared" si="17"/>
        <v>-8234.5132585602441</v>
      </c>
      <c r="N18" s="1186">
        <f t="shared" si="18"/>
        <v>3285570.7901655375</v>
      </c>
      <c r="O18" s="1187">
        <v>0</v>
      </c>
      <c r="P18" s="1188">
        <f t="shared" si="19"/>
        <v>3285570.7901655375</v>
      </c>
      <c r="Q18" s="1508">
        <f>+'[4]Table 5D- Legacy Type 2'!M16+'[27]Table 5D- Legacy Type 2'!T16+('[26]Table 5D- Legacy Type 2'!T16*3)+'[36]Table 5D- Legacy Type 2'!T18+('[5]Table 5D- Legacy Type 2'!T18*2)+211353</f>
        <v>2651513</v>
      </c>
      <c r="R18" s="1508">
        <f t="shared" si="20"/>
        <v>634057.7901655375</v>
      </c>
      <c r="S18" s="1188">
        <f t="shared" si="29"/>
        <v>211353</v>
      </c>
      <c r="T18" s="1186">
        <v>0</v>
      </c>
      <c r="U18" s="1188">
        <f t="shared" si="21"/>
        <v>3285570.7901655375</v>
      </c>
    </row>
    <row r="19" spans="1:21" ht="52.5" customHeight="1">
      <c r="A19" s="1189" t="s">
        <v>425</v>
      </c>
      <c r="B19" s="1189" t="s">
        <v>719</v>
      </c>
      <c r="C19" s="1191">
        <v>113</v>
      </c>
      <c r="D19" s="1188">
        <f>'[14]FY2013-14 Final'!$L$36</f>
        <v>8778.5586133052639</v>
      </c>
      <c r="E19" s="1188">
        <f t="shared" si="13"/>
        <v>991977.12330349477</v>
      </c>
      <c r="F19" s="1188">
        <v>659.21180998497243</v>
      </c>
      <c r="G19" s="1188">
        <f t="shared" si="14"/>
        <v>74490.934528301892</v>
      </c>
      <c r="H19" s="1186">
        <f t="shared" si="15"/>
        <v>1066468</v>
      </c>
      <c r="I19" s="1497">
        <f>+'[3]October midyear adj'!K93</f>
        <v>28313.311269870708</v>
      </c>
      <c r="J19" s="1497">
        <f>'[3]February midyear adj '!K93</f>
        <v>-28313.311269870708</v>
      </c>
      <c r="K19" s="1497">
        <f t="shared" si="16"/>
        <v>0</v>
      </c>
      <c r="L19" s="1497">
        <f>H19+K19</f>
        <v>1066468</v>
      </c>
      <c r="M19" s="1186">
        <f t="shared" si="17"/>
        <v>-2666.17</v>
      </c>
      <c r="N19" s="1186">
        <f t="shared" si="18"/>
        <v>1063801.83</v>
      </c>
      <c r="O19" s="1187">
        <v>0</v>
      </c>
      <c r="P19" s="1188">
        <f t="shared" si="19"/>
        <v>1063801.83</v>
      </c>
      <c r="Q19" s="1508">
        <f>+'[4]Table 5D- Legacy Type 2'!M17+'[27]Table 5D- Legacy Type 2'!T17+('[26]Table 5D- Legacy Type 2'!T17*3)+'[36]Table 5D- Legacy Type 2'!T19+('[5]Table 5D- Legacy Type 2'!T19*2)+89834</f>
        <v>794301</v>
      </c>
      <c r="R19" s="1508">
        <f t="shared" si="20"/>
        <v>269500.83000000007</v>
      </c>
      <c r="S19" s="1188">
        <f t="shared" si="29"/>
        <v>89834</v>
      </c>
      <c r="T19" s="1186">
        <v>0</v>
      </c>
      <c r="U19" s="1188">
        <f t="shared" si="21"/>
        <v>1063801.83</v>
      </c>
    </row>
    <row r="20" spans="1:21" ht="52.5" customHeight="1">
      <c r="A20" s="1183"/>
      <c r="B20" s="1183" t="s">
        <v>720</v>
      </c>
      <c r="C20" s="1192">
        <f>C10+C11+C14+C15+C16+C17+C18+C19</f>
        <v>4306</v>
      </c>
      <c r="D20" s="1193"/>
      <c r="E20" s="1193">
        <f>E10+E11+E14+E15+E16+E17+E18+E19</f>
        <v>41942414.370234154</v>
      </c>
      <c r="F20" s="1193"/>
      <c r="G20" s="1193">
        <f t="shared" ref="G20:U20" si="30">G10+G11+G14+G15+G16+G17+G18+G19</f>
        <v>2845695.7151703178</v>
      </c>
      <c r="H20" s="1193">
        <f t="shared" si="30"/>
        <v>44788110</v>
      </c>
      <c r="I20" s="1193">
        <f t="shared" si="30"/>
        <v>2441735.1076056771</v>
      </c>
      <c r="J20" s="1193">
        <f t="shared" si="30"/>
        <v>-278140.15118001512</v>
      </c>
      <c r="K20" s="1193">
        <f t="shared" si="30"/>
        <v>2163594.9564256622</v>
      </c>
      <c r="L20" s="1193">
        <f t="shared" si="30"/>
        <v>46951704.956425659</v>
      </c>
      <c r="M20" s="1193">
        <f t="shared" si="30"/>
        <v>-117379.26239106416</v>
      </c>
      <c r="N20" s="1193">
        <f t="shared" si="30"/>
        <v>46834325.694034599</v>
      </c>
      <c r="O20" s="1193">
        <f t="shared" si="30"/>
        <v>-4508.0545995861094</v>
      </c>
      <c r="P20" s="1194">
        <f t="shared" si="30"/>
        <v>46829817.639435008</v>
      </c>
      <c r="Q20" s="1194">
        <f t="shared" si="30"/>
        <v>34001863</v>
      </c>
      <c r="R20" s="1194">
        <f t="shared" si="30"/>
        <v>12827954.639435012</v>
      </c>
      <c r="S20" s="1194">
        <f t="shared" si="30"/>
        <v>4275986</v>
      </c>
      <c r="T20" s="1193">
        <f t="shared" si="30"/>
        <v>76000</v>
      </c>
      <c r="U20" s="1194">
        <f t="shared" si="30"/>
        <v>46905817.639435008</v>
      </c>
    </row>
    <row r="21" spans="1:21" ht="22.5" customHeight="1">
      <c r="A21" s="1195"/>
      <c r="B21" s="1195"/>
      <c r="C21" s="1196"/>
      <c r="D21" s="1197"/>
      <c r="E21" s="1196"/>
      <c r="F21" s="1196"/>
      <c r="G21" s="1196"/>
      <c r="H21" s="1196"/>
      <c r="I21" s="1196"/>
      <c r="J21" s="1196"/>
      <c r="K21" s="1196"/>
      <c r="L21" s="1196"/>
      <c r="M21" s="1196"/>
      <c r="N21" s="1196"/>
      <c r="O21" s="1196"/>
      <c r="P21" s="1198"/>
      <c r="Q21" s="1198"/>
      <c r="R21" s="1198"/>
      <c r="S21" s="1198"/>
      <c r="T21" s="1196"/>
      <c r="U21" s="1198"/>
    </row>
    <row r="22" spans="1:21" ht="34.5" customHeight="1">
      <c r="A22" s="1199"/>
      <c r="B22" s="1199" t="s">
        <v>721</v>
      </c>
      <c r="C22" s="1191"/>
      <c r="D22" s="1186"/>
      <c r="E22" s="1186"/>
      <c r="F22" s="1186"/>
      <c r="G22" s="1186"/>
      <c r="H22" s="1186"/>
      <c r="I22" s="1497"/>
      <c r="J22" s="1497"/>
      <c r="K22" s="1497"/>
      <c r="L22" s="1497"/>
      <c r="M22" s="1186">
        <f>-M20</f>
        <v>117379.26239106416</v>
      </c>
      <c r="N22" s="1186">
        <f>M22</f>
        <v>117379.26239106416</v>
      </c>
      <c r="O22" s="1187"/>
      <c r="P22" s="1188">
        <f>N22</f>
        <v>117379.26239106416</v>
      </c>
      <c r="Q22" s="1508"/>
      <c r="R22" s="1508"/>
      <c r="S22" s="1188"/>
      <c r="T22" s="1186"/>
      <c r="U22" s="1188">
        <f>S22</f>
        <v>0</v>
      </c>
    </row>
    <row r="23" spans="1:21" ht="18">
      <c r="A23" s="1195"/>
      <c r="B23" s="1195"/>
      <c r="C23" s="1196"/>
      <c r="D23" s="1197"/>
      <c r="E23" s="1196"/>
      <c r="F23" s="1196"/>
      <c r="G23" s="1196"/>
      <c r="H23" s="1196"/>
      <c r="I23" s="1196"/>
      <c r="J23" s="1196"/>
      <c r="K23" s="1196"/>
      <c r="L23" s="1196"/>
      <c r="M23" s="1196"/>
      <c r="N23" s="1196"/>
      <c r="O23" s="1196"/>
      <c r="P23" s="1198"/>
      <c r="Q23" s="1198"/>
      <c r="R23" s="1198"/>
      <c r="S23" s="1198"/>
      <c r="T23" s="1196"/>
      <c r="U23" s="1198"/>
    </row>
    <row r="24" spans="1:21" ht="18">
      <c r="A24" s="1200"/>
      <c r="B24" s="1200" t="s">
        <v>722</v>
      </c>
      <c r="C24" s="1192">
        <f>SUM(C20:C22)</f>
        <v>4306</v>
      </c>
      <c r="D24" s="1193"/>
      <c r="E24" s="1193">
        <f t="shared" ref="E24:O24" si="31">SUM(E20:E22)</f>
        <v>41942414.370234154</v>
      </c>
      <c r="F24" s="1193"/>
      <c r="G24" s="1193">
        <f t="shared" si="31"/>
        <v>2845695.7151703178</v>
      </c>
      <c r="H24" s="1193">
        <f t="shared" si="31"/>
        <v>44788110</v>
      </c>
      <c r="I24" s="1503">
        <f t="shared" si="31"/>
        <v>2441735.1076056771</v>
      </c>
      <c r="J24" s="1503">
        <f t="shared" si="31"/>
        <v>-278140.15118001512</v>
      </c>
      <c r="K24" s="1503">
        <f t="shared" si="31"/>
        <v>2163594.9564256622</v>
      </c>
      <c r="L24" s="1503">
        <f t="shared" si="31"/>
        <v>46951704.956425659</v>
      </c>
      <c r="M24" s="1193">
        <f t="shared" si="31"/>
        <v>0</v>
      </c>
      <c r="N24" s="1193">
        <f t="shared" si="31"/>
        <v>46951704.956425659</v>
      </c>
      <c r="O24" s="1193">
        <f t="shared" si="31"/>
        <v>-4508.0545995861094</v>
      </c>
      <c r="P24" s="1193">
        <f>SUM(P20:P22)</f>
        <v>46947196.901826069</v>
      </c>
      <c r="Q24" s="1502">
        <f t="shared" ref="Q24:S24" si="32">SUM(Q20:Q22)</f>
        <v>34001863</v>
      </c>
      <c r="R24" s="1502">
        <f t="shared" si="32"/>
        <v>12827954.639435012</v>
      </c>
      <c r="S24" s="1193">
        <f t="shared" si="32"/>
        <v>4275986</v>
      </c>
      <c r="T24" s="1193">
        <f>SUM(T20:T22)</f>
        <v>76000</v>
      </c>
      <c r="U24" s="1193">
        <f>SUM(U20:U22)</f>
        <v>46905817.639435008</v>
      </c>
    </row>
    <row r="25" spans="1:21" ht="15">
      <c r="B25" s="1195"/>
      <c r="C25" s="1201"/>
      <c r="D25" s="1202"/>
      <c r="E25" s="1201"/>
      <c r="F25" s="1201"/>
      <c r="G25" s="1201"/>
      <c r="H25" s="1201"/>
      <c r="I25" s="1201"/>
      <c r="J25" s="1201"/>
      <c r="K25" s="1201"/>
      <c r="L25" s="1201"/>
      <c r="M25" s="1201"/>
      <c r="N25" s="1201"/>
      <c r="O25" s="1201"/>
      <c r="P25" s="1203"/>
      <c r="Q25" s="1203"/>
      <c r="R25" s="1203"/>
    </row>
    <row r="26" spans="1:21" ht="0.75" customHeight="1">
      <c r="B26" s="1195"/>
      <c r="C26" s="1201"/>
      <c r="D26" s="1202"/>
      <c r="E26" s="1201"/>
      <c r="F26" s="1201"/>
      <c r="G26" s="1201"/>
      <c r="H26" s="941"/>
      <c r="I26" s="1505"/>
      <c r="J26" s="1505"/>
      <c r="K26" s="1505"/>
      <c r="L26" s="1505"/>
      <c r="M26" s="941"/>
      <c r="N26" s="941"/>
      <c r="O26" s="1204"/>
      <c r="P26" s="1203"/>
      <c r="Q26" s="1203"/>
      <c r="R26" s="1203"/>
    </row>
    <row r="27" spans="1:21" ht="18" hidden="1">
      <c r="B27" s="2031"/>
      <c r="C27" s="2031"/>
      <c r="D27" s="2031"/>
      <c r="E27" s="2031"/>
      <c r="F27" s="2031"/>
      <c r="G27" s="2031"/>
      <c r="H27" s="2031"/>
      <c r="I27" s="2031"/>
      <c r="J27" s="2031"/>
      <c r="K27" s="2031"/>
      <c r="L27" s="2031"/>
      <c r="M27" s="771" t="s">
        <v>1009</v>
      </c>
      <c r="N27" s="1205">
        <v>117669</v>
      </c>
      <c r="R27" s="1203"/>
    </row>
    <row r="28" spans="1:21" ht="15" hidden="1">
      <c r="B28" s="1195"/>
      <c r="C28" s="1201"/>
      <c r="D28" s="1202"/>
      <c r="E28" s="1201"/>
      <c r="F28" s="1201"/>
      <c r="G28" s="1201"/>
      <c r="H28" s="941"/>
      <c r="I28" s="1505"/>
      <c r="J28" s="1505"/>
      <c r="K28" s="1505"/>
      <c r="L28" s="1505"/>
      <c r="M28" s="771" t="s">
        <v>1010</v>
      </c>
      <c r="N28" s="1205">
        <f>M20</f>
        <v>-117379.26239106416</v>
      </c>
      <c r="R28" s="1203"/>
    </row>
    <row r="29" spans="1:21" hidden="1">
      <c r="B29" s="1195"/>
      <c r="C29" s="1201"/>
      <c r="D29" s="1202"/>
      <c r="E29" s="1201"/>
      <c r="F29" s="1201"/>
      <c r="G29" s="1201"/>
      <c r="H29" s="941"/>
      <c r="I29" s="1505"/>
      <c r="J29" s="1505"/>
      <c r="K29" s="1505"/>
      <c r="L29" s="1505"/>
      <c r="M29" s="771" t="s">
        <v>953</v>
      </c>
      <c r="N29" s="1205">
        <f>SUM(N27:N28)</f>
        <v>289.73760893584404</v>
      </c>
      <c r="R29" s="1205"/>
    </row>
    <row r="30" spans="1:21" hidden="1">
      <c r="B30" s="1206" t="s">
        <v>723</v>
      </c>
      <c r="C30" s="1201"/>
      <c r="D30" s="1202"/>
      <c r="E30" s="1201"/>
      <c r="F30" s="1201"/>
      <c r="G30" s="1201"/>
      <c r="H30" s="941"/>
      <c r="I30" s="1505"/>
      <c r="J30" s="1505"/>
      <c r="K30" s="1505"/>
      <c r="L30" s="1505"/>
      <c r="M30" s="941"/>
      <c r="N30" s="941"/>
      <c r="O30" s="941"/>
      <c r="P30" s="1201"/>
      <c r="Q30" s="1201"/>
      <c r="R30" s="1201"/>
    </row>
    <row r="31" spans="1:21">
      <c r="B31" s="1207"/>
      <c r="C31" s="1208"/>
      <c r="D31" s="1209"/>
      <c r="E31" s="1208"/>
      <c r="F31" s="1208"/>
      <c r="G31" s="1208"/>
      <c r="H31" s="1208"/>
      <c r="I31" s="1208"/>
      <c r="J31" s="1208"/>
      <c r="K31" s="1208"/>
      <c r="L31" s="1208"/>
      <c r="M31" s="1208"/>
      <c r="N31" s="1208"/>
      <c r="O31" s="1208"/>
      <c r="P31" s="1210"/>
      <c r="Q31" s="1210"/>
      <c r="R31" s="1210"/>
    </row>
    <row r="32" spans="1:21">
      <c r="B32" s="1211"/>
      <c r="C32" s="1211"/>
      <c r="D32" s="1211"/>
      <c r="E32" s="1212"/>
      <c r="F32" s="1212"/>
      <c r="G32" s="1212"/>
      <c r="H32" s="1212"/>
      <c r="I32" s="1212"/>
      <c r="J32" s="1212"/>
      <c r="K32" s="1212"/>
      <c r="L32" s="1212"/>
      <c r="M32" s="1212"/>
      <c r="N32" s="1212"/>
      <c r="O32" s="1212"/>
      <c r="P32" s="1211"/>
      <c r="Q32" s="1211"/>
      <c r="R32" s="1211"/>
    </row>
    <row r="33" spans="2:18">
      <c r="B33" s="1211"/>
      <c r="C33" s="1211"/>
      <c r="D33" s="1211"/>
      <c r="E33" s="1212"/>
      <c r="F33" s="1212"/>
      <c r="G33" s="1212"/>
      <c r="H33" s="1212"/>
      <c r="I33" s="1212"/>
      <c r="J33" s="1212"/>
      <c r="K33" s="1212"/>
      <c r="L33" s="1212"/>
      <c r="M33" s="1212"/>
      <c r="N33" s="1212"/>
      <c r="O33" s="1212"/>
      <c r="P33" s="1211"/>
      <c r="Q33" s="1211"/>
      <c r="R33" s="1211"/>
    </row>
    <row r="34" spans="2:18">
      <c r="B34" s="1211"/>
      <c r="C34" s="1211"/>
      <c r="D34" s="1211"/>
      <c r="E34" s="1211"/>
      <c r="F34" s="1211"/>
      <c r="G34" s="1211"/>
      <c r="H34" s="1211"/>
      <c r="I34" s="1211"/>
      <c r="J34" s="1211"/>
      <c r="K34" s="1211"/>
      <c r="L34" s="1211"/>
      <c r="M34" s="1211"/>
      <c r="N34" s="1211"/>
      <c r="O34" s="1211"/>
      <c r="P34" s="1211"/>
      <c r="Q34" s="1211"/>
      <c r="R34" s="1211"/>
    </row>
    <row r="35" spans="2:18">
      <c r="B35" s="1211"/>
      <c r="C35" s="1211"/>
      <c r="D35" s="1211"/>
      <c r="E35" s="1211"/>
      <c r="F35" s="1211"/>
      <c r="G35" s="1211"/>
      <c r="H35" s="1211"/>
      <c r="I35" s="1211"/>
      <c r="J35" s="1211"/>
      <c r="K35" s="1211"/>
      <c r="L35" s="1211"/>
      <c r="M35" s="1211"/>
      <c r="N35" s="1211"/>
      <c r="O35" s="1211"/>
      <c r="P35" s="1211"/>
      <c r="Q35" s="1211"/>
      <c r="R35" s="1211"/>
    </row>
    <row r="36" spans="2:18">
      <c r="B36" s="1211"/>
      <c r="C36" s="1211"/>
      <c r="D36" s="1211"/>
      <c r="E36" s="1211"/>
      <c r="F36" s="1211"/>
      <c r="G36" s="1211"/>
      <c r="H36" s="1211"/>
      <c r="I36" s="1211"/>
      <c r="J36" s="1211"/>
      <c r="K36" s="1211"/>
      <c r="L36" s="1211"/>
      <c r="M36" s="1211"/>
      <c r="N36" s="1211"/>
      <c r="O36" s="1211"/>
      <c r="P36" s="1211"/>
      <c r="Q36" s="1211"/>
      <c r="R36" s="1211"/>
    </row>
  </sheetData>
  <mergeCells count="26">
    <mergeCell ref="I5:K5"/>
    <mergeCell ref="M6:M8"/>
    <mergeCell ref="N6:N8"/>
    <mergeCell ref="O6:O8"/>
    <mergeCell ref="T6:T8"/>
    <mergeCell ref="P6:P8"/>
    <mergeCell ref="I6:I8"/>
    <mergeCell ref="J6:J8"/>
    <mergeCell ref="K6:K8"/>
    <mergeCell ref="L6:L8"/>
    <mergeCell ref="U6:U8"/>
    <mergeCell ref="B1:M1"/>
    <mergeCell ref="B3:P3"/>
    <mergeCell ref="B4:P4"/>
    <mergeCell ref="A6:A8"/>
    <mergeCell ref="B6:B8"/>
    <mergeCell ref="C6:C8"/>
    <mergeCell ref="D6:D8"/>
    <mergeCell ref="E6:E8"/>
    <mergeCell ref="F6:G6"/>
    <mergeCell ref="H6:H8"/>
    <mergeCell ref="S6:S8"/>
    <mergeCell ref="F7:F8"/>
    <mergeCell ref="G7:G8"/>
    <mergeCell ref="Q6:Q8"/>
    <mergeCell ref="R6:R8"/>
  </mergeCells>
  <printOptions horizontalCentered="1"/>
  <pageMargins left="0.25" right="0.25" top="0.54" bottom="0.18" header="0.17" footer="0.17"/>
  <pageSetup paperSize="5" scale="45" firstPageNumber="31" orientation="landscape" useFirstPageNumber="1" r:id="rId1"/>
  <headerFooter>
    <oddFooter>&amp;R&amp;P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Z106"/>
  <sheetViews>
    <sheetView view="pageBreakPreview" zoomScale="80" zoomScaleNormal="85" zoomScaleSheetLayoutView="80" workbookViewId="0">
      <pane xSplit="2" ySplit="7" topLeftCell="C8" activePane="bottomRight" state="frozen"/>
      <selection activeCell="B3" sqref="B3:B5"/>
      <selection pane="topRight" activeCell="B3" sqref="B3:B5"/>
      <selection pane="bottomLeft" activeCell="B3" sqref="B3:B5"/>
      <selection pane="bottomRight" activeCell="A2" sqref="A2:B5"/>
    </sheetView>
  </sheetViews>
  <sheetFormatPr defaultColWidth="12.5703125" defaultRowHeight="12.75"/>
  <cols>
    <col min="1" max="1" width="3.85546875" style="2" customWidth="1"/>
    <col min="2" max="2" width="20.85546875" style="2" customWidth="1"/>
    <col min="3" max="3" width="14.42578125" style="1" bestFit="1" customWidth="1"/>
    <col min="4" max="4" width="14.85546875" style="1" customWidth="1"/>
    <col min="5" max="5" width="14.28515625" style="1" customWidth="1"/>
    <col min="6" max="6" width="17.85546875" style="1" customWidth="1"/>
    <col min="7" max="7" width="13.5703125" style="1" customWidth="1"/>
    <col min="8" max="8" width="14.7109375" style="626" customWidth="1"/>
    <col min="9" max="11" width="15.140625" style="626" customWidth="1"/>
    <col min="12" max="12" width="13.5703125" style="1" customWidth="1"/>
    <col min="13" max="13" width="15.28515625" style="456" bestFit="1" customWidth="1"/>
    <col min="14" max="14" width="11.7109375" style="1" bestFit="1" customWidth="1"/>
    <col min="15" max="15" width="12.42578125" style="1" bestFit="1" customWidth="1"/>
    <col min="16" max="16" width="9.5703125" style="1" bestFit="1" customWidth="1"/>
    <col min="17" max="17" width="12.140625" style="1" bestFit="1" customWidth="1"/>
    <col min="18" max="18" width="16.85546875" style="977" customWidth="1"/>
    <col min="19" max="19" width="14.42578125" style="977" customWidth="1"/>
    <col min="20" max="20" width="14.42578125" style="1666" customWidth="1"/>
    <col min="21" max="21" width="14.42578125" style="1607" customWidth="1"/>
    <col min="22" max="22" width="10.85546875" style="1" bestFit="1" customWidth="1"/>
    <col min="23" max="23" width="12.5703125" style="2" customWidth="1"/>
    <col min="24" max="24" width="2.5703125" style="626" hidden="1" customWidth="1"/>
    <col min="25" max="25" width="37.85546875" style="626" hidden="1" customWidth="1"/>
    <col min="26" max="26" width="12.5703125" style="2" customWidth="1"/>
    <col min="27" max="16384" width="12.5703125" style="2"/>
  </cols>
  <sheetData>
    <row r="1" spans="1:26" ht="9" customHeight="1">
      <c r="B1" s="709"/>
      <c r="C1" s="710"/>
      <c r="D1" s="710"/>
    </row>
    <row r="2" spans="1:26" s="586" customFormat="1" ht="45.6" customHeight="1">
      <c r="A2" s="2467" t="s">
        <v>316</v>
      </c>
      <c r="B2" s="2468"/>
      <c r="C2" s="2481" t="s">
        <v>765</v>
      </c>
      <c r="D2" s="2482"/>
      <c r="E2" s="2482"/>
      <c r="F2" s="2482"/>
      <c r="G2" s="2482"/>
      <c r="H2" s="2482"/>
      <c r="I2" s="2482"/>
      <c r="J2" s="2482"/>
      <c r="K2" s="2482"/>
      <c r="L2" s="2483"/>
      <c r="M2" s="2484" t="s">
        <v>551</v>
      </c>
      <c r="N2" s="2485"/>
      <c r="O2" s="2485"/>
      <c r="P2" s="2485"/>
      <c r="Q2" s="2485"/>
      <c r="R2" s="2485"/>
      <c r="S2" s="2485"/>
      <c r="T2" s="2486"/>
      <c r="U2" s="2487"/>
      <c r="V2" s="2488"/>
      <c r="W2" s="2474" t="s">
        <v>550</v>
      </c>
      <c r="X2" s="584"/>
      <c r="Y2" s="585"/>
      <c r="Z2" s="2474" t="s">
        <v>527</v>
      </c>
    </row>
    <row r="3" spans="1:26" s="586" customFormat="1" ht="22.15" customHeight="1">
      <c r="A3" s="2469"/>
      <c r="B3" s="2470"/>
      <c r="C3" s="1630"/>
      <c r="D3" s="1609"/>
      <c r="E3" s="1609"/>
      <c r="F3" s="1609"/>
      <c r="G3" s="1609"/>
      <c r="H3" s="1609"/>
      <c r="I3" s="1609"/>
      <c r="J3" s="1609"/>
      <c r="K3" s="1609"/>
      <c r="L3" s="1610"/>
      <c r="M3" s="1629"/>
      <c r="N3" s="1629"/>
      <c r="O3" s="1629"/>
      <c r="P3" s="1629"/>
      <c r="Q3" s="1629"/>
      <c r="R3" s="1629"/>
      <c r="S3" s="1629"/>
      <c r="T3" s="1629"/>
      <c r="U3" s="1629"/>
      <c r="V3" s="1627"/>
      <c r="W3" s="2475"/>
      <c r="X3" s="1628"/>
      <c r="Y3" s="585"/>
      <c r="Z3" s="2475"/>
    </row>
    <row r="4" spans="1:26" ht="135.6" customHeight="1">
      <c r="A4" s="2471"/>
      <c r="B4" s="2470"/>
      <c r="C4" s="2478" t="s">
        <v>944</v>
      </c>
      <c r="D4" s="2480" t="s">
        <v>858</v>
      </c>
      <c r="E4" s="587" t="s">
        <v>317</v>
      </c>
      <c r="F4" s="587" t="s">
        <v>318</v>
      </c>
      <c r="G4" s="2480" t="s">
        <v>548</v>
      </c>
      <c r="H4" s="2311" t="s">
        <v>760</v>
      </c>
      <c r="I4" s="2311" t="s">
        <v>859</v>
      </c>
      <c r="J4" s="1634" t="s">
        <v>781</v>
      </c>
      <c r="K4" s="1634" t="s">
        <v>795</v>
      </c>
      <c r="L4" s="2480" t="s">
        <v>528</v>
      </c>
      <c r="M4" s="2493" t="s">
        <v>864</v>
      </c>
      <c r="N4" s="2490" t="s">
        <v>510</v>
      </c>
      <c r="O4" s="2490" t="s">
        <v>553</v>
      </c>
      <c r="P4" s="2490" t="s">
        <v>552</v>
      </c>
      <c r="Q4" s="2490" t="s">
        <v>549</v>
      </c>
      <c r="R4" s="2314" t="s">
        <v>794</v>
      </c>
      <c r="S4" s="2314" t="s">
        <v>982</v>
      </c>
      <c r="T4" s="2286" t="s">
        <v>920</v>
      </c>
      <c r="U4" s="1636" t="s">
        <v>795</v>
      </c>
      <c r="V4" s="2490" t="s">
        <v>540</v>
      </c>
      <c r="W4" s="2476"/>
      <c r="X4" s="588"/>
      <c r="Y4" s="589"/>
      <c r="Z4" s="2476"/>
    </row>
    <row r="5" spans="1:26" ht="30.6" customHeight="1">
      <c r="A5" s="2472"/>
      <c r="B5" s="2473"/>
      <c r="C5" s="2479"/>
      <c r="D5" s="2480"/>
      <c r="E5" s="590">
        <f>E84</f>
        <v>0.31638418079096048</v>
      </c>
      <c r="F5" s="591">
        <f>C103</f>
        <v>1470.3473918621949</v>
      </c>
      <c r="G5" s="2480"/>
      <c r="H5" s="2312"/>
      <c r="I5" s="2312"/>
      <c r="J5" s="1635"/>
      <c r="K5" s="1635"/>
      <c r="L5" s="2480"/>
      <c r="M5" s="2494"/>
      <c r="N5" s="2491"/>
      <c r="O5" s="2491"/>
      <c r="P5" s="2491"/>
      <c r="Q5" s="2491"/>
      <c r="R5" s="2287"/>
      <c r="S5" s="2287"/>
      <c r="T5" s="2287"/>
      <c r="U5" s="1637"/>
      <c r="V5" s="2491"/>
      <c r="W5" s="2477"/>
      <c r="X5" s="588"/>
      <c r="Y5" s="589"/>
      <c r="Z5" s="2477"/>
    </row>
    <row r="6" spans="1:26" s="595" customFormat="1" ht="14.25" customHeight="1">
      <c r="A6" s="592"/>
      <c r="B6" s="593"/>
      <c r="C6" s="594">
        <v>1</v>
      </c>
      <c r="D6" s="594">
        <f t="shared" ref="D6:H6" si="0">C6+1</f>
        <v>2</v>
      </c>
      <c r="E6" s="594">
        <f t="shared" si="0"/>
        <v>3</v>
      </c>
      <c r="F6" s="594">
        <f t="shared" si="0"/>
        <v>4</v>
      </c>
      <c r="G6" s="594">
        <f t="shared" si="0"/>
        <v>5</v>
      </c>
      <c r="H6" s="594">
        <f t="shared" si="0"/>
        <v>6</v>
      </c>
      <c r="I6" s="594">
        <f t="shared" ref="I6" si="1">H6+1</f>
        <v>7</v>
      </c>
      <c r="J6" s="594">
        <f t="shared" ref="J6" si="2">I6+1</f>
        <v>8</v>
      </c>
      <c r="K6" s="594">
        <f t="shared" ref="K6" si="3">J6+1</f>
        <v>9</v>
      </c>
      <c r="L6" s="594">
        <f t="shared" ref="L6" si="4">K6+1</f>
        <v>10</v>
      </c>
      <c r="M6" s="594">
        <f t="shared" ref="M6" si="5">L6+1</f>
        <v>11</v>
      </c>
      <c r="N6" s="594">
        <f t="shared" ref="N6" si="6">M6+1</f>
        <v>12</v>
      </c>
      <c r="O6" s="594">
        <f t="shared" ref="O6" si="7">N6+1</f>
        <v>13</v>
      </c>
      <c r="P6" s="594">
        <f t="shared" ref="P6" si="8">O6+1</f>
        <v>14</v>
      </c>
      <c r="Q6" s="594">
        <f t="shared" ref="Q6:R6" si="9">P6+1</f>
        <v>15</v>
      </c>
      <c r="R6" s="594">
        <f t="shared" si="9"/>
        <v>16</v>
      </c>
      <c r="S6" s="594">
        <f t="shared" ref="S6" si="10">R6+1</f>
        <v>17</v>
      </c>
      <c r="T6" s="594">
        <f t="shared" ref="T6" si="11">S6+1</f>
        <v>18</v>
      </c>
      <c r="U6" s="594">
        <f t="shared" ref="U6" si="12">T6+1</f>
        <v>19</v>
      </c>
      <c r="V6" s="594">
        <f t="shared" ref="V6" si="13">U6+1</f>
        <v>20</v>
      </c>
      <c r="W6" s="594">
        <f t="shared" ref="W6" si="14">V6+1</f>
        <v>21</v>
      </c>
      <c r="X6" s="594">
        <f t="shared" ref="X6" si="15">W6+1</f>
        <v>22</v>
      </c>
      <c r="Y6" s="594">
        <f t="shared" ref="Y6" si="16">X6+1</f>
        <v>23</v>
      </c>
      <c r="Z6" s="594">
        <v>33</v>
      </c>
    </row>
    <row r="7" spans="1:26" s="603" customFormat="1" ht="27" customHeight="1">
      <c r="A7" s="596"/>
      <c r="B7" s="597"/>
      <c r="C7" s="598" t="s">
        <v>381</v>
      </c>
      <c r="D7" s="599" t="s">
        <v>319</v>
      </c>
      <c r="E7" s="598" t="s">
        <v>320</v>
      </c>
      <c r="F7" s="598" t="s">
        <v>321</v>
      </c>
      <c r="G7" s="598" t="s">
        <v>322</v>
      </c>
      <c r="H7" s="598"/>
      <c r="I7" s="598" t="s">
        <v>860</v>
      </c>
      <c r="J7" s="1626"/>
      <c r="K7" s="1626" t="s">
        <v>861</v>
      </c>
      <c r="L7" s="598" t="s">
        <v>862</v>
      </c>
      <c r="M7" s="602" t="s">
        <v>319</v>
      </c>
      <c r="N7" s="599" t="s">
        <v>323</v>
      </c>
      <c r="O7" s="599" t="s">
        <v>863</v>
      </c>
      <c r="P7" s="599" t="s">
        <v>865</v>
      </c>
      <c r="Q7" s="599" t="s">
        <v>866</v>
      </c>
      <c r="R7" s="599"/>
      <c r="S7" s="599" t="s">
        <v>867</v>
      </c>
      <c r="T7" s="1625"/>
      <c r="U7" s="1625" t="s">
        <v>868</v>
      </c>
      <c r="V7" s="599" t="s">
        <v>869</v>
      </c>
      <c r="W7" s="599" t="s">
        <v>870</v>
      </c>
      <c r="X7" s="600"/>
      <c r="Y7" s="601"/>
      <c r="Z7" s="599" t="s">
        <v>871</v>
      </c>
    </row>
    <row r="8" spans="1:26">
      <c r="A8" s="604">
        <v>1</v>
      </c>
      <c r="B8" s="605" t="s">
        <v>92</v>
      </c>
      <c r="C8" s="606">
        <f>'[38]2012 Final Summary 20131029'!E6</f>
        <v>2.1717360000000001</v>
      </c>
      <c r="D8" s="607">
        <f>'Table 3 Levels 1&amp;2'!AP8</f>
        <v>5375.0682673899437</v>
      </c>
      <c r="E8" s="607">
        <f t="shared" ref="E8:E71" si="17">D8*(1+$E$5)</f>
        <v>7075.654837863598</v>
      </c>
      <c r="F8" s="607">
        <f>E8+$F$5</f>
        <v>8546.0022297257929</v>
      </c>
      <c r="G8" s="608">
        <f>C8*F8</f>
        <v>18559.660698375774</v>
      </c>
      <c r="H8" s="1949">
        <f>'[39]Oct midyear adj_OJJ'!$I6</f>
        <v>0</v>
      </c>
      <c r="I8" s="978">
        <f t="shared" ref="I8:I39" si="18">G8+H8</f>
        <v>18559.660698375774</v>
      </c>
      <c r="J8" s="1957">
        <f>'[4]Table 5E_OJJ'!K7*8</f>
        <v>12648</v>
      </c>
      <c r="K8" s="1957">
        <f>I8-J8</f>
        <v>5911.6606983757738</v>
      </c>
      <c r="L8" s="608">
        <f>ROUND(K8/4,0)</f>
        <v>1478</v>
      </c>
      <c r="M8" s="611">
        <f>'Table 3 Levels 1&amp;2'!AS8</f>
        <v>20575110</v>
      </c>
      <c r="N8" s="612">
        <f>'Table 3 Levels 1&amp;2'!C8</f>
        <v>9586</v>
      </c>
      <c r="O8" s="612">
        <f t="shared" ref="O8:O39" si="19">C8+N8</f>
        <v>9588.1717360000002</v>
      </c>
      <c r="P8" s="613">
        <f>M8/O8</f>
        <v>2145.8845926536915</v>
      </c>
      <c r="Q8" s="614">
        <f t="shared" ref="Q8:Q39" si="20">C8*P8</f>
        <v>4660.2948217113571</v>
      </c>
      <c r="R8" s="1964">
        <f>'[39]Oct midyear adj_OJJ'!$K6</f>
        <v>0</v>
      </c>
      <c r="S8" s="614">
        <f>Q8+R8</f>
        <v>4660.2948217113571</v>
      </c>
      <c r="T8" s="613">
        <f>'[4]Table 5E_OJJ'!S7*8</f>
        <v>3176</v>
      </c>
      <c r="U8" s="613">
        <f>S8-T8</f>
        <v>1484.2948217113571</v>
      </c>
      <c r="V8" s="614">
        <f>ROUND(U8/4,0)</f>
        <v>371</v>
      </c>
      <c r="W8" s="615">
        <f t="shared" ref="W8:W39" si="21">G8+Q8</f>
        <v>23219.955520087133</v>
      </c>
      <c r="X8" s="609"/>
      <c r="Y8" s="610"/>
      <c r="Z8" s="615">
        <f t="shared" ref="Z8:Z39" si="22">L8+V8</f>
        <v>1849</v>
      </c>
    </row>
    <row r="9" spans="1:26">
      <c r="A9" s="616">
        <v>2</v>
      </c>
      <c r="B9" s="617" t="s">
        <v>93</v>
      </c>
      <c r="C9" s="618">
        <f>'[38]2012 Final Summary 20131029'!E7</f>
        <v>0</v>
      </c>
      <c r="D9" s="619">
        <f>'Table 3 Levels 1&amp;2'!AP9</f>
        <v>7024.7513545138372</v>
      </c>
      <c r="E9" s="619">
        <f t="shared" si="17"/>
        <v>9247.2715570718865</v>
      </c>
      <c r="F9" s="619">
        <f t="shared" ref="F9:F72" si="23">E9+$F$5</f>
        <v>10717.618948934081</v>
      </c>
      <c r="G9" s="620">
        <f t="shared" ref="G9:G72" si="24">C9*F9</f>
        <v>0</v>
      </c>
      <c r="H9" s="1950">
        <f>'[39]Oct midyear adj_OJJ'!$I7</f>
        <v>0</v>
      </c>
      <c r="I9" s="620">
        <f t="shared" si="18"/>
        <v>0</v>
      </c>
      <c r="J9" s="1958">
        <f>'[4]Table 5E_OJJ'!K8*8</f>
        <v>0</v>
      </c>
      <c r="K9" s="1958">
        <f t="shared" ref="K9:K72" si="25">I9-J9</f>
        <v>0</v>
      </c>
      <c r="L9" s="620">
        <f t="shared" ref="L9:L72" si="26">ROUND(K9/4,0)</f>
        <v>0</v>
      </c>
      <c r="M9" s="611">
        <f>'Table 3 Levels 1&amp;2'!AS9</f>
        <v>10744736</v>
      </c>
      <c r="N9" s="621">
        <f>'Table 3 Levels 1&amp;2'!C9</f>
        <v>4083</v>
      </c>
      <c r="O9" s="621">
        <f t="shared" si="19"/>
        <v>4083</v>
      </c>
      <c r="P9" s="622">
        <f t="shared" ref="P9:P72" si="27">M9/O9</f>
        <v>2631.5787411217243</v>
      </c>
      <c r="Q9" s="623">
        <f t="shared" si="20"/>
        <v>0</v>
      </c>
      <c r="R9" s="1966">
        <f>'[39]Oct midyear adj_OJJ'!$K7</f>
        <v>0</v>
      </c>
      <c r="S9" s="623">
        <f t="shared" ref="S9:S72" si="28">Q9+R9</f>
        <v>0</v>
      </c>
      <c r="T9" s="1970">
        <f>'[4]Table 5E_OJJ'!S8*8</f>
        <v>0</v>
      </c>
      <c r="U9" s="1970">
        <f t="shared" ref="U9:U72" si="29">S9-T9</f>
        <v>0</v>
      </c>
      <c r="V9" s="623">
        <f t="shared" ref="V9:V72" si="30">ROUND(U9/4,0)</f>
        <v>0</v>
      </c>
      <c r="W9" s="624">
        <f t="shared" si="21"/>
        <v>0</v>
      </c>
      <c r="X9" s="609"/>
      <c r="Y9" s="610"/>
      <c r="Z9" s="624">
        <f t="shared" si="22"/>
        <v>0</v>
      </c>
    </row>
    <row r="10" spans="1:26" ht="12.75" customHeight="1">
      <c r="A10" s="616">
        <v>3</v>
      </c>
      <c r="B10" s="617" t="s">
        <v>94</v>
      </c>
      <c r="C10" s="618">
        <f>'[38]2012 Final Summary 20131029'!E8</f>
        <v>1.3320000000000001</v>
      </c>
      <c r="D10" s="619">
        <f>'Table 3 Levels 1&amp;2'!AP10</f>
        <v>4803.5507376853611</v>
      </c>
      <c r="E10" s="619">
        <f t="shared" si="17"/>
        <v>6323.3182027157582</v>
      </c>
      <c r="F10" s="619">
        <f t="shared" si="23"/>
        <v>7793.665594577953</v>
      </c>
      <c r="G10" s="620">
        <f t="shared" si="24"/>
        <v>10381.162571977835</v>
      </c>
      <c r="H10" s="1950">
        <f>'[39]Oct midyear adj_OJJ'!$I8</f>
        <v>0</v>
      </c>
      <c r="I10" s="620">
        <f t="shared" si="18"/>
        <v>10381.162571977835</v>
      </c>
      <c r="J10" s="1958">
        <f>'[4]Table 5E_OJJ'!K9*8</f>
        <v>6920</v>
      </c>
      <c r="K10" s="1958">
        <f t="shared" si="25"/>
        <v>3461.1625719778349</v>
      </c>
      <c r="L10" s="620">
        <f t="shared" si="26"/>
        <v>865</v>
      </c>
      <c r="M10" s="611">
        <f>'Table 3 Levels 1&amp;2'!AS10</f>
        <v>70444431.719999999</v>
      </c>
      <c r="N10" s="621">
        <f>'Table 3 Levels 1&amp;2'!C10</f>
        <v>20592</v>
      </c>
      <c r="O10" s="621">
        <f t="shared" si="19"/>
        <v>20593.331999999999</v>
      </c>
      <c r="P10" s="622">
        <f t="shared" si="27"/>
        <v>3420.7398647290302</v>
      </c>
      <c r="Q10" s="623">
        <f t="shared" si="20"/>
        <v>4556.4254998190681</v>
      </c>
      <c r="R10" s="1966">
        <f>'[39]Oct midyear adj_OJJ'!$K8</f>
        <v>0</v>
      </c>
      <c r="S10" s="623">
        <f t="shared" si="28"/>
        <v>4556.4254998190681</v>
      </c>
      <c r="T10" s="1970">
        <f>'[4]Table 5E_OJJ'!S9*8</f>
        <v>3040</v>
      </c>
      <c r="U10" s="1970">
        <f t="shared" si="29"/>
        <v>1516.4254998190681</v>
      </c>
      <c r="V10" s="623">
        <f t="shared" si="30"/>
        <v>379</v>
      </c>
      <c r="W10" s="624">
        <f t="shared" si="21"/>
        <v>14937.588071796903</v>
      </c>
      <c r="X10" s="625" t="s">
        <v>234</v>
      </c>
      <c r="Y10" s="2492" t="s">
        <v>324</v>
      </c>
      <c r="Z10" s="624">
        <f t="shared" si="22"/>
        <v>1244</v>
      </c>
    </row>
    <row r="11" spans="1:26" ht="12.75" customHeight="1">
      <c r="A11" s="616">
        <v>4</v>
      </c>
      <c r="B11" s="617" t="s">
        <v>95</v>
      </c>
      <c r="C11" s="618">
        <f>'[38]2012 Final Summary 20131029'!E9</f>
        <v>0.128</v>
      </c>
      <c r="D11" s="619">
        <f>'Table 3 Levels 1&amp;2'!AP11</f>
        <v>6573.2593535453216</v>
      </c>
      <c r="E11" s="619">
        <f t="shared" si="17"/>
        <v>8652.9346292432765</v>
      </c>
      <c r="F11" s="619">
        <f t="shared" si="23"/>
        <v>10123.282021105471</v>
      </c>
      <c r="G11" s="620">
        <f t="shared" si="24"/>
        <v>1295.7800987015003</v>
      </c>
      <c r="H11" s="1950">
        <f>'[39]Oct midyear adj_OJJ'!$I9</f>
        <v>0</v>
      </c>
      <c r="I11" s="620">
        <f t="shared" si="18"/>
        <v>1295.7800987015003</v>
      </c>
      <c r="J11" s="1958">
        <f>'[4]Table 5E_OJJ'!K10*8</f>
        <v>864</v>
      </c>
      <c r="K11" s="1958">
        <f t="shared" si="25"/>
        <v>431.78009870150026</v>
      </c>
      <c r="L11" s="620">
        <f t="shared" si="26"/>
        <v>108</v>
      </c>
      <c r="M11" s="611">
        <f>'Table 3 Levels 1&amp;2'!AS11</f>
        <v>11322531.220000001</v>
      </c>
      <c r="N11" s="621">
        <f>'Table 3 Levels 1&amp;2'!C11</f>
        <v>3551</v>
      </c>
      <c r="O11" s="621">
        <f t="shared" si="19"/>
        <v>3551.1280000000002</v>
      </c>
      <c r="P11" s="622">
        <f t="shared" si="27"/>
        <v>3188.4323009477553</v>
      </c>
      <c r="Q11" s="623">
        <f t="shared" si="20"/>
        <v>408.11933452131268</v>
      </c>
      <c r="R11" s="1966">
        <f>'[39]Oct midyear adj_OJJ'!$K9</f>
        <v>0</v>
      </c>
      <c r="S11" s="623">
        <f t="shared" si="28"/>
        <v>408.11933452131268</v>
      </c>
      <c r="T11" s="1970">
        <f>'[4]Table 5E_OJJ'!S10*8</f>
        <v>272</v>
      </c>
      <c r="U11" s="1970">
        <f t="shared" si="29"/>
        <v>136.11933452131268</v>
      </c>
      <c r="V11" s="623">
        <f t="shared" si="30"/>
        <v>34</v>
      </c>
      <c r="W11" s="624">
        <f t="shared" si="21"/>
        <v>1703.8994332228131</v>
      </c>
      <c r="Y11" s="2492"/>
      <c r="Z11" s="624">
        <f t="shared" si="22"/>
        <v>142</v>
      </c>
    </row>
    <row r="12" spans="1:26">
      <c r="A12" s="627">
        <v>5</v>
      </c>
      <c r="B12" s="628" t="s">
        <v>96</v>
      </c>
      <c r="C12" s="629">
        <f>'[38]2012 Final Summary 20131029'!E10</f>
        <v>2.502402</v>
      </c>
      <c r="D12" s="630">
        <f>'Table 3 Levels 1&amp;2'!AP12</f>
        <v>5542.7266927080072</v>
      </c>
      <c r="E12" s="630">
        <f t="shared" si="17"/>
        <v>7296.3577367286198</v>
      </c>
      <c r="F12" s="630">
        <f t="shared" si="23"/>
        <v>8766.7051285908146</v>
      </c>
      <c r="G12" s="631">
        <f t="shared" si="24"/>
        <v>21937.820447195911</v>
      </c>
      <c r="H12" s="1951">
        <f>'[39]Oct midyear adj_OJJ'!$I10</f>
        <v>0</v>
      </c>
      <c r="I12" s="631">
        <f t="shared" si="18"/>
        <v>21937.820447195911</v>
      </c>
      <c r="J12" s="1959">
        <f>'[4]Table 5E_OJJ'!K11*8</f>
        <v>14624</v>
      </c>
      <c r="K12" s="1959">
        <f t="shared" si="25"/>
        <v>7313.8204471959107</v>
      </c>
      <c r="L12" s="631">
        <f t="shared" si="26"/>
        <v>1828</v>
      </c>
      <c r="M12" s="633">
        <f>'Table 3 Levels 1&amp;2'!AS12</f>
        <v>8911093.5</v>
      </c>
      <c r="N12" s="634">
        <f>'Table 3 Levels 1&amp;2'!C12</f>
        <v>5757</v>
      </c>
      <c r="O12" s="634">
        <f t="shared" si="19"/>
        <v>5759.5024020000001</v>
      </c>
      <c r="P12" s="635">
        <f t="shared" si="27"/>
        <v>1547.198503972427</v>
      </c>
      <c r="Q12" s="636">
        <f t="shared" si="20"/>
        <v>3871.7126307376093</v>
      </c>
      <c r="R12" s="1967">
        <f>'[39]Oct midyear adj_OJJ'!$K10</f>
        <v>0</v>
      </c>
      <c r="S12" s="636">
        <f t="shared" si="28"/>
        <v>3871.7126307376093</v>
      </c>
      <c r="T12" s="1971">
        <f>'[4]Table 5E_OJJ'!S11*8</f>
        <v>2584</v>
      </c>
      <c r="U12" s="1971">
        <f t="shared" si="29"/>
        <v>1287.7126307376093</v>
      </c>
      <c r="V12" s="636">
        <f t="shared" si="30"/>
        <v>322</v>
      </c>
      <c r="W12" s="637">
        <f t="shared" si="21"/>
        <v>25809.53307793352</v>
      </c>
      <c r="X12" s="610"/>
      <c r="Y12" s="632"/>
      <c r="Z12" s="637">
        <f t="shared" si="22"/>
        <v>2150</v>
      </c>
    </row>
    <row r="13" spans="1:26" ht="12.75" customHeight="1">
      <c r="A13" s="604">
        <v>6</v>
      </c>
      <c r="B13" s="605" t="s">
        <v>97</v>
      </c>
      <c r="C13" s="606">
        <f>'[38]2012 Final Summary 20131029'!E11</f>
        <v>2.170404</v>
      </c>
      <c r="D13" s="607">
        <f>'Table 3 Levels 1&amp;2'!AP13</f>
        <v>5958.2683404260588</v>
      </c>
      <c r="E13" s="607">
        <f t="shared" si="17"/>
        <v>7843.370188244473</v>
      </c>
      <c r="F13" s="607">
        <f t="shared" si="23"/>
        <v>9313.7175801066678</v>
      </c>
      <c r="G13" s="608">
        <f t="shared" si="24"/>
        <v>20214.529890733833</v>
      </c>
      <c r="H13" s="1949">
        <f>'[39]Oct midyear adj_OJJ'!$I11</f>
        <v>0</v>
      </c>
      <c r="I13" s="608">
        <f t="shared" si="18"/>
        <v>20214.529890733833</v>
      </c>
      <c r="J13" s="607">
        <f>'[4]Table 5E_OJJ'!K12*8</f>
        <v>13480</v>
      </c>
      <c r="K13" s="607">
        <f t="shared" si="25"/>
        <v>6734.5298907338329</v>
      </c>
      <c r="L13" s="608">
        <f t="shared" si="26"/>
        <v>1684</v>
      </c>
      <c r="M13" s="611">
        <f>'Table 3 Levels 1&amp;2'!AS13</f>
        <v>19066110.02</v>
      </c>
      <c r="N13" s="612">
        <f>'Table 3 Levels 1&amp;2'!C13</f>
        <v>6057</v>
      </c>
      <c r="O13" s="612">
        <f t="shared" si="19"/>
        <v>6059.1704040000004</v>
      </c>
      <c r="P13" s="613">
        <f t="shared" si="27"/>
        <v>3146.6535431011125</v>
      </c>
      <c r="Q13" s="614">
        <f t="shared" si="20"/>
        <v>6829.5094365608275</v>
      </c>
      <c r="R13" s="1964">
        <f>'[39]Oct midyear adj_OJJ'!$K11</f>
        <v>0</v>
      </c>
      <c r="S13" s="614">
        <f t="shared" si="28"/>
        <v>6829.5094365608275</v>
      </c>
      <c r="T13" s="613">
        <f>'[4]Table 5E_OJJ'!S12*8</f>
        <v>4552</v>
      </c>
      <c r="U13" s="613">
        <f t="shared" si="29"/>
        <v>2277.5094365608275</v>
      </c>
      <c r="V13" s="614">
        <f t="shared" si="30"/>
        <v>569</v>
      </c>
      <c r="W13" s="615">
        <f t="shared" si="21"/>
        <v>27044.03932729466</v>
      </c>
      <c r="X13" s="609" t="s">
        <v>325</v>
      </c>
      <c r="Y13" s="2489" t="s">
        <v>326</v>
      </c>
      <c r="Z13" s="615">
        <f t="shared" si="22"/>
        <v>2253</v>
      </c>
    </row>
    <row r="14" spans="1:26">
      <c r="A14" s="616">
        <v>7</v>
      </c>
      <c r="B14" s="617" t="s">
        <v>98</v>
      </c>
      <c r="C14" s="618">
        <f>'[38]2012 Final Summary 20131029'!E12</f>
        <v>0.28415299999999999</v>
      </c>
      <c r="D14" s="619">
        <f>'Table 3 Levels 1&amp;2'!AP14</f>
        <v>2523.0223604176122</v>
      </c>
      <c r="E14" s="619">
        <f t="shared" si="17"/>
        <v>3321.2667230356137</v>
      </c>
      <c r="F14" s="619">
        <f t="shared" si="23"/>
        <v>4791.6141148978086</v>
      </c>
      <c r="G14" s="620">
        <f t="shared" si="24"/>
        <v>1361.551525590557</v>
      </c>
      <c r="H14" s="1950">
        <f>'[39]Oct midyear adj_OJJ'!$I12</f>
        <v>0</v>
      </c>
      <c r="I14" s="620">
        <f t="shared" si="18"/>
        <v>1361.551525590557</v>
      </c>
      <c r="J14" s="1958">
        <f>'[4]Table 5E_OJJ'!K13*8</f>
        <v>904</v>
      </c>
      <c r="K14" s="1958">
        <f t="shared" si="25"/>
        <v>457.55152559055705</v>
      </c>
      <c r="L14" s="620">
        <f t="shared" si="26"/>
        <v>114</v>
      </c>
      <c r="M14" s="611">
        <f>'Table 3 Levels 1&amp;2'!AS14</f>
        <v>13141950.02</v>
      </c>
      <c r="N14" s="621">
        <f>'Table 3 Levels 1&amp;2'!C14</f>
        <v>2203</v>
      </c>
      <c r="O14" s="621">
        <f t="shared" si="19"/>
        <v>2203.2841530000001</v>
      </c>
      <c r="P14" s="622">
        <f t="shared" si="27"/>
        <v>5964.7095460228638</v>
      </c>
      <c r="Q14" s="623">
        <f t="shared" si="20"/>
        <v>1694.8901116310349</v>
      </c>
      <c r="R14" s="1966">
        <f>'[39]Oct midyear adj_OJJ'!$K12</f>
        <v>0</v>
      </c>
      <c r="S14" s="623">
        <f t="shared" si="28"/>
        <v>1694.8901116310349</v>
      </c>
      <c r="T14" s="1970">
        <f>'[4]Table 5E_OJJ'!S13*8</f>
        <v>1128</v>
      </c>
      <c r="U14" s="1970">
        <f t="shared" si="29"/>
        <v>566.89011163103487</v>
      </c>
      <c r="V14" s="623">
        <f t="shared" si="30"/>
        <v>142</v>
      </c>
      <c r="W14" s="624">
        <f t="shared" si="21"/>
        <v>3056.4416372215919</v>
      </c>
      <c r="X14" s="609"/>
      <c r="Y14" s="2489"/>
      <c r="Z14" s="624">
        <f t="shared" si="22"/>
        <v>256</v>
      </c>
    </row>
    <row r="15" spans="1:26">
      <c r="A15" s="616">
        <v>8</v>
      </c>
      <c r="B15" s="617" t="s">
        <v>99</v>
      </c>
      <c r="C15" s="618">
        <f>'[38]2012 Final Summary 20131029'!E13</f>
        <v>8.5510739999999998</v>
      </c>
      <c r="D15" s="619">
        <f>'Table 3 Levels 1&amp;2'!AP15</f>
        <v>5015.2673606712342</v>
      </c>
      <c r="E15" s="619">
        <f t="shared" si="17"/>
        <v>6602.018616024845</v>
      </c>
      <c r="F15" s="619">
        <f t="shared" si="23"/>
        <v>8072.3660078870398</v>
      </c>
      <c r="G15" s="620">
        <f t="shared" si="24"/>
        <v>69027.399088526654</v>
      </c>
      <c r="H15" s="1950">
        <f>'[39]Oct midyear adj_OJJ'!$I13</f>
        <v>0</v>
      </c>
      <c r="I15" s="620">
        <f t="shared" si="18"/>
        <v>69027.399088526654</v>
      </c>
      <c r="J15" s="1958">
        <f>'[4]Table 5E_OJJ'!K14*8</f>
        <v>42736</v>
      </c>
      <c r="K15" s="1958">
        <f t="shared" si="25"/>
        <v>26291.399088526654</v>
      </c>
      <c r="L15" s="620">
        <f t="shared" si="26"/>
        <v>6573</v>
      </c>
      <c r="M15" s="611">
        <f>'Table 3 Levels 1&amp;2'!AS15</f>
        <v>72897626.780000001</v>
      </c>
      <c r="N15" s="621">
        <f>'Table 3 Levels 1&amp;2'!C15</f>
        <v>21190</v>
      </c>
      <c r="O15" s="621">
        <f t="shared" si="19"/>
        <v>21198.551073999999</v>
      </c>
      <c r="P15" s="622">
        <f t="shared" si="27"/>
        <v>3438.8023278349842</v>
      </c>
      <c r="Q15" s="623">
        <f t="shared" si="20"/>
        <v>29405.453176689211</v>
      </c>
      <c r="R15" s="1966">
        <f>'[39]Oct midyear adj_OJJ'!$K13</f>
        <v>0</v>
      </c>
      <c r="S15" s="623">
        <f t="shared" si="28"/>
        <v>29405.453176689211</v>
      </c>
      <c r="T15" s="1970">
        <f>'[4]Table 5E_OJJ'!S14*8</f>
        <v>18208</v>
      </c>
      <c r="U15" s="1970">
        <f t="shared" si="29"/>
        <v>11197.453176689211</v>
      </c>
      <c r="V15" s="623">
        <f t="shared" si="30"/>
        <v>2799</v>
      </c>
      <c r="W15" s="624">
        <f t="shared" si="21"/>
        <v>98432.852265215857</v>
      </c>
      <c r="X15" s="609"/>
      <c r="Y15" s="2489"/>
      <c r="Z15" s="624">
        <f t="shared" si="22"/>
        <v>9372</v>
      </c>
    </row>
    <row r="16" spans="1:26">
      <c r="A16" s="616">
        <v>9</v>
      </c>
      <c r="B16" s="617" t="s">
        <v>100</v>
      </c>
      <c r="C16" s="618">
        <f>'[38]2012 Final Summary 20131029'!E14</f>
        <v>38.415633</v>
      </c>
      <c r="D16" s="619">
        <f>'Table 3 Levels 1&amp;2'!AP16</f>
        <v>5140.375451688933</v>
      </c>
      <c r="E16" s="619">
        <f t="shared" si="17"/>
        <v>6766.7089279294996</v>
      </c>
      <c r="F16" s="619">
        <f t="shared" si="23"/>
        <v>8237.0563197916945</v>
      </c>
      <c r="G16" s="620">
        <f t="shared" si="24"/>
        <v>316431.73258144839</v>
      </c>
      <c r="H16" s="1950">
        <v>0</v>
      </c>
      <c r="I16" s="620">
        <f t="shared" si="18"/>
        <v>316431.73258144839</v>
      </c>
      <c r="J16" s="1958">
        <f>'[4]Table 5E_OJJ'!K15*8</f>
        <v>197032</v>
      </c>
      <c r="K16" s="1958">
        <f t="shared" si="25"/>
        <v>119399.73258144839</v>
      </c>
      <c r="L16" s="620">
        <f t="shared" si="26"/>
        <v>29850</v>
      </c>
      <c r="M16" s="611">
        <f>'Table 3 Levels 1&amp;2'!AS16</f>
        <v>140400178.03999999</v>
      </c>
      <c r="N16" s="621">
        <f>'Table 3 Levels 1&amp;2'!C16</f>
        <v>40876</v>
      </c>
      <c r="O16" s="621">
        <f t="shared" si="19"/>
        <v>40914.415632999997</v>
      </c>
      <c r="P16" s="622">
        <f t="shared" si="27"/>
        <v>3431.5577008207006</v>
      </c>
      <c r="Q16" s="623">
        <f t="shared" si="20"/>
        <v>131825.46125305182</v>
      </c>
      <c r="R16" s="1966">
        <v>0</v>
      </c>
      <c r="S16" s="623">
        <f t="shared" si="28"/>
        <v>131825.46125305182</v>
      </c>
      <c r="T16" s="1970">
        <f>'[4]Table 5E_OJJ'!S15*8</f>
        <v>82088</v>
      </c>
      <c r="U16" s="1970">
        <f t="shared" si="29"/>
        <v>49737.461253051821</v>
      </c>
      <c r="V16" s="623">
        <f t="shared" si="30"/>
        <v>12434</v>
      </c>
      <c r="W16" s="624">
        <f t="shared" si="21"/>
        <v>448257.19383450021</v>
      </c>
      <c r="X16" s="609"/>
      <c r="Z16" s="624">
        <f t="shared" si="22"/>
        <v>42284</v>
      </c>
    </row>
    <row r="17" spans="1:26">
      <c r="A17" s="627">
        <v>10</v>
      </c>
      <c r="B17" s="628" t="s">
        <v>101</v>
      </c>
      <c r="C17" s="629">
        <f>'[38]2012 Final Summary 20131029'!E15</f>
        <v>14.147537</v>
      </c>
      <c r="D17" s="630">
        <f>'Table 3 Levels 1&amp;2'!AP17</f>
        <v>4861.6380618992443</v>
      </c>
      <c r="E17" s="630">
        <f t="shared" si="17"/>
        <v>6399.783437415389</v>
      </c>
      <c r="F17" s="630">
        <f t="shared" si="23"/>
        <v>7870.1308292775839</v>
      </c>
      <c r="G17" s="631">
        <f t="shared" si="24"/>
        <v>111342.9671020453</v>
      </c>
      <c r="H17" s="1951">
        <v>0</v>
      </c>
      <c r="I17" s="631">
        <f t="shared" si="18"/>
        <v>111342.9671020453</v>
      </c>
      <c r="J17" s="1959">
        <f>'[4]Table 5E_OJJ'!K16*8</f>
        <v>72328</v>
      </c>
      <c r="K17" s="1959">
        <f t="shared" si="25"/>
        <v>39014.967102045295</v>
      </c>
      <c r="L17" s="631">
        <f t="shared" si="26"/>
        <v>9754</v>
      </c>
      <c r="M17" s="633">
        <f>'Table 3 Levels 1&amp;2'!AS17</f>
        <v>122532271.59999999</v>
      </c>
      <c r="N17" s="634">
        <f>'Table 3 Levels 1&amp;2'!C17</f>
        <v>32046</v>
      </c>
      <c r="O17" s="634">
        <f t="shared" si="19"/>
        <v>32060.147537000001</v>
      </c>
      <c r="P17" s="635">
        <f t="shared" si="27"/>
        <v>3821.9497105740966</v>
      </c>
      <c r="Q17" s="636">
        <f t="shared" si="20"/>
        <v>54071.174942486323</v>
      </c>
      <c r="R17" s="1967">
        <v>0</v>
      </c>
      <c r="S17" s="636">
        <f t="shared" si="28"/>
        <v>54071.174942486323</v>
      </c>
      <c r="T17" s="1971">
        <f>'[4]Table 5E_OJJ'!S16*8</f>
        <v>35120</v>
      </c>
      <c r="U17" s="1971">
        <f t="shared" si="29"/>
        <v>18951.174942486323</v>
      </c>
      <c r="V17" s="636">
        <f t="shared" si="30"/>
        <v>4738</v>
      </c>
      <c r="W17" s="637">
        <f t="shared" si="21"/>
        <v>165414.14204453162</v>
      </c>
      <c r="X17" s="610"/>
      <c r="Y17" s="2492"/>
      <c r="Z17" s="637">
        <f t="shared" si="22"/>
        <v>14492</v>
      </c>
    </row>
    <row r="18" spans="1:26">
      <c r="A18" s="604">
        <v>11</v>
      </c>
      <c r="B18" s="605" t="s">
        <v>102</v>
      </c>
      <c r="C18" s="606">
        <f>'[38]2012 Final Summary 20131029'!E16</f>
        <v>0</v>
      </c>
      <c r="D18" s="607">
        <f>'Table 3 Levels 1&amp;2'!AP18</f>
        <v>7559.4638435383504</v>
      </c>
      <c r="E18" s="607">
        <f t="shared" si="17"/>
        <v>9951.1586188951169</v>
      </c>
      <c r="F18" s="607">
        <f t="shared" si="23"/>
        <v>11421.506010757312</v>
      </c>
      <c r="G18" s="608">
        <f t="shared" si="24"/>
        <v>0</v>
      </c>
      <c r="H18" s="1949">
        <f>'[39]Oct midyear adj_OJJ'!$I16</f>
        <v>0</v>
      </c>
      <c r="I18" s="608">
        <f t="shared" si="18"/>
        <v>0</v>
      </c>
      <c r="J18" s="607">
        <f>'[4]Table 5E_OJJ'!K17*8</f>
        <v>0</v>
      </c>
      <c r="K18" s="607">
        <f t="shared" si="25"/>
        <v>0</v>
      </c>
      <c r="L18" s="608">
        <f t="shared" si="26"/>
        <v>0</v>
      </c>
      <c r="M18" s="611">
        <f>'Table 3 Levels 1&amp;2'!AS18</f>
        <v>5014759.26</v>
      </c>
      <c r="N18" s="612">
        <f>'Table 3 Levels 1&amp;2'!C18</f>
        <v>1552</v>
      </c>
      <c r="O18" s="612">
        <f t="shared" si="19"/>
        <v>1552</v>
      </c>
      <c r="P18" s="613">
        <f t="shared" si="27"/>
        <v>3231.1593170103092</v>
      </c>
      <c r="Q18" s="614">
        <f t="shared" si="20"/>
        <v>0</v>
      </c>
      <c r="R18" s="1964">
        <f>'[39]Oct midyear adj_OJJ'!$K16</f>
        <v>0</v>
      </c>
      <c r="S18" s="614">
        <f t="shared" si="28"/>
        <v>0</v>
      </c>
      <c r="T18" s="613">
        <f>'[4]Table 5E_OJJ'!S17*8</f>
        <v>0</v>
      </c>
      <c r="U18" s="613">
        <f t="shared" si="29"/>
        <v>0</v>
      </c>
      <c r="V18" s="614">
        <f t="shared" si="30"/>
        <v>0</v>
      </c>
      <c r="W18" s="615">
        <f t="shared" si="21"/>
        <v>0</v>
      </c>
      <c r="X18" s="609"/>
      <c r="Y18" s="2492"/>
      <c r="Z18" s="615">
        <f t="shared" si="22"/>
        <v>0</v>
      </c>
    </row>
    <row r="19" spans="1:26">
      <c r="A19" s="616">
        <v>12</v>
      </c>
      <c r="B19" s="617" t="s">
        <v>103</v>
      </c>
      <c r="C19" s="618">
        <f>'[38]2012 Final Summary 20131029'!E17</f>
        <v>0</v>
      </c>
      <c r="D19" s="619">
        <f>'Table 3 Levels 1&amp;2'!AP19</f>
        <v>2797.2156059356967</v>
      </c>
      <c r="E19" s="619">
        <f t="shared" si="17"/>
        <v>3682.2103739153522</v>
      </c>
      <c r="F19" s="619">
        <f t="shared" si="23"/>
        <v>5152.5577657775466</v>
      </c>
      <c r="G19" s="620">
        <f t="shared" si="24"/>
        <v>0</v>
      </c>
      <c r="H19" s="1950">
        <f>'[39]Oct midyear adj_OJJ'!$I17</f>
        <v>0</v>
      </c>
      <c r="I19" s="620">
        <f t="shared" si="18"/>
        <v>0</v>
      </c>
      <c r="J19" s="1958">
        <f>'[4]Table 5E_OJJ'!K18*8</f>
        <v>0</v>
      </c>
      <c r="K19" s="1958">
        <f t="shared" si="25"/>
        <v>0</v>
      </c>
      <c r="L19" s="620">
        <f t="shared" si="26"/>
        <v>0</v>
      </c>
      <c r="M19" s="611">
        <f>'Table 3 Levels 1&amp;2'!AS19</f>
        <v>7656832.1200000001</v>
      </c>
      <c r="N19" s="621">
        <f>'Table 3 Levels 1&amp;2'!C19</f>
        <v>1213</v>
      </c>
      <c r="O19" s="621">
        <f t="shared" si="19"/>
        <v>1213</v>
      </c>
      <c r="P19" s="622">
        <f t="shared" si="27"/>
        <v>6312.310074196208</v>
      </c>
      <c r="Q19" s="623">
        <f t="shared" si="20"/>
        <v>0</v>
      </c>
      <c r="R19" s="1966">
        <f>'[39]Oct midyear adj_OJJ'!$K17</f>
        <v>0</v>
      </c>
      <c r="S19" s="623">
        <f t="shared" si="28"/>
        <v>0</v>
      </c>
      <c r="T19" s="1970">
        <f>'[4]Table 5E_OJJ'!S18*8</f>
        <v>0</v>
      </c>
      <c r="U19" s="1970">
        <f t="shared" si="29"/>
        <v>0</v>
      </c>
      <c r="V19" s="623">
        <f t="shared" si="30"/>
        <v>0</v>
      </c>
      <c r="W19" s="624">
        <f t="shared" si="21"/>
        <v>0</v>
      </c>
      <c r="X19" s="609"/>
      <c r="Y19" s="2492"/>
      <c r="Z19" s="624">
        <f t="shared" si="22"/>
        <v>0</v>
      </c>
    </row>
    <row r="20" spans="1:26">
      <c r="A20" s="616">
        <v>13</v>
      </c>
      <c r="B20" s="617" t="s">
        <v>104</v>
      </c>
      <c r="C20" s="618">
        <f>'[38]2012 Final Summary 20131029'!E18</f>
        <v>0</v>
      </c>
      <c r="D20" s="619">
        <f>'Table 3 Levels 1&amp;2'!AP20</f>
        <v>7003.5538637730879</v>
      </c>
      <c r="E20" s="619">
        <f t="shared" si="17"/>
        <v>9219.3675155883011</v>
      </c>
      <c r="F20" s="619">
        <f t="shared" si="23"/>
        <v>10689.714907450496</v>
      </c>
      <c r="G20" s="620">
        <f t="shared" si="24"/>
        <v>0</v>
      </c>
      <c r="H20" s="1950">
        <f>'[39]Oct midyear adj_OJJ'!$I18</f>
        <v>0</v>
      </c>
      <c r="I20" s="620">
        <f t="shared" si="18"/>
        <v>0</v>
      </c>
      <c r="J20" s="1958">
        <f>'[4]Table 5E_OJJ'!K19*8</f>
        <v>0</v>
      </c>
      <c r="K20" s="1958">
        <f t="shared" si="25"/>
        <v>0</v>
      </c>
      <c r="L20" s="620">
        <f t="shared" si="26"/>
        <v>0</v>
      </c>
      <c r="M20" s="611">
        <f>'Table 3 Levels 1&amp;2'!AS20</f>
        <v>3834794.5</v>
      </c>
      <c r="N20" s="621">
        <f>'Table 3 Levels 1&amp;2'!C20</f>
        <v>1516</v>
      </c>
      <c r="O20" s="621">
        <f t="shared" si="19"/>
        <v>1516</v>
      </c>
      <c r="P20" s="622">
        <f t="shared" si="27"/>
        <v>2529.5478232189976</v>
      </c>
      <c r="Q20" s="623">
        <f t="shared" si="20"/>
        <v>0</v>
      </c>
      <c r="R20" s="1966">
        <f>'[39]Oct midyear adj_OJJ'!$K18</f>
        <v>0</v>
      </c>
      <c r="S20" s="623">
        <f t="shared" si="28"/>
        <v>0</v>
      </c>
      <c r="T20" s="1970">
        <f>'[4]Table 5E_OJJ'!S19*8</f>
        <v>0</v>
      </c>
      <c r="U20" s="1970">
        <f t="shared" si="29"/>
        <v>0</v>
      </c>
      <c r="V20" s="623">
        <f t="shared" si="30"/>
        <v>0</v>
      </c>
      <c r="W20" s="624">
        <f t="shared" si="21"/>
        <v>0</v>
      </c>
      <c r="X20" s="609"/>
      <c r="Y20" s="638" t="s">
        <v>327</v>
      </c>
      <c r="Z20" s="624">
        <f t="shared" si="22"/>
        <v>0</v>
      </c>
    </row>
    <row r="21" spans="1:26" ht="12.75" customHeight="1">
      <c r="A21" s="616">
        <v>14</v>
      </c>
      <c r="B21" s="617" t="s">
        <v>105</v>
      </c>
      <c r="C21" s="618">
        <f>'[38]2012 Final Summary 20131029'!E19</f>
        <v>1.762033</v>
      </c>
      <c r="D21" s="619">
        <f>'Table 3 Levels 1&amp;2'!AP21</f>
        <v>6187.8987438545455</v>
      </c>
      <c r="E21" s="619">
        <f t="shared" si="17"/>
        <v>8145.6520187463793</v>
      </c>
      <c r="F21" s="619">
        <f t="shared" si="23"/>
        <v>9615.9994106085742</v>
      </c>
      <c r="G21" s="620">
        <f t="shared" si="24"/>
        <v>16943.708289472859</v>
      </c>
      <c r="H21" s="1950">
        <f>'[39]Oct midyear adj_OJJ'!$I19</f>
        <v>0</v>
      </c>
      <c r="I21" s="620">
        <f t="shared" si="18"/>
        <v>16943.708289472859</v>
      </c>
      <c r="J21" s="1958">
        <f>'[4]Table 5E_OJJ'!K20*8</f>
        <v>11296</v>
      </c>
      <c r="K21" s="1958">
        <f t="shared" si="25"/>
        <v>5647.7082894728592</v>
      </c>
      <c r="L21" s="620">
        <f t="shared" si="26"/>
        <v>1412</v>
      </c>
      <c r="M21" s="611">
        <f>'Table 3 Levels 1&amp;2'!AS21</f>
        <v>7570178</v>
      </c>
      <c r="N21" s="621">
        <f>'Table 3 Levels 1&amp;2'!C21</f>
        <v>1870</v>
      </c>
      <c r="O21" s="621">
        <f t="shared" si="19"/>
        <v>1871.762033</v>
      </c>
      <c r="P21" s="622">
        <f t="shared" si="27"/>
        <v>4044.4126264633983</v>
      </c>
      <c r="Q21" s="623">
        <f t="shared" si="20"/>
        <v>7126.3885134451812</v>
      </c>
      <c r="R21" s="1966">
        <f>'[39]Oct midyear adj_OJJ'!$K19</f>
        <v>0</v>
      </c>
      <c r="S21" s="623">
        <f t="shared" si="28"/>
        <v>7126.3885134451812</v>
      </c>
      <c r="T21" s="1970">
        <f>'[4]Table 5E_OJJ'!S20*8</f>
        <v>4752</v>
      </c>
      <c r="U21" s="1970">
        <f t="shared" si="29"/>
        <v>2374.3885134451812</v>
      </c>
      <c r="V21" s="623">
        <f t="shared" si="30"/>
        <v>594</v>
      </c>
      <c r="W21" s="624">
        <f t="shared" si="21"/>
        <v>24070.09680291804</v>
      </c>
      <c r="X21" s="609"/>
      <c r="Y21" s="2489" t="s">
        <v>328</v>
      </c>
      <c r="Z21" s="624">
        <f t="shared" si="22"/>
        <v>2006</v>
      </c>
    </row>
    <row r="22" spans="1:26">
      <c r="A22" s="627">
        <v>15</v>
      </c>
      <c r="B22" s="628" t="s">
        <v>106</v>
      </c>
      <c r="C22" s="629">
        <f>'[38]2012 Final Summary 20131029'!E20</f>
        <v>1.3514539999999999</v>
      </c>
      <c r="D22" s="630">
        <f>'Table 3 Levels 1&amp;2'!AP22</f>
        <v>6081.5651197617854</v>
      </c>
      <c r="E22" s="630">
        <f t="shared" si="17"/>
        <v>8005.6761181044967</v>
      </c>
      <c r="F22" s="630">
        <f t="shared" si="23"/>
        <v>9476.0235099666916</v>
      </c>
      <c r="G22" s="631">
        <f t="shared" si="24"/>
        <v>12806.409876638525</v>
      </c>
      <c r="H22" s="1951">
        <f>'[39]Oct midyear adj_OJJ'!$I20</f>
        <v>0</v>
      </c>
      <c r="I22" s="631">
        <f t="shared" si="18"/>
        <v>12806.409876638525</v>
      </c>
      <c r="J22" s="1959">
        <f>'[4]Table 5E_OJJ'!K21*8</f>
        <v>10440</v>
      </c>
      <c r="K22" s="1959">
        <f t="shared" si="25"/>
        <v>2366.409876638525</v>
      </c>
      <c r="L22" s="631">
        <f t="shared" si="26"/>
        <v>592</v>
      </c>
      <c r="M22" s="633">
        <f>'Table 3 Levels 1&amp;2'!AS22</f>
        <v>10198332</v>
      </c>
      <c r="N22" s="634">
        <f>'Table 3 Levels 1&amp;2'!C22</f>
        <v>3627</v>
      </c>
      <c r="O22" s="634">
        <f t="shared" si="19"/>
        <v>3628.3514540000001</v>
      </c>
      <c r="P22" s="635">
        <f t="shared" si="27"/>
        <v>2810.7343319118281</v>
      </c>
      <c r="Q22" s="636">
        <f t="shared" si="20"/>
        <v>3798.5781557995674</v>
      </c>
      <c r="R22" s="1967">
        <f>'[39]Oct midyear adj_OJJ'!$K20</f>
        <v>0</v>
      </c>
      <c r="S22" s="636">
        <f t="shared" si="28"/>
        <v>3798.5781557995674</v>
      </c>
      <c r="T22" s="1971">
        <f>'[4]Table 5E_OJJ'!S21*8</f>
        <v>3096</v>
      </c>
      <c r="U22" s="1971">
        <f t="shared" si="29"/>
        <v>702.57815579956741</v>
      </c>
      <c r="V22" s="636">
        <f t="shared" si="30"/>
        <v>176</v>
      </c>
      <c r="W22" s="637">
        <f t="shared" si="21"/>
        <v>16604.988032438094</v>
      </c>
      <c r="X22" s="610"/>
      <c r="Y22" s="2489"/>
      <c r="Z22" s="637">
        <f t="shared" si="22"/>
        <v>768</v>
      </c>
    </row>
    <row r="23" spans="1:26">
      <c r="A23" s="604">
        <v>16</v>
      </c>
      <c r="B23" s="605" t="s">
        <v>107</v>
      </c>
      <c r="C23" s="606">
        <f>'[38]2012 Final Summary 20131029'!E21</f>
        <v>1.31352</v>
      </c>
      <c r="D23" s="607">
        <f>'Table 3 Levels 1&amp;2'!AP23</f>
        <v>2217.0978845377472</v>
      </c>
      <c r="E23" s="607">
        <f t="shared" si="17"/>
        <v>2918.5525824705937</v>
      </c>
      <c r="F23" s="607">
        <f t="shared" si="23"/>
        <v>4388.8999743327886</v>
      </c>
      <c r="G23" s="608">
        <f t="shared" si="24"/>
        <v>5764.9078942856049</v>
      </c>
      <c r="H23" s="1949">
        <f>'[39]Oct midyear adj_OJJ'!$I21</f>
        <v>0</v>
      </c>
      <c r="I23" s="608">
        <f t="shared" si="18"/>
        <v>5764.9078942856049</v>
      </c>
      <c r="J23" s="607">
        <f>'[4]Table 5E_OJJ'!K22*8</f>
        <v>3840</v>
      </c>
      <c r="K23" s="607">
        <f t="shared" si="25"/>
        <v>1924.9078942856049</v>
      </c>
      <c r="L23" s="608">
        <f t="shared" si="26"/>
        <v>481</v>
      </c>
      <c r="M23" s="611">
        <f>'Table 3 Levels 1&amp;2'!AS23</f>
        <v>29743503.620000001</v>
      </c>
      <c r="N23" s="612">
        <f>'Table 3 Levels 1&amp;2'!C23</f>
        <v>4954</v>
      </c>
      <c r="O23" s="612">
        <f t="shared" si="19"/>
        <v>4955.3135199999997</v>
      </c>
      <c r="P23" s="613">
        <f t="shared" si="27"/>
        <v>6002.3454620889461</v>
      </c>
      <c r="Q23" s="614">
        <f t="shared" si="20"/>
        <v>7884.2008113630727</v>
      </c>
      <c r="R23" s="1964">
        <f>'[39]Oct midyear adj_OJJ'!$K21</f>
        <v>0</v>
      </c>
      <c r="S23" s="614">
        <f t="shared" si="28"/>
        <v>7884.2008113630727</v>
      </c>
      <c r="T23" s="613">
        <f>'[4]Table 5E_OJJ'!S22*8</f>
        <v>5256</v>
      </c>
      <c r="U23" s="613">
        <f t="shared" si="29"/>
        <v>2628.2008113630727</v>
      </c>
      <c r="V23" s="614">
        <f t="shared" si="30"/>
        <v>657</v>
      </c>
      <c r="W23" s="615">
        <f t="shared" si="21"/>
        <v>13649.108705648678</v>
      </c>
      <c r="X23" s="609"/>
      <c r="Y23" s="2489"/>
      <c r="Z23" s="615">
        <f t="shared" si="22"/>
        <v>1138</v>
      </c>
    </row>
    <row r="24" spans="1:26">
      <c r="A24" s="616">
        <v>17</v>
      </c>
      <c r="B24" s="617" t="s">
        <v>108</v>
      </c>
      <c r="C24" s="618">
        <f>'[38]2012 Final Summary 20131029'!E22</f>
        <v>40.125768000000001</v>
      </c>
      <c r="D24" s="619">
        <f>'Table 3 Levels 1&amp;2'!AP24</f>
        <v>4114.5442554698484</v>
      </c>
      <c r="E24" s="619">
        <f t="shared" si="17"/>
        <v>5416.3209690648282</v>
      </c>
      <c r="F24" s="619">
        <f t="shared" si="23"/>
        <v>6886.6683609270231</v>
      </c>
      <c r="G24" s="620">
        <f t="shared" si="24"/>
        <v>276332.85694349802</v>
      </c>
      <c r="H24" s="1950">
        <v>0</v>
      </c>
      <c r="I24" s="620">
        <f t="shared" si="18"/>
        <v>276332.85694349802</v>
      </c>
      <c r="J24" s="1958">
        <f>'[4]Table 5E_OJJ'!K23*8</f>
        <v>162184</v>
      </c>
      <c r="K24" s="1958">
        <f t="shared" si="25"/>
        <v>114148.85694349802</v>
      </c>
      <c r="L24" s="620">
        <f t="shared" si="26"/>
        <v>28537</v>
      </c>
      <c r="M24" s="611">
        <f>'Table 3 Levels 1&amp;2'!AS24</f>
        <v>198077748.47999999</v>
      </c>
      <c r="N24" s="621">
        <f>'Table 3 Levels 1&amp;2'!C24</f>
        <v>43026</v>
      </c>
      <c r="O24" s="621">
        <f t="shared" si="19"/>
        <v>43066.125767999998</v>
      </c>
      <c r="P24" s="622">
        <f t="shared" si="27"/>
        <v>4599.3862913756766</v>
      </c>
      <c r="Q24" s="623">
        <f t="shared" si="20"/>
        <v>184553.90727012081</v>
      </c>
      <c r="R24" s="1966">
        <v>0</v>
      </c>
      <c r="S24" s="623">
        <f t="shared" si="28"/>
        <v>184553.90727012081</v>
      </c>
      <c r="T24" s="1970">
        <f>'[4]Table 5E_OJJ'!S23*8</f>
        <v>108328</v>
      </c>
      <c r="U24" s="1970">
        <f t="shared" si="29"/>
        <v>76225.907270120806</v>
      </c>
      <c r="V24" s="623">
        <f t="shared" si="30"/>
        <v>19056</v>
      </c>
      <c r="W24" s="624">
        <f t="shared" si="21"/>
        <v>460886.76421361882</v>
      </c>
      <c r="X24" s="609"/>
      <c r="Y24" s="610"/>
      <c r="Z24" s="624">
        <f t="shared" si="22"/>
        <v>47593</v>
      </c>
    </row>
    <row r="25" spans="1:26">
      <c r="A25" s="616">
        <v>18</v>
      </c>
      <c r="B25" s="617" t="s">
        <v>109</v>
      </c>
      <c r="C25" s="618">
        <f>'[38]2012 Final Summary 20131029'!E23</f>
        <v>4.9180000000000001E-2</v>
      </c>
      <c r="D25" s="619">
        <f>'Table 3 Levels 1&amp;2'!AP25</f>
        <v>6835.0851892854571</v>
      </c>
      <c r="E25" s="619">
        <f t="shared" si="17"/>
        <v>8997.5980175339628</v>
      </c>
      <c r="F25" s="619">
        <f t="shared" si="23"/>
        <v>10467.945409396158</v>
      </c>
      <c r="G25" s="620">
        <f t="shared" si="24"/>
        <v>514.81355523410309</v>
      </c>
      <c r="H25" s="1950">
        <f>'[39]Oct midyear adj_OJJ'!$I23</f>
        <v>0</v>
      </c>
      <c r="I25" s="620">
        <f t="shared" si="18"/>
        <v>514.81355523410309</v>
      </c>
      <c r="J25" s="1958">
        <f>'[4]Table 5E_OJJ'!K24*8</f>
        <v>344</v>
      </c>
      <c r="K25" s="1958">
        <f t="shared" si="25"/>
        <v>170.81355523410309</v>
      </c>
      <c r="L25" s="620">
        <f t="shared" si="26"/>
        <v>43</v>
      </c>
      <c r="M25" s="611">
        <f>'Table 3 Levels 1&amp;2'!AS25</f>
        <v>2546748.5</v>
      </c>
      <c r="N25" s="621">
        <f>'Table 3 Levels 1&amp;2'!C25</f>
        <v>1114</v>
      </c>
      <c r="O25" s="621">
        <f t="shared" si="19"/>
        <v>1114.04918</v>
      </c>
      <c r="P25" s="622">
        <f t="shared" si="27"/>
        <v>2286.0287909372187</v>
      </c>
      <c r="Q25" s="623">
        <f t="shared" si="20"/>
        <v>112.42689593829242</v>
      </c>
      <c r="R25" s="1966">
        <f>'[39]Oct midyear adj_OJJ'!$K23</f>
        <v>0</v>
      </c>
      <c r="S25" s="623">
        <f t="shared" si="28"/>
        <v>112.42689593829242</v>
      </c>
      <c r="T25" s="1970">
        <f>'[4]Table 5E_OJJ'!S24*8</f>
        <v>72</v>
      </c>
      <c r="U25" s="1970">
        <f t="shared" si="29"/>
        <v>40.426895938292418</v>
      </c>
      <c r="V25" s="623">
        <f t="shared" si="30"/>
        <v>10</v>
      </c>
      <c r="W25" s="624">
        <f t="shared" si="21"/>
        <v>627.24045117239552</v>
      </c>
      <c r="X25" s="609"/>
      <c r="Y25" s="610"/>
      <c r="Z25" s="624">
        <f t="shared" si="22"/>
        <v>53</v>
      </c>
    </row>
    <row r="26" spans="1:26">
      <c r="A26" s="616">
        <v>19</v>
      </c>
      <c r="B26" s="617" t="s">
        <v>110</v>
      </c>
      <c r="C26" s="618">
        <f>'[38]2012 Final Summary 20131029'!E24</f>
        <v>1.212126</v>
      </c>
      <c r="D26" s="619">
        <f>'Table 3 Levels 1&amp;2'!AP26</f>
        <v>6221.3213399708029</v>
      </c>
      <c r="E26" s="619">
        <f t="shared" si="17"/>
        <v>8189.6489955547859</v>
      </c>
      <c r="F26" s="619">
        <f t="shared" si="23"/>
        <v>9659.9963874169807</v>
      </c>
      <c r="G26" s="620">
        <f t="shared" si="24"/>
        <v>11709.132781094195</v>
      </c>
      <c r="H26" s="1950">
        <f>'[39]Oct midyear adj_OJJ'!$I24</f>
        <v>0</v>
      </c>
      <c r="I26" s="620">
        <f t="shared" si="18"/>
        <v>11709.132781094195</v>
      </c>
      <c r="J26" s="1958">
        <f>'[4]Table 5E_OJJ'!K25*8</f>
        <v>4800</v>
      </c>
      <c r="K26" s="1958">
        <f t="shared" si="25"/>
        <v>6909.1327810941948</v>
      </c>
      <c r="L26" s="620">
        <f t="shared" si="26"/>
        <v>1727</v>
      </c>
      <c r="M26" s="611">
        <f>'Table 3 Levels 1&amp;2'!AS26</f>
        <v>5297638.5</v>
      </c>
      <c r="N26" s="621">
        <f>'Table 3 Levels 1&amp;2'!C26</f>
        <v>1918</v>
      </c>
      <c r="O26" s="621">
        <f t="shared" si="19"/>
        <v>1919.2121259999999</v>
      </c>
      <c r="P26" s="622">
        <f t="shared" si="27"/>
        <v>2760.3194186987957</v>
      </c>
      <c r="Q26" s="623">
        <f t="shared" si="20"/>
        <v>3345.8549357096967</v>
      </c>
      <c r="R26" s="1966">
        <f>'[39]Oct midyear adj_OJJ'!$K24</f>
        <v>0</v>
      </c>
      <c r="S26" s="623">
        <f t="shared" si="28"/>
        <v>3345.8549357096967</v>
      </c>
      <c r="T26" s="1970">
        <f>'[4]Table 5E_OJJ'!S25*8</f>
        <v>1368</v>
      </c>
      <c r="U26" s="1970">
        <f t="shared" si="29"/>
        <v>1977.8549357096967</v>
      </c>
      <c r="V26" s="623">
        <f t="shared" si="30"/>
        <v>494</v>
      </c>
      <c r="W26" s="624">
        <f t="shared" si="21"/>
        <v>15054.987716803891</v>
      </c>
      <c r="X26" s="609"/>
      <c r="Y26" s="610"/>
      <c r="Z26" s="624">
        <f t="shared" si="22"/>
        <v>2221</v>
      </c>
    </row>
    <row r="27" spans="1:26">
      <c r="A27" s="627">
        <v>20</v>
      </c>
      <c r="B27" s="628" t="s">
        <v>111</v>
      </c>
      <c r="C27" s="629">
        <f>'[38]2012 Final Summary 20131029'!E25</f>
        <v>9.675198</v>
      </c>
      <c r="D27" s="630">
        <f>'Table 3 Levels 1&amp;2'!AP27</f>
        <v>6006.3742919205843</v>
      </c>
      <c r="E27" s="630">
        <f t="shared" si="17"/>
        <v>7906.6961017937629</v>
      </c>
      <c r="F27" s="630">
        <f t="shared" si="23"/>
        <v>9377.0434936559577</v>
      </c>
      <c r="G27" s="631">
        <f t="shared" si="24"/>
        <v>90724.752455733134</v>
      </c>
      <c r="H27" s="1951">
        <v>0</v>
      </c>
      <c r="I27" s="631">
        <f t="shared" si="18"/>
        <v>90724.752455733134</v>
      </c>
      <c r="J27" s="1959">
        <f>'[4]Table 5E_OJJ'!K26*8</f>
        <v>57320</v>
      </c>
      <c r="K27" s="1959">
        <f t="shared" si="25"/>
        <v>33404.752455733134</v>
      </c>
      <c r="L27" s="631">
        <f t="shared" si="26"/>
        <v>8351</v>
      </c>
      <c r="M27" s="633">
        <f>'Table 3 Levels 1&amp;2'!AS27</f>
        <v>14395441</v>
      </c>
      <c r="N27" s="634">
        <f>'Table 3 Levels 1&amp;2'!C27</f>
        <v>5893</v>
      </c>
      <c r="O27" s="634">
        <f t="shared" si="19"/>
        <v>5902.6751979999999</v>
      </c>
      <c r="P27" s="635">
        <f t="shared" si="27"/>
        <v>2438.7994455255812</v>
      </c>
      <c r="Q27" s="636">
        <f t="shared" si="20"/>
        <v>23595.867517750212</v>
      </c>
      <c r="R27" s="1967">
        <v>0</v>
      </c>
      <c r="S27" s="636">
        <f t="shared" si="28"/>
        <v>23595.867517750212</v>
      </c>
      <c r="T27" s="1971">
        <f>'[4]Table 5E_OJJ'!S26*8</f>
        <v>14912</v>
      </c>
      <c r="U27" s="1971">
        <f t="shared" si="29"/>
        <v>8683.8675177502118</v>
      </c>
      <c r="V27" s="636">
        <f t="shared" si="30"/>
        <v>2171</v>
      </c>
      <c r="W27" s="637">
        <f t="shared" si="21"/>
        <v>114320.61997348335</v>
      </c>
      <c r="X27" s="610"/>
      <c r="Y27" s="610"/>
      <c r="Z27" s="637">
        <f t="shared" si="22"/>
        <v>10522</v>
      </c>
    </row>
    <row r="28" spans="1:26">
      <c r="A28" s="604">
        <v>21</v>
      </c>
      <c r="B28" s="605" t="s">
        <v>112</v>
      </c>
      <c r="C28" s="606">
        <f>'[38]2012 Final Summary 20131029'!E26</f>
        <v>3.4316939999999998</v>
      </c>
      <c r="D28" s="607">
        <f>'Table 3 Levels 1&amp;2'!AP28</f>
        <v>6334.8904916279062</v>
      </c>
      <c r="E28" s="607">
        <f t="shared" si="17"/>
        <v>8339.1496302220457</v>
      </c>
      <c r="F28" s="607">
        <f t="shared" si="23"/>
        <v>9809.4970220842406</v>
      </c>
      <c r="G28" s="608">
        <f t="shared" si="24"/>
        <v>33663.192073704355</v>
      </c>
      <c r="H28" s="1949">
        <f>'[39]Oct midyear adj_OJJ'!$I26</f>
        <v>0</v>
      </c>
      <c r="I28" s="608">
        <f t="shared" si="18"/>
        <v>33663.192073704355</v>
      </c>
      <c r="J28" s="607">
        <f>'[4]Table 5E_OJJ'!K27*8</f>
        <v>22440</v>
      </c>
      <c r="K28" s="607">
        <f t="shared" si="25"/>
        <v>11223.192073704355</v>
      </c>
      <c r="L28" s="608">
        <f t="shared" si="26"/>
        <v>2806</v>
      </c>
      <c r="M28" s="611">
        <f>'Table 3 Levels 1&amp;2'!AS28</f>
        <v>6749798.5</v>
      </c>
      <c r="N28" s="612">
        <f>'Table 3 Levels 1&amp;2'!C28</f>
        <v>2967</v>
      </c>
      <c r="O28" s="612">
        <f t="shared" si="19"/>
        <v>2970.4316939999999</v>
      </c>
      <c r="P28" s="613">
        <f t="shared" si="27"/>
        <v>2272.3291411258419</v>
      </c>
      <c r="Q28" s="614">
        <f t="shared" si="20"/>
        <v>7797.9382796267046</v>
      </c>
      <c r="R28" s="1964">
        <f>'[39]Oct midyear adj_OJJ'!$K26</f>
        <v>0</v>
      </c>
      <c r="S28" s="614">
        <f t="shared" si="28"/>
        <v>7797.9382796267046</v>
      </c>
      <c r="T28" s="613">
        <f>'[4]Table 5E_OJJ'!S27*8</f>
        <v>5200</v>
      </c>
      <c r="U28" s="613">
        <f t="shared" si="29"/>
        <v>2597.9382796267046</v>
      </c>
      <c r="V28" s="614">
        <f t="shared" si="30"/>
        <v>649</v>
      </c>
      <c r="W28" s="615">
        <f t="shared" si="21"/>
        <v>41461.130353331057</v>
      </c>
      <c r="X28" s="609"/>
      <c r="Y28" s="610"/>
      <c r="Z28" s="615">
        <f t="shared" si="22"/>
        <v>3455</v>
      </c>
    </row>
    <row r="29" spans="1:26">
      <c r="A29" s="616">
        <v>22</v>
      </c>
      <c r="B29" s="617" t="s">
        <v>113</v>
      </c>
      <c r="C29" s="618">
        <f>'[38]2012 Final Summary 20131029'!E27</f>
        <v>1.44</v>
      </c>
      <c r="D29" s="619">
        <f>'Table 3 Levels 1&amp;2'!AP29</f>
        <v>6699.6533768722747</v>
      </c>
      <c r="E29" s="619">
        <f t="shared" si="17"/>
        <v>8819.3177220974012</v>
      </c>
      <c r="F29" s="619">
        <f t="shared" si="23"/>
        <v>10289.665113959596</v>
      </c>
      <c r="G29" s="620">
        <f t="shared" si="24"/>
        <v>14817.117764101818</v>
      </c>
      <c r="H29" s="1950">
        <f>'[39]Oct midyear adj_OJJ'!$I27</f>
        <v>0</v>
      </c>
      <c r="I29" s="620">
        <f t="shared" si="18"/>
        <v>14817.117764101818</v>
      </c>
      <c r="J29" s="1958">
        <f>'[4]Table 5E_OJJ'!K28*8</f>
        <v>9880</v>
      </c>
      <c r="K29" s="1958">
        <f t="shared" si="25"/>
        <v>4937.1177641018185</v>
      </c>
      <c r="L29" s="620">
        <f t="shared" si="26"/>
        <v>1234</v>
      </c>
      <c r="M29" s="611">
        <f>'Table 3 Levels 1&amp;2'!AS29</f>
        <v>5180689</v>
      </c>
      <c r="N29" s="621">
        <f>'Table 3 Levels 1&amp;2'!C29</f>
        <v>3210</v>
      </c>
      <c r="O29" s="621">
        <f t="shared" si="19"/>
        <v>3211.44</v>
      </c>
      <c r="P29" s="622">
        <f t="shared" si="27"/>
        <v>1613.1981291881523</v>
      </c>
      <c r="Q29" s="623">
        <f t="shared" si="20"/>
        <v>2323.0053060309392</v>
      </c>
      <c r="R29" s="1966">
        <f>'[39]Oct midyear adj_OJJ'!$K27</f>
        <v>0</v>
      </c>
      <c r="S29" s="623">
        <f t="shared" si="28"/>
        <v>2323.0053060309392</v>
      </c>
      <c r="T29" s="1970">
        <f>'[4]Table 5E_OJJ'!S28*8</f>
        <v>1552</v>
      </c>
      <c r="U29" s="1970">
        <f t="shared" si="29"/>
        <v>771.00530603093921</v>
      </c>
      <c r="V29" s="623">
        <f t="shared" si="30"/>
        <v>193</v>
      </c>
      <c r="W29" s="624">
        <f t="shared" si="21"/>
        <v>17140.123070132759</v>
      </c>
      <c r="X29" s="609"/>
      <c r="Y29" s="610"/>
      <c r="Z29" s="624">
        <f t="shared" si="22"/>
        <v>1427</v>
      </c>
    </row>
    <row r="30" spans="1:26">
      <c r="A30" s="616">
        <v>23</v>
      </c>
      <c r="B30" s="617" t="s">
        <v>114</v>
      </c>
      <c r="C30" s="618">
        <f>'[38]2012 Final Summary 20131029'!E28</f>
        <v>6.1479650000000001</v>
      </c>
      <c r="D30" s="619">
        <f>'Table 3 Levels 1&amp;2'!AP30</f>
        <v>5534.660249006768</v>
      </c>
      <c r="E30" s="619">
        <f t="shared" si="17"/>
        <v>7285.7391978450678</v>
      </c>
      <c r="F30" s="619">
        <f t="shared" si="23"/>
        <v>8756.0865897072617</v>
      </c>
      <c r="G30" s="620">
        <f t="shared" si="24"/>
        <v>53832.113890489607</v>
      </c>
      <c r="H30" s="1950">
        <v>0</v>
      </c>
      <c r="I30" s="620">
        <f t="shared" si="18"/>
        <v>53832.113890489607</v>
      </c>
      <c r="J30" s="1958">
        <f>'[4]Table 5E_OJJ'!K29*8</f>
        <v>33768</v>
      </c>
      <c r="K30" s="1958">
        <f t="shared" si="25"/>
        <v>20064.113890489607</v>
      </c>
      <c r="L30" s="620">
        <f t="shared" si="26"/>
        <v>5016</v>
      </c>
      <c r="M30" s="611">
        <f>'Table 3 Levels 1&amp;2'!AS30</f>
        <v>44664764.240000002</v>
      </c>
      <c r="N30" s="621">
        <f>'Table 3 Levels 1&amp;2'!C30</f>
        <v>13428</v>
      </c>
      <c r="O30" s="621">
        <f t="shared" si="19"/>
        <v>13434.147965</v>
      </c>
      <c r="P30" s="622">
        <f t="shared" si="27"/>
        <v>3324.7187954431615</v>
      </c>
      <c r="Q30" s="623">
        <f t="shared" si="20"/>
        <v>20440.254789226718</v>
      </c>
      <c r="R30" s="1966">
        <v>0</v>
      </c>
      <c r="S30" s="623">
        <f t="shared" si="28"/>
        <v>20440.254789226718</v>
      </c>
      <c r="T30" s="1970">
        <f>'[4]Table 5E_OJJ'!S29*8</f>
        <v>12824</v>
      </c>
      <c r="U30" s="1970">
        <f t="shared" si="29"/>
        <v>7616.2547892267175</v>
      </c>
      <c r="V30" s="623">
        <f t="shared" si="30"/>
        <v>1904</v>
      </c>
      <c r="W30" s="624">
        <f t="shared" si="21"/>
        <v>74272.368679716325</v>
      </c>
      <c r="X30" s="609"/>
      <c r="Y30" s="610"/>
      <c r="Z30" s="624">
        <f t="shared" si="22"/>
        <v>6920</v>
      </c>
    </row>
    <row r="31" spans="1:26">
      <c r="A31" s="616">
        <v>24</v>
      </c>
      <c r="B31" s="617" t="s">
        <v>115</v>
      </c>
      <c r="C31" s="618">
        <f>'[38]2012 Final Summary 20131029'!E29</f>
        <v>1.1524049999999999</v>
      </c>
      <c r="D31" s="619">
        <f>'Table 3 Levels 1&amp;2'!AP31</f>
        <v>3618.3716755319151</v>
      </c>
      <c r="E31" s="619">
        <f t="shared" si="17"/>
        <v>4763.1672338922954</v>
      </c>
      <c r="F31" s="619">
        <f t="shared" si="23"/>
        <v>6233.5146257544902</v>
      </c>
      <c r="G31" s="620">
        <f t="shared" si="24"/>
        <v>7183.5334222926031</v>
      </c>
      <c r="H31" s="1950">
        <f>'[39]Oct midyear adj_OJJ'!$I29</f>
        <v>0</v>
      </c>
      <c r="I31" s="620">
        <f t="shared" si="18"/>
        <v>7183.5334222926031</v>
      </c>
      <c r="J31" s="1958">
        <f>'[4]Table 5E_OJJ'!K30*8</f>
        <v>4792</v>
      </c>
      <c r="K31" s="1958">
        <f t="shared" si="25"/>
        <v>2391.5334222926031</v>
      </c>
      <c r="L31" s="620">
        <f t="shared" si="26"/>
        <v>598</v>
      </c>
      <c r="M31" s="611">
        <f>'Table 3 Levels 1&amp;2'!AS31</f>
        <v>23320550.620000001</v>
      </c>
      <c r="N31" s="621">
        <f>'Table 3 Levels 1&amp;2'!C31</f>
        <v>4512</v>
      </c>
      <c r="O31" s="621">
        <f t="shared" si="19"/>
        <v>4513.1524049999998</v>
      </c>
      <c r="P31" s="622">
        <f t="shared" si="27"/>
        <v>5167.2419912440346</v>
      </c>
      <c r="Q31" s="623">
        <f t="shared" si="20"/>
        <v>5954.7555069195814</v>
      </c>
      <c r="R31" s="1966">
        <f>'[39]Oct midyear adj_OJJ'!$K29</f>
        <v>0</v>
      </c>
      <c r="S31" s="623">
        <f t="shared" si="28"/>
        <v>5954.7555069195814</v>
      </c>
      <c r="T31" s="1970">
        <f>'[4]Table 5E_OJJ'!S30*8</f>
        <v>3968</v>
      </c>
      <c r="U31" s="1970">
        <f t="shared" si="29"/>
        <v>1986.7555069195814</v>
      </c>
      <c r="V31" s="623">
        <f t="shared" si="30"/>
        <v>497</v>
      </c>
      <c r="W31" s="624">
        <f t="shared" si="21"/>
        <v>13138.288929212184</v>
      </c>
      <c r="X31" s="609"/>
      <c r="Y31" s="610"/>
      <c r="Z31" s="624">
        <f t="shared" si="22"/>
        <v>1095</v>
      </c>
    </row>
    <row r="32" spans="1:26">
      <c r="A32" s="627">
        <v>25</v>
      </c>
      <c r="B32" s="628" t="s">
        <v>116</v>
      </c>
      <c r="C32" s="629">
        <f>'[38]2012 Final Summary 20131029'!E30</f>
        <v>1.9159999999999999</v>
      </c>
      <c r="D32" s="630">
        <f>'Table 3 Levels 1&amp;2'!AP32</f>
        <v>4521.1780692053262</v>
      </c>
      <c r="E32" s="630">
        <f t="shared" si="17"/>
        <v>5951.6072888409099</v>
      </c>
      <c r="F32" s="630">
        <f t="shared" si="23"/>
        <v>7421.9546807031047</v>
      </c>
      <c r="G32" s="631">
        <f t="shared" si="24"/>
        <v>14220.465168227149</v>
      </c>
      <c r="H32" s="1951">
        <f>'[39]Oct midyear adj_OJJ'!$I30</f>
        <v>0</v>
      </c>
      <c r="I32" s="631">
        <f t="shared" si="18"/>
        <v>14220.465168227149</v>
      </c>
      <c r="J32" s="1959">
        <f>'[4]Table 5E_OJJ'!K31*8</f>
        <v>4536</v>
      </c>
      <c r="K32" s="1959">
        <f t="shared" si="25"/>
        <v>9684.4651682271488</v>
      </c>
      <c r="L32" s="631">
        <f t="shared" si="26"/>
        <v>2421</v>
      </c>
      <c r="M32" s="633">
        <f>'Table 3 Levels 1&amp;2'!AS32</f>
        <v>9834744.3399999999</v>
      </c>
      <c r="N32" s="634">
        <f>'Table 3 Levels 1&amp;2'!C32</f>
        <v>2223</v>
      </c>
      <c r="O32" s="634">
        <f t="shared" si="19"/>
        <v>2224.9160000000002</v>
      </c>
      <c r="P32" s="635">
        <f t="shared" si="27"/>
        <v>4420.2766935920272</v>
      </c>
      <c r="Q32" s="636">
        <f t="shared" si="20"/>
        <v>8469.2501449223237</v>
      </c>
      <c r="R32" s="1967">
        <f>'[39]Oct midyear adj_OJJ'!$K30</f>
        <v>0</v>
      </c>
      <c r="S32" s="636">
        <f t="shared" si="28"/>
        <v>8469.2501449223237</v>
      </c>
      <c r="T32" s="1971">
        <f>'[4]Table 5E_OJJ'!S31*8</f>
        <v>2704</v>
      </c>
      <c r="U32" s="1971">
        <f t="shared" si="29"/>
        <v>5765.2501449223237</v>
      </c>
      <c r="V32" s="636">
        <f t="shared" si="30"/>
        <v>1441</v>
      </c>
      <c r="W32" s="637">
        <f t="shared" si="21"/>
        <v>22689.715313149471</v>
      </c>
      <c r="X32" s="610"/>
      <c r="Y32" s="610"/>
      <c r="Z32" s="637">
        <f t="shared" si="22"/>
        <v>3862</v>
      </c>
    </row>
    <row r="33" spans="1:26">
      <c r="A33" s="604">
        <v>26</v>
      </c>
      <c r="B33" s="605" t="s">
        <v>117</v>
      </c>
      <c r="C33" s="606">
        <f>'[38]2012 Final Summary 20131029'!E31</f>
        <v>28.971319000000001</v>
      </c>
      <c r="D33" s="607">
        <f>'Table 3 Levels 1&amp;2'!AP33</f>
        <v>4130.3115267903559</v>
      </c>
      <c r="E33" s="607">
        <f t="shared" si="17"/>
        <v>5437.0767556053834</v>
      </c>
      <c r="F33" s="607">
        <f t="shared" si="23"/>
        <v>6907.4241474675782</v>
      </c>
      <c r="G33" s="608">
        <f t="shared" si="24"/>
        <v>200117.18844458627</v>
      </c>
      <c r="H33" s="1949">
        <v>0</v>
      </c>
      <c r="I33" s="608">
        <f t="shared" si="18"/>
        <v>200117.18844458627</v>
      </c>
      <c r="J33" s="607">
        <f>'[4]Table 5E_OJJ'!K32*8</f>
        <v>124472</v>
      </c>
      <c r="K33" s="607">
        <f t="shared" si="25"/>
        <v>75645.188444586267</v>
      </c>
      <c r="L33" s="608">
        <f t="shared" si="26"/>
        <v>18911</v>
      </c>
      <c r="M33" s="611">
        <f>'Table 3 Levels 1&amp;2'!AS33</f>
        <v>207826342.94</v>
      </c>
      <c r="N33" s="612">
        <f>'Table 3 Levels 1&amp;2'!C33</f>
        <v>43994</v>
      </c>
      <c r="O33" s="612">
        <f t="shared" si="19"/>
        <v>44022.971318999997</v>
      </c>
      <c r="P33" s="613">
        <f t="shared" si="27"/>
        <v>4720.8613301915775</v>
      </c>
      <c r="Q33" s="614">
        <f t="shared" si="20"/>
        <v>136769.57955174454</v>
      </c>
      <c r="R33" s="1964">
        <v>0</v>
      </c>
      <c r="S33" s="614">
        <f t="shared" si="28"/>
        <v>136769.57955174454</v>
      </c>
      <c r="T33" s="613">
        <f>'[4]Table 5E_OJJ'!S32*8</f>
        <v>85072</v>
      </c>
      <c r="U33" s="613">
        <f t="shared" si="29"/>
        <v>51697.579551744537</v>
      </c>
      <c r="V33" s="614">
        <f t="shared" si="30"/>
        <v>12924</v>
      </c>
      <c r="W33" s="615">
        <f t="shared" si="21"/>
        <v>336886.7679963308</v>
      </c>
      <c r="X33" s="609"/>
      <c r="Y33" s="610"/>
      <c r="Z33" s="615">
        <f t="shared" si="22"/>
        <v>31835</v>
      </c>
    </row>
    <row r="34" spans="1:26">
      <c r="A34" s="616">
        <v>27</v>
      </c>
      <c r="B34" s="617" t="s">
        <v>118</v>
      </c>
      <c r="C34" s="639">
        <f>'[38]2012 Final Summary 20131029'!E32</f>
        <v>3.8081969999999998</v>
      </c>
      <c r="D34" s="640">
        <f>'Table 3 Levels 1&amp;2'!AP34</f>
        <v>6373.8327517381977</v>
      </c>
      <c r="E34" s="640">
        <f t="shared" si="17"/>
        <v>8390.4126053954806</v>
      </c>
      <c r="F34" s="640">
        <f t="shared" si="23"/>
        <v>9860.7599972576754</v>
      </c>
      <c r="G34" s="641">
        <f t="shared" si="24"/>
        <v>37551.716639276689</v>
      </c>
      <c r="H34" s="1952">
        <f>'[39]Oct midyear adj_OJJ'!$I32</f>
        <v>0</v>
      </c>
      <c r="I34" s="641">
        <f t="shared" si="18"/>
        <v>37551.716639276689</v>
      </c>
      <c r="J34" s="1960">
        <f>'[4]Table 5E_OJJ'!K33*8</f>
        <v>25032</v>
      </c>
      <c r="K34" s="1960">
        <f t="shared" si="25"/>
        <v>12519.716639276689</v>
      </c>
      <c r="L34" s="641">
        <f t="shared" si="26"/>
        <v>3130</v>
      </c>
      <c r="M34" s="611">
        <f>'Table 3 Levels 1&amp;2'!AS34</f>
        <v>17262637.859999999</v>
      </c>
      <c r="N34" s="644">
        <f>'Table 3 Levels 1&amp;2'!C34</f>
        <v>5614</v>
      </c>
      <c r="O34" s="644">
        <f t="shared" si="19"/>
        <v>5617.8081970000003</v>
      </c>
      <c r="P34" s="622">
        <f t="shared" si="27"/>
        <v>3072.8421574126587</v>
      </c>
      <c r="Q34" s="623">
        <f t="shared" si="20"/>
        <v>11701.988285332414</v>
      </c>
      <c r="R34" s="1966">
        <f>'[39]Oct midyear adj_OJJ'!$K32</f>
        <v>0</v>
      </c>
      <c r="S34" s="623">
        <f t="shared" si="28"/>
        <v>11701.988285332414</v>
      </c>
      <c r="T34" s="1970">
        <f>'[4]Table 5E_OJJ'!S33*8</f>
        <v>7800</v>
      </c>
      <c r="U34" s="1970">
        <f t="shared" si="29"/>
        <v>3901.9882853324143</v>
      </c>
      <c r="V34" s="623">
        <f t="shared" si="30"/>
        <v>975</v>
      </c>
      <c r="W34" s="624">
        <f t="shared" si="21"/>
        <v>49253.704924609105</v>
      </c>
      <c r="X34" s="642"/>
      <c r="Y34" s="643"/>
      <c r="Z34" s="624">
        <f t="shared" si="22"/>
        <v>4105</v>
      </c>
    </row>
    <row r="35" spans="1:26">
      <c r="A35" s="616">
        <v>28</v>
      </c>
      <c r="B35" s="617" t="s">
        <v>119</v>
      </c>
      <c r="C35" s="639">
        <f>'[38]2012 Final Summary 20131029'!E33</f>
        <v>9.3376129999999993</v>
      </c>
      <c r="D35" s="640">
        <f>'Table 3 Levels 1&amp;2'!AP35</f>
        <v>3857.569443848317</v>
      </c>
      <c r="E35" s="640">
        <f t="shared" si="17"/>
        <v>5078.0433921845079</v>
      </c>
      <c r="F35" s="640">
        <f t="shared" si="23"/>
        <v>6548.3907840467027</v>
      </c>
      <c r="G35" s="641">
        <f t="shared" si="24"/>
        <v>61146.338914194683</v>
      </c>
      <c r="H35" s="1952">
        <f>'[39]Oct midyear adj_OJJ'!$I33</f>
        <v>0</v>
      </c>
      <c r="I35" s="641">
        <f t="shared" si="18"/>
        <v>61146.338914194683</v>
      </c>
      <c r="J35" s="1960">
        <f>'[4]Table 5E_OJJ'!K34*8</f>
        <v>43960</v>
      </c>
      <c r="K35" s="1960">
        <f t="shared" si="25"/>
        <v>17186.338914194683</v>
      </c>
      <c r="L35" s="641">
        <f t="shared" si="26"/>
        <v>4297</v>
      </c>
      <c r="M35" s="611">
        <f>'Table 3 Levels 1&amp;2'!AS35</f>
        <v>124606938.02</v>
      </c>
      <c r="N35" s="644">
        <f>'Table 3 Levels 1&amp;2'!C35</f>
        <v>30011</v>
      </c>
      <c r="O35" s="644">
        <f t="shared" si="19"/>
        <v>30020.337613</v>
      </c>
      <c r="P35" s="622">
        <f t="shared" si="27"/>
        <v>4150.7507219385916</v>
      </c>
      <c r="Q35" s="623">
        <f t="shared" si="20"/>
        <v>38758.103900933173</v>
      </c>
      <c r="R35" s="1966">
        <f>'[39]Oct midyear adj_OJJ'!$K33</f>
        <v>0</v>
      </c>
      <c r="S35" s="623">
        <f t="shared" si="28"/>
        <v>38758.103900933173</v>
      </c>
      <c r="T35" s="1970">
        <f>'[4]Table 5E_OJJ'!S34*8</f>
        <v>27864</v>
      </c>
      <c r="U35" s="1970">
        <f t="shared" si="29"/>
        <v>10894.103900933173</v>
      </c>
      <c r="V35" s="623">
        <f t="shared" si="30"/>
        <v>2724</v>
      </c>
      <c r="W35" s="624">
        <f t="shared" si="21"/>
        <v>99904.442815127855</v>
      </c>
      <c r="X35" s="642"/>
      <c r="Y35" s="643"/>
      <c r="Z35" s="624">
        <f t="shared" si="22"/>
        <v>7021</v>
      </c>
    </row>
    <row r="36" spans="1:26">
      <c r="A36" s="616">
        <v>29</v>
      </c>
      <c r="B36" s="617" t="s">
        <v>120</v>
      </c>
      <c r="C36" s="639">
        <f>'[38]2012 Final Summary 20131029'!E34</f>
        <v>10.043697999999999</v>
      </c>
      <c r="D36" s="640">
        <f>'Table 3 Levels 1&amp;2'!AP36</f>
        <v>4707.5086133052646</v>
      </c>
      <c r="E36" s="640">
        <f t="shared" si="17"/>
        <v>6196.8898694922409</v>
      </c>
      <c r="F36" s="640">
        <f t="shared" si="23"/>
        <v>7667.2372613544358</v>
      </c>
      <c r="G36" s="641">
        <f t="shared" si="24"/>
        <v>77007.415547391021</v>
      </c>
      <c r="H36" s="1952">
        <v>0</v>
      </c>
      <c r="I36" s="641">
        <f t="shared" si="18"/>
        <v>77007.415547391021</v>
      </c>
      <c r="J36" s="1960">
        <f>'[4]Table 5E_OJJ'!K35*8</f>
        <v>50768</v>
      </c>
      <c r="K36" s="1960">
        <f t="shared" si="25"/>
        <v>26239.415547391021</v>
      </c>
      <c r="L36" s="641">
        <f t="shared" si="26"/>
        <v>6560</v>
      </c>
      <c r="M36" s="611">
        <f>'Table 3 Levels 1&amp;2'!AS36</f>
        <v>48188080.560000002</v>
      </c>
      <c r="N36" s="644">
        <f>'Table 3 Levels 1&amp;2'!C36</f>
        <v>13679</v>
      </c>
      <c r="O36" s="644">
        <f t="shared" si="19"/>
        <v>13689.043697999999</v>
      </c>
      <c r="P36" s="622">
        <f t="shared" si="27"/>
        <v>3520.193347548477</v>
      </c>
      <c r="Q36" s="623">
        <f t="shared" si="20"/>
        <v>35355.758884385941</v>
      </c>
      <c r="R36" s="1966">
        <v>0</v>
      </c>
      <c r="S36" s="623">
        <f t="shared" si="28"/>
        <v>35355.758884385941</v>
      </c>
      <c r="T36" s="1970">
        <f>'[4]Table 5E_OJJ'!S35*8</f>
        <v>23312</v>
      </c>
      <c r="U36" s="1970">
        <f t="shared" si="29"/>
        <v>12043.758884385941</v>
      </c>
      <c r="V36" s="623">
        <f t="shared" si="30"/>
        <v>3011</v>
      </c>
      <c r="W36" s="624">
        <f t="shared" si="21"/>
        <v>112363.17443177696</v>
      </c>
      <c r="X36" s="642"/>
      <c r="Y36" s="643"/>
      <c r="Z36" s="624">
        <f t="shared" si="22"/>
        <v>9571</v>
      </c>
    </row>
    <row r="37" spans="1:26">
      <c r="A37" s="627">
        <v>30</v>
      </c>
      <c r="B37" s="628" t="s">
        <v>121</v>
      </c>
      <c r="C37" s="645">
        <f>'[38]2012 Final Summary 20131029'!E35</f>
        <v>0</v>
      </c>
      <c r="D37" s="646">
        <f>'Table 3 Levels 1&amp;2'!AP37</f>
        <v>6375.821046585299</v>
      </c>
      <c r="E37" s="646">
        <f t="shared" si="17"/>
        <v>8393.0299652789527</v>
      </c>
      <c r="F37" s="646">
        <f t="shared" si="23"/>
        <v>9863.3773571411475</v>
      </c>
      <c r="G37" s="647">
        <f t="shared" si="24"/>
        <v>0</v>
      </c>
      <c r="H37" s="1953">
        <f>'[39]Oct midyear adj_OJJ'!$I35</f>
        <v>0</v>
      </c>
      <c r="I37" s="647">
        <f t="shared" si="18"/>
        <v>0</v>
      </c>
      <c r="J37" s="1961">
        <f>'[4]Table 5E_OJJ'!K36*8</f>
        <v>0</v>
      </c>
      <c r="K37" s="1961">
        <f t="shared" si="25"/>
        <v>0</v>
      </c>
      <c r="L37" s="647">
        <f t="shared" si="26"/>
        <v>0</v>
      </c>
      <c r="M37" s="633">
        <f>'Table 3 Levels 1&amp;2'!AS37</f>
        <v>7523426.8399999999</v>
      </c>
      <c r="N37" s="648">
        <f>'Table 3 Levels 1&amp;2'!C37</f>
        <v>2476</v>
      </c>
      <c r="O37" s="648">
        <f t="shared" si="19"/>
        <v>2476</v>
      </c>
      <c r="P37" s="635">
        <f t="shared" si="27"/>
        <v>3038.5407269789985</v>
      </c>
      <c r="Q37" s="636">
        <f t="shared" si="20"/>
        <v>0</v>
      </c>
      <c r="R37" s="1967">
        <f>'[39]Oct midyear adj_OJJ'!$K35</f>
        <v>0</v>
      </c>
      <c r="S37" s="636">
        <f t="shared" si="28"/>
        <v>0</v>
      </c>
      <c r="T37" s="1971">
        <f>'[4]Table 5E_OJJ'!S36*8</f>
        <v>0</v>
      </c>
      <c r="U37" s="1971">
        <f t="shared" si="29"/>
        <v>0</v>
      </c>
      <c r="V37" s="636">
        <f t="shared" si="30"/>
        <v>0</v>
      </c>
      <c r="W37" s="637">
        <f t="shared" si="21"/>
        <v>0</v>
      </c>
      <c r="X37" s="643"/>
      <c r="Y37" s="643"/>
      <c r="Z37" s="637">
        <f t="shared" si="22"/>
        <v>0</v>
      </c>
    </row>
    <row r="38" spans="1:26">
      <c r="A38" s="604">
        <v>31</v>
      </c>
      <c r="B38" s="605" t="s">
        <v>122</v>
      </c>
      <c r="C38" s="649">
        <f>'[38]2012 Final Summary 20131029'!E36</f>
        <v>1.4279999999999999</v>
      </c>
      <c r="D38" s="650">
        <f>'Table 3 Levels 1&amp;2'!AP38</f>
        <v>4969.760789923298</v>
      </c>
      <c r="E38" s="650">
        <f t="shared" si="17"/>
        <v>6542.1144861702169</v>
      </c>
      <c r="F38" s="650">
        <f t="shared" si="23"/>
        <v>8012.4618780324117</v>
      </c>
      <c r="G38" s="651">
        <f t="shared" si="24"/>
        <v>11441.795561830284</v>
      </c>
      <c r="H38" s="1954">
        <v>0</v>
      </c>
      <c r="I38" s="651">
        <f t="shared" si="18"/>
        <v>11441.795561830284</v>
      </c>
      <c r="J38" s="650">
        <f>'[4]Table 5E_OJJ'!K37*8</f>
        <v>7624</v>
      </c>
      <c r="K38" s="650">
        <f t="shared" si="25"/>
        <v>3817.795561830284</v>
      </c>
      <c r="L38" s="651">
        <f t="shared" si="26"/>
        <v>954</v>
      </c>
      <c r="M38" s="611">
        <f>'Table 3 Levels 1&amp;2'!AS38</f>
        <v>23751465.66</v>
      </c>
      <c r="N38" s="652">
        <f>'Table 3 Levels 1&amp;2'!C38</f>
        <v>6405</v>
      </c>
      <c r="O38" s="652">
        <f t="shared" si="19"/>
        <v>6406.4279999999999</v>
      </c>
      <c r="P38" s="613">
        <f t="shared" si="27"/>
        <v>3707.4428464660809</v>
      </c>
      <c r="Q38" s="614">
        <f t="shared" si="20"/>
        <v>5294.2283847535637</v>
      </c>
      <c r="R38" s="1964">
        <v>0</v>
      </c>
      <c r="S38" s="614">
        <f t="shared" si="28"/>
        <v>5294.2283847535637</v>
      </c>
      <c r="T38" s="613">
        <f>'[4]Table 5E_OJJ'!S37*8</f>
        <v>3528</v>
      </c>
      <c r="U38" s="613">
        <f t="shared" si="29"/>
        <v>1766.2283847535637</v>
      </c>
      <c r="V38" s="614">
        <f t="shared" si="30"/>
        <v>442</v>
      </c>
      <c r="W38" s="615">
        <f t="shared" si="21"/>
        <v>16736.023946583846</v>
      </c>
      <c r="X38" s="642"/>
      <c r="Y38" s="643"/>
      <c r="Z38" s="615">
        <f t="shared" si="22"/>
        <v>1396</v>
      </c>
    </row>
    <row r="39" spans="1:26">
      <c r="A39" s="616">
        <v>32</v>
      </c>
      <c r="B39" s="617" t="s">
        <v>123</v>
      </c>
      <c r="C39" s="639">
        <f>'[38]2012 Final Summary 20131029'!E37</f>
        <v>2.1861769999999998</v>
      </c>
      <c r="D39" s="640">
        <f>'Table 3 Levels 1&amp;2'!AP39</f>
        <v>6091.2857655456774</v>
      </c>
      <c r="E39" s="640">
        <f t="shared" si="17"/>
        <v>8018.4722224414845</v>
      </c>
      <c r="F39" s="640">
        <f t="shared" si="23"/>
        <v>9488.8196143036803</v>
      </c>
      <c r="G39" s="641">
        <f t="shared" si="24"/>
        <v>20744.239197939576</v>
      </c>
      <c r="H39" s="1952">
        <f>'[39]Oct midyear adj_OJJ'!$I37</f>
        <v>0</v>
      </c>
      <c r="I39" s="641">
        <f t="shared" si="18"/>
        <v>20744.239197939576</v>
      </c>
      <c r="J39" s="1960">
        <f>'[4]Table 5E_OJJ'!K38*8</f>
        <v>13832</v>
      </c>
      <c r="K39" s="1960">
        <f t="shared" si="25"/>
        <v>6912.2391979395761</v>
      </c>
      <c r="L39" s="641">
        <f t="shared" si="26"/>
        <v>1728</v>
      </c>
      <c r="M39" s="611">
        <f>'Table 3 Levels 1&amp;2'!AS39</f>
        <v>49820671.5</v>
      </c>
      <c r="N39" s="644">
        <f>'Table 3 Levels 1&amp;2'!C39</f>
        <v>24815</v>
      </c>
      <c r="O39" s="644">
        <f t="shared" si="19"/>
        <v>24817.186177</v>
      </c>
      <c r="P39" s="622">
        <f t="shared" si="27"/>
        <v>2007.5068601521255</v>
      </c>
      <c r="Q39" s="623">
        <f t="shared" si="20"/>
        <v>4388.7653250067924</v>
      </c>
      <c r="R39" s="1966">
        <f>'[39]Oct midyear adj_OJJ'!$K37</f>
        <v>0</v>
      </c>
      <c r="S39" s="623">
        <f t="shared" si="28"/>
        <v>4388.7653250067924</v>
      </c>
      <c r="T39" s="1970">
        <f>'[4]Table 5E_OJJ'!S38*8</f>
        <v>2928</v>
      </c>
      <c r="U39" s="1970">
        <f t="shared" si="29"/>
        <v>1460.7653250067924</v>
      </c>
      <c r="V39" s="623">
        <f t="shared" si="30"/>
        <v>365</v>
      </c>
      <c r="W39" s="624">
        <f t="shared" si="21"/>
        <v>25133.004522946369</v>
      </c>
      <c r="X39" s="642"/>
      <c r="Y39" s="643"/>
      <c r="Z39" s="624">
        <f t="shared" si="22"/>
        <v>2093</v>
      </c>
    </row>
    <row r="40" spans="1:26">
      <c r="A40" s="616">
        <v>33</v>
      </c>
      <c r="B40" s="617" t="s">
        <v>124</v>
      </c>
      <c r="C40" s="639">
        <f>'[38]2012 Final Summary 20131029'!E38</f>
        <v>2.5223610000000001</v>
      </c>
      <c r="D40" s="640">
        <f>'Table 3 Levels 1&amp;2'!AP40</f>
        <v>5984.8544226517852</v>
      </c>
      <c r="E40" s="640">
        <f t="shared" si="17"/>
        <v>7878.367686315627</v>
      </c>
      <c r="F40" s="640">
        <f t="shared" si="23"/>
        <v>9348.7150781778219</v>
      </c>
      <c r="G40" s="641">
        <f t="shared" si="24"/>
        <v>23580.834313307689</v>
      </c>
      <c r="H40" s="1952">
        <f>'[39]Oct midyear adj_OJJ'!$I38</f>
        <v>0</v>
      </c>
      <c r="I40" s="641">
        <f t="shared" ref="I40:I71" si="31">G40+H40</f>
        <v>23580.834313307689</v>
      </c>
      <c r="J40" s="1960">
        <f>'[4]Table 5E_OJJ'!K39*8</f>
        <v>15720</v>
      </c>
      <c r="K40" s="1960">
        <f t="shared" si="25"/>
        <v>7860.8343133076887</v>
      </c>
      <c r="L40" s="641">
        <f t="shared" si="26"/>
        <v>1965</v>
      </c>
      <c r="M40" s="611">
        <f>'Table 3 Levels 1&amp;2'!AS40</f>
        <v>5320306</v>
      </c>
      <c r="N40" s="644">
        <f>'Table 3 Levels 1&amp;2'!C40</f>
        <v>1792</v>
      </c>
      <c r="O40" s="644">
        <f t="shared" ref="O40:O71" si="32">C40+N40</f>
        <v>1794.522361</v>
      </c>
      <c r="P40" s="622">
        <f t="shared" si="27"/>
        <v>2964.7476763874106</v>
      </c>
      <c r="Q40" s="623">
        <f t="shared" ref="Q40:Q71" si="33">C40*P40</f>
        <v>7478.163913760226</v>
      </c>
      <c r="R40" s="1966">
        <f>'[39]Oct midyear adj_OJJ'!$K38</f>
        <v>0</v>
      </c>
      <c r="S40" s="623">
        <f t="shared" si="28"/>
        <v>7478.163913760226</v>
      </c>
      <c r="T40" s="1970">
        <f>'[4]Table 5E_OJJ'!S39*8</f>
        <v>4984</v>
      </c>
      <c r="U40" s="1970">
        <f t="shared" si="29"/>
        <v>2494.163913760226</v>
      </c>
      <c r="V40" s="623">
        <f t="shared" si="30"/>
        <v>624</v>
      </c>
      <c r="W40" s="624">
        <f t="shared" ref="W40:W76" si="34">G40+Q40</f>
        <v>31058.998227067914</v>
      </c>
      <c r="X40" s="642"/>
      <c r="Y40" s="643"/>
      <c r="Z40" s="624">
        <f t="shared" ref="Z40:Z76" si="35">L40+V40</f>
        <v>2589</v>
      </c>
    </row>
    <row r="41" spans="1:26">
      <c r="A41" s="616">
        <v>34</v>
      </c>
      <c r="B41" s="617" t="s">
        <v>125</v>
      </c>
      <c r="C41" s="639">
        <f>'[38]2012 Final Summary 20131029'!E39</f>
        <v>2.2409180000000002</v>
      </c>
      <c r="D41" s="640">
        <f>'Table 3 Levels 1&amp;2'!AP41</f>
        <v>6647.7429320074907</v>
      </c>
      <c r="E41" s="640">
        <f t="shared" si="17"/>
        <v>8750.9836336595781</v>
      </c>
      <c r="F41" s="640">
        <f t="shared" si="23"/>
        <v>10221.331025521773</v>
      </c>
      <c r="G41" s="641">
        <f t="shared" si="24"/>
        <v>22905.164679050202</v>
      </c>
      <c r="H41" s="1952">
        <f>'[39]Oct midyear adj_OJJ'!$I39</f>
        <v>0</v>
      </c>
      <c r="I41" s="641">
        <f t="shared" si="31"/>
        <v>22905.164679050202</v>
      </c>
      <c r="J41" s="1960">
        <f>'[4]Table 5E_OJJ'!K40*8</f>
        <v>15000</v>
      </c>
      <c r="K41" s="1960">
        <f t="shared" si="25"/>
        <v>7905.1646790502018</v>
      </c>
      <c r="L41" s="641">
        <f t="shared" si="26"/>
        <v>1976</v>
      </c>
      <c r="M41" s="611">
        <f>'Table 3 Levels 1&amp;2'!AS41</f>
        <v>12309200.5</v>
      </c>
      <c r="N41" s="644">
        <f>'Table 3 Levels 1&amp;2'!C41</f>
        <v>4272</v>
      </c>
      <c r="O41" s="644">
        <f t="shared" si="32"/>
        <v>4274.2409180000004</v>
      </c>
      <c r="P41" s="622">
        <f t="shared" si="27"/>
        <v>2879.8565022768325</v>
      </c>
      <c r="Q41" s="623">
        <f t="shared" si="33"/>
        <v>6453.5222733691953</v>
      </c>
      <c r="R41" s="1966">
        <f>'[39]Oct midyear adj_OJJ'!$K39</f>
        <v>0</v>
      </c>
      <c r="S41" s="623">
        <f t="shared" si="28"/>
        <v>6453.5222733691953</v>
      </c>
      <c r="T41" s="1970">
        <f>'[4]Table 5E_OJJ'!S40*8</f>
        <v>4224</v>
      </c>
      <c r="U41" s="1970">
        <f t="shared" si="29"/>
        <v>2229.5222733691953</v>
      </c>
      <c r="V41" s="623">
        <f t="shared" si="30"/>
        <v>557</v>
      </c>
      <c r="W41" s="624">
        <f t="shared" si="34"/>
        <v>29358.686952419397</v>
      </c>
      <c r="X41" s="642"/>
      <c r="Y41" s="643"/>
      <c r="Z41" s="624">
        <f t="shared" si="35"/>
        <v>2533</v>
      </c>
    </row>
    <row r="42" spans="1:26">
      <c r="A42" s="627">
        <v>35</v>
      </c>
      <c r="B42" s="628" t="s">
        <v>126</v>
      </c>
      <c r="C42" s="645">
        <f>'[38]2012 Final Summary 20131029'!E40</f>
        <v>4.4059460000000001</v>
      </c>
      <c r="D42" s="646">
        <f>'Table 3 Levels 1&amp;2'!AP42</f>
        <v>5145.1206416222867</v>
      </c>
      <c r="E42" s="646">
        <f t="shared" si="17"/>
        <v>6772.9554208926147</v>
      </c>
      <c r="F42" s="646">
        <f t="shared" si="23"/>
        <v>8243.3028127548096</v>
      </c>
      <c r="G42" s="647">
        <f t="shared" si="24"/>
        <v>36319.547054645802</v>
      </c>
      <c r="H42" s="1953">
        <f>'[39]Oct midyear adj_OJJ'!$I40</f>
        <v>0</v>
      </c>
      <c r="I42" s="647">
        <f t="shared" si="31"/>
        <v>36319.547054645802</v>
      </c>
      <c r="J42" s="1961">
        <f>'[4]Table 5E_OJJ'!K41*8</f>
        <v>24216</v>
      </c>
      <c r="K42" s="1961">
        <f t="shared" si="25"/>
        <v>12103.547054645802</v>
      </c>
      <c r="L42" s="647">
        <f t="shared" si="26"/>
        <v>3026</v>
      </c>
      <c r="M42" s="633">
        <f>'Table 3 Levels 1&amp;2'!AS42</f>
        <v>23289258.280000001</v>
      </c>
      <c r="N42" s="648">
        <f>'Table 3 Levels 1&amp;2'!C42</f>
        <v>6490</v>
      </c>
      <c r="O42" s="648">
        <f t="shared" si="32"/>
        <v>6494.4059459999999</v>
      </c>
      <c r="P42" s="635">
        <f t="shared" si="27"/>
        <v>3586.0490510828322</v>
      </c>
      <c r="Q42" s="636">
        <f t="shared" si="33"/>
        <v>15799.9384724222</v>
      </c>
      <c r="R42" s="1967">
        <f>'[39]Oct midyear adj_OJJ'!$K40</f>
        <v>0</v>
      </c>
      <c r="S42" s="636">
        <f t="shared" si="28"/>
        <v>15799.9384724222</v>
      </c>
      <c r="T42" s="1971">
        <f>'[4]Table 5E_OJJ'!S41*8</f>
        <v>10536</v>
      </c>
      <c r="U42" s="1971">
        <f t="shared" si="29"/>
        <v>5263.9384724222</v>
      </c>
      <c r="V42" s="636">
        <f t="shared" si="30"/>
        <v>1316</v>
      </c>
      <c r="W42" s="637">
        <f t="shared" si="34"/>
        <v>52119.485527067998</v>
      </c>
      <c r="X42" s="643"/>
      <c r="Y42" s="643"/>
      <c r="Z42" s="637">
        <f t="shared" si="35"/>
        <v>4342</v>
      </c>
    </row>
    <row r="43" spans="1:26">
      <c r="A43" s="604">
        <v>36</v>
      </c>
      <c r="B43" s="605" t="s">
        <v>127</v>
      </c>
      <c r="C43" s="649">
        <f>'[38]2012 Final Summary 20131029'!E41</f>
        <v>35.584736999999997</v>
      </c>
      <c r="D43" s="650">
        <f>'Table 3 Levels 1&amp;2'!AP43</f>
        <v>4255.5568231178695</v>
      </c>
      <c r="E43" s="650">
        <f t="shared" si="17"/>
        <v>5601.947682409399</v>
      </c>
      <c r="F43" s="650">
        <f t="shared" si="23"/>
        <v>7072.2950742715939</v>
      </c>
      <c r="G43" s="651">
        <f t="shared" si="24"/>
        <v>251665.76020435011</v>
      </c>
      <c r="H43" s="1954">
        <v>0</v>
      </c>
      <c r="I43" s="651">
        <f t="shared" si="31"/>
        <v>251665.76020435011</v>
      </c>
      <c r="J43" s="650">
        <f>'[4]Table 5E_OJJ'!K42*8</f>
        <v>156512</v>
      </c>
      <c r="K43" s="650">
        <f t="shared" si="25"/>
        <v>95153.76020435011</v>
      </c>
      <c r="L43" s="651">
        <f t="shared" si="26"/>
        <v>23788</v>
      </c>
      <c r="M43" s="611">
        <f>'Table 3 Levels 1&amp;2'!AS43</f>
        <v>175959137.24000001</v>
      </c>
      <c r="N43" s="652">
        <f>'Table 3 Levels 1&amp;2'!C43</f>
        <v>40704</v>
      </c>
      <c r="O43" s="652">
        <f t="shared" si="32"/>
        <v>40739.584736999997</v>
      </c>
      <c r="P43" s="613">
        <f t="shared" si="27"/>
        <v>4319.1195584326269</v>
      </c>
      <c r="Q43" s="614">
        <f t="shared" si="33"/>
        <v>153694.73355838115</v>
      </c>
      <c r="R43" s="1964">
        <v>0</v>
      </c>
      <c r="S43" s="614">
        <f t="shared" si="28"/>
        <v>153694.73355838115</v>
      </c>
      <c r="T43" s="613">
        <f>'[4]Table 5E_OJJ'!S42*8</f>
        <v>95592</v>
      </c>
      <c r="U43" s="613">
        <f t="shared" si="29"/>
        <v>58102.733558381151</v>
      </c>
      <c r="V43" s="614">
        <f t="shared" si="30"/>
        <v>14526</v>
      </c>
      <c r="W43" s="615">
        <f t="shared" si="34"/>
        <v>405360.49376273126</v>
      </c>
      <c r="X43" s="642"/>
      <c r="Y43" s="643"/>
      <c r="Z43" s="615">
        <f t="shared" si="35"/>
        <v>38314</v>
      </c>
    </row>
    <row r="44" spans="1:26">
      <c r="A44" s="616">
        <v>37</v>
      </c>
      <c r="B44" s="617" t="s">
        <v>128</v>
      </c>
      <c r="C44" s="639">
        <f>'[38]2012 Final Summary 20131029'!E42</f>
        <v>5.0968410000000004</v>
      </c>
      <c r="D44" s="640">
        <f>'Table 3 Levels 1&amp;2'!AP44</f>
        <v>6157.3695641818849</v>
      </c>
      <c r="E44" s="640">
        <f t="shared" si="17"/>
        <v>8105.4638895727639</v>
      </c>
      <c r="F44" s="640">
        <f t="shared" si="23"/>
        <v>9575.8112814349588</v>
      </c>
      <c r="G44" s="641">
        <f t="shared" si="24"/>
        <v>48806.387547480241</v>
      </c>
      <c r="H44" s="1952">
        <v>0</v>
      </c>
      <c r="I44" s="641">
        <f t="shared" si="31"/>
        <v>48806.387547480241</v>
      </c>
      <c r="J44" s="1960">
        <f>'[4]Table 5E_OJJ'!K43*8</f>
        <v>32536</v>
      </c>
      <c r="K44" s="1960">
        <f t="shared" si="25"/>
        <v>16270.387547480241</v>
      </c>
      <c r="L44" s="641">
        <f t="shared" si="26"/>
        <v>4068</v>
      </c>
      <c r="M44" s="611">
        <f>'Table 3 Levels 1&amp;2'!AS44</f>
        <v>55870129.060000002</v>
      </c>
      <c r="N44" s="644">
        <f>'Table 3 Levels 1&amp;2'!C44</f>
        <v>19622</v>
      </c>
      <c r="O44" s="644">
        <f t="shared" si="32"/>
        <v>19627.096840999999</v>
      </c>
      <c r="P44" s="622">
        <f t="shared" si="27"/>
        <v>2846.5814130641147</v>
      </c>
      <c r="Q44" s="623">
        <f t="shared" si="33"/>
        <v>14508.572855943117</v>
      </c>
      <c r="R44" s="1966">
        <v>0</v>
      </c>
      <c r="S44" s="623">
        <f t="shared" si="28"/>
        <v>14508.572855943117</v>
      </c>
      <c r="T44" s="1970">
        <f>'[4]Table 5E_OJJ'!S43*8</f>
        <v>9672</v>
      </c>
      <c r="U44" s="1970">
        <f t="shared" si="29"/>
        <v>4836.5728559431172</v>
      </c>
      <c r="V44" s="623">
        <f t="shared" si="30"/>
        <v>1209</v>
      </c>
      <c r="W44" s="624">
        <f t="shared" si="34"/>
        <v>63314.960403423356</v>
      </c>
      <c r="X44" s="642"/>
      <c r="Y44" s="643"/>
      <c r="Z44" s="624">
        <f t="shared" si="35"/>
        <v>5277</v>
      </c>
    </row>
    <row r="45" spans="1:26">
      <c r="A45" s="616">
        <v>38</v>
      </c>
      <c r="B45" s="617" t="s">
        <v>129</v>
      </c>
      <c r="C45" s="639">
        <f>'[38]2012 Final Summary 20131029'!E43</f>
        <v>0.55600000000000005</v>
      </c>
      <c r="D45" s="640">
        <f>'Table 3 Levels 1&amp;2'!AP45</f>
        <v>3022.6745275590547</v>
      </c>
      <c r="E45" s="640">
        <f t="shared" si="17"/>
        <v>3979.0009317585295</v>
      </c>
      <c r="F45" s="640">
        <f t="shared" si="23"/>
        <v>5449.3483236207248</v>
      </c>
      <c r="G45" s="641">
        <f t="shared" si="24"/>
        <v>3029.8376679331232</v>
      </c>
      <c r="H45" s="1952">
        <f>'[39]Oct midyear adj_OJJ'!$I43</f>
        <v>0</v>
      </c>
      <c r="I45" s="641">
        <f t="shared" si="31"/>
        <v>3029.8376679331232</v>
      </c>
      <c r="J45" s="1960">
        <f>'[4]Table 5E_OJJ'!K44*8</f>
        <v>2016</v>
      </c>
      <c r="K45" s="1960">
        <f t="shared" si="25"/>
        <v>1013.8376679331232</v>
      </c>
      <c r="L45" s="641">
        <f t="shared" si="26"/>
        <v>253</v>
      </c>
      <c r="M45" s="611">
        <f>'Table 3 Levels 1&amp;2'!AS45</f>
        <v>23615799.390000001</v>
      </c>
      <c r="N45" s="644">
        <f>'Table 3 Levels 1&amp;2'!C45</f>
        <v>3810</v>
      </c>
      <c r="O45" s="644">
        <f t="shared" si="32"/>
        <v>3810.556</v>
      </c>
      <c r="P45" s="622">
        <f t="shared" si="27"/>
        <v>6197.4681358835824</v>
      </c>
      <c r="Q45" s="623">
        <f t="shared" si="33"/>
        <v>3445.7922835512722</v>
      </c>
      <c r="R45" s="1966">
        <f>'[39]Oct midyear adj_OJJ'!$K43</f>
        <v>0</v>
      </c>
      <c r="S45" s="623">
        <f t="shared" si="28"/>
        <v>3445.7922835512722</v>
      </c>
      <c r="T45" s="1970">
        <f>'[4]Table 5E_OJJ'!S44*8</f>
        <v>2296</v>
      </c>
      <c r="U45" s="1970">
        <f t="shared" si="29"/>
        <v>1149.7922835512722</v>
      </c>
      <c r="V45" s="623">
        <f t="shared" si="30"/>
        <v>287</v>
      </c>
      <c r="W45" s="624">
        <f t="shared" si="34"/>
        <v>6475.6299514843959</v>
      </c>
      <c r="X45" s="642"/>
      <c r="Y45" s="643"/>
      <c r="Z45" s="624">
        <f t="shared" si="35"/>
        <v>540</v>
      </c>
    </row>
    <row r="46" spans="1:26">
      <c r="A46" s="616">
        <v>39</v>
      </c>
      <c r="B46" s="617" t="s">
        <v>130</v>
      </c>
      <c r="C46" s="639">
        <f>'[38]2012 Final Summary 20131029'!E44</f>
        <v>3.6546379999999998</v>
      </c>
      <c r="D46" s="640">
        <f>'Table 3 Levels 1&amp;2'!AP46</f>
        <v>4419.6500082340335</v>
      </c>
      <c r="E46" s="640">
        <f t="shared" si="17"/>
        <v>5817.95735547192</v>
      </c>
      <c r="F46" s="640">
        <f t="shared" si="23"/>
        <v>7288.3047473341148</v>
      </c>
      <c r="G46" s="641">
        <f t="shared" si="24"/>
        <v>26636.115485187653</v>
      </c>
      <c r="H46" s="1952">
        <f>'[39]Oct midyear adj_OJJ'!$I44</f>
        <v>0</v>
      </c>
      <c r="I46" s="641">
        <f t="shared" si="31"/>
        <v>26636.115485187653</v>
      </c>
      <c r="J46" s="1960">
        <f>'[4]Table 5E_OJJ'!K45*8</f>
        <v>13592</v>
      </c>
      <c r="K46" s="1960">
        <f t="shared" si="25"/>
        <v>13044.115485187653</v>
      </c>
      <c r="L46" s="641">
        <f t="shared" si="26"/>
        <v>3261</v>
      </c>
      <c r="M46" s="611">
        <f>'Table 3 Levels 1&amp;2'!AS46</f>
        <v>12739289</v>
      </c>
      <c r="N46" s="644">
        <f>'Table 3 Levels 1&amp;2'!C46</f>
        <v>2839</v>
      </c>
      <c r="O46" s="644">
        <f t="shared" si="32"/>
        <v>2842.654638</v>
      </c>
      <c r="P46" s="622">
        <f t="shared" si="27"/>
        <v>4481.4761630568501</v>
      </c>
      <c r="Q46" s="623">
        <f t="shared" si="33"/>
        <v>16378.173081601759</v>
      </c>
      <c r="R46" s="1966">
        <f>'[39]Oct midyear adj_OJJ'!$K44</f>
        <v>0</v>
      </c>
      <c r="S46" s="623">
        <f t="shared" si="28"/>
        <v>16378.173081601759</v>
      </c>
      <c r="T46" s="1970">
        <f>'[4]Table 5E_OJJ'!S45*8</f>
        <v>8360</v>
      </c>
      <c r="U46" s="1970">
        <f t="shared" si="29"/>
        <v>8018.1730816017589</v>
      </c>
      <c r="V46" s="623">
        <f t="shared" si="30"/>
        <v>2005</v>
      </c>
      <c r="W46" s="624">
        <f t="shared" si="34"/>
        <v>43014.288566789415</v>
      </c>
      <c r="X46" s="642"/>
      <c r="Y46" s="643"/>
      <c r="Z46" s="624">
        <f t="shared" si="35"/>
        <v>5266</v>
      </c>
    </row>
    <row r="47" spans="1:26">
      <c r="A47" s="627">
        <v>40</v>
      </c>
      <c r="B47" s="628" t="s">
        <v>131</v>
      </c>
      <c r="C47" s="645">
        <f>'[38]2012 Final Summary 20131029'!E45</f>
        <v>7.9084779999999997</v>
      </c>
      <c r="D47" s="646">
        <f>'Table 3 Levels 1&amp;2'!AP47</f>
        <v>5628.7674462701198</v>
      </c>
      <c r="E47" s="646">
        <f t="shared" si="17"/>
        <v>7409.6204236211179</v>
      </c>
      <c r="F47" s="646">
        <f t="shared" si="23"/>
        <v>8879.9678154833127</v>
      </c>
      <c r="G47" s="647">
        <f t="shared" si="24"/>
        <v>70227.030109457832</v>
      </c>
      <c r="H47" s="1953">
        <v>0</v>
      </c>
      <c r="I47" s="647">
        <f t="shared" si="31"/>
        <v>70227.030109457832</v>
      </c>
      <c r="J47" s="1961">
        <f>'[4]Table 5E_OJJ'!K46*8</f>
        <v>46344</v>
      </c>
      <c r="K47" s="1961">
        <f t="shared" si="25"/>
        <v>23883.030109457832</v>
      </c>
      <c r="L47" s="647">
        <f t="shared" si="26"/>
        <v>5971</v>
      </c>
      <c r="M47" s="633">
        <f>'Table 3 Levels 1&amp;2'!AS47</f>
        <v>69278485</v>
      </c>
      <c r="N47" s="648">
        <f>'Table 3 Levels 1&amp;2'!C47</f>
        <v>22975</v>
      </c>
      <c r="O47" s="648">
        <f t="shared" si="32"/>
        <v>22982.908478000001</v>
      </c>
      <c r="P47" s="635">
        <f t="shared" si="27"/>
        <v>3014.3480345977819</v>
      </c>
      <c r="Q47" s="636">
        <f t="shared" si="33"/>
        <v>23838.905115959795</v>
      </c>
      <c r="R47" s="1967">
        <v>0</v>
      </c>
      <c r="S47" s="636">
        <f t="shared" si="28"/>
        <v>23838.905115959795</v>
      </c>
      <c r="T47" s="1971">
        <f>'[4]Table 5E_OJJ'!S46*8</f>
        <v>15728</v>
      </c>
      <c r="U47" s="1971">
        <f t="shared" si="29"/>
        <v>8110.9051159597948</v>
      </c>
      <c r="V47" s="636">
        <f t="shared" si="30"/>
        <v>2028</v>
      </c>
      <c r="W47" s="637">
        <f t="shared" si="34"/>
        <v>94065.935225417634</v>
      </c>
      <c r="X47" s="643"/>
      <c r="Y47" s="643"/>
      <c r="Z47" s="637">
        <f t="shared" si="35"/>
        <v>7999</v>
      </c>
    </row>
    <row r="48" spans="1:26">
      <c r="A48" s="604">
        <v>41</v>
      </c>
      <c r="B48" s="605" t="s">
        <v>132</v>
      </c>
      <c r="C48" s="649">
        <f>'[38]2012 Final Summary 20131029'!E46</f>
        <v>0</v>
      </c>
      <c r="D48" s="650">
        <f>'Table 3 Levels 1&amp;2'!AP48</f>
        <v>2501.8213465627214</v>
      </c>
      <c r="E48" s="650">
        <f t="shared" si="17"/>
        <v>3293.3580437803053</v>
      </c>
      <c r="F48" s="650">
        <f t="shared" si="23"/>
        <v>4763.7054356424997</v>
      </c>
      <c r="G48" s="651">
        <f t="shared" si="24"/>
        <v>0</v>
      </c>
      <c r="H48" s="1954">
        <f>'[39]Oct midyear adj_OJJ'!$I46</f>
        <v>0</v>
      </c>
      <c r="I48" s="651">
        <f t="shared" si="31"/>
        <v>0</v>
      </c>
      <c r="J48" s="650">
        <f>'[4]Table 5E_OJJ'!K47*8</f>
        <v>0</v>
      </c>
      <c r="K48" s="650">
        <f t="shared" si="25"/>
        <v>0</v>
      </c>
      <c r="L48" s="651">
        <f t="shared" si="26"/>
        <v>0</v>
      </c>
      <c r="M48" s="611">
        <f>'Table 3 Levels 1&amp;2'!AS48</f>
        <v>9020746.2599999998</v>
      </c>
      <c r="N48" s="652">
        <f>'Table 3 Levels 1&amp;2'!C48</f>
        <v>1411</v>
      </c>
      <c r="O48" s="652">
        <f t="shared" si="32"/>
        <v>1411</v>
      </c>
      <c r="P48" s="613">
        <f t="shared" si="27"/>
        <v>6393.1582282069448</v>
      </c>
      <c r="Q48" s="614">
        <f t="shared" si="33"/>
        <v>0</v>
      </c>
      <c r="R48" s="1964">
        <f>'[39]Oct midyear adj_OJJ'!$K46</f>
        <v>0</v>
      </c>
      <c r="S48" s="614">
        <f t="shared" si="28"/>
        <v>0</v>
      </c>
      <c r="T48" s="613">
        <f>'[4]Table 5E_OJJ'!S47*8</f>
        <v>0</v>
      </c>
      <c r="U48" s="613">
        <f t="shared" si="29"/>
        <v>0</v>
      </c>
      <c r="V48" s="614">
        <f t="shared" si="30"/>
        <v>0</v>
      </c>
      <c r="W48" s="615">
        <f t="shared" si="34"/>
        <v>0</v>
      </c>
      <c r="X48" s="642"/>
      <c r="Y48" s="643"/>
      <c r="Z48" s="615">
        <f t="shared" si="35"/>
        <v>0</v>
      </c>
    </row>
    <row r="49" spans="1:26">
      <c r="A49" s="616">
        <v>42</v>
      </c>
      <c r="B49" s="617" t="s">
        <v>133</v>
      </c>
      <c r="C49" s="639">
        <f>'[38]2012 Final Summary 20131029'!E47</f>
        <v>0.64480800000000005</v>
      </c>
      <c r="D49" s="640">
        <f>'Table 3 Levels 1&amp;2'!AP49</f>
        <v>5621.7530460987809</v>
      </c>
      <c r="E49" s="640">
        <f t="shared" si="17"/>
        <v>7400.3867781978297</v>
      </c>
      <c r="F49" s="640">
        <f t="shared" si="23"/>
        <v>8870.7341700600246</v>
      </c>
      <c r="G49" s="641">
        <f t="shared" si="24"/>
        <v>5719.9203587280645</v>
      </c>
      <c r="H49" s="1952">
        <f>'[39]Oct midyear adj_OJJ'!$I47</f>
        <v>0</v>
      </c>
      <c r="I49" s="641">
        <f t="shared" si="31"/>
        <v>5719.9203587280645</v>
      </c>
      <c r="J49" s="1960">
        <f>'[4]Table 5E_OJJ'!K48*8</f>
        <v>3816</v>
      </c>
      <c r="K49" s="1960">
        <f t="shared" si="25"/>
        <v>1903.9203587280645</v>
      </c>
      <c r="L49" s="641">
        <f t="shared" si="26"/>
        <v>476</v>
      </c>
      <c r="M49" s="611">
        <f>'Table 3 Levels 1&amp;2'!AS49</f>
        <v>10131618</v>
      </c>
      <c r="N49" s="644">
        <f>'Table 3 Levels 1&amp;2'!C49</f>
        <v>3442</v>
      </c>
      <c r="O49" s="644">
        <f t="shared" si="32"/>
        <v>3442.644808</v>
      </c>
      <c r="P49" s="622">
        <f t="shared" si="27"/>
        <v>2942.9751150790225</v>
      </c>
      <c r="Q49" s="623">
        <f t="shared" si="33"/>
        <v>1897.6538980038745</v>
      </c>
      <c r="R49" s="1966">
        <f>'[39]Oct midyear adj_OJJ'!$K47</f>
        <v>0</v>
      </c>
      <c r="S49" s="623">
        <f t="shared" si="28"/>
        <v>1897.6538980038745</v>
      </c>
      <c r="T49" s="1970">
        <f>'[4]Table 5E_OJJ'!S48*8</f>
        <v>1264</v>
      </c>
      <c r="U49" s="1970">
        <f t="shared" si="29"/>
        <v>633.65389800387447</v>
      </c>
      <c r="V49" s="623">
        <f t="shared" si="30"/>
        <v>158</v>
      </c>
      <c r="W49" s="624">
        <f t="shared" si="34"/>
        <v>7617.5742567319394</v>
      </c>
      <c r="X49" s="642"/>
      <c r="Y49" s="643"/>
      <c r="Z49" s="624">
        <f t="shared" si="35"/>
        <v>634</v>
      </c>
    </row>
    <row r="50" spans="1:26">
      <c r="A50" s="616">
        <v>43</v>
      </c>
      <c r="B50" s="617" t="s">
        <v>134</v>
      </c>
      <c r="C50" s="639">
        <f>'[38]2012 Final Summary 20131029'!E48</f>
        <v>2.8168510000000002</v>
      </c>
      <c r="D50" s="640">
        <f>'Table 3 Levels 1&amp;2'!AP50</f>
        <v>5292.4514352725037</v>
      </c>
      <c r="E50" s="640">
        <f t="shared" si="17"/>
        <v>6966.8993469971374</v>
      </c>
      <c r="F50" s="640">
        <f t="shared" si="23"/>
        <v>8437.2467388593323</v>
      </c>
      <c r="G50" s="641">
        <f t="shared" si="24"/>
        <v>23766.46691360265</v>
      </c>
      <c r="H50" s="1952">
        <f>'[39]Oct midyear adj_OJJ'!$I48</f>
        <v>0</v>
      </c>
      <c r="I50" s="641">
        <f t="shared" si="31"/>
        <v>23766.46691360265</v>
      </c>
      <c r="J50" s="1960">
        <f>'[4]Table 5E_OJJ'!K49*8</f>
        <v>15616</v>
      </c>
      <c r="K50" s="1960">
        <f t="shared" si="25"/>
        <v>8150.4669136026496</v>
      </c>
      <c r="L50" s="641">
        <f t="shared" si="26"/>
        <v>2038</v>
      </c>
      <c r="M50" s="611">
        <f>'Table 3 Levels 1&amp;2'!AS50</f>
        <v>15638300.18</v>
      </c>
      <c r="N50" s="644">
        <f>'Table 3 Levels 1&amp;2'!C50</f>
        <v>4023</v>
      </c>
      <c r="O50" s="644">
        <f t="shared" si="32"/>
        <v>4025.816851</v>
      </c>
      <c r="P50" s="622">
        <f t="shared" si="27"/>
        <v>3884.5036321300845</v>
      </c>
      <c r="Q50" s="623">
        <f t="shared" si="33"/>
        <v>10942.067940669262</v>
      </c>
      <c r="R50" s="1966">
        <f>'[39]Oct midyear adj_OJJ'!$K48</f>
        <v>0</v>
      </c>
      <c r="S50" s="623">
        <f t="shared" si="28"/>
        <v>10942.067940669262</v>
      </c>
      <c r="T50" s="1970">
        <f>'[4]Table 5E_OJJ'!S49*8</f>
        <v>7192</v>
      </c>
      <c r="U50" s="1970">
        <f t="shared" si="29"/>
        <v>3750.0679406692616</v>
      </c>
      <c r="V50" s="623">
        <f t="shared" si="30"/>
        <v>938</v>
      </c>
      <c r="W50" s="624">
        <f t="shared" si="34"/>
        <v>34708.534854271915</v>
      </c>
      <c r="X50" s="642"/>
      <c r="Y50" s="643"/>
      <c r="Z50" s="624">
        <f t="shared" si="35"/>
        <v>2976</v>
      </c>
    </row>
    <row r="51" spans="1:26">
      <c r="A51" s="616">
        <v>44</v>
      </c>
      <c r="B51" s="617" t="s">
        <v>135</v>
      </c>
      <c r="C51" s="639">
        <f>'[38]2012 Final Summary 20131029'!E49</f>
        <v>0.76301600000000003</v>
      </c>
      <c r="D51" s="640">
        <f>'Table 3 Levels 1&amp;2'!AP51</f>
        <v>5359.7821228259063</v>
      </c>
      <c r="E51" s="640">
        <f t="shared" si="17"/>
        <v>7055.5323989742155</v>
      </c>
      <c r="F51" s="640">
        <f t="shared" si="23"/>
        <v>8525.8797908364104</v>
      </c>
      <c r="G51" s="641">
        <f t="shared" si="24"/>
        <v>6505.3826944848352</v>
      </c>
      <c r="H51" s="1952">
        <f>'[39]Oct midyear adj_OJJ'!$I49</f>
        <v>0</v>
      </c>
      <c r="I51" s="641">
        <f t="shared" si="31"/>
        <v>6505.3826944848352</v>
      </c>
      <c r="J51" s="1960">
        <f>'[4]Table 5E_OJJ'!K50*8</f>
        <v>4336</v>
      </c>
      <c r="K51" s="1960">
        <f t="shared" si="25"/>
        <v>2169.3826944848352</v>
      </c>
      <c r="L51" s="641">
        <f t="shared" si="26"/>
        <v>542</v>
      </c>
      <c r="M51" s="611">
        <f>'Table 3 Levels 1&amp;2'!AS51</f>
        <v>22267752.460000001</v>
      </c>
      <c r="N51" s="644">
        <f>'Table 3 Levels 1&amp;2'!C51</f>
        <v>6380</v>
      </c>
      <c r="O51" s="644">
        <f t="shared" si="32"/>
        <v>6380.7630159999999</v>
      </c>
      <c r="P51" s="622">
        <f t="shared" si="27"/>
        <v>3489.8259666066247</v>
      </c>
      <c r="Q51" s="623">
        <f t="shared" si="33"/>
        <v>2662.7930497363204</v>
      </c>
      <c r="R51" s="1966">
        <f>'[39]Oct midyear adj_OJJ'!$K49</f>
        <v>0</v>
      </c>
      <c r="S51" s="623">
        <f t="shared" si="28"/>
        <v>2662.7930497363204</v>
      </c>
      <c r="T51" s="1970">
        <f>'[4]Table 5E_OJJ'!S50*8</f>
        <v>1776</v>
      </c>
      <c r="U51" s="1970">
        <f t="shared" si="29"/>
        <v>886.79304973632043</v>
      </c>
      <c r="V51" s="623">
        <f t="shared" si="30"/>
        <v>222</v>
      </c>
      <c r="W51" s="624">
        <f t="shared" si="34"/>
        <v>9168.1757442211565</v>
      </c>
      <c r="X51" s="642"/>
      <c r="Y51" s="643"/>
      <c r="Z51" s="624">
        <f t="shared" si="35"/>
        <v>764</v>
      </c>
    </row>
    <row r="52" spans="1:26">
      <c r="A52" s="627">
        <v>45</v>
      </c>
      <c r="B52" s="628" t="s">
        <v>136</v>
      </c>
      <c r="C52" s="645">
        <f>'[38]2012 Final Summary 20131029'!E50</f>
        <v>2.8622070000000002</v>
      </c>
      <c r="D52" s="646">
        <f>'Table 3 Levels 1&amp;2'!AP52</f>
        <v>2946.4514538932267</v>
      </c>
      <c r="E52" s="646">
        <f t="shared" si="17"/>
        <v>3878.6620833735697</v>
      </c>
      <c r="F52" s="646">
        <f t="shared" si="23"/>
        <v>5349.0094752357645</v>
      </c>
      <c r="G52" s="647">
        <f t="shared" si="24"/>
        <v>15309.972363086134</v>
      </c>
      <c r="H52" s="1953">
        <f>'[39]Oct midyear adj_OJJ'!$I50</f>
        <v>0</v>
      </c>
      <c r="I52" s="647">
        <f t="shared" si="31"/>
        <v>15309.972363086134</v>
      </c>
      <c r="J52" s="1961">
        <f>'[4]Table 5E_OJJ'!K51*8</f>
        <v>10208</v>
      </c>
      <c r="K52" s="1961">
        <f t="shared" si="25"/>
        <v>5101.9723630861336</v>
      </c>
      <c r="L52" s="647">
        <f t="shared" si="26"/>
        <v>1275</v>
      </c>
      <c r="M52" s="633">
        <f>'Table 3 Levels 1&amp;2'!AS52</f>
        <v>49295937.359999999</v>
      </c>
      <c r="N52" s="648">
        <f>'Table 3 Levels 1&amp;2'!C52</f>
        <v>9478</v>
      </c>
      <c r="O52" s="648">
        <f t="shared" si="32"/>
        <v>9480.8622070000001</v>
      </c>
      <c r="P52" s="635">
        <f t="shared" si="27"/>
        <v>5199.5204954675273</v>
      </c>
      <c r="Q52" s="636">
        <f t="shared" si="33"/>
        <v>14882.103958770625</v>
      </c>
      <c r="R52" s="1967">
        <f>'[39]Oct midyear adj_OJJ'!$K50</f>
        <v>0</v>
      </c>
      <c r="S52" s="636">
        <f t="shared" si="28"/>
        <v>14882.103958770625</v>
      </c>
      <c r="T52" s="1971">
        <f>'[4]Table 5E_OJJ'!S51*8</f>
        <v>9920</v>
      </c>
      <c r="U52" s="1971">
        <f t="shared" si="29"/>
        <v>4962.1039587706255</v>
      </c>
      <c r="V52" s="636">
        <f t="shared" si="30"/>
        <v>1241</v>
      </c>
      <c r="W52" s="637">
        <f t="shared" si="34"/>
        <v>30192.076321856759</v>
      </c>
      <c r="X52" s="643"/>
      <c r="Y52" s="643"/>
      <c r="Z52" s="637">
        <f t="shared" si="35"/>
        <v>2516</v>
      </c>
    </row>
    <row r="53" spans="1:26">
      <c r="A53" s="604">
        <v>46</v>
      </c>
      <c r="B53" s="605" t="s">
        <v>137</v>
      </c>
      <c r="C53" s="649">
        <f>'[38]2012 Final Summary 20131029'!E51</f>
        <v>0</v>
      </c>
      <c r="D53" s="650">
        <f>'Table 3 Levels 1&amp;2'!AP53</f>
        <v>6372.7199115241629</v>
      </c>
      <c r="E53" s="650">
        <f t="shared" si="17"/>
        <v>8388.9476801419769</v>
      </c>
      <c r="F53" s="650">
        <f t="shared" si="23"/>
        <v>9859.2950720041717</v>
      </c>
      <c r="G53" s="651">
        <f t="shared" si="24"/>
        <v>0</v>
      </c>
      <c r="H53" s="1954">
        <f>'[39]Oct midyear adj_OJJ'!$I51</f>
        <v>0</v>
      </c>
      <c r="I53" s="651">
        <f t="shared" si="31"/>
        <v>0</v>
      </c>
      <c r="J53" s="650">
        <f>'[4]Table 5E_OJJ'!K52*8</f>
        <v>0</v>
      </c>
      <c r="K53" s="650">
        <f t="shared" si="25"/>
        <v>0</v>
      </c>
      <c r="L53" s="651">
        <f t="shared" si="26"/>
        <v>0</v>
      </c>
      <c r="M53" s="611">
        <f>'Table 3 Levels 1&amp;2'!AS53</f>
        <v>2157106</v>
      </c>
      <c r="N53" s="652">
        <f>'Table 3 Levels 1&amp;2'!C53</f>
        <v>1076</v>
      </c>
      <c r="O53" s="652">
        <f t="shared" si="32"/>
        <v>1076</v>
      </c>
      <c r="P53" s="613">
        <f t="shared" si="27"/>
        <v>2004.7453531598512</v>
      </c>
      <c r="Q53" s="614">
        <f t="shared" si="33"/>
        <v>0</v>
      </c>
      <c r="R53" s="1964">
        <f>'[39]Oct midyear adj_OJJ'!$K51</f>
        <v>0</v>
      </c>
      <c r="S53" s="614">
        <f t="shared" si="28"/>
        <v>0</v>
      </c>
      <c r="T53" s="613">
        <f>'[4]Table 5E_OJJ'!S52*8</f>
        <v>0</v>
      </c>
      <c r="U53" s="613">
        <f t="shared" si="29"/>
        <v>0</v>
      </c>
      <c r="V53" s="614">
        <f t="shared" si="30"/>
        <v>0</v>
      </c>
      <c r="W53" s="615">
        <f t="shared" si="34"/>
        <v>0</v>
      </c>
      <c r="X53" s="642"/>
      <c r="Y53" s="643"/>
      <c r="Z53" s="615">
        <f t="shared" si="35"/>
        <v>0</v>
      </c>
    </row>
    <row r="54" spans="1:26">
      <c r="A54" s="616">
        <v>47</v>
      </c>
      <c r="B54" s="617" t="s">
        <v>138</v>
      </c>
      <c r="C54" s="639">
        <f>'[38]2012 Final Summary 20131029'!E52</f>
        <v>0</v>
      </c>
      <c r="D54" s="640">
        <f>'Table 3 Levels 1&amp;2'!AP54</f>
        <v>3642.0044076222039</v>
      </c>
      <c r="E54" s="640">
        <f t="shared" si="17"/>
        <v>4794.2769885648222</v>
      </c>
      <c r="F54" s="640">
        <f t="shared" si="23"/>
        <v>6264.6243804270171</v>
      </c>
      <c r="G54" s="641">
        <f t="shared" si="24"/>
        <v>0</v>
      </c>
      <c r="H54" s="1952">
        <f>'[39]Oct midyear adj_OJJ'!$I52</f>
        <v>0</v>
      </c>
      <c r="I54" s="641">
        <f t="shared" si="31"/>
        <v>0</v>
      </c>
      <c r="J54" s="1960">
        <f>'[4]Table 5E_OJJ'!K53*8</f>
        <v>0</v>
      </c>
      <c r="K54" s="1960">
        <f t="shared" si="25"/>
        <v>0</v>
      </c>
      <c r="L54" s="641">
        <f t="shared" si="26"/>
        <v>0</v>
      </c>
      <c r="M54" s="611">
        <f>'Table 3 Levels 1&amp;2'!AS54</f>
        <v>19981967.98</v>
      </c>
      <c r="N54" s="644">
        <f>'Table 3 Levels 1&amp;2'!C54</f>
        <v>3621</v>
      </c>
      <c r="O54" s="644">
        <f t="shared" si="32"/>
        <v>3621</v>
      </c>
      <c r="P54" s="622">
        <f t="shared" si="27"/>
        <v>5518.356249654792</v>
      </c>
      <c r="Q54" s="623">
        <f t="shared" si="33"/>
        <v>0</v>
      </c>
      <c r="R54" s="1966">
        <f>'[39]Oct midyear adj_OJJ'!$K52</f>
        <v>0</v>
      </c>
      <c r="S54" s="623">
        <f t="shared" si="28"/>
        <v>0</v>
      </c>
      <c r="T54" s="1970">
        <f>'[4]Table 5E_OJJ'!S53*8</f>
        <v>0</v>
      </c>
      <c r="U54" s="1970">
        <f t="shared" si="29"/>
        <v>0</v>
      </c>
      <c r="V54" s="623">
        <f t="shared" si="30"/>
        <v>0</v>
      </c>
      <c r="W54" s="624">
        <f t="shared" si="34"/>
        <v>0</v>
      </c>
      <c r="X54" s="642"/>
      <c r="Y54" s="643"/>
      <c r="Z54" s="624">
        <f t="shared" si="35"/>
        <v>0</v>
      </c>
    </row>
    <row r="55" spans="1:26">
      <c r="A55" s="616">
        <v>48</v>
      </c>
      <c r="B55" s="617" t="s">
        <v>195</v>
      </c>
      <c r="C55" s="639">
        <f>'[38]2012 Final Summary 20131029'!E53</f>
        <v>1.2565299999999999</v>
      </c>
      <c r="D55" s="640">
        <f>'Table 3 Levels 1&amp;2'!AP55</f>
        <v>5143.7933230839426</v>
      </c>
      <c r="E55" s="640">
        <f t="shared" si="17"/>
        <v>6771.208159765868</v>
      </c>
      <c r="F55" s="640">
        <f t="shared" si="23"/>
        <v>8241.5555516280619</v>
      </c>
      <c r="G55" s="641">
        <f t="shared" si="24"/>
        <v>10355.761797287209</v>
      </c>
      <c r="H55" s="1952">
        <f>'[39]Oct midyear adj_OJJ'!$I53</f>
        <v>0</v>
      </c>
      <c r="I55" s="641">
        <f t="shared" si="31"/>
        <v>10355.761797287209</v>
      </c>
      <c r="J55" s="1960">
        <f>'[4]Table 5E_OJJ'!K54*8</f>
        <v>5192</v>
      </c>
      <c r="K55" s="1960">
        <f t="shared" si="25"/>
        <v>5163.7617972872085</v>
      </c>
      <c r="L55" s="641">
        <f t="shared" si="26"/>
        <v>1291</v>
      </c>
      <c r="M55" s="611">
        <f>'Table 3 Levels 1&amp;2'!AS55</f>
        <v>25115865.600000001</v>
      </c>
      <c r="N55" s="644">
        <f>'Table 3 Levels 1&amp;2'!C55</f>
        <v>5804</v>
      </c>
      <c r="O55" s="644">
        <f t="shared" si="32"/>
        <v>5805.2565299999997</v>
      </c>
      <c r="P55" s="622">
        <f t="shared" si="27"/>
        <v>4326.4006457265041</v>
      </c>
      <c r="Q55" s="623">
        <f t="shared" si="33"/>
        <v>5436.2522033747236</v>
      </c>
      <c r="R55" s="1966">
        <f>'[39]Oct midyear adj_OJJ'!$K53</f>
        <v>0</v>
      </c>
      <c r="S55" s="623">
        <f t="shared" si="28"/>
        <v>5436.2522033747236</v>
      </c>
      <c r="T55" s="1970">
        <f>'[4]Table 5E_OJJ'!S54*8</f>
        <v>2728</v>
      </c>
      <c r="U55" s="1970">
        <f t="shared" si="29"/>
        <v>2708.2522033747236</v>
      </c>
      <c r="V55" s="623">
        <f t="shared" si="30"/>
        <v>677</v>
      </c>
      <c r="W55" s="624">
        <f t="shared" si="34"/>
        <v>15792.014000661933</v>
      </c>
      <c r="X55" s="642"/>
      <c r="Y55" s="643"/>
      <c r="Z55" s="624">
        <f t="shared" si="35"/>
        <v>1968</v>
      </c>
    </row>
    <row r="56" spans="1:26">
      <c r="A56" s="616">
        <v>49</v>
      </c>
      <c r="B56" s="617" t="s">
        <v>139</v>
      </c>
      <c r="C56" s="639">
        <f>'[38]2012 Final Summary 20131029'!E54</f>
        <v>8.1233900000000006</v>
      </c>
      <c r="D56" s="640">
        <f>'Table 3 Levels 1&amp;2'!AP56</f>
        <v>5411.1492570332557</v>
      </c>
      <c r="E56" s="640">
        <f t="shared" si="17"/>
        <v>7123.1512818573365</v>
      </c>
      <c r="F56" s="640">
        <f t="shared" si="23"/>
        <v>8593.4986737195322</v>
      </c>
      <c r="G56" s="641">
        <f t="shared" si="24"/>
        <v>69808.34119110652</v>
      </c>
      <c r="H56" s="1952">
        <v>0</v>
      </c>
      <c r="I56" s="641">
        <f t="shared" si="31"/>
        <v>69808.34119110652</v>
      </c>
      <c r="J56" s="1960">
        <f>'[4]Table 5E_OJJ'!K55*8</f>
        <v>45504</v>
      </c>
      <c r="K56" s="1960">
        <f t="shared" si="25"/>
        <v>24304.34119110652</v>
      </c>
      <c r="L56" s="641">
        <f t="shared" si="26"/>
        <v>6076</v>
      </c>
      <c r="M56" s="611">
        <f>'Table 3 Levels 1&amp;2'!AS56</f>
        <v>34750059</v>
      </c>
      <c r="N56" s="644">
        <f>'Table 3 Levels 1&amp;2'!C56</f>
        <v>14494</v>
      </c>
      <c r="O56" s="644">
        <f t="shared" si="32"/>
        <v>14502.123390000001</v>
      </c>
      <c r="P56" s="622">
        <f t="shared" si="27"/>
        <v>2396.2048912066248</v>
      </c>
      <c r="Q56" s="623">
        <f t="shared" si="33"/>
        <v>19465.306851178986</v>
      </c>
      <c r="R56" s="1966">
        <v>0</v>
      </c>
      <c r="S56" s="623">
        <f t="shared" si="28"/>
        <v>19465.306851178986</v>
      </c>
      <c r="T56" s="1970">
        <f>'[4]Table 5E_OJJ'!S55*8</f>
        <v>12688</v>
      </c>
      <c r="U56" s="1970">
        <f t="shared" si="29"/>
        <v>6777.3068511789861</v>
      </c>
      <c r="V56" s="623">
        <f t="shared" si="30"/>
        <v>1694</v>
      </c>
      <c r="W56" s="624">
        <f t="shared" si="34"/>
        <v>89273.648042285509</v>
      </c>
      <c r="X56" s="642"/>
      <c r="Y56" s="643"/>
      <c r="Z56" s="624">
        <f t="shared" si="35"/>
        <v>7770</v>
      </c>
    </row>
    <row r="57" spans="1:26">
      <c r="A57" s="627">
        <v>50</v>
      </c>
      <c r="B57" s="628" t="s">
        <v>140</v>
      </c>
      <c r="C57" s="645">
        <f>'[38]2012 Final Summary 20131029'!E55</f>
        <v>4.3051640000000004</v>
      </c>
      <c r="D57" s="646">
        <f>'Table 3 Levels 1&amp;2'!AP57</f>
        <v>5667.1462895017121</v>
      </c>
      <c r="E57" s="646">
        <f t="shared" si="17"/>
        <v>7460.1417257282419</v>
      </c>
      <c r="F57" s="646">
        <f t="shared" si="23"/>
        <v>8930.4891175904377</v>
      </c>
      <c r="G57" s="647">
        <f t="shared" si="24"/>
        <v>38447.220251442122</v>
      </c>
      <c r="H57" s="1953">
        <f>'[39]Oct midyear adj_OJJ'!$I55</f>
        <v>0</v>
      </c>
      <c r="I57" s="647">
        <f t="shared" si="31"/>
        <v>38447.220251442122</v>
      </c>
      <c r="J57" s="1961">
        <f>'[4]Table 5E_OJJ'!K56*8</f>
        <v>25432</v>
      </c>
      <c r="K57" s="1961">
        <f t="shared" si="25"/>
        <v>13015.220251442122</v>
      </c>
      <c r="L57" s="647">
        <f t="shared" si="26"/>
        <v>3254</v>
      </c>
      <c r="M57" s="633">
        <f>'Table 3 Levels 1&amp;2'!AS57</f>
        <v>22744499.5</v>
      </c>
      <c r="N57" s="648">
        <f>'Table 3 Levels 1&amp;2'!C57</f>
        <v>7887</v>
      </c>
      <c r="O57" s="648">
        <f t="shared" si="32"/>
        <v>7891.3051640000003</v>
      </c>
      <c r="P57" s="635">
        <f t="shared" si="27"/>
        <v>2882.2227790353386</v>
      </c>
      <c r="Q57" s="636">
        <f t="shared" si="33"/>
        <v>12408.441748282896</v>
      </c>
      <c r="R57" s="1967">
        <f>'[39]Oct midyear adj_OJJ'!$K55</f>
        <v>0</v>
      </c>
      <c r="S57" s="636">
        <f t="shared" si="28"/>
        <v>12408.441748282896</v>
      </c>
      <c r="T57" s="1971">
        <f>'[4]Table 5E_OJJ'!S56*8</f>
        <v>8208</v>
      </c>
      <c r="U57" s="1971">
        <f t="shared" si="29"/>
        <v>4200.4417482828958</v>
      </c>
      <c r="V57" s="636">
        <f t="shared" si="30"/>
        <v>1050</v>
      </c>
      <c r="W57" s="637">
        <f t="shared" si="34"/>
        <v>50855.661999725016</v>
      </c>
      <c r="X57" s="643"/>
      <c r="Y57" s="643"/>
      <c r="Z57" s="637">
        <f t="shared" si="35"/>
        <v>4304</v>
      </c>
    </row>
    <row r="58" spans="1:26">
      <c r="A58" s="604">
        <v>51</v>
      </c>
      <c r="B58" s="605" t="s">
        <v>141</v>
      </c>
      <c r="C58" s="649">
        <f>'[38]2012 Final Summary 20131029'!E56</f>
        <v>4.1592229999999999</v>
      </c>
      <c r="D58" s="650">
        <f>'Table 3 Levels 1&amp;2'!AP58</f>
        <v>4952.69398727936</v>
      </c>
      <c r="E58" s="650">
        <f t="shared" si="17"/>
        <v>6519.6480171530557</v>
      </c>
      <c r="F58" s="650">
        <f t="shared" si="23"/>
        <v>7989.9954090152505</v>
      </c>
      <c r="G58" s="651">
        <f t="shared" si="24"/>
        <v>33232.172675070637</v>
      </c>
      <c r="H58" s="1954">
        <f>'[39]Oct midyear adj_OJJ'!$I56</f>
        <v>0</v>
      </c>
      <c r="I58" s="651">
        <f t="shared" si="31"/>
        <v>33232.172675070637</v>
      </c>
      <c r="J58" s="650">
        <f>'[4]Table 5E_OJJ'!K57*8</f>
        <v>19560</v>
      </c>
      <c r="K58" s="650">
        <f t="shared" si="25"/>
        <v>13672.172675070637</v>
      </c>
      <c r="L58" s="651">
        <f t="shared" si="26"/>
        <v>3418</v>
      </c>
      <c r="M58" s="611">
        <f>'Table 3 Levels 1&amp;2'!AS58</f>
        <v>35808172.399999999</v>
      </c>
      <c r="N58" s="652">
        <f>'Table 3 Levels 1&amp;2'!C58</f>
        <v>8997</v>
      </c>
      <c r="O58" s="652">
        <f t="shared" si="32"/>
        <v>9001.1592230000006</v>
      </c>
      <c r="P58" s="613">
        <f t="shared" si="27"/>
        <v>3978.1734233188549</v>
      </c>
      <c r="Q58" s="614">
        <f t="shared" si="33"/>
        <v>16546.110400256519</v>
      </c>
      <c r="R58" s="1964">
        <f>'[39]Oct midyear adj_OJJ'!$K56</f>
        <v>0</v>
      </c>
      <c r="S58" s="614">
        <f t="shared" si="28"/>
        <v>16546.110400256519</v>
      </c>
      <c r="T58" s="613">
        <f>'[4]Table 5E_OJJ'!S57*8</f>
        <v>9736</v>
      </c>
      <c r="U58" s="613">
        <f t="shared" si="29"/>
        <v>6810.1104002565189</v>
      </c>
      <c r="V58" s="614">
        <f t="shared" si="30"/>
        <v>1703</v>
      </c>
      <c r="W58" s="615">
        <f t="shared" si="34"/>
        <v>49778.283075327156</v>
      </c>
      <c r="X58" s="642"/>
      <c r="Y58" s="643"/>
      <c r="Z58" s="615">
        <f t="shared" si="35"/>
        <v>5121</v>
      </c>
    </row>
    <row r="59" spans="1:26">
      <c r="A59" s="616">
        <v>52</v>
      </c>
      <c r="B59" s="617" t="s">
        <v>142</v>
      </c>
      <c r="C59" s="639">
        <f>'[38]2012 Final Summary 20131029'!E57</f>
        <v>12.345884</v>
      </c>
      <c r="D59" s="640">
        <f>'Table 3 Levels 1&amp;2'!AP59</f>
        <v>5671.8138050113248</v>
      </c>
      <c r="E59" s="640">
        <f t="shared" si="17"/>
        <v>7466.285969308693</v>
      </c>
      <c r="F59" s="640">
        <f t="shared" si="23"/>
        <v>8936.6333611708869</v>
      </c>
      <c r="G59" s="641">
        <f t="shared" si="24"/>
        <v>110330.63882754587</v>
      </c>
      <c r="H59" s="1952">
        <f>'[39]Oct midyear adj_OJJ'!$I57</f>
        <v>0</v>
      </c>
      <c r="I59" s="641">
        <f t="shared" si="31"/>
        <v>110330.63882754587</v>
      </c>
      <c r="J59" s="1960">
        <f>'[4]Table 5E_OJJ'!K58*8</f>
        <v>72344</v>
      </c>
      <c r="K59" s="1960">
        <f t="shared" si="25"/>
        <v>37986.638827545874</v>
      </c>
      <c r="L59" s="641">
        <f t="shared" si="26"/>
        <v>9497</v>
      </c>
      <c r="M59" s="611">
        <f>'Table 3 Levels 1&amp;2'!AS59</f>
        <v>129961691.84</v>
      </c>
      <c r="N59" s="644">
        <f>'Table 3 Levels 1&amp;2'!C59</f>
        <v>37078</v>
      </c>
      <c r="O59" s="644">
        <f t="shared" si="32"/>
        <v>37090.345884000002</v>
      </c>
      <c r="P59" s="622">
        <f>M59/O59</f>
        <v>3503.9223480539918</v>
      </c>
      <c r="Q59" s="623">
        <f t="shared" si="33"/>
        <v>43259.018854082206</v>
      </c>
      <c r="R59" s="1966">
        <f>'[39]Oct midyear adj_OJJ'!$K57</f>
        <v>0</v>
      </c>
      <c r="S59" s="623">
        <f t="shared" si="28"/>
        <v>43259.018854082206</v>
      </c>
      <c r="T59" s="1970">
        <f>'[4]Table 5E_OJJ'!S58*8</f>
        <v>28368</v>
      </c>
      <c r="U59" s="1970">
        <f t="shared" si="29"/>
        <v>14891.018854082206</v>
      </c>
      <c r="V59" s="623">
        <f t="shared" si="30"/>
        <v>3723</v>
      </c>
      <c r="W59" s="624">
        <f t="shared" si="34"/>
        <v>153589.65768162807</v>
      </c>
      <c r="X59" s="642"/>
      <c r="Y59" s="643"/>
      <c r="Z59" s="624">
        <f t="shared" si="35"/>
        <v>13220</v>
      </c>
    </row>
    <row r="60" spans="1:26">
      <c r="A60" s="616">
        <v>53</v>
      </c>
      <c r="B60" s="617" t="s">
        <v>143</v>
      </c>
      <c r="C60" s="639">
        <f>'[38]2012 Final Summary 20131029'!E58</f>
        <v>10.223915</v>
      </c>
      <c r="D60" s="640">
        <f>'Table 3 Levels 1&amp;2'!AP60</f>
        <v>5465.3277635581089</v>
      </c>
      <c r="E60" s="640">
        <f t="shared" si="17"/>
        <v>7194.4710107855335</v>
      </c>
      <c r="F60" s="640">
        <f t="shared" si="23"/>
        <v>8664.8184026477284</v>
      </c>
      <c r="G60" s="641">
        <f t="shared" si="24"/>
        <v>88588.366839106151</v>
      </c>
      <c r="H60" s="1952">
        <f>'[39]Oct midyear adj_OJJ'!$I58</f>
        <v>0</v>
      </c>
      <c r="I60" s="641">
        <f t="shared" si="31"/>
        <v>88588.366839106151</v>
      </c>
      <c r="J60" s="1960">
        <f>'[4]Table 5E_OJJ'!K59*8</f>
        <v>56768</v>
      </c>
      <c r="K60" s="1960">
        <f t="shared" si="25"/>
        <v>31820.366839106151</v>
      </c>
      <c r="L60" s="641">
        <f t="shared" si="26"/>
        <v>7955</v>
      </c>
      <c r="M60" s="611">
        <f>'Table 3 Levels 1&amp;2'!AS60</f>
        <v>37298233</v>
      </c>
      <c r="N60" s="644">
        <f>'Table 3 Levels 1&amp;2'!C60</f>
        <v>19145</v>
      </c>
      <c r="O60" s="644">
        <f t="shared" si="32"/>
        <v>19155.223914999999</v>
      </c>
      <c r="P60" s="622">
        <f t="shared" si="27"/>
        <v>1947.157243658877</v>
      </c>
      <c r="Q60" s="623">
        <f t="shared" si="33"/>
        <v>19907.570150802647</v>
      </c>
      <c r="R60" s="1966">
        <f>'[39]Oct midyear adj_OJJ'!$K58</f>
        <v>0</v>
      </c>
      <c r="S60" s="623">
        <f t="shared" si="28"/>
        <v>19907.570150802647</v>
      </c>
      <c r="T60" s="1970">
        <f>'[4]Table 5E_OJJ'!S59*8</f>
        <v>12760</v>
      </c>
      <c r="U60" s="1970">
        <f t="shared" si="29"/>
        <v>7147.5701508026468</v>
      </c>
      <c r="V60" s="623">
        <f t="shared" si="30"/>
        <v>1787</v>
      </c>
      <c r="W60" s="624">
        <f t="shared" si="34"/>
        <v>108495.93698990881</v>
      </c>
      <c r="X60" s="642"/>
      <c r="Y60" s="643"/>
      <c r="Z60" s="624">
        <f t="shared" si="35"/>
        <v>9742</v>
      </c>
    </row>
    <row r="61" spans="1:26">
      <c r="A61" s="616">
        <v>54</v>
      </c>
      <c r="B61" s="617" t="s">
        <v>144</v>
      </c>
      <c r="C61" s="639">
        <f>'[38]2012 Final Summary 20131029'!E59</f>
        <v>2.5245899999999999</v>
      </c>
      <c r="D61" s="640">
        <f>'Table 3 Levels 1&amp;2'!AP61</f>
        <v>6903.250938627566</v>
      </c>
      <c r="E61" s="640">
        <f t="shared" si="17"/>
        <v>9087.3303316396778</v>
      </c>
      <c r="F61" s="640">
        <f t="shared" si="23"/>
        <v>10557.677723501873</v>
      </c>
      <c r="G61" s="641">
        <f t="shared" si="24"/>
        <v>26653.807603975591</v>
      </c>
      <c r="H61" s="1952">
        <f>'[39]Oct midyear adj_OJJ'!$I59</f>
        <v>0</v>
      </c>
      <c r="I61" s="641">
        <f t="shared" si="31"/>
        <v>26653.807603975591</v>
      </c>
      <c r="J61" s="1960">
        <f>'[4]Table 5E_OJJ'!K60*8</f>
        <v>17768</v>
      </c>
      <c r="K61" s="1960">
        <f t="shared" si="25"/>
        <v>8885.8076039755906</v>
      </c>
      <c r="L61" s="641">
        <f t="shared" si="26"/>
        <v>2221</v>
      </c>
      <c r="M61" s="611">
        <f>'Table 3 Levels 1&amp;2'!AS61</f>
        <v>2396074.5</v>
      </c>
      <c r="N61" s="644">
        <f>'Table 3 Levels 1&amp;2'!C61</f>
        <v>682</v>
      </c>
      <c r="O61" s="644">
        <f t="shared" si="32"/>
        <v>684.52458999999999</v>
      </c>
      <c r="P61" s="622">
        <f t="shared" si="27"/>
        <v>3500.3483220376352</v>
      </c>
      <c r="Q61" s="623">
        <f t="shared" si="33"/>
        <v>8836.9443703329925</v>
      </c>
      <c r="R61" s="1966">
        <f>'[39]Oct midyear adj_OJJ'!$K59</f>
        <v>0</v>
      </c>
      <c r="S61" s="623">
        <f t="shared" si="28"/>
        <v>8836.9443703329925</v>
      </c>
      <c r="T61" s="1970">
        <f>'[4]Table 5E_OJJ'!S60*8</f>
        <v>5888</v>
      </c>
      <c r="U61" s="1970">
        <f t="shared" si="29"/>
        <v>2948.9443703329925</v>
      </c>
      <c r="V61" s="623">
        <f t="shared" si="30"/>
        <v>737</v>
      </c>
      <c r="W61" s="624">
        <f t="shared" si="34"/>
        <v>35490.751974308587</v>
      </c>
      <c r="X61" s="642"/>
      <c r="Y61" s="643"/>
      <c r="Z61" s="624">
        <f t="shared" si="35"/>
        <v>2958</v>
      </c>
    </row>
    <row r="62" spans="1:26">
      <c r="A62" s="627">
        <v>55</v>
      </c>
      <c r="B62" s="628" t="s">
        <v>145</v>
      </c>
      <c r="C62" s="645">
        <f>'[38]2012 Final Summary 20131029'!E60</f>
        <v>15.319184</v>
      </c>
      <c r="D62" s="646">
        <f>'Table 3 Levels 1&amp;2'!AP62</f>
        <v>4966.183473523316</v>
      </c>
      <c r="E62" s="646">
        <f t="shared" si="17"/>
        <v>6537.4053634515967</v>
      </c>
      <c r="F62" s="646">
        <f t="shared" si="23"/>
        <v>8007.7527553137916</v>
      </c>
      <c r="G62" s="647">
        <f t="shared" si="24"/>
        <v>122672.23788515895</v>
      </c>
      <c r="H62" s="1953">
        <v>0</v>
      </c>
      <c r="I62" s="647">
        <f t="shared" si="31"/>
        <v>122672.23788515895</v>
      </c>
      <c r="J62" s="1961">
        <f>'[4]Table 5E_OJJ'!K61*8</f>
        <v>75736</v>
      </c>
      <c r="K62" s="1961">
        <f t="shared" si="25"/>
        <v>46936.237885158946</v>
      </c>
      <c r="L62" s="647">
        <f t="shared" si="26"/>
        <v>11734</v>
      </c>
      <c r="M62" s="633">
        <f>'Table 3 Levels 1&amp;2'!AS62</f>
        <v>56116188.5</v>
      </c>
      <c r="N62" s="648">
        <f>'Table 3 Levels 1&amp;2'!C62</f>
        <v>17756</v>
      </c>
      <c r="O62" s="648">
        <f t="shared" si="32"/>
        <v>17771.319184</v>
      </c>
      <c r="P62" s="635">
        <f t="shared" si="27"/>
        <v>3157.6827763311417</v>
      </c>
      <c r="Q62" s="636">
        <f t="shared" si="33"/>
        <v>48373.123464247605</v>
      </c>
      <c r="R62" s="1967">
        <v>0</v>
      </c>
      <c r="S62" s="636">
        <f t="shared" si="28"/>
        <v>48373.123464247605</v>
      </c>
      <c r="T62" s="1971">
        <f>'[4]Table 5E_OJJ'!S61*8</f>
        <v>29864</v>
      </c>
      <c r="U62" s="1971">
        <f t="shared" si="29"/>
        <v>18509.123464247605</v>
      </c>
      <c r="V62" s="636">
        <f t="shared" si="30"/>
        <v>4627</v>
      </c>
      <c r="W62" s="637">
        <f t="shared" si="34"/>
        <v>171045.36134940654</v>
      </c>
      <c r="X62" s="643"/>
      <c r="Y62" s="643"/>
      <c r="Z62" s="637">
        <f t="shared" si="35"/>
        <v>16361</v>
      </c>
    </row>
    <row r="63" spans="1:26">
      <c r="A63" s="604">
        <v>56</v>
      </c>
      <c r="B63" s="605" t="s">
        <v>146</v>
      </c>
      <c r="C63" s="649">
        <f>'[38]2012 Final Summary 20131029'!E61</f>
        <v>0</v>
      </c>
      <c r="D63" s="650">
        <f>'Table 3 Levels 1&amp;2'!AP63</f>
        <v>5583.2531896727278</v>
      </c>
      <c r="E63" s="650">
        <f t="shared" si="17"/>
        <v>7349.7061762358508</v>
      </c>
      <c r="F63" s="650">
        <f t="shared" si="23"/>
        <v>8820.0535680980465</v>
      </c>
      <c r="G63" s="651">
        <f t="shared" si="24"/>
        <v>0</v>
      </c>
      <c r="H63" s="1954">
        <f>'[39]Oct midyear adj_OJJ'!$I61</f>
        <v>0</v>
      </c>
      <c r="I63" s="651">
        <f t="shared" si="31"/>
        <v>0</v>
      </c>
      <c r="J63" s="650">
        <f>'[4]Table 5E_OJJ'!K62*8</f>
        <v>0</v>
      </c>
      <c r="K63" s="650">
        <f t="shared" si="25"/>
        <v>0</v>
      </c>
      <c r="L63" s="651">
        <f t="shared" si="26"/>
        <v>0</v>
      </c>
      <c r="M63" s="611">
        <f>'Table 3 Levels 1&amp;2'!AS63</f>
        <v>8175594</v>
      </c>
      <c r="N63" s="652">
        <f>'Table 3 Levels 1&amp;2'!C63</f>
        <v>2860</v>
      </c>
      <c r="O63" s="652">
        <f t="shared" si="32"/>
        <v>2860</v>
      </c>
      <c r="P63" s="613">
        <f t="shared" si="27"/>
        <v>2858.5993006993008</v>
      </c>
      <c r="Q63" s="614">
        <f t="shared" si="33"/>
        <v>0</v>
      </c>
      <c r="R63" s="1964">
        <f>'[39]Oct midyear adj_OJJ'!$K61</f>
        <v>0</v>
      </c>
      <c r="S63" s="614">
        <f t="shared" si="28"/>
        <v>0</v>
      </c>
      <c r="T63" s="613">
        <f>'[4]Table 5E_OJJ'!S62*8</f>
        <v>0</v>
      </c>
      <c r="U63" s="613">
        <f t="shared" si="29"/>
        <v>0</v>
      </c>
      <c r="V63" s="614">
        <f t="shared" si="30"/>
        <v>0</v>
      </c>
      <c r="W63" s="615">
        <f t="shared" si="34"/>
        <v>0</v>
      </c>
      <c r="X63" s="642"/>
      <c r="Y63" s="643"/>
      <c r="Z63" s="615">
        <f t="shared" si="35"/>
        <v>0</v>
      </c>
    </row>
    <row r="64" spans="1:26">
      <c r="A64" s="616">
        <v>57</v>
      </c>
      <c r="B64" s="617" t="s">
        <v>147</v>
      </c>
      <c r="C64" s="639">
        <f>'[38]2012 Final Summary 20131029'!E62</f>
        <v>2.6048499999999999</v>
      </c>
      <c r="D64" s="640">
        <f>'Table 3 Levels 1&amp;2'!AP64</f>
        <v>5250.2173020218852</v>
      </c>
      <c r="E64" s="640">
        <f t="shared" si="17"/>
        <v>6911.3030020966062</v>
      </c>
      <c r="F64" s="640">
        <f t="shared" si="23"/>
        <v>8381.6503939588001</v>
      </c>
      <c r="G64" s="641">
        <f t="shared" si="24"/>
        <v>21832.942028703579</v>
      </c>
      <c r="H64" s="1952">
        <f>'[39]Oct midyear adj_OJJ'!$I62</f>
        <v>0</v>
      </c>
      <c r="I64" s="641">
        <f t="shared" si="31"/>
        <v>21832.942028703579</v>
      </c>
      <c r="J64" s="1960">
        <f>'[4]Table 5E_OJJ'!K63*8</f>
        <v>14496</v>
      </c>
      <c r="K64" s="1960">
        <f t="shared" si="25"/>
        <v>7336.9420287035791</v>
      </c>
      <c r="L64" s="641">
        <f t="shared" si="26"/>
        <v>1834</v>
      </c>
      <c r="M64" s="611">
        <f>'Table 3 Levels 1&amp;2'!AS64</f>
        <v>25760842</v>
      </c>
      <c r="N64" s="644">
        <f>'Table 3 Levels 1&amp;2'!C64</f>
        <v>9047</v>
      </c>
      <c r="O64" s="644">
        <f t="shared" si="32"/>
        <v>9049.6048499999997</v>
      </c>
      <c r="P64" s="622">
        <f t="shared" si="27"/>
        <v>2846.6261706443461</v>
      </c>
      <c r="Q64" s="623">
        <f t="shared" si="33"/>
        <v>7415.0341806029246</v>
      </c>
      <c r="R64" s="1966">
        <f>'[39]Oct midyear adj_OJJ'!$K62</f>
        <v>0</v>
      </c>
      <c r="S64" s="623">
        <f t="shared" si="28"/>
        <v>7415.0341806029246</v>
      </c>
      <c r="T64" s="1970">
        <f>'[4]Table 5E_OJJ'!S63*8</f>
        <v>4920</v>
      </c>
      <c r="U64" s="1970">
        <f t="shared" si="29"/>
        <v>2495.0341806029246</v>
      </c>
      <c r="V64" s="623">
        <f t="shared" si="30"/>
        <v>624</v>
      </c>
      <c r="W64" s="624">
        <f t="shared" si="34"/>
        <v>29247.976209306504</v>
      </c>
      <c r="X64" s="642"/>
      <c r="Y64" s="643"/>
      <c r="Z64" s="624">
        <f t="shared" si="35"/>
        <v>2458</v>
      </c>
    </row>
    <row r="65" spans="1:26">
      <c r="A65" s="616">
        <v>58</v>
      </c>
      <c r="B65" s="617" t="s">
        <v>148</v>
      </c>
      <c r="C65" s="639">
        <f>'[38]2012 Final Summary 20131029'!E63</f>
        <v>0.57999999999999996</v>
      </c>
      <c r="D65" s="640">
        <f>'Table 3 Levels 1&amp;2'!AP65</f>
        <v>6154.9062803476354</v>
      </c>
      <c r="E65" s="640">
        <f t="shared" si="17"/>
        <v>8102.2212617005598</v>
      </c>
      <c r="F65" s="640">
        <f t="shared" si="23"/>
        <v>9572.5686535627538</v>
      </c>
      <c r="G65" s="641">
        <f t="shared" si="24"/>
        <v>5552.0898190663966</v>
      </c>
      <c r="H65" s="1952">
        <f>'[39]Oct midyear adj_OJJ'!$I63</f>
        <v>0</v>
      </c>
      <c r="I65" s="641">
        <f t="shared" si="31"/>
        <v>5552.0898190663966</v>
      </c>
      <c r="J65" s="1960">
        <f>'[4]Table 5E_OJJ'!K64*8</f>
        <v>3704</v>
      </c>
      <c r="K65" s="1960">
        <f t="shared" si="25"/>
        <v>1848.0898190663966</v>
      </c>
      <c r="L65" s="641">
        <f t="shared" si="26"/>
        <v>462</v>
      </c>
      <c r="M65" s="611">
        <f>'Table 3 Levels 1&amp;2'!AS65</f>
        <v>19717004</v>
      </c>
      <c r="N65" s="644">
        <f>'Table 3 Levels 1&amp;2'!C65</f>
        <v>9090</v>
      </c>
      <c r="O65" s="644">
        <f t="shared" si="32"/>
        <v>9090.58</v>
      </c>
      <c r="P65" s="622">
        <f t="shared" si="27"/>
        <v>2168.9489559522053</v>
      </c>
      <c r="Q65" s="623">
        <f t="shared" si="33"/>
        <v>1257.9903944522789</v>
      </c>
      <c r="R65" s="1966">
        <f>'[39]Oct midyear adj_OJJ'!$K63</f>
        <v>0</v>
      </c>
      <c r="S65" s="623">
        <f t="shared" si="28"/>
        <v>1257.9903944522789</v>
      </c>
      <c r="T65" s="1970">
        <f>'[4]Table 5E_OJJ'!S64*8</f>
        <v>840</v>
      </c>
      <c r="U65" s="1970">
        <f t="shared" si="29"/>
        <v>417.99039445227891</v>
      </c>
      <c r="V65" s="623">
        <f t="shared" si="30"/>
        <v>104</v>
      </c>
      <c r="W65" s="624">
        <f t="shared" si="34"/>
        <v>6810.080213518675</v>
      </c>
      <c r="X65" s="642"/>
      <c r="Y65" s="643"/>
      <c r="Z65" s="624">
        <f t="shared" si="35"/>
        <v>566</v>
      </c>
    </row>
    <row r="66" spans="1:26">
      <c r="A66" s="616">
        <v>59</v>
      </c>
      <c r="B66" s="617" t="s">
        <v>149</v>
      </c>
      <c r="C66" s="639">
        <f>'[38]2012 Final Summary 20131029'!E64</f>
        <v>3.1914289999999998</v>
      </c>
      <c r="D66" s="640">
        <f>'Table 3 Levels 1&amp;2'!AP66</f>
        <v>6963.7986338006476</v>
      </c>
      <c r="E66" s="640">
        <f t="shared" si="17"/>
        <v>9167.0343597488754</v>
      </c>
      <c r="F66" s="640">
        <f t="shared" si="23"/>
        <v>10637.38175161107</v>
      </c>
      <c r="G66" s="641">
        <f t="shared" si="24"/>
        <v>33948.448606162368</v>
      </c>
      <c r="H66" s="1952">
        <f>'[39]Oct midyear adj_OJJ'!$I64</f>
        <v>0</v>
      </c>
      <c r="I66" s="641">
        <f t="shared" si="31"/>
        <v>33948.448606162368</v>
      </c>
      <c r="J66" s="1960">
        <f>'[4]Table 5E_OJJ'!K65*8</f>
        <v>22632</v>
      </c>
      <c r="K66" s="1960">
        <f t="shared" si="25"/>
        <v>11316.448606162368</v>
      </c>
      <c r="L66" s="641">
        <f t="shared" si="26"/>
        <v>2829</v>
      </c>
      <c r="M66" s="611">
        <f>'Table 3 Levels 1&amp;2'!AS66</f>
        <v>8225589</v>
      </c>
      <c r="N66" s="644">
        <f>'Table 3 Levels 1&amp;2'!C66</f>
        <v>5247</v>
      </c>
      <c r="O66" s="644">
        <f t="shared" si="32"/>
        <v>5250.1914290000004</v>
      </c>
      <c r="P66" s="622">
        <f t="shared" si="27"/>
        <v>1566.7217302906461</v>
      </c>
      <c r="Q66" s="623">
        <f t="shared" si="33"/>
        <v>5000.0811649797461</v>
      </c>
      <c r="R66" s="1966">
        <f>'[39]Oct midyear adj_OJJ'!$K64</f>
        <v>0</v>
      </c>
      <c r="S66" s="623">
        <f t="shared" si="28"/>
        <v>5000.0811649797461</v>
      </c>
      <c r="T66" s="1970">
        <f>'[4]Table 5E_OJJ'!S65*8</f>
        <v>3336</v>
      </c>
      <c r="U66" s="1970">
        <f t="shared" si="29"/>
        <v>1664.0811649797461</v>
      </c>
      <c r="V66" s="623">
        <f t="shared" si="30"/>
        <v>416</v>
      </c>
      <c r="W66" s="624">
        <f t="shared" si="34"/>
        <v>38948.529771142115</v>
      </c>
      <c r="X66" s="642"/>
      <c r="Y66" s="643"/>
      <c r="Z66" s="624">
        <f t="shared" si="35"/>
        <v>3245</v>
      </c>
    </row>
    <row r="67" spans="1:26">
      <c r="A67" s="627">
        <v>60</v>
      </c>
      <c r="B67" s="628" t="s">
        <v>150</v>
      </c>
      <c r="C67" s="645">
        <f>'[38]2012 Final Summary 20131029'!E65</f>
        <v>3.8333550000000001</v>
      </c>
      <c r="D67" s="646">
        <f>'Table 3 Levels 1&amp;2'!AP67</f>
        <v>5534.956677561041</v>
      </c>
      <c r="E67" s="646">
        <f t="shared" si="17"/>
        <v>7286.1294117046473</v>
      </c>
      <c r="F67" s="646">
        <f t="shared" si="23"/>
        <v>8756.4768035668421</v>
      </c>
      <c r="G67" s="647">
        <f t="shared" si="24"/>
        <v>33566.684137336975</v>
      </c>
      <c r="H67" s="1953">
        <f>'[39]Oct midyear adj_OJJ'!$I65</f>
        <v>0</v>
      </c>
      <c r="I67" s="647">
        <f t="shared" si="31"/>
        <v>33566.684137336975</v>
      </c>
      <c r="J67" s="1961">
        <f>'[4]Table 5E_OJJ'!K66*8</f>
        <v>22376</v>
      </c>
      <c r="K67" s="1961">
        <f t="shared" si="25"/>
        <v>11190.684137336975</v>
      </c>
      <c r="L67" s="647">
        <f t="shared" si="26"/>
        <v>2798</v>
      </c>
      <c r="M67" s="633">
        <f>'Table 3 Levels 1&amp;2'!AS67</f>
        <v>21611450.940000001</v>
      </c>
      <c r="N67" s="648">
        <f>'Table 3 Levels 1&amp;2'!C67</f>
        <v>6493</v>
      </c>
      <c r="O67" s="648">
        <f t="shared" si="32"/>
        <v>6496.8333549999998</v>
      </c>
      <c r="P67" s="635">
        <f t="shared" si="27"/>
        <v>3326.4591777419851</v>
      </c>
      <c r="Q67" s="636">
        <f t="shared" si="33"/>
        <v>12751.498921293127</v>
      </c>
      <c r="R67" s="1967">
        <f>'[39]Oct midyear adj_OJJ'!$K65</f>
        <v>0</v>
      </c>
      <c r="S67" s="636">
        <f t="shared" si="28"/>
        <v>12751.498921293127</v>
      </c>
      <c r="T67" s="1971">
        <f>'[4]Table 5E_OJJ'!S66*8</f>
        <v>8504</v>
      </c>
      <c r="U67" s="1971">
        <f t="shared" si="29"/>
        <v>4247.4989212931268</v>
      </c>
      <c r="V67" s="636">
        <f t="shared" si="30"/>
        <v>1062</v>
      </c>
      <c r="W67" s="637">
        <f t="shared" si="34"/>
        <v>46318.1830586301</v>
      </c>
      <c r="X67" s="643"/>
      <c r="Y67" s="643"/>
      <c r="Z67" s="637">
        <f t="shared" si="35"/>
        <v>3860</v>
      </c>
    </row>
    <row r="68" spans="1:26">
      <c r="A68" s="604">
        <v>61</v>
      </c>
      <c r="B68" s="605" t="s">
        <v>151</v>
      </c>
      <c r="C68" s="649">
        <f>'[38]2012 Final Summary 20131029'!E66</f>
        <v>2.9831650000000001</v>
      </c>
      <c r="D68" s="650">
        <f>'Table 3 Levels 1&amp;2'!AP68</f>
        <v>3741.7444869339224</v>
      </c>
      <c r="E68" s="650">
        <f t="shared" si="17"/>
        <v>4925.5732511616043</v>
      </c>
      <c r="F68" s="650">
        <f t="shared" si="23"/>
        <v>6395.9206430237991</v>
      </c>
      <c r="G68" s="651">
        <f t="shared" si="24"/>
        <v>19080.086605046094</v>
      </c>
      <c r="H68" s="1954">
        <f>'[39]Oct midyear adj_OJJ'!$I66</f>
        <v>0</v>
      </c>
      <c r="I68" s="651">
        <f t="shared" si="31"/>
        <v>19080.086605046094</v>
      </c>
      <c r="J68" s="650">
        <f>'[4]Table 5E_OJJ'!K67*8</f>
        <v>12720</v>
      </c>
      <c r="K68" s="650">
        <f t="shared" si="25"/>
        <v>6360.0866050460936</v>
      </c>
      <c r="L68" s="651">
        <f t="shared" si="26"/>
        <v>1590</v>
      </c>
      <c r="M68" s="611">
        <f>'Table 3 Levels 1&amp;2'!AS68</f>
        <v>17710016.399999999</v>
      </c>
      <c r="N68" s="652">
        <f>'Table 3 Levels 1&amp;2'!C68</f>
        <v>3620</v>
      </c>
      <c r="O68" s="652">
        <f t="shared" si="32"/>
        <v>3622.9831650000001</v>
      </c>
      <c r="P68" s="613">
        <f t="shared" si="27"/>
        <v>4888.2414279725199</v>
      </c>
      <c r="Q68" s="614">
        <f t="shared" si="33"/>
        <v>14582.430739477642</v>
      </c>
      <c r="R68" s="1964">
        <f>'[39]Oct midyear adj_OJJ'!$K66</f>
        <v>0</v>
      </c>
      <c r="S68" s="614">
        <f t="shared" si="28"/>
        <v>14582.430739477642</v>
      </c>
      <c r="T68" s="613">
        <f>'[4]Table 5E_OJJ'!S67*8</f>
        <v>9720</v>
      </c>
      <c r="U68" s="613">
        <f t="shared" si="29"/>
        <v>4862.4307394776424</v>
      </c>
      <c r="V68" s="614">
        <f t="shared" si="30"/>
        <v>1216</v>
      </c>
      <c r="W68" s="615">
        <f t="shared" si="34"/>
        <v>33662.517344523738</v>
      </c>
      <c r="X68" s="642"/>
      <c r="Y68" s="643"/>
      <c r="Z68" s="615">
        <f t="shared" si="35"/>
        <v>2806</v>
      </c>
    </row>
    <row r="69" spans="1:26">
      <c r="A69" s="616">
        <v>62</v>
      </c>
      <c r="B69" s="617" t="s">
        <v>152</v>
      </c>
      <c r="C69" s="639">
        <f>'[38]2012 Final Summary 20131029'!E67</f>
        <v>8.1966999999999998E-2</v>
      </c>
      <c r="D69" s="640">
        <f>'Table 3 Levels 1&amp;2'!AP69</f>
        <v>6168.2530736722092</v>
      </c>
      <c r="E69" s="640">
        <f t="shared" si="17"/>
        <v>8119.7907692973149</v>
      </c>
      <c r="F69" s="640">
        <f t="shared" si="23"/>
        <v>9590.1381611595098</v>
      </c>
      <c r="G69" s="641">
        <f t="shared" si="24"/>
        <v>786.07485465576156</v>
      </c>
      <c r="H69" s="1952">
        <f>'[39]Oct midyear adj_OJJ'!$I67</f>
        <v>0</v>
      </c>
      <c r="I69" s="641">
        <f t="shared" si="31"/>
        <v>786.07485465576156</v>
      </c>
      <c r="J69" s="1960">
        <f>'[4]Table 5E_OJJ'!K68*8</f>
        <v>528</v>
      </c>
      <c r="K69" s="1960">
        <f t="shared" si="25"/>
        <v>258.07485465576156</v>
      </c>
      <c r="L69" s="641">
        <f t="shared" si="26"/>
        <v>65</v>
      </c>
      <c r="M69" s="611">
        <f>'Table 3 Levels 1&amp;2'!AS69</f>
        <v>3860612</v>
      </c>
      <c r="N69" s="644">
        <f>'Table 3 Levels 1&amp;2'!C69</f>
        <v>2105</v>
      </c>
      <c r="O69" s="644">
        <f t="shared" si="32"/>
        <v>2105.0819670000001</v>
      </c>
      <c r="P69" s="622">
        <f t="shared" si="27"/>
        <v>1833.9485400190119</v>
      </c>
      <c r="Q69" s="623">
        <f t="shared" si="33"/>
        <v>150.32325997973834</v>
      </c>
      <c r="R69" s="1966">
        <f>'[39]Oct midyear adj_OJJ'!$K67</f>
        <v>0</v>
      </c>
      <c r="S69" s="623">
        <f t="shared" si="28"/>
        <v>150.32325997973834</v>
      </c>
      <c r="T69" s="1970">
        <f>'[4]Table 5E_OJJ'!S68*8</f>
        <v>104</v>
      </c>
      <c r="U69" s="1970">
        <f t="shared" si="29"/>
        <v>46.323259979738339</v>
      </c>
      <c r="V69" s="623">
        <f t="shared" si="30"/>
        <v>12</v>
      </c>
      <c r="W69" s="624">
        <f t="shared" si="34"/>
        <v>936.39811463549995</v>
      </c>
      <c r="X69" s="642"/>
      <c r="Y69" s="643"/>
      <c r="Z69" s="624">
        <f t="shared" si="35"/>
        <v>77</v>
      </c>
    </row>
    <row r="70" spans="1:26">
      <c r="A70" s="616">
        <v>63</v>
      </c>
      <c r="B70" s="617" t="s">
        <v>153</v>
      </c>
      <c r="C70" s="639">
        <f>'[38]2012 Final Summary 20131029'!E68</f>
        <v>0</v>
      </c>
      <c r="D70" s="640">
        <f>'Table 3 Levels 1&amp;2'!AP70</f>
        <v>5119.0907538104029</v>
      </c>
      <c r="E70" s="640">
        <f t="shared" si="17"/>
        <v>6738.6900883492872</v>
      </c>
      <c r="F70" s="640">
        <f t="shared" si="23"/>
        <v>8209.037480211482</v>
      </c>
      <c r="G70" s="641">
        <f t="shared" si="24"/>
        <v>0</v>
      </c>
      <c r="H70" s="1952">
        <f>'[39]Oct midyear adj_OJJ'!$I68</f>
        <v>0</v>
      </c>
      <c r="I70" s="641">
        <f t="shared" si="31"/>
        <v>0</v>
      </c>
      <c r="J70" s="1960">
        <f>'[4]Table 5E_OJJ'!K69*8</f>
        <v>0</v>
      </c>
      <c r="K70" s="1960">
        <f t="shared" si="25"/>
        <v>0</v>
      </c>
      <c r="L70" s="641">
        <f t="shared" si="26"/>
        <v>0</v>
      </c>
      <c r="M70" s="611">
        <f>'Table 3 Levels 1&amp;2'!AS70</f>
        <v>10008788.9</v>
      </c>
      <c r="N70" s="644">
        <f>'Table 3 Levels 1&amp;2'!C70</f>
        <v>2038</v>
      </c>
      <c r="O70" s="644">
        <f t="shared" si="32"/>
        <v>2038</v>
      </c>
      <c r="P70" s="622">
        <f t="shared" si="27"/>
        <v>4911.0838567222772</v>
      </c>
      <c r="Q70" s="623">
        <f t="shared" si="33"/>
        <v>0</v>
      </c>
      <c r="R70" s="1966">
        <f>'[39]Oct midyear adj_OJJ'!$K68</f>
        <v>0</v>
      </c>
      <c r="S70" s="623">
        <f t="shared" si="28"/>
        <v>0</v>
      </c>
      <c r="T70" s="1970">
        <f>'[4]Table 5E_OJJ'!S69*8</f>
        <v>0</v>
      </c>
      <c r="U70" s="1970">
        <f t="shared" si="29"/>
        <v>0</v>
      </c>
      <c r="V70" s="623">
        <f t="shared" si="30"/>
        <v>0</v>
      </c>
      <c r="W70" s="624">
        <f t="shared" si="34"/>
        <v>0</v>
      </c>
      <c r="X70" s="642"/>
      <c r="Y70" s="643"/>
      <c r="Z70" s="624">
        <f t="shared" si="35"/>
        <v>0</v>
      </c>
    </row>
    <row r="71" spans="1:26">
      <c r="A71" s="616">
        <v>64</v>
      </c>
      <c r="B71" s="617" t="s">
        <v>154</v>
      </c>
      <c r="C71" s="639">
        <f>'[38]2012 Final Summary 20131029'!E69</f>
        <v>0.53200000000000003</v>
      </c>
      <c r="D71" s="640">
        <f>'Table 3 Levels 1&amp;2'!AP71</f>
        <v>6552.8649072003327</v>
      </c>
      <c r="E71" s="640">
        <f t="shared" si="17"/>
        <v>8626.0877026987437</v>
      </c>
      <c r="F71" s="640">
        <f t="shared" si="23"/>
        <v>10096.435094560939</v>
      </c>
      <c r="G71" s="641">
        <f t="shared" si="24"/>
        <v>5371.3034703064195</v>
      </c>
      <c r="H71" s="1952">
        <f>'[39]Oct midyear adj_OJJ'!$I69</f>
        <v>0</v>
      </c>
      <c r="I71" s="641">
        <f t="shared" si="31"/>
        <v>5371.3034703064195</v>
      </c>
      <c r="J71" s="1960">
        <f>'[4]Table 5E_OJJ'!K70*8</f>
        <v>3584</v>
      </c>
      <c r="K71" s="1960">
        <f t="shared" si="25"/>
        <v>1787.3034703064195</v>
      </c>
      <c r="L71" s="641">
        <f t="shared" si="26"/>
        <v>447</v>
      </c>
      <c r="M71" s="611">
        <f>'Table 3 Levels 1&amp;2'!AS71</f>
        <v>6892061</v>
      </c>
      <c r="N71" s="644">
        <f>'Table 3 Levels 1&amp;2'!C71</f>
        <v>2396</v>
      </c>
      <c r="O71" s="644">
        <f t="shared" si="32"/>
        <v>2396.5320000000002</v>
      </c>
      <c r="P71" s="622">
        <f t="shared" si="27"/>
        <v>2875.8476832356087</v>
      </c>
      <c r="Q71" s="623">
        <f t="shared" si="33"/>
        <v>1529.9509674813439</v>
      </c>
      <c r="R71" s="1966">
        <f>'[39]Oct midyear adj_OJJ'!$K69</f>
        <v>0</v>
      </c>
      <c r="S71" s="623">
        <f t="shared" si="28"/>
        <v>1529.9509674813439</v>
      </c>
      <c r="T71" s="1970">
        <f>'[4]Table 5E_OJJ'!S70*8</f>
        <v>1016</v>
      </c>
      <c r="U71" s="1970">
        <f t="shared" si="29"/>
        <v>513.95096748134392</v>
      </c>
      <c r="V71" s="623">
        <f t="shared" si="30"/>
        <v>128</v>
      </c>
      <c r="W71" s="624">
        <f t="shared" si="34"/>
        <v>6901.2544377877639</v>
      </c>
      <c r="X71" s="642"/>
      <c r="Y71" s="643"/>
      <c r="Z71" s="624">
        <f t="shared" si="35"/>
        <v>575</v>
      </c>
    </row>
    <row r="72" spans="1:26">
      <c r="A72" s="627">
        <v>65</v>
      </c>
      <c r="B72" s="628" t="s">
        <v>155</v>
      </c>
      <c r="C72" s="645">
        <f>'[38]2012 Final Summary 20131029'!E70</f>
        <v>0.84799999999999998</v>
      </c>
      <c r="D72" s="646">
        <f>'Table 3 Levels 1&amp;2'!AP72</f>
        <v>5408.3972303106675</v>
      </c>
      <c r="E72" s="646">
        <f t="shared" ref="E72:E77" si="36">D72*(1+$E$5)</f>
        <v>7119.5285574146073</v>
      </c>
      <c r="F72" s="646">
        <f t="shared" si="23"/>
        <v>8589.8759492768022</v>
      </c>
      <c r="G72" s="647">
        <f t="shared" si="24"/>
        <v>7284.2148049867283</v>
      </c>
      <c r="H72" s="1953">
        <f>'[39]Oct midyear adj_OJJ'!$I70</f>
        <v>0</v>
      </c>
      <c r="I72" s="647">
        <f t="shared" ref="I72:I76" si="37">G72+H72</f>
        <v>7284.2148049867283</v>
      </c>
      <c r="J72" s="1961">
        <f>'[4]Table 5E_OJJ'!K71*8</f>
        <v>4624</v>
      </c>
      <c r="K72" s="1961">
        <f t="shared" si="25"/>
        <v>2660.2148049867283</v>
      </c>
      <c r="L72" s="647">
        <f t="shared" si="26"/>
        <v>665</v>
      </c>
      <c r="M72" s="633">
        <f>'Table 3 Levels 1&amp;2'!AS72</f>
        <v>32410882.640000001</v>
      </c>
      <c r="N72" s="648">
        <f>'Table 3 Levels 1&amp;2'!C72</f>
        <v>8246</v>
      </c>
      <c r="O72" s="648">
        <f t="shared" ref="O72:O76" si="38">C72+N72</f>
        <v>8246.848</v>
      </c>
      <c r="P72" s="635">
        <f t="shared" si="27"/>
        <v>3930.0933690059524</v>
      </c>
      <c r="Q72" s="636">
        <f t="shared" ref="Q72:Q76" si="39">C72*P72</f>
        <v>3332.7191769170477</v>
      </c>
      <c r="R72" s="1967">
        <f>'[39]Oct midyear adj_OJJ'!$K70</f>
        <v>0</v>
      </c>
      <c r="S72" s="636">
        <f t="shared" si="28"/>
        <v>3332.7191769170477</v>
      </c>
      <c r="T72" s="1971">
        <f>'[4]Table 5E_OJJ'!S71*8</f>
        <v>2120</v>
      </c>
      <c r="U72" s="1971">
        <f t="shared" si="29"/>
        <v>1212.7191769170477</v>
      </c>
      <c r="V72" s="636">
        <f t="shared" si="30"/>
        <v>303</v>
      </c>
      <c r="W72" s="637">
        <f t="shared" si="34"/>
        <v>10616.933981903776</v>
      </c>
      <c r="X72" s="643"/>
      <c r="Y72" s="643"/>
      <c r="Z72" s="637">
        <f t="shared" si="35"/>
        <v>968</v>
      </c>
    </row>
    <row r="73" spans="1:26">
      <c r="A73" s="604">
        <v>66</v>
      </c>
      <c r="B73" s="605" t="s">
        <v>156</v>
      </c>
      <c r="C73" s="649">
        <f>'[38]2012 Final Summary 20131029'!E71</f>
        <v>0.71599999999999997</v>
      </c>
      <c r="D73" s="650">
        <f>'Table 3 Levels 1&amp;2'!AP73</f>
        <v>7100.8708195713589</v>
      </c>
      <c r="E73" s="650">
        <f t="shared" si="36"/>
        <v>9347.4740167238797</v>
      </c>
      <c r="F73" s="650">
        <f t="shared" ref="F73:F77" si="40">E73+$F$5</f>
        <v>10817.821408586075</v>
      </c>
      <c r="G73" s="651">
        <f>C73*F73</f>
        <v>7745.5601285476287</v>
      </c>
      <c r="H73" s="1954">
        <v>0</v>
      </c>
      <c r="I73" s="651">
        <f t="shared" si="37"/>
        <v>7745.5601285476287</v>
      </c>
      <c r="J73" s="1957">
        <f>'[4]Table 5E_OJJ'!K72*8</f>
        <v>5160</v>
      </c>
      <c r="K73" s="650">
        <f t="shared" ref="K73:K76" si="41">I73-J73</f>
        <v>2585.5601285476287</v>
      </c>
      <c r="L73" s="651">
        <f t="shared" ref="L73:L76" si="42">ROUND(K73/4,0)</f>
        <v>646</v>
      </c>
      <c r="M73" s="611">
        <f>'Table 3 Levels 1&amp;2'!AS73</f>
        <v>7447578</v>
      </c>
      <c r="N73" s="652">
        <f>'Table 3 Levels 1&amp;2'!C73</f>
        <v>2025</v>
      </c>
      <c r="O73" s="652">
        <f t="shared" si="38"/>
        <v>2025.7159999999999</v>
      </c>
      <c r="P73" s="613">
        <f t="shared" ref="P73:P77" si="43">M73/O73</f>
        <v>3676.5163527365139</v>
      </c>
      <c r="Q73" s="614">
        <f t="shared" si="39"/>
        <v>2632.385708559344</v>
      </c>
      <c r="R73" s="1964">
        <v>0</v>
      </c>
      <c r="S73" s="614">
        <f t="shared" ref="S73:S76" si="44">Q73+R73</f>
        <v>2632.385708559344</v>
      </c>
      <c r="T73" s="613">
        <f>'[4]Table 5E_OJJ'!S72*8</f>
        <v>1752</v>
      </c>
      <c r="U73" s="613">
        <f t="shared" ref="U73:U76" si="45">S73-T73</f>
        <v>880.38570855934404</v>
      </c>
      <c r="V73" s="614">
        <f t="shared" ref="V73:V76" si="46">ROUND(U73/4,0)</f>
        <v>220</v>
      </c>
      <c r="W73" s="615">
        <f t="shared" si="34"/>
        <v>10377.945837106972</v>
      </c>
      <c r="X73" s="642"/>
      <c r="Y73" s="643"/>
      <c r="Z73" s="615">
        <f t="shared" si="35"/>
        <v>866</v>
      </c>
    </row>
    <row r="74" spans="1:26">
      <c r="A74" s="616">
        <v>67</v>
      </c>
      <c r="B74" s="617" t="s">
        <v>32</v>
      </c>
      <c r="C74" s="639">
        <f>'[38]2012 Final Summary 20131029'!E72</f>
        <v>0</v>
      </c>
      <c r="D74" s="640">
        <f>'Table 3 Levels 1&amp;2'!AP74</f>
        <v>5667.210993210625</v>
      </c>
      <c r="E74" s="640">
        <f t="shared" si="36"/>
        <v>7460.226900667094</v>
      </c>
      <c r="F74" s="640">
        <f t="shared" si="40"/>
        <v>8930.5742925292889</v>
      </c>
      <c r="G74" s="641">
        <f>C74*F74</f>
        <v>0</v>
      </c>
      <c r="H74" s="1952">
        <f>'[39]Oct midyear adj_OJJ'!$I72</f>
        <v>0</v>
      </c>
      <c r="I74" s="641">
        <f t="shared" si="37"/>
        <v>0</v>
      </c>
      <c r="J74" s="1960">
        <f>'[4]Table 5E_OJJ'!K73*8</f>
        <v>0</v>
      </c>
      <c r="K74" s="1960">
        <f t="shared" si="41"/>
        <v>0</v>
      </c>
      <c r="L74" s="641">
        <f t="shared" si="42"/>
        <v>0</v>
      </c>
      <c r="M74" s="611">
        <f>'Table 3 Levels 1&amp;2'!AS74</f>
        <v>16059535.939999999</v>
      </c>
      <c r="N74" s="644">
        <f>'Table 3 Levels 1&amp;2'!C74</f>
        <v>5098</v>
      </c>
      <c r="O74" s="644">
        <f t="shared" si="38"/>
        <v>5098</v>
      </c>
      <c r="P74" s="622">
        <f t="shared" si="43"/>
        <v>3150.1639741074932</v>
      </c>
      <c r="Q74" s="623">
        <f t="shared" si="39"/>
        <v>0</v>
      </c>
      <c r="R74" s="1966">
        <f>'[39]Oct midyear adj_OJJ'!$K72</f>
        <v>0</v>
      </c>
      <c r="S74" s="623">
        <f t="shared" si="44"/>
        <v>0</v>
      </c>
      <c r="T74" s="1970">
        <f>'[4]Table 5E_OJJ'!S73*8</f>
        <v>0</v>
      </c>
      <c r="U74" s="1970">
        <f t="shared" si="45"/>
        <v>0</v>
      </c>
      <c r="V74" s="623">
        <f t="shared" si="46"/>
        <v>0</v>
      </c>
      <c r="W74" s="624">
        <f t="shared" si="34"/>
        <v>0</v>
      </c>
      <c r="X74" s="642"/>
      <c r="Y74" s="643"/>
      <c r="Z74" s="624">
        <f t="shared" si="35"/>
        <v>0</v>
      </c>
    </row>
    <row r="75" spans="1:26">
      <c r="A75" s="616">
        <v>68</v>
      </c>
      <c r="B75" s="617" t="s">
        <v>30</v>
      </c>
      <c r="C75" s="639">
        <f>'[38]2012 Final Summary 20131029'!E73</f>
        <v>0</v>
      </c>
      <c r="D75" s="640">
        <f>'Table 3 Levels 1&amp;2'!AP75</f>
        <v>6875.9398733698954</v>
      </c>
      <c r="E75" s="640">
        <f t="shared" si="36"/>
        <v>9051.3784773739299</v>
      </c>
      <c r="F75" s="640">
        <f t="shared" si="40"/>
        <v>10521.725869236125</v>
      </c>
      <c r="G75" s="641">
        <f>C75*F75</f>
        <v>0</v>
      </c>
      <c r="H75" s="1952">
        <f>'[39]Oct midyear adj_OJJ'!$I73</f>
        <v>0</v>
      </c>
      <c r="I75" s="641">
        <f t="shared" si="37"/>
        <v>0</v>
      </c>
      <c r="J75" s="1960">
        <f>'[4]Table 5E_OJJ'!K74*8</f>
        <v>0</v>
      </c>
      <c r="K75" s="1960">
        <f t="shared" si="41"/>
        <v>0</v>
      </c>
      <c r="L75" s="641">
        <f t="shared" si="42"/>
        <v>0</v>
      </c>
      <c r="M75" s="611">
        <f>'Table 3 Levels 1&amp;2'!AS75</f>
        <v>4864522</v>
      </c>
      <c r="N75" s="644">
        <f>'Table 3 Levels 1&amp;2'!C75</f>
        <v>1714</v>
      </c>
      <c r="O75" s="644">
        <f t="shared" si="38"/>
        <v>1714</v>
      </c>
      <c r="P75" s="622">
        <f t="shared" si="43"/>
        <v>2838.1108518086348</v>
      </c>
      <c r="Q75" s="623">
        <f t="shared" si="39"/>
        <v>0</v>
      </c>
      <c r="R75" s="1966">
        <f>'[39]Oct midyear adj_OJJ'!$K73</f>
        <v>0</v>
      </c>
      <c r="S75" s="623">
        <f t="shared" si="44"/>
        <v>0</v>
      </c>
      <c r="T75" s="1970">
        <f>'[4]Table 5E_OJJ'!S74*8</f>
        <v>0</v>
      </c>
      <c r="U75" s="1970">
        <f t="shared" si="45"/>
        <v>0</v>
      </c>
      <c r="V75" s="623">
        <f t="shared" si="46"/>
        <v>0</v>
      </c>
      <c r="W75" s="624">
        <f t="shared" si="34"/>
        <v>0</v>
      </c>
      <c r="X75" s="642"/>
      <c r="Y75" s="643"/>
      <c r="Z75" s="624">
        <f t="shared" si="35"/>
        <v>0</v>
      </c>
    </row>
    <row r="76" spans="1:26">
      <c r="A76" s="653">
        <v>69</v>
      </c>
      <c r="B76" s="654" t="s">
        <v>205</v>
      </c>
      <c r="C76" s="655">
        <f>'[38]2012 Final Summary 20131029'!E74</f>
        <v>0</v>
      </c>
      <c r="D76" s="656">
        <f>'Table 3 Levels 1&amp;2'!AP76</f>
        <v>6291.4953106686571</v>
      </c>
      <c r="E76" s="656">
        <f t="shared" si="36"/>
        <v>8282.0249004847301</v>
      </c>
      <c r="F76" s="656">
        <f t="shared" si="40"/>
        <v>9752.372292346925</v>
      </c>
      <c r="G76" s="657">
        <f>C76*F76</f>
        <v>0</v>
      </c>
      <c r="H76" s="1955">
        <f>'[39]Oct midyear adj_OJJ'!$I74</f>
        <v>0</v>
      </c>
      <c r="I76" s="657">
        <f t="shared" si="37"/>
        <v>0</v>
      </c>
      <c r="J76" s="1962">
        <f>'[4]Table 5E_OJJ'!K75*8</f>
        <v>0</v>
      </c>
      <c r="K76" s="1962">
        <f t="shared" si="41"/>
        <v>0</v>
      </c>
      <c r="L76" s="657">
        <f t="shared" si="42"/>
        <v>0</v>
      </c>
      <c r="M76" s="611">
        <f>'Table 3 Levels 1&amp;2'!AS76</f>
        <v>11703673.74</v>
      </c>
      <c r="N76" s="658">
        <f>'Table 3 Levels 1&amp;2'!C76</f>
        <v>4193</v>
      </c>
      <c r="O76" s="658">
        <f t="shared" si="38"/>
        <v>4193</v>
      </c>
      <c r="P76" s="659">
        <f t="shared" si="43"/>
        <v>2791.241054137849</v>
      </c>
      <c r="Q76" s="660">
        <f t="shared" si="39"/>
        <v>0</v>
      </c>
      <c r="R76" s="1968">
        <f>'[39]Oct midyear adj_OJJ'!$K74</f>
        <v>0</v>
      </c>
      <c r="S76" s="660">
        <f t="shared" si="44"/>
        <v>0</v>
      </c>
      <c r="T76" s="1972">
        <f>'[4]Table 5E_OJJ'!S75*8</f>
        <v>0</v>
      </c>
      <c r="U76" s="1972">
        <f t="shared" si="45"/>
        <v>0</v>
      </c>
      <c r="V76" s="660">
        <f t="shared" si="46"/>
        <v>0</v>
      </c>
      <c r="W76" s="661">
        <f t="shared" si="34"/>
        <v>0</v>
      </c>
      <c r="X76" s="642"/>
      <c r="Y76" s="643"/>
      <c r="Z76" s="661">
        <f t="shared" si="35"/>
        <v>0</v>
      </c>
    </row>
    <row r="77" spans="1:26" s="8" customFormat="1" ht="13.5" thickBot="1">
      <c r="A77" s="662"/>
      <c r="B77" s="663" t="s">
        <v>157</v>
      </c>
      <c r="C77" s="664">
        <f>SUM(C8:C76)</f>
        <v>337.74073299999992</v>
      </c>
      <c r="D77" s="665">
        <f>'Table 3 Levels 1&amp;2'!AP77</f>
        <v>5060.3213185290233</v>
      </c>
      <c r="E77" s="665">
        <f t="shared" si="36"/>
        <v>6661.3269334308607</v>
      </c>
      <c r="F77" s="665">
        <f t="shared" si="40"/>
        <v>8131.6743252930555</v>
      </c>
      <c r="G77" s="666">
        <f>SUM(G8:G76)</f>
        <v>2686802.673341406</v>
      </c>
      <c r="H77" s="1956">
        <f t="shared" ref="H77:O77" si="47">SUM(H8:H76)</f>
        <v>0</v>
      </c>
      <c r="I77" s="666">
        <f t="shared" si="47"/>
        <v>2686802.673341406</v>
      </c>
      <c r="J77" s="1963">
        <f t="shared" si="47"/>
        <v>1700904</v>
      </c>
      <c r="K77" s="1963">
        <f t="shared" si="47"/>
        <v>985898.67334140569</v>
      </c>
      <c r="L77" s="666">
        <f t="shared" si="47"/>
        <v>246473</v>
      </c>
      <c r="M77" s="668">
        <f t="shared" si="47"/>
        <v>2388616092.5699997</v>
      </c>
      <c r="N77" s="669">
        <f t="shared" si="47"/>
        <v>673908</v>
      </c>
      <c r="O77" s="669">
        <f t="shared" si="47"/>
        <v>674245.74073300022</v>
      </c>
      <c r="P77" s="668">
        <f t="shared" si="43"/>
        <v>3542.6491385369927</v>
      </c>
      <c r="Q77" s="670">
        <f>SUM(Q8:Q76)</f>
        <v>1239861.4966246891</v>
      </c>
      <c r="R77" s="1969">
        <f>SUM(R8:R76)</f>
        <v>0</v>
      </c>
      <c r="S77" s="979">
        <f>SUM(S8:S76)</f>
        <v>1239861.4966246891</v>
      </c>
      <c r="T77" s="1965">
        <f>SUM(T8:T76)</f>
        <v>778800</v>
      </c>
      <c r="U77" s="1965">
        <f t="shared" ref="U77" si="48">SUM(U8:U76)</f>
        <v>461061.49662468868</v>
      </c>
      <c r="V77" s="670">
        <f>SUM(V8:V76)</f>
        <v>115265</v>
      </c>
      <c r="W77" s="671">
        <f>SUM(W8:W76)</f>
        <v>3926664.1699660937</v>
      </c>
      <c r="X77" s="667"/>
      <c r="Y77" s="667"/>
      <c r="Z77" s="671">
        <f>SUM(Z8:Z76)</f>
        <v>361738</v>
      </c>
    </row>
    <row r="78" spans="1:26" s="8" customFormat="1" ht="13.5" thickTop="1">
      <c r="A78" s="672"/>
      <c r="B78" s="672"/>
      <c r="C78" s="673"/>
      <c r="D78" s="673"/>
      <c r="E78" s="673"/>
      <c r="F78" s="673"/>
      <c r="H78" s="674"/>
      <c r="I78" s="674"/>
      <c r="J78" s="674"/>
      <c r="K78" s="674"/>
      <c r="M78" s="675"/>
      <c r="N78" s="676"/>
      <c r="O78" s="675"/>
      <c r="P78" s="675"/>
      <c r="Q78" s="675"/>
      <c r="R78" s="675"/>
      <c r="S78" s="675"/>
      <c r="T78" s="675"/>
      <c r="U78" s="675"/>
      <c r="V78" s="675"/>
      <c r="X78" s="674"/>
      <c r="Y78" s="674"/>
    </row>
    <row r="79" spans="1:26" ht="16.5" customHeight="1">
      <c r="A79" s="677"/>
      <c r="C79" s="678"/>
      <c r="N79" s="678"/>
    </row>
    <row r="80" spans="1:26" ht="12.75" customHeight="1">
      <c r="E80" s="2">
        <v>177</v>
      </c>
      <c r="F80" s="2"/>
    </row>
    <row r="81" spans="3:25">
      <c r="E81" s="336">
        <v>233</v>
      </c>
      <c r="F81" s="64"/>
    </row>
    <row r="82" spans="3:25">
      <c r="E82" s="2">
        <f>E81-E80</f>
        <v>56</v>
      </c>
      <c r="F82" s="2"/>
    </row>
    <row r="83" spans="3:25">
      <c r="E83" s="2"/>
      <c r="F83" s="2"/>
    </row>
    <row r="84" spans="3:25">
      <c r="E84" s="2">
        <f>E82/E80</f>
        <v>0.31638418079096048</v>
      </c>
      <c r="F84" s="2"/>
      <c r="G84" s="679" t="s">
        <v>329</v>
      </c>
      <c r="H84" s="680"/>
      <c r="I84" s="680"/>
      <c r="J84" s="680"/>
      <c r="K84" s="680"/>
      <c r="L84" s="679"/>
      <c r="X84" s="680"/>
      <c r="Y84" s="680"/>
    </row>
    <row r="85" spans="3:25" ht="10.5" customHeight="1"/>
    <row r="87" spans="3:25">
      <c r="C87" s="681">
        <v>85661</v>
      </c>
      <c r="D87" s="682" t="s">
        <v>330</v>
      </c>
    </row>
    <row r="88" spans="3:25">
      <c r="C88" s="681">
        <v>650290</v>
      </c>
      <c r="D88" s="682" t="s">
        <v>331</v>
      </c>
    </row>
    <row r="89" spans="3:25">
      <c r="C89" s="683">
        <f>C87/C88</f>
        <v>0.13172738316750987</v>
      </c>
      <c r="D89" s="682" t="s">
        <v>332</v>
      </c>
    </row>
    <row r="90" spans="3:25">
      <c r="C90" s="681"/>
      <c r="D90" s="682"/>
    </row>
    <row r="91" spans="3:25">
      <c r="C91" s="681">
        <v>128510</v>
      </c>
      <c r="D91" s="682" t="s">
        <v>333</v>
      </c>
    </row>
    <row r="92" spans="3:25">
      <c r="C92" s="681">
        <v>911320</v>
      </c>
      <c r="D92" s="682" t="s">
        <v>334</v>
      </c>
    </row>
    <row r="93" spans="3:25">
      <c r="C93" s="683">
        <f>C91/C92</f>
        <v>0.14101523065443533</v>
      </c>
      <c r="D93" s="682" t="s">
        <v>335</v>
      </c>
    </row>
    <row r="94" spans="3:25">
      <c r="C94" s="681"/>
      <c r="D94" s="682"/>
    </row>
    <row r="95" spans="3:25">
      <c r="C95" s="684">
        <v>2663489616</v>
      </c>
      <c r="D95" s="560" t="s">
        <v>336</v>
      </c>
    </row>
    <row r="96" spans="3:25">
      <c r="C96" s="685">
        <f>C93</f>
        <v>0.14101523065443533</v>
      </c>
      <c r="D96" s="560"/>
    </row>
    <row r="97" spans="3:4">
      <c r="C97" s="686">
        <f>C95*C96</f>
        <v>375592602.54593337</v>
      </c>
      <c r="D97" s="682" t="s">
        <v>337</v>
      </c>
    </row>
    <row r="98" spans="3:4">
      <c r="C98" s="687">
        <f>50%/C93</f>
        <v>3.5457162866702978</v>
      </c>
      <c r="D98" s="560" t="s">
        <v>338</v>
      </c>
    </row>
    <row r="99" spans="3:4">
      <c r="C99" s="686">
        <f>C97*C98</f>
        <v>1331744808</v>
      </c>
      <c r="D99" s="688" t="s">
        <v>339</v>
      </c>
    </row>
    <row r="100" spans="3:4">
      <c r="C100" s="689">
        <f>C88</f>
        <v>650290</v>
      </c>
      <c r="D100" s="560" t="s">
        <v>340</v>
      </c>
    </row>
    <row r="101" spans="3:4">
      <c r="C101" s="686">
        <f>C99/C100</f>
        <v>2047.9244767719017</v>
      </c>
      <c r="D101" s="560" t="s">
        <v>341</v>
      </c>
    </row>
    <row r="102" spans="3:4">
      <c r="C102" s="690">
        <f>(C97/C100)*-1</f>
        <v>-577.57708490970697</v>
      </c>
      <c r="D102" s="560" t="s">
        <v>342</v>
      </c>
    </row>
    <row r="103" spans="3:4">
      <c r="C103" s="691">
        <f>SUM(C101:C102)</f>
        <v>1470.3473918621949</v>
      </c>
      <c r="D103" s="560" t="s">
        <v>343</v>
      </c>
    </row>
    <row r="104" spans="3:4">
      <c r="C104" s="691"/>
      <c r="D104" s="560"/>
    </row>
    <row r="105" spans="3:4">
      <c r="C105" s="691"/>
      <c r="D105" s="560"/>
    </row>
    <row r="106" spans="3:4">
      <c r="D106" s="560"/>
    </row>
  </sheetData>
  <mergeCells count="24">
    <mergeCell ref="Z2:Z5"/>
    <mergeCell ref="Y17:Y19"/>
    <mergeCell ref="M4:M5"/>
    <mergeCell ref="N4:N5"/>
    <mergeCell ref="O4:O5"/>
    <mergeCell ref="Y21:Y23"/>
    <mergeCell ref="P4:P5"/>
    <mergeCell ref="Q4:Q5"/>
    <mergeCell ref="Y10:Y11"/>
    <mergeCell ref="Y13:Y15"/>
    <mergeCell ref="V4:V5"/>
    <mergeCell ref="T4:T5"/>
    <mergeCell ref="A2:B5"/>
    <mergeCell ref="W2:W5"/>
    <mergeCell ref="C4:C5"/>
    <mergeCell ref="D4:D5"/>
    <mergeCell ref="G4:G5"/>
    <mergeCell ref="L4:L5"/>
    <mergeCell ref="C2:L2"/>
    <mergeCell ref="M2:V2"/>
    <mergeCell ref="H4:H5"/>
    <mergeCell ref="I4:I5"/>
    <mergeCell ref="R4:R5"/>
    <mergeCell ref="S4:S5"/>
  </mergeCells>
  <printOptions horizontalCentered="1"/>
  <pageMargins left="0.27" right="0.25" top="0.87" bottom="0.2" header="0.25" footer="0.2"/>
  <pageSetup paperSize="5" scale="63" firstPageNumber="90" fitToWidth="3" orientation="portrait" useFirstPageNumber="1" r:id="rId1"/>
  <headerFooter alignWithMargins="0">
    <oddHeader xml:space="preserve">&amp;L&amp;"Arial,Bold"&amp;16Table 5E:  FY2013-14 MFP Budget Letter (March 2014) &amp;"Arial,Regular"&amp;10
&amp;"Arial,Bold"&amp;14Office of Juvenile Justice (Based on Preliminary Data) &amp;R&amp;"Arial,Bold"&amp;12&amp;KFF0000
</oddHeader>
    <oddFooter>&amp;R&amp;9&amp;P</oddFooter>
  </headerFooter>
  <colBreaks count="3" manualBreakCount="3">
    <brk id="7" max="1048575" man="1"/>
    <brk id="12" min="1" max="77" man="1"/>
    <brk id="1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view="pageBreakPreview" zoomScale="80" zoomScaleNormal="85" zoomScaleSheetLayoutView="80" workbookViewId="0">
      <pane xSplit="2" ySplit="7" topLeftCell="C62" activePane="bottomRight" state="frozen"/>
      <selection activeCell="B3" sqref="B3:B5"/>
      <selection pane="topRight" activeCell="B3" sqref="B3:B5"/>
      <selection pane="bottomLeft" activeCell="B3" sqref="B3:B5"/>
      <selection pane="bottomRight"/>
    </sheetView>
  </sheetViews>
  <sheetFormatPr defaultRowHeight="12.75"/>
  <cols>
    <col min="1" max="1" width="4.7109375" customWidth="1"/>
    <col min="2" max="2" width="18.5703125" customWidth="1"/>
    <col min="3" max="3" width="18.42578125" customWidth="1"/>
    <col min="4" max="4" width="17.7109375" customWidth="1"/>
    <col min="5" max="5" width="19.42578125" customWidth="1"/>
    <col min="6" max="6" width="17" customWidth="1"/>
    <col min="7" max="7" width="18.7109375" customWidth="1"/>
    <col min="8" max="8" width="15.42578125" customWidth="1"/>
    <col min="9" max="9" width="14.42578125" customWidth="1"/>
    <col min="10" max="10" width="16" customWidth="1"/>
    <col min="11" max="11" width="13.7109375" customWidth="1"/>
    <col min="13" max="13" width="12.7109375" customWidth="1"/>
  </cols>
  <sheetData>
    <row r="1" spans="1:10" ht="46.5" customHeight="1">
      <c r="B1" s="227" t="s">
        <v>219</v>
      </c>
      <c r="C1" s="228"/>
      <c r="D1" s="228"/>
      <c r="E1" s="229"/>
      <c r="F1" s="229"/>
      <c r="G1" s="229"/>
      <c r="H1" s="229"/>
      <c r="I1" s="229"/>
      <c r="J1" s="229"/>
    </row>
    <row r="2" spans="1:10" ht="15" customHeight="1">
      <c r="A2" s="48"/>
      <c r="B2" s="48"/>
      <c r="C2" s="2"/>
      <c r="D2" s="2"/>
      <c r="E2" s="859">
        <f>'Table 7 Local Revenue'!AD77</f>
        <v>40.450000000000003</v>
      </c>
      <c r="F2" s="2"/>
      <c r="G2" s="2"/>
      <c r="H2" s="860">
        <f>'Table 7 Local Revenue'!AF77</f>
        <v>1.9900000000000001E-2</v>
      </c>
      <c r="I2" s="2"/>
      <c r="J2" s="2"/>
    </row>
    <row r="3" spans="1:10" ht="40.5" hidden="1" customHeight="1">
      <c r="A3" s="48"/>
      <c r="C3" s="113"/>
      <c r="D3" s="113"/>
      <c r="E3" s="113" t="s">
        <v>60</v>
      </c>
      <c r="F3" s="113"/>
      <c r="G3" s="113"/>
      <c r="H3" s="113" t="s">
        <v>61</v>
      </c>
      <c r="I3" s="113"/>
      <c r="J3" s="113"/>
    </row>
    <row r="4" spans="1:10" ht="45" customHeight="1">
      <c r="A4" s="2207" t="s">
        <v>183</v>
      </c>
      <c r="B4" s="2207" t="s">
        <v>2</v>
      </c>
      <c r="C4" s="2497" t="s">
        <v>236</v>
      </c>
      <c r="D4" s="2498"/>
      <c r="E4" s="2499"/>
      <c r="F4" s="2497" t="s">
        <v>203</v>
      </c>
      <c r="G4" s="2498"/>
      <c r="H4" s="2498"/>
      <c r="I4" s="2498"/>
      <c r="J4" s="2499"/>
    </row>
    <row r="5" spans="1:10" ht="51.75" customHeight="1">
      <c r="A5" s="2495"/>
      <c r="B5" s="2495"/>
      <c r="C5" s="2500" t="s">
        <v>483</v>
      </c>
      <c r="D5" s="2500" t="s">
        <v>484</v>
      </c>
      <c r="E5" s="67" t="s">
        <v>210</v>
      </c>
      <c r="F5" s="2500" t="s">
        <v>485</v>
      </c>
      <c r="G5" s="2500" t="s">
        <v>486</v>
      </c>
      <c r="H5" s="67" t="s">
        <v>209</v>
      </c>
      <c r="I5" s="2500" t="s">
        <v>237</v>
      </c>
      <c r="J5" s="2500" t="s">
        <v>256</v>
      </c>
    </row>
    <row r="6" spans="1:10" ht="15.75" customHeight="1">
      <c r="A6" s="2496"/>
      <c r="B6" s="2496"/>
      <c r="C6" s="2500"/>
      <c r="D6" s="2500"/>
      <c r="E6" s="371">
        <f>'Table 7 Local Revenue'!AD77*41.1%</f>
        <v>16.624950000000002</v>
      </c>
      <c r="F6" s="2500"/>
      <c r="G6" s="2500"/>
      <c r="H6" s="1222">
        <f>'Table 7 Local Revenue'!AF77*41.1%</f>
        <v>8.1789000000000011E-3</v>
      </c>
      <c r="I6" s="2500"/>
      <c r="J6" s="2500"/>
    </row>
    <row r="7" spans="1:10">
      <c r="A7" s="63"/>
      <c r="B7" s="63"/>
      <c r="C7" s="212">
        <v>1</v>
      </c>
      <c r="D7" s="213">
        <f t="shared" ref="D7:J7" si="0">1+C7</f>
        <v>2</v>
      </c>
      <c r="E7" s="213">
        <f t="shared" si="0"/>
        <v>3</v>
      </c>
      <c r="F7" s="213">
        <f t="shared" si="0"/>
        <v>4</v>
      </c>
      <c r="G7" s="213">
        <f t="shared" si="0"/>
        <v>5</v>
      </c>
      <c r="H7" s="213">
        <f t="shared" si="0"/>
        <v>6</v>
      </c>
      <c r="I7" s="266">
        <f t="shared" si="0"/>
        <v>7</v>
      </c>
      <c r="J7" s="213">
        <f t="shared" si="0"/>
        <v>8</v>
      </c>
    </row>
    <row r="8" spans="1:10" ht="1.5" customHeight="1">
      <c r="A8" s="9"/>
      <c r="B8" s="10"/>
      <c r="C8" s="122"/>
      <c r="D8" s="11"/>
      <c r="E8" s="352"/>
      <c r="F8" s="353"/>
      <c r="G8" s="11"/>
      <c r="I8" s="352"/>
      <c r="J8" s="115"/>
    </row>
    <row r="9" spans="1:10">
      <c r="A9" s="12">
        <v>1</v>
      </c>
      <c r="B9" s="13" t="s">
        <v>92</v>
      </c>
      <c r="C9" s="14">
        <f>'Table 7 Local Revenue'!AE8</f>
        <v>8678907</v>
      </c>
      <c r="D9" s="14">
        <f>'Table 7 Local Revenue'!H8</f>
        <v>290512798</v>
      </c>
      <c r="E9" s="14">
        <f t="shared" ref="E9:E40" si="1">ROUND(D9*$E$6/1000,0)</f>
        <v>4829761</v>
      </c>
      <c r="F9" s="279">
        <f>'Table 7 Local Revenue'!AI8</f>
        <v>11369692</v>
      </c>
      <c r="G9" s="14">
        <f>'Table 7 Local Revenue'!AM8</f>
        <v>757979467</v>
      </c>
      <c r="H9" s="14">
        <f t="shared" ref="H9:H40" si="2">ROUND(G9*$H$6,0)</f>
        <v>6199438</v>
      </c>
      <c r="I9" s="234">
        <f>'Table 7 Local Revenue'!AP8</f>
        <v>526511</v>
      </c>
      <c r="J9" s="14">
        <f t="shared" ref="J9:J40" si="3">E9+H9+I9</f>
        <v>11555710</v>
      </c>
    </row>
    <row r="10" spans="1:10">
      <c r="A10" s="12">
        <v>2</v>
      </c>
      <c r="B10" s="13" t="s">
        <v>93</v>
      </c>
      <c r="C10" s="14">
        <f>'Table 7 Local Revenue'!AE9</f>
        <v>3470809</v>
      </c>
      <c r="D10" s="14">
        <f>'Table 7 Local Revenue'!H9</f>
        <v>77481772</v>
      </c>
      <c r="E10" s="14">
        <f t="shared" si="1"/>
        <v>1288131</v>
      </c>
      <c r="F10" s="279">
        <f>'Table 7 Local Revenue'!AI9</f>
        <v>7172089</v>
      </c>
      <c r="G10" s="14">
        <f>'Table 7 Local Revenue'!AM9</f>
        <v>239069633</v>
      </c>
      <c r="H10" s="14">
        <f t="shared" si="2"/>
        <v>1955327</v>
      </c>
      <c r="I10" s="234">
        <f>'Table 7 Local Revenue'!AP9</f>
        <v>101838</v>
      </c>
      <c r="J10" s="14">
        <f t="shared" si="3"/>
        <v>3345296</v>
      </c>
    </row>
    <row r="11" spans="1:10">
      <c r="A11" s="12">
        <v>3</v>
      </c>
      <c r="B11" s="13" t="s">
        <v>94</v>
      </c>
      <c r="C11" s="14">
        <f>'Table 7 Local Revenue'!AE10</f>
        <v>53862079</v>
      </c>
      <c r="D11" s="14">
        <f>'Table 7 Local Revenue'!H10</f>
        <v>875112560</v>
      </c>
      <c r="E11" s="14">
        <f t="shared" si="1"/>
        <v>14548703</v>
      </c>
      <c r="F11" s="279">
        <f>'Table 7 Local Revenue'!AI10</f>
        <v>49823946</v>
      </c>
      <c r="G11" s="14">
        <f>'Table 7 Local Revenue'!AM10</f>
        <v>2491197300</v>
      </c>
      <c r="H11" s="14">
        <f t="shared" si="2"/>
        <v>20375254</v>
      </c>
      <c r="I11" s="234">
        <f>'Table 7 Local Revenue'!AP10</f>
        <v>197634</v>
      </c>
      <c r="J11" s="14">
        <f t="shared" si="3"/>
        <v>35121591</v>
      </c>
    </row>
    <row r="12" spans="1:10">
      <c r="A12" s="12">
        <v>4</v>
      </c>
      <c r="B12" s="13" t="s">
        <v>95</v>
      </c>
      <c r="C12" s="14">
        <f>'Table 7 Local Revenue'!AE11</f>
        <v>5475482</v>
      </c>
      <c r="D12" s="14">
        <f>'Table 7 Local Revenue'!H11</f>
        <v>140247799</v>
      </c>
      <c r="E12" s="14">
        <f t="shared" si="1"/>
        <v>2331613</v>
      </c>
      <c r="F12" s="279">
        <f>'Table 7 Local Revenue'!AI11</f>
        <v>6784459</v>
      </c>
      <c r="G12" s="14">
        <f>'Table 7 Local Revenue'!AM11</f>
        <v>226148633</v>
      </c>
      <c r="H12" s="14">
        <f t="shared" si="2"/>
        <v>1849647</v>
      </c>
      <c r="I12" s="234">
        <f>'Table 7 Local Revenue'!AP11</f>
        <v>153274</v>
      </c>
      <c r="J12" s="14">
        <f t="shared" si="3"/>
        <v>4334534</v>
      </c>
    </row>
    <row r="13" spans="1:10">
      <c r="A13" s="18">
        <v>5</v>
      </c>
      <c r="B13" s="19" t="s">
        <v>96</v>
      </c>
      <c r="C13" s="20">
        <f>'Table 7 Local Revenue'!AE12</f>
        <v>1426920</v>
      </c>
      <c r="D13" s="20">
        <f>'Table 7 Local Revenue'!H12</f>
        <v>100860780</v>
      </c>
      <c r="E13" s="20">
        <f t="shared" si="1"/>
        <v>1676805</v>
      </c>
      <c r="F13" s="280">
        <f>'Table 7 Local Revenue'!AI12</f>
        <v>7262732</v>
      </c>
      <c r="G13" s="20">
        <f>'Table 7 Local Revenue'!AM12</f>
        <v>445566380</v>
      </c>
      <c r="H13" s="20">
        <f t="shared" si="2"/>
        <v>3644243</v>
      </c>
      <c r="I13" s="235">
        <f>'Table 7 Local Revenue'!AP12</f>
        <v>221441.5</v>
      </c>
      <c r="J13" s="20">
        <f t="shared" si="3"/>
        <v>5542489.5</v>
      </c>
    </row>
    <row r="14" spans="1:10">
      <c r="A14" s="12">
        <v>6</v>
      </c>
      <c r="B14" s="13" t="s">
        <v>97</v>
      </c>
      <c r="C14" s="14">
        <f>'Table 7 Local Revenue'!AE13</f>
        <v>10735401</v>
      </c>
      <c r="D14" s="14">
        <f>'Table 7 Local Revenue'!H13</f>
        <v>205652488</v>
      </c>
      <c r="E14" s="14">
        <f t="shared" si="1"/>
        <v>3418962</v>
      </c>
      <c r="F14" s="279">
        <f>'Table 7 Local Revenue'!AI13</f>
        <v>11237688</v>
      </c>
      <c r="G14" s="14">
        <f>'Table 7 Local Revenue'!AM13</f>
        <v>499244957.49999994</v>
      </c>
      <c r="H14" s="14">
        <f t="shared" si="2"/>
        <v>4083275</v>
      </c>
      <c r="I14" s="234">
        <f>'Table 7 Local Revenue'!AP13</f>
        <v>326455.5</v>
      </c>
      <c r="J14" s="14">
        <f t="shared" si="3"/>
        <v>7828692.5</v>
      </c>
    </row>
    <row r="15" spans="1:10">
      <c r="A15" s="12">
        <v>7</v>
      </c>
      <c r="B15" s="13" t="s">
        <v>98</v>
      </c>
      <c r="C15" s="14">
        <f>'Table 7 Local Revenue'!AE14</f>
        <v>20641090</v>
      </c>
      <c r="D15" s="14">
        <f>'Table 7 Local Revenue'!H14</f>
        <v>329482072.70000005</v>
      </c>
      <c r="E15" s="14">
        <f t="shared" si="1"/>
        <v>5477623</v>
      </c>
      <c r="F15" s="279">
        <f>'Table 7 Local Revenue'!AI14</f>
        <v>7821796</v>
      </c>
      <c r="G15" s="14">
        <f>'Table 7 Local Revenue'!AM14</f>
        <v>391089800</v>
      </c>
      <c r="H15" s="14">
        <f t="shared" si="2"/>
        <v>3198684</v>
      </c>
      <c r="I15" s="234">
        <f>'Table 7 Local Revenue'!AP14</f>
        <v>227363.5</v>
      </c>
      <c r="J15" s="14">
        <f t="shared" si="3"/>
        <v>8903670.5</v>
      </c>
    </row>
    <row r="16" spans="1:10">
      <c r="A16" s="12">
        <v>8</v>
      </c>
      <c r="B16" s="13" t="s">
        <v>99</v>
      </c>
      <c r="C16" s="14">
        <f>'Table 7 Local Revenue'!AE15</f>
        <v>45649430</v>
      </c>
      <c r="D16" s="14">
        <f>'Table 7 Local Revenue'!H15</f>
        <v>882522656</v>
      </c>
      <c r="E16" s="14">
        <f t="shared" si="1"/>
        <v>14671895</v>
      </c>
      <c r="F16" s="279">
        <f>'Table 7 Local Revenue'!AI15</f>
        <v>44601904</v>
      </c>
      <c r="G16" s="14">
        <f>'Table 7 Local Revenue'!AM15</f>
        <v>2548680229</v>
      </c>
      <c r="H16" s="14">
        <f t="shared" si="2"/>
        <v>20845401</v>
      </c>
      <c r="I16" s="234">
        <f>'Table 7 Local Revenue'!AP15</f>
        <v>612181</v>
      </c>
      <c r="J16" s="14">
        <f t="shared" si="3"/>
        <v>36129477</v>
      </c>
    </row>
    <row r="17" spans="1:13">
      <c r="A17" s="12">
        <v>9</v>
      </c>
      <c r="B17" s="13" t="s">
        <v>100</v>
      </c>
      <c r="C17" s="14">
        <f>'Table 7 Local Revenue'!AE16</f>
        <v>118647654</v>
      </c>
      <c r="D17" s="14">
        <f>'Table 7 Local Revenue'!H16</f>
        <v>1541689220</v>
      </c>
      <c r="E17" s="14">
        <f t="shared" si="1"/>
        <v>25630506</v>
      </c>
      <c r="F17" s="279">
        <f>'Table 7 Local Revenue'!AI16</f>
        <v>74472829</v>
      </c>
      <c r="G17" s="14">
        <f>'Table 7 Local Revenue'!AM16</f>
        <v>4964855267</v>
      </c>
      <c r="H17" s="14">
        <f t="shared" si="2"/>
        <v>40607055</v>
      </c>
      <c r="I17" s="234">
        <f>'Table 7 Local Revenue'!AP16</f>
        <v>2536532</v>
      </c>
      <c r="J17" s="14">
        <f t="shared" si="3"/>
        <v>68774093</v>
      </c>
    </row>
    <row r="18" spans="1:13">
      <c r="A18" s="18">
        <v>10</v>
      </c>
      <c r="B18" s="19" t="s">
        <v>101</v>
      </c>
      <c r="C18" s="20">
        <f>'Table 7 Local Revenue'!AE17</f>
        <v>49530964</v>
      </c>
      <c r="D18" s="20">
        <f>'Table 7 Local Revenue'!H17</f>
        <v>1507165524</v>
      </c>
      <c r="E18" s="20">
        <f t="shared" si="1"/>
        <v>25056551</v>
      </c>
      <c r="F18" s="280">
        <f>'Table 7 Local Revenue'!AI17</f>
        <v>91977507</v>
      </c>
      <c r="G18" s="20">
        <f>'Table 7 Local Revenue'!AM17</f>
        <v>4598875350</v>
      </c>
      <c r="H18" s="20">
        <f t="shared" si="2"/>
        <v>37613742</v>
      </c>
      <c r="I18" s="235">
        <f>'Table 7 Local Revenue'!AP17</f>
        <v>1014170</v>
      </c>
      <c r="J18" s="20">
        <f t="shared" si="3"/>
        <v>63684463</v>
      </c>
      <c r="K18" s="35"/>
      <c r="L18" s="35"/>
      <c r="M18" s="35"/>
    </row>
    <row r="19" spans="1:13" ht="12" customHeight="1">
      <c r="A19" s="12">
        <v>11</v>
      </c>
      <c r="B19" s="13" t="s">
        <v>102</v>
      </c>
      <c r="C19" s="14">
        <f>'Table 7 Local Revenue'!AE18</f>
        <v>3477623</v>
      </c>
      <c r="D19" s="14">
        <f>'Table 7 Local Revenue'!H18</f>
        <v>48364338.000000007</v>
      </c>
      <c r="E19" s="14">
        <f t="shared" si="1"/>
        <v>804055</v>
      </c>
      <c r="F19" s="279">
        <f>'Table 7 Local Revenue'!AI18</f>
        <v>1965585</v>
      </c>
      <c r="G19" s="14">
        <f>'Table 7 Local Revenue'!AM18</f>
        <v>98279250</v>
      </c>
      <c r="H19" s="14">
        <f t="shared" si="2"/>
        <v>803816</v>
      </c>
      <c r="I19" s="234">
        <f>'Table 7 Local Revenue'!AP18</f>
        <v>85967.5</v>
      </c>
      <c r="J19" s="14">
        <f t="shared" si="3"/>
        <v>1693838.5</v>
      </c>
      <c r="K19" s="35"/>
      <c r="L19" s="35"/>
      <c r="M19" s="35"/>
    </row>
    <row r="20" spans="1:13">
      <c r="A20" s="12">
        <v>12</v>
      </c>
      <c r="B20" s="13" t="s">
        <v>103</v>
      </c>
      <c r="C20" s="14">
        <f>'Table 7 Local Revenue'!AE19</f>
        <v>14161437</v>
      </c>
      <c r="D20" s="14">
        <f>'Table 7 Local Revenue'!H19</f>
        <v>260910951.40000004</v>
      </c>
      <c r="E20" s="14">
        <f t="shared" si="1"/>
        <v>4337632</v>
      </c>
      <c r="F20" s="279">
        <f>'Table 7 Local Revenue'!AI19</f>
        <v>0</v>
      </c>
      <c r="G20" s="14">
        <f>'Table 7 Local Revenue'!AM19</f>
        <v>30713432.374999996</v>
      </c>
      <c r="H20" s="14">
        <f t="shared" si="2"/>
        <v>251202</v>
      </c>
      <c r="I20" s="234">
        <f>'Table 7 Local Revenue'!AP19</f>
        <v>647659.5</v>
      </c>
      <c r="J20" s="14">
        <f t="shared" si="3"/>
        <v>5236493.5</v>
      </c>
      <c r="K20" s="35"/>
      <c r="L20" s="35"/>
      <c r="M20" s="35"/>
    </row>
    <row r="21" spans="1:13">
      <c r="A21" s="12">
        <v>13</v>
      </c>
      <c r="B21" s="13" t="s">
        <v>104</v>
      </c>
      <c r="C21" s="14">
        <f>'Table 7 Local Revenue'!AE20</f>
        <v>955711</v>
      </c>
      <c r="D21" s="14">
        <f>'Table 7 Local Revenue'!H20</f>
        <v>35320109</v>
      </c>
      <c r="E21" s="14">
        <f t="shared" si="1"/>
        <v>587195</v>
      </c>
      <c r="F21" s="279">
        <f>'Table 7 Local Revenue'!AI20</f>
        <v>2772041</v>
      </c>
      <c r="G21" s="14">
        <f>'Table 7 Local Revenue'!AM20</f>
        <v>92401367</v>
      </c>
      <c r="H21" s="14">
        <f t="shared" si="2"/>
        <v>755742</v>
      </c>
      <c r="I21" s="234">
        <f>'Table 7 Local Revenue'!AP20</f>
        <v>107042.5</v>
      </c>
      <c r="J21" s="14">
        <f t="shared" si="3"/>
        <v>1449979.5</v>
      </c>
      <c r="K21" s="35"/>
      <c r="L21" s="35"/>
      <c r="M21" s="35"/>
    </row>
    <row r="22" spans="1:13">
      <c r="A22" s="12">
        <v>14</v>
      </c>
      <c r="B22" s="13" t="s">
        <v>105</v>
      </c>
      <c r="C22" s="14">
        <f>'Table 7 Local Revenue'!AE21</f>
        <v>3855358</v>
      </c>
      <c r="D22" s="14">
        <f>'Table 7 Local Revenue'!H21</f>
        <v>140151934</v>
      </c>
      <c r="E22" s="14">
        <f t="shared" si="1"/>
        <v>2330019</v>
      </c>
      <c r="F22" s="279">
        <f>'Table 7 Local Revenue'!AI21</f>
        <v>3549236</v>
      </c>
      <c r="G22" s="14">
        <f>'Table 7 Local Revenue'!AM21</f>
        <v>162476945</v>
      </c>
      <c r="H22" s="14">
        <f t="shared" si="2"/>
        <v>1328883</v>
      </c>
      <c r="I22" s="234">
        <f>'Table 7 Local Revenue'!AP21</f>
        <v>165584</v>
      </c>
      <c r="J22" s="14">
        <f t="shared" si="3"/>
        <v>3824486</v>
      </c>
      <c r="K22" s="35"/>
      <c r="L22" s="35"/>
      <c r="M22" s="35"/>
    </row>
    <row r="23" spans="1:13">
      <c r="A23" s="18">
        <v>15</v>
      </c>
      <c r="B23" s="19" t="s">
        <v>106</v>
      </c>
      <c r="C23" s="20">
        <f>'Table 7 Local Revenue'!AE22</f>
        <v>5057283</v>
      </c>
      <c r="D23" s="20">
        <f>'Table 7 Local Revenue'!H22</f>
        <v>132017810</v>
      </c>
      <c r="E23" s="20">
        <f t="shared" si="1"/>
        <v>2194789</v>
      </c>
      <c r="F23" s="280">
        <f>'Table 7 Local Revenue'!AI22</f>
        <v>4977915</v>
      </c>
      <c r="G23" s="20">
        <f>'Table 7 Local Revenue'!AM22</f>
        <v>248895750</v>
      </c>
      <c r="H23" s="20">
        <f t="shared" si="2"/>
        <v>2035693</v>
      </c>
      <c r="I23" s="235">
        <f>'Table 7 Local Revenue'!AP22</f>
        <v>163134</v>
      </c>
      <c r="J23" s="20">
        <f t="shared" si="3"/>
        <v>4393616</v>
      </c>
      <c r="K23" s="35"/>
      <c r="L23" s="35"/>
      <c r="M23" s="35"/>
    </row>
    <row r="24" spans="1:13">
      <c r="A24" s="12">
        <v>16</v>
      </c>
      <c r="B24" s="13" t="s">
        <v>107</v>
      </c>
      <c r="C24" s="14">
        <f>'Table 7 Local Revenue'!AE23</f>
        <v>27165928</v>
      </c>
      <c r="D24" s="14">
        <f>'Table 7 Local Revenue'!H23</f>
        <v>475954547.20000005</v>
      </c>
      <c r="E24" s="14">
        <f t="shared" si="1"/>
        <v>7912721</v>
      </c>
      <c r="F24" s="279">
        <f>'Table 7 Local Revenue'!AI23</f>
        <v>48159185</v>
      </c>
      <c r="G24" s="14">
        <f>'Table 7 Local Revenue'!AM23</f>
        <v>1926367400</v>
      </c>
      <c r="H24" s="14">
        <f t="shared" si="2"/>
        <v>15755566</v>
      </c>
      <c r="I24" s="234">
        <f>'Table 7 Local Revenue'!AP23</f>
        <v>826429.5</v>
      </c>
      <c r="J24" s="14">
        <f t="shared" si="3"/>
        <v>24494716.5</v>
      </c>
      <c r="K24" s="35"/>
      <c r="L24" s="35"/>
      <c r="M24" s="35"/>
    </row>
    <row r="25" spans="1:13">
      <c r="A25" s="12">
        <v>17</v>
      </c>
      <c r="B25" s="13" t="s">
        <v>108</v>
      </c>
      <c r="C25" s="14">
        <f>'Table 7 Local Revenue'!AE24</f>
        <v>131532790</v>
      </c>
      <c r="D25" s="14">
        <f>'Table 7 Local Revenue'!H24</f>
        <v>3050582980</v>
      </c>
      <c r="E25" s="14">
        <f t="shared" si="1"/>
        <v>50715790</v>
      </c>
      <c r="F25" s="279">
        <f>'Table 7 Local Revenue'!AI24</f>
        <v>157956316</v>
      </c>
      <c r="G25" s="14">
        <f>'Table 7 Local Revenue'!AM24</f>
        <v>7897815800</v>
      </c>
      <c r="H25" s="14">
        <f t="shared" si="2"/>
        <v>64595446</v>
      </c>
      <c r="I25" s="234">
        <f>'Table 7 Local Revenue'!AP24</f>
        <v>4087419.5</v>
      </c>
      <c r="J25" s="14">
        <f t="shared" si="3"/>
        <v>119398655.5</v>
      </c>
    </row>
    <row r="26" spans="1:13">
      <c r="A26" s="12">
        <v>18</v>
      </c>
      <c r="B26" s="13" t="s">
        <v>109</v>
      </c>
      <c r="C26" s="14">
        <f>'Table 7 Local Revenue'!AE25</f>
        <v>580302</v>
      </c>
      <c r="D26" s="14">
        <f>'Table 7 Local Revenue'!H25</f>
        <v>36585559</v>
      </c>
      <c r="E26" s="14">
        <f t="shared" si="1"/>
        <v>608233</v>
      </c>
      <c r="F26" s="279">
        <f>'Table 7 Local Revenue'!AI25</f>
        <v>1835065</v>
      </c>
      <c r="G26" s="14">
        <f>'Table 7 Local Revenue'!AM25</f>
        <v>53587432.049999997</v>
      </c>
      <c r="H26" s="14">
        <f t="shared" si="2"/>
        <v>438286</v>
      </c>
      <c r="I26" s="234">
        <f>'Table 7 Local Revenue'!AP25</f>
        <v>131381.5</v>
      </c>
      <c r="J26" s="14">
        <f t="shared" si="3"/>
        <v>1177900.5</v>
      </c>
    </row>
    <row r="27" spans="1:13">
      <c r="A27" s="12">
        <v>19</v>
      </c>
      <c r="B27" s="69" t="s">
        <v>110</v>
      </c>
      <c r="C27" s="14">
        <f>'Table 7 Local Revenue'!AE26</f>
        <v>2143635</v>
      </c>
      <c r="D27" s="14">
        <f>'Table 7 Local Revenue'!H26</f>
        <v>108003600</v>
      </c>
      <c r="E27" s="14">
        <f t="shared" si="1"/>
        <v>1795554</v>
      </c>
      <c r="F27" s="279">
        <f>'Table 7 Local Revenue'!AI26</f>
        <v>3050354</v>
      </c>
      <c r="G27" s="14">
        <f>'Table 7 Local Revenue'!AM26</f>
        <v>133034874.99999999</v>
      </c>
      <c r="H27" s="14">
        <f t="shared" si="2"/>
        <v>1088079</v>
      </c>
      <c r="I27" s="234">
        <f>'Table 7 Local Revenue'!AP26</f>
        <v>103649.5</v>
      </c>
      <c r="J27" s="14">
        <f t="shared" si="3"/>
        <v>2987282.5</v>
      </c>
    </row>
    <row r="28" spans="1:13">
      <c r="A28" s="18">
        <v>20</v>
      </c>
      <c r="B28" s="19" t="s">
        <v>111</v>
      </c>
      <c r="C28" s="20">
        <f>'Table 7 Local Revenue'!AE27</f>
        <v>6448353</v>
      </c>
      <c r="D28" s="20">
        <f>'Table 7 Local Revenue'!H27</f>
        <v>195544591.00000003</v>
      </c>
      <c r="E28" s="20">
        <f t="shared" si="1"/>
        <v>3250919</v>
      </c>
      <c r="F28" s="280">
        <f>'Table 7 Local Revenue'!AI27</f>
        <v>7729294</v>
      </c>
      <c r="G28" s="20">
        <f>'Table 7 Local Revenue'!AM27</f>
        <v>386464700</v>
      </c>
      <c r="H28" s="20">
        <f t="shared" si="2"/>
        <v>3160856</v>
      </c>
      <c r="I28" s="235">
        <f>'Table 7 Local Revenue'!AP27</f>
        <v>217794</v>
      </c>
      <c r="J28" s="20">
        <f t="shared" si="3"/>
        <v>6629569</v>
      </c>
    </row>
    <row r="29" spans="1:13">
      <c r="A29" s="12">
        <v>21</v>
      </c>
      <c r="B29" s="13" t="s">
        <v>112</v>
      </c>
      <c r="C29" s="14">
        <f>'Table 7 Local Revenue'!AE28</f>
        <v>1633836</v>
      </c>
      <c r="D29" s="14">
        <f>'Table 7 Local Revenue'!H28</f>
        <v>65238743.900000006</v>
      </c>
      <c r="E29" s="14">
        <f t="shared" si="1"/>
        <v>1084591</v>
      </c>
      <c r="F29" s="279">
        <f>'Table 7 Local Revenue'!AI28</f>
        <v>4813265</v>
      </c>
      <c r="G29" s="14">
        <f>'Table 7 Local Revenue'!AM28</f>
        <v>240663250</v>
      </c>
      <c r="H29" s="14">
        <f t="shared" si="2"/>
        <v>1968361</v>
      </c>
      <c r="I29" s="234">
        <f>'Table 7 Local Revenue'!AP28</f>
        <v>302697.5</v>
      </c>
      <c r="J29" s="14">
        <f t="shared" si="3"/>
        <v>3355649.5</v>
      </c>
    </row>
    <row r="30" spans="1:13">
      <c r="A30" s="12">
        <v>22</v>
      </c>
      <c r="B30" s="13" t="s">
        <v>113</v>
      </c>
      <c r="C30" s="14">
        <f>'Table 7 Local Revenue'!AE29</f>
        <v>2631090</v>
      </c>
      <c r="D30" s="14">
        <f>'Table 7 Local Revenue'!H29</f>
        <v>37430667</v>
      </c>
      <c r="E30" s="14">
        <f t="shared" si="1"/>
        <v>622283</v>
      </c>
      <c r="F30" s="279">
        <f>'Table 7 Local Revenue'!AI29</f>
        <v>2048816</v>
      </c>
      <c r="G30" s="14">
        <f>'Table 7 Local Revenue'!AM29</f>
        <v>102440800</v>
      </c>
      <c r="H30" s="14">
        <f t="shared" si="2"/>
        <v>837853</v>
      </c>
      <c r="I30" s="234">
        <f>'Table 7 Local Revenue'!AP29</f>
        <v>500783</v>
      </c>
      <c r="J30" s="14">
        <f t="shared" si="3"/>
        <v>1960919</v>
      </c>
    </row>
    <row r="31" spans="1:13">
      <c r="A31" s="12">
        <v>23</v>
      </c>
      <c r="B31" s="13" t="s">
        <v>114</v>
      </c>
      <c r="C31" s="14">
        <f>'Table 7 Local Revenue'!AE30</f>
        <v>15977092</v>
      </c>
      <c r="D31" s="14">
        <f>'Table 7 Local Revenue'!H30</f>
        <v>496990013</v>
      </c>
      <c r="E31" s="14">
        <f t="shared" si="1"/>
        <v>8262434</v>
      </c>
      <c r="F31" s="279">
        <f>'Table 7 Local Revenue'!AI30</f>
        <v>28486445</v>
      </c>
      <c r="G31" s="14">
        <f>'Table 7 Local Revenue'!AM30</f>
        <v>1424322250</v>
      </c>
      <c r="H31" s="14">
        <f t="shared" si="2"/>
        <v>11649389</v>
      </c>
      <c r="I31" s="234">
        <f>'Table 7 Local Revenue'!AP30</f>
        <v>566332</v>
      </c>
      <c r="J31" s="14">
        <f t="shared" si="3"/>
        <v>20478155</v>
      </c>
    </row>
    <row r="32" spans="1:13">
      <c r="A32" s="12">
        <v>24</v>
      </c>
      <c r="B32" s="13" t="s">
        <v>115</v>
      </c>
      <c r="C32" s="14">
        <f>'Table 7 Local Revenue'!AE31</f>
        <v>23779006</v>
      </c>
      <c r="D32" s="14">
        <f>'Table 7 Local Revenue'!H31</f>
        <v>424347580</v>
      </c>
      <c r="E32" s="14">
        <f t="shared" si="1"/>
        <v>7054757</v>
      </c>
      <c r="F32" s="279">
        <f>'Table 7 Local Revenue'!AI31</f>
        <v>18663520</v>
      </c>
      <c r="G32" s="14">
        <f>'Table 7 Local Revenue'!AM31</f>
        <v>933176000</v>
      </c>
      <c r="H32" s="14">
        <f t="shared" si="2"/>
        <v>7632353</v>
      </c>
      <c r="I32" s="234">
        <f>'Table 7 Local Revenue'!AP31</f>
        <v>144561</v>
      </c>
      <c r="J32" s="14">
        <f t="shared" si="3"/>
        <v>14831671</v>
      </c>
    </row>
    <row r="33" spans="1:10">
      <c r="A33" s="18">
        <v>25</v>
      </c>
      <c r="B33" s="19" t="s">
        <v>116</v>
      </c>
      <c r="C33" s="20">
        <f>'Table 7 Local Revenue'!AE32</f>
        <v>5858386</v>
      </c>
      <c r="D33" s="20">
        <f>'Table 7 Local Revenue'!H32</f>
        <v>225747973.00000003</v>
      </c>
      <c r="E33" s="20">
        <f t="shared" si="1"/>
        <v>3753049</v>
      </c>
      <c r="F33" s="280">
        <f>'Table 7 Local Revenue'!AI32</f>
        <v>6066114</v>
      </c>
      <c r="G33" s="20">
        <f>'Table 7 Local Revenue'!AM32</f>
        <v>202203800</v>
      </c>
      <c r="H33" s="20">
        <f t="shared" si="2"/>
        <v>1653805</v>
      </c>
      <c r="I33" s="235">
        <f>'Table 7 Local Revenue'!AP32</f>
        <v>111624</v>
      </c>
      <c r="J33" s="20">
        <f t="shared" si="3"/>
        <v>5518478</v>
      </c>
    </row>
    <row r="34" spans="1:10">
      <c r="A34" s="12">
        <v>26</v>
      </c>
      <c r="B34" s="13" t="s">
        <v>117</v>
      </c>
      <c r="C34" s="14">
        <f>'Table 7 Local Revenue'!AE33</f>
        <v>74143404</v>
      </c>
      <c r="D34" s="14">
        <f>'Table 7 Local Revenue'!H33</f>
        <v>3247560992</v>
      </c>
      <c r="E34" s="14">
        <f t="shared" si="1"/>
        <v>53990539</v>
      </c>
      <c r="F34" s="279">
        <f>'Table 7 Local Revenue'!AI33</f>
        <v>170801950</v>
      </c>
      <c r="G34" s="14">
        <f>'Table 7 Local Revenue'!AM33</f>
        <v>8540097500</v>
      </c>
      <c r="H34" s="14">
        <f t="shared" si="2"/>
        <v>69848603</v>
      </c>
      <c r="I34" s="234">
        <f>'Table 7 Local Revenue'!AP33</f>
        <v>2145651</v>
      </c>
      <c r="J34" s="14">
        <f t="shared" si="3"/>
        <v>125984793</v>
      </c>
    </row>
    <row r="35" spans="1:10">
      <c r="A35" s="12">
        <v>27</v>
      </c>
      <c r="B35" s="13" t="s">
        <v>118</v>
      </c>
      <c r="C35" s="14">
        <f>'Table 7 Local Revenue'!AE34</f>
        <v>7119473</v>
      </c>
      <c r="D35" s="14">
        <f>'Table 7 Local Revenue'!H34</f>
        <v>177777062</v>
      </c>
      <c r="E35" s="14">
        <f t="shared" si="1"/>
        <v>2955535</v>
      </c>
      <c r="F35" s="279">
        <f>'Table 7 Local Revenue'!AI34</f>
        <v>10452075</v>
      </c>
      <c r="G35" s="14">
        <f>'Table 7 Local Revenue'!AM34</f>
        <v>418083000</v>
      </c>
      <c r="H35" s="14">
        <f t="shared" si="2"/>
        <v>3419459</v>
      </c>
      <c r="I35" s="234">
        <f>'Table 7 Local Revenue'!AP34</f>
        <v>317110.5</v>
      </c>
      <c r="J35" s="14">
        <f t="shared" si="3"/>
        <v>6692104.5</v>
      </c>
    </row>
    <row r="36" spans="1:10">
      <c r="A36" s="12">
        <v>28</v>
      </c>
      <c r="B36" s="13" t="s">
        <v>119</v>
      </c>
      <c r="C36" s="14">
        <f>'Table 7 Local Revenue'!AE35</f>
        <v>53332824</v>
      </c>
      <c r="D36" s="14">
        <f>'Table 7 Local Revenue'!H35</f>
        <v>1643740403</v>
      </c>
      <c r="E36" s="14">
        <f t="shared" si="1"/>
        <v>27327102</v>
      </c>
      <c r="F36" s="279">
        <f>'Table 7 Local Revenue'!AI35</f>
        <v>106378874</v>
      </c>
      <c r="G36" s="14">
        <f>'Table 7 Local Revenue'!AM35</f>
        <v>5318943700</v>
      </c>
      <c r="H36" s="14">
        <f t="shared" si="2"/>
        <v>43503109</v>
      </c>
      <c r="I36" s="234">
        <f>'Table 7 Local Revenue'!AP35</f>
        <v>2195963.5</v>
      </c>
      <c r="J36" s="14">
        <f t="shared" si="3"/>
        <v>73026174.5</v>
      </c>
    </row>
    <row r="37" spans="1:10">
      <c r="A37" s="12">
        <v>29</v>
      </c>
      <c r="B37" s="13" t="s">
        <v>120</v>
      </c>
      <c r="C37" s="14">
        <f>'Table 7 Local Revenue'!AE36</f>
        <v>31756717</v>
      </c>
      <c r="D37" s="14">
        <f>'Table 7 Local Revenue'!H36</f>
        <v>749161181</v>
      </c>
      <c r="E37" s="14">
        <f t="shared" si="1"/>
        <v>12454767</v>
      </c>
      <c r="F37" s="279">
        <f>'Table 7 Local Revenue'!AI36</f>
        <v>28382070</v>
      </c>
      <c r="G37" s="14">
        <f>'Table 7 Local Revenue'!AM36</f>
        <v>1419103500</v>
      </c>
      <c r="H37" s="14">
        <f t="shared" si="2"/>
        <v>11606706</v>
      </c>
      <c r="I37" s="234">
        <f>'Table 7 Local Revenue'!AP36</f>
        <v>982660</v>
      </c>
      <c r="J37" s="14">
        <f t="shared" si="3"/>
        <v>25044133</v>
      </c>
    </row>
    <row r="38" spans="1:10">
      <c r="A38" s="18">
        <v>30</v>
      </c>
      <c r="B38" s="19" t="s">
        <v>121</v>
      </c>
      <c r="C38" s="20">
        <f>'Table 7 Local Revenue'!AE37</f>
        <v>3115721</v>
      </c>
      <c r="D38" s="20">
        <f>'Table 7 Local Revenue'!H37</f>
        <v>67108707</v>
      </c>
      <c r="E38" s="20">
        <f t="shared" si="1"/>
        <v>1115679</v>
      </c>
      <c r="F38" s="280">
        <f>'Table 7 Local Revenue'!AI37</f>
        <v>6234911</v>
      </c>
      <c r="G38" s="20">
        <f>'Table 7 Local Revenue'!AM37</f>
        <v>207830367</v>
      </c>
      <c r="H38" s="20">
        <f t="shared" si="2"/>
        <v>1699824</v>
      </c>
      <c r="I38" s="235">
        <f>'Table 7 Local Revenue'!AP37</f>
        <v>86133.5</v>
      </c>
      <c r="J38" s="20">
        <f t="shared" si="3"/>
        <v>2901636.5</v>
      </c>
    </row>
    <row r="39" spans="1:10">
      <c r="A39" s="12">
        <v>31</v>
      </c>
      <c r="B39" s="13" t="s">
        <v>122</v>
      </c>
      <c r="C39" s="14">
        <f>'Table 7 Local Revenue'!AE38</f>
        <v>16296073</v>
      </c>
      <c r="D39" s="14">
        <f>'Table 7 Local Revenue'!H38</f>
        <v>354926711</v>
      </c>
      <c r="E39" s="14">
        <f t="shared" si="1"/>
        <v>5900639</v>
      </c>
      <c r="F39" s="279">
        <f>'Table 7 Local Revenue'!AI38</f>
        <v>14341049</v>
      </c>
      <c r="G39" s="14">
        <f>'Table 7 Local Revenue'!AM38</f>
        <v>717052450</v>
      </c>
      <c r="H39" s="14">
        <f t="shared" si="2"/>
        <v>5864700</v>
      </c>
      <c r="I39" s="234">
        <f>'Table 7 Local Revenue'!AP38</f>
        <v>306872</v>
      </c>
      <c r="J39" s="14">
        <f t="shared" si="3"/>
        <v>12072211</v>
      </c>
    </row>
    <row r="40" spans="1:10">
      <c r="A40" s="12">
        <v>32</v>
      </c>
      <c r="B40" s="13" t="s">
        <v>123</v>
      </c>
      <c r="C40" s="14">
        <f>'Table 7 Local Revenue'!AE39</f>
        <v>14885692</v>
      </c>
      <c r="D40" s="14">
        <f>'Table 7 Local Revenue'!H39</f>
        <v>422388150</v>
      </c>
      <c r="E40" s="14">
        <f t="shared" si="1"/>
        <v>7022182</v>
      </c>
      <c r="F40" s="279">
        <f>'Table 7 Local Revenue'!AI39</f>
        <v>34700602</v>
      </c>
      <c r="G40" s="14">
        <f>'Table 7 Local Revenue'!AM39</f>
        <v>1388024080</v>
      </c>
      <c r="H40" s="14">
        <f t="shared" si="2"/>
        <v>11352510</v>
      </c>
      <c r="I40" s="234">
        <f>'Table 7 Local Revenue'!AP39</f>
        <v>938971.5</v>
      </c>
      <c r="J40" s="14">
        <f t="shared" si="3"/>
        <v>19313663.5</v>
      </c>
    </row>
    <row r="41" spans="1:10">
      <c r="A41" s="12">
        <v>33</v>
      </c>
      <c r="B41" s="13" t="s">
        <v>124</v>
      </c>
      <c r="C41" s="14">
        <f>'Table 7 Local Revenue'!AE40</f>
        <v>2418468</v>
      </c>
      <c r="D41" s="14">
        <f>'Table 7 Local Revenue'!H40</f>
        <v>105829543</v>
      </c>
      <c r="E41" s="14">
        <f t="shared" ref="E41:E72" si="4">ROUND(D41*$E$6/1000,0)</f>
        <v>1759411</v>
      </c>
      <c r="F41" s="279">
        <f>'Table 7 Local Revenue'!AI40</f>
        <v>2804712</v>
      </c>
      <c r="G41" s="14">
        <f>'Table 7 Local Revenue'!AM40</f>
        <v>112188480</v>
      </c>
      <c r="H41" s="14">
        <f t="shared" ref="H41:H72" si="5">ROUND(G41*$H$6,0)</f>
        <v>917578</v>
      </c>
      <c r="I41" s="234">
        <f>'Table 7 Local Revenue'!AP40</f>
        <v>97126</v>
      </c>
      <c r="J41" s="14">
        <f t="shared" ref="J41:J72" si="6">E41+H41+I41</f>
        <v>2774115</v>
      </c>
    </row>
    <row r="42" spans="1:10">
      <c r="A42" s="12">
        <v>34</v>
      </c>
      <c r="B42" s="13" t="s">
        <v>125</v>
      </c>
      <c r="C42" s="14">
        <f>'Table 7 Local Revenue'!AE41</f>
        <v>6150553</v>
      </c>
      <c r="D42" s="14">
        <f>'Table 7 Local Revenue'!H41</f>
        <v>152289716</v>
      </c>
      <c r="E42" s="14">
        <f t="shared" si="4"/>
        <v>2531809</v>
      </c>
      <c r="F42" s="279">
        <f>'Table 7 Local Revenue'!AI41</f>
        <v>5912154</v>
      </c>
      <c r="G42" s="14">
        <f>'Table 7 Local Revenue'!AM41</f>
        <v>295607700</v>
      </c>
      <c r="H42" s="14">
        <f t="shared" si="5"/>
        <v>2417746</v>
      </c>
      <c r="I42" s="234">
        <f>'Table 7 Local Revenue'!AP41</f>
        <v>246493.5</v>
      </c>
      <c r="J42" s="14">
        <f t="shared" si="6"/>
        <v>5196048.5</v>
      </c>
    </row>
    <row r="43" spans="1:10">
      <c r="A43" s="18">
        <v>35</v>
      </c>
      <c r="B43" s="19" t="s">
        <v>126</v>
      </c>
      <c r="C43" s="20">
        <f>'Table 7 Local Revenue'!AE42</f>
        <v>7000315</v>
      </c>
      <c r="D43" s="20">
        <f>'Table 7 Local Revenue'!H42</f>
        <v>241854644</v>
      </c>
      <c r="E43" s="20">
        <f t="shared" si="4"/>
        <v>4020821</v>
      </c>
      <c r="F43" s="280">
        <f>'Table 7 Local Revenue'!AI42</f>
        <v>15482135</v>
      </c>
      <c r="G43" s="20">
        <f>'Table 7 Local Revenue'!AM42</f>
        <v>765851010</v>
      </c>
      <c r="H43" s="20">
        <f t="shared" si="5"/>
        <v>6263819</v>
      </c>
      <c r="I43" s="235">
        <f>'Table 7 Local Revenue'!AP42</f>
        <v>1089831</v>
      </c>
      <c r="J43" s="20">
        <f t="shared" si="6"/>
        <v>11374471</v>
      </c>
    </row>
    <row r="44" spans="1:10" s="75" customFormat="1">
      <c r="A44" s="101">
        <v>36</v>
      </c>
      <c r="B44" s="81" t="s">
        <v>127</v>
      </c>
      <c r="C44" s="77">
        <f>'Table 7 Local Revenue'!AE43</f>
        <v>120447536</v>
      </c>
      <c r="D44" s="77">
        <f>'Table 7 Local Revenue'!H43</f>
        <v>2949672237</v>
      </c>
      <c r="E44" s="77">
        <f t="shared" si="4"/>
        <v>49038153</v>
      </c>
      <c r="F44" s="281">
        <f>'Table 7 Local Revenue'!AI43</f>
        <v>90820786</v>
      </c>
      <c r="G44" s="77">
        <f>'Table 7 Local Revenue'!AM43</f>
        <v>6054719067</v>
      </c>
      <c r="H44" s="77">
        <f t="shared" si="5"/>
        <v>49520942</v>
      </c>
      <c r="I44" s="163">
        <f>'Table 7 Local Revenue'!AP43</f>
        <v>2253417</v>
      </c>
      <c r="J44" s="77">
        <f t="shared" si="6"/>
        <v>100812512</v>
      </c>
    </row>
    <row r="45" spans="1:10" s="75" customFormat="1">
      <c r="A45" s="101">
        <v>37</v>
      </c>
      <c r="B45" s="81" t="s">
        <v>128</v>
      </c>
      <c r="C45" s="77">
        <f>'Table 7 Local Revenue'!AE44</f>
        <v>22375691</v>
      </c>
      <c r="D45" s="77">
        <f>'Table 7 Local Revenue'!H44</f>
        <v>556225024</v>
      </c>
      <c r="E45" s="77">
        <f t="shared" si="4"/>
        <v>9247213</v>
      </c>
      <c r="F45" s="281">
        <f>'Table 7 Local Revenue'!AI44</f>
        <v>39402765</v>
      </c>
      <c r="G45" s="77">
        <f>'Table 7 Local Revenue'!AM44</f>
        <v>1313425500</v>
      </c>
      <c r="H45" s="77">
        <f t="shared" si="5"/>
        <v>10742376</v>
      </c>
      <c r="I45" s="163">
        <f>'Table 7 Local Revenue'!AP44</f>
        <v>848543.5</v>
      </c>
      <c r="J45" s="77">
        <f t="shared" si="6"/>
        <v>20838132.5</v>
      </c>
    </row>
    <row r="46" spans="1:10" s="75" customFormat="1">
      <c r="A46" s="101">
        <v>38</v>
      </c>
      <c r="B46" s="81" t="s">
        <v>129</v>
      </c>
      <c r="C46" s="77">
        <f>'Table 7 Local Revenue'!AE45</f>
        <v>21462320</v>
      </c>
      <c r="D46" s="77">
        <f>'Table 7 Local Revenue'!H45</f>
        <v>940328297</v>
      </c>
      <c r="E46" s="77">
        <f t="shared" si="4"/>
        <v>15632911</v>
      </c>
      <c r="F46" s="281">
        <f>'Table 7 Local Revenue'!AI45</f>
        <v>20498792</v>
      </c>
      <c r="G46" s="77">
        <f>'Table 7 Local Revenue'!AM45</f>
        <v>1024939600</v>
      </c>
      <c r="H46" s="77">
        <f t="shared" si="5"/>
        <v>8382878</v>
      </c>
      <c r="I46" s="163">
        <f>'Table 7 Local Revenue'!AP45</f>
        <v>126930.5</v>
      </c>
      <c r="J46" s="77">
        <f t="shared" si="6"/>
        <v>24142719.5</v>
      </c>
    </row>
    <row r="47" spans="1:10" s="75" customFormat="1">
      <c r="A47" s="101">
        <v>39</v>
      </c>
      <c r="B47" s="81" t="s">
        <v>130</v>
      </c>
      <c r="C47" s="77">
        <f>'Table 7 Local Revenue'!AE46</f>
        <v>5893495</v>
      </c>
      <c r="D47" s="77">
        <f>'Table 7 Local Revenue'!H46</f>
        <v>335754791</v>
      </c>
      <c r="E47" s="77">
        <f t="shared" si="4"/>
        <v>5581907</v>
      </c>
      <c r="F47" s="281">
        <f>'Table 7 Local Revenue'!AI46</f>
        <v>6689700</v>
      </c>
      <c r="G47" s="77">
        <f>'Table 7 Local Revenue'!AM46</f>
        <v>331755450</v>
      </c>
      <c r="H47" s="77">
        <f t="shared" si="5"/>
        <v>2713395</v>
      </c>
      <c r="I47" s="163">
        <f>'Table 7 Local Revenue'!AP46</f>
        <v>156094</v>
      </c>
      <c r="J47" s="77">
        <f t="shared" si="6"/>
        <v>8451396</v>
      </c>
    </row>
    <row r="48" spans="1:10" s="75" customFormat="1">
      <c r="A48" s="102">
        <v>40</v>
      </c>
      <c r="B48" s="82" t="s">
        <v>131</v>
      </c>
      <c r="C48" s="78">
        <f>'Table 7 Local Revenue'!AE47</f>
        <v>32280415</v>
      </c>
      <c r="D48" s="78">
        <f>'Table 7 Local Revenue'!H47</f>
        <v>649813800</v>
      </c>
      <c r="E48" s="78">
        <f t="shared" si="4"/>
        <v>10803122</v>
      </c>
      <c r="F48" s="282">
        <f>'Table 7 Local Revenue'!AI47</f>
        <v>35861372</v>
      </c>
      <c r="G48" s="78">
        <f>'Table 7 Local Revenue'!AM47</f>
        <v>2390758133</v>
      </c>
      <c r="H48" s="78">
        <f t="shared" si="5"/>
        <v>19553772</v>
      </c>
      <c r="I48" s="164">
        <f>'Table 7 Local Revenue'!AP47</f>
        <v>1136698</v>
      </c>
      <c r="J48" s="20">
        <f t="shared" si="6"/>
        <v>31493592</v>
      </c>
    </row>
    <row r="49" spans="1:10" s="75" customFormat="1">
      <c r="A49" s="101">
        <v>41</v>
      </c>
      <c r="B49" s="81" t="s">
        <v>132</v>
      </c>
      <c r="C49" s="77">
        <f>'Table 7 Local Revenue'!AE48</f>
        <v>6946597</v>
      </c>
      <c r="D49" s="77">
        <f>'Table 7 Local Revenue'!H48</f>
        <v>126295961.00000001</v>
      </c>
      <c r="E49" s="77">
        <f t="shared" si="4"/>
        <v>2099664</v>
      </c>
      <c r="F49" s="281">
        <f>'Table 7 Local Revenue'!AI48</f>
        <v>9322096</v>
      </c>
      <c r="G49" s="77">
        <f>'Table 7 Local Revenue'!AM48</f>
        <v>466104800</v>
      </c>
      <c r="H49" s="77">
        <f t="shared" si="5"/>
        <v>3812225</v>
      </c>
      <c r="I49" s="163">
        <f>'Table 7 Local Revenue'!AP48</f>
        <v>354096.5</v>
      </c>
      <c r="J49" s="77">
        <f t="shared" si="6"/>
        <v>6265985.5</v>
      </c>
    </row>
    <row r="50" spans="1:10" s="75" customFormat="1">
      <c r="A50" s="101">
        <v>42</v>
      </c>
      <c r="B50" s="81" t="s">
        <v>133</v>
      </c>
      <c r="C50" s="77">
        <f>'Table 7 Local Revenue'!AE49</f>
        <v>4198485</v>
      </c>
      <c r="D50" s="77">
        <f>'Table 7 Local Revenue'!H49</f>
        <v>163695877.40000001</v>
      </c>
      <c r="E50" s="77">
        <f t="shared" si="4"/>
        <v>2721436</v>
      </c>
      <c r="F50" s="281">
        <f>'Table 7 Local Revenue'!AI49</f>
        <v>5712221</v>
      </c>
      <c r="G50" s="77">
        <f>'Table 7 Local Revenue'!AM49</f>
        <v>285611050</v>
      </c>
      <c r="H50" s="77">
        <f t="shared" si="5"/>
        <v>2335984</v>
      </c>
      <c r="I50" s="163">
        <f>'Table 7 Local Revenue'!AP49</f>
        <v>220912</v>
      </c>
      <c r="J50" s="77">
        <f t="shared" si="6"/>
        <v>5278332</v>
      </c>
    </row>
    <row r="51" spans="1:10" s="75" customFormat="1">
      <c r="A51" s="101">
        <v>43</v>
      </c>
      <c r="B51" s="81" t="s">
        <v>134</v>
      </c>
      <c r="C51" s="77">
        <f>'Table 7 Local Revenue'!AE50</f>
        <v>4020559</v>
      </c>
      <c r="D51" s="77">
        <f>'Table 7 Local Revenue'!H50</f>
        <v>113745743.10000001</v>
      </c>
      <c r="E51" s="77">
        <f t="shared" si="4"/>
        <v>1891017</v>
      </c>
      <c r="F51" s="281">
        <f>'Table 7 Local Revenue'!AI50</f>
        <v>16921657</v>
      </c>
      <c r="G51" s="77">
        <f>'Table 7 Local Revenue'!AM50</f>
        <v>676866280</v>
      </c>
      <c r="H51" s="77">
        <f t="shared" si="5"/>
        <v>5536022</v>
      </c>
      <c r="I51" s="163">
        <f>'Table 7 Local Revenue'!AP50</f>
        <v>400406.5</v>
      </c>
      <c r="J51" s="77">
        <f t="shared" si="6"/>
        <v>7827445.5</v>
      </c>
    </row>
    <row r="52" spans="1:10" s="75" customFormat="1">
      <c r="A52" s="101">
        <v>44</v>
      </c>
      <c r="B52" s="81" t="s">
        <v>135</v>
      </c>
      <c r="C52" s="77">
        <f>'Table 7 Local Revenue'!AE51</f>
        <v>13176608</v>
      </c>
      <c r="D52" s="77">
        <f>'Table 7 Local Revenue'!H51</f>
        <v>299901547</v>
      </c>
      <c r="E52" s="77">
        <f t="shared" si="4"/>
        <v>4985848</v>
      </c>
      <c r="F52" s="281">
        <f>'Table 7 Local Revenue'!AI51</f>
        <v>13783159</v>
      </c>
      <c r="G52" s="77">
        <f>'Table 7 Local Revenue'!AM51</f>
        <v>689157950</v>
      </c>
      <c r="H52" s="77">
        <f t="shared" si="5"/>
        <v>5636554</v>
      </c>
      <c r="I52" s="163">
        <f>'Table 7 Local Revenue'!AP51</f>
        <v>9218</v>
      </c>
      <c r="J52" s="77">
        <f t="shared" si="6"/>
        <v>10631620</v>
      </c>
    </row>
    <row r="53" spans="1:10">
      <c r="A53" s="18">
        <v>45</v>
      </c>
      <c r="B53" s="19" t="s">
        <v>136</v>
      </c>
      <c r="C53" s="20">
        <f>'Table 7 Local Revenue'!AE52</f>
        <v>60226672</v>
      </c>
      <c r="D53" s="20">
        <f>'Table 7 Local Revenue'!H52</f>
        <v>1098417385</v>
      </c>
      <c r="E53" s="20">
        <f t="shared" si="4"/>
        <v>18261134</v>
      </c>
      <c r="F53" s="280">
        <f>'Table 7 Local Revenue'!AI52</f>
        <v>57606395</v>
      </c>
      <c r="G53" s="20">
        <f>'Table 7 Local Revenue'!AM52</f>
        <v>1754679162.05</v>
      </c>
      <c r="H53" s="20">
        <f t="shared" si="5"/>
        <v>14351345</v>
      </c>
      <c r="I53" s="235">
        <f>'Table 7 Local Revenue'!AP52</f>
        <v>284373</v>
      </c>
      <c r="J53" s="20">
        <f t="shared" si="6"/>
        <v>32896852</v>
      </c>
    </row>
    <row r="54" spans="1:10">
      <c r="A54" s="12">
        <v>46</v>
      </c>
      <c r="B54" s="13" t="s">
        <v>137</v>
      </c>
      <c r="C54" s="14">
        <f>'Table 7 Local Revenue'!AE53</f>
        <v>757180</v>
      </c>
      <c r="D54" s="14">
        <f>'Table 7 Local Revenue'!H53</f>
        <v>42500740</v>
      </c>
      <c r="E54" s="14">
        <f t="shared" si="4"/>
        <v>706573</v>
      </c>
      <c r="F54" s="279">
        <f>'Table 7 Local Revenue'!AI53</f>
        <v>1366900</v>
      </c>
      <c r="G54" s="14">
        <f>'Table 7 Local Revenue'!AM53</f>
        <v>68345000</v>
      </c>
      <c r="H54" s="14">
        <f t="shared" si="5"/>
        <v>558987</v>
      </c>
      <c r="I54" s="234">
        <f>'Table 7 Local Revenue'!AP53</f>
        <v>33026</v>
      </c>
      <c r="J54" s="14">
        <f t="shared" si="6"/>
        <v>1298586</v>
      </c>
    </row>
    <row r="55" spans="1:10">
      <c r="A55" s="12">
        <v>47</v>
      </c>
      <c r="B55" s="13" t="s">
        <v>138</v>
      </c>
      <c r="C55" s="14">
        <f>'Table 7 Local Revenue'!AE54</f>
        <v>18553686</v>
      </c>
      <c r="D55" s="14">
        <f>'Table 7 Local Revenue'!H54</f>
        <v>409772295</v>
      </c>
      <c r="E55" s="14">
        <f t="shared" si="4"/>
        <v>6812444</v>
      </c>
      <c r="F55" s="279">
        <f>'Table 7 Local Revenue'!AI54</f>
        <v>18100976</v>
      </c>
      <c r="G55" s="14">
        <f>'Table 7 Local Revenue'!AM54</f>
        <v>724039040</v>
      </c>
      <c r="H55" s="14">
        <f t="shared" si="5"/>
        <v>5921843</v>
      </c>
      <c r="I55" s="234">
        <f>'Table 7 Local Revenue'!AP54</f>
        <v>89424</v>
      </c>
      <c r="J55" s="14">
        <f t="shared" si="6"/>
        <v>12823711</v>
      </c>
    </row>
    <row r="56" spans="1:10">
      <c r="A56" s="12">
        <v>48</v>
      </c>
      <c r="B56" s="13" t="s">
        <v>195</v>
      </c>
      <c r="C56" s="14">
        <f>'Table 7 Local Revenue'!AE55</f>
        <v>13964291</v>
      </c>
      <c r="D56" s="14">
        <f>'Table 7 Local Revenue'!H55</f>
        <v>369188944</v>
      </c>
      <c r="E56" s="14">
        <f t="shared" si="4"/>
        <v>6137748</v>
      </c>
      <c r="F56" s="279">
        <f>'Table 7 Local Revenue'!AI55</f>
        <v>19928446</v>
      </c>
      <c r="G56" s="14">
        <f>'Table 7 Local Revenue'!AM55</f>
        <v>885708711</v>
      </c>
      <c r="H56" s="14">
        <f t="shared" si="5"/>
        <v>7244123</v>
      </c>
      <c r="I56" s="234">
        <f>'Table 7 Local Revenue'!AP55</f>
        <v>199965.5</v>
      </c>
      <c r="J56" s="14">
        <f t="shared" si="6"/>
        <v>13581836.5</v>
      </c>
    </row>
    <row r="57" spans="1:10">
      <c r="A57" s="12">
        <v>49</v>
      </c>
      <c r="B57" s="13" t="s">
        <v>139</v>
      </c>
      <c r="C57" s="14">
        <f>'Table 7 Local Revenue'!AE56</f>
        <v>10645595</v>
      </c>
      <c r="D57" s="14">
        <f>'Table 7 Local Revenue'!H56</f>
        <v>536501746</v>
      </c>
      <c r="E57" s="14">
        <f t="shared" si="4"/>
        <v>8919315</v>
      </c>
      <c r="F57" s="279">
        <f>'Table 7 Local Revenue'!AI56</f>
        <v>23493736</v>
      </c>
      <c r="G57" s="14">
        <f>'Table 7 Local Revenue'!AM56</f>
        <v>1174686800</v>
      </c>
      <c r="H57" s="14">
        <f t="shared" si="5"/>
        <v>9607646</v>
      </c>
      <c r="I57" s="234">
        <f>'Table 7 Local Revenue'!AP56</f>
        <v>610728</v>
      </c>
      <c r="J57" s="14">
        <f t="shared" si="6"/>
        <v>19137689</v>
      </c>
    </row>
    <row r="58" spans="1:10">
      <c r="A58" s="18">
        <v>50</v>
      </c>
      <c r="B58" s="19" t="s">
        <v>140</v>
      </c>
      <c r="C58" s="20">
        <f>'Table 7 Local Revenue'!AE57</f>
        <v>8842519</v>
      </c>
      <c r="D58" s="20">
        <f>'Table 7 Local Revenue'!H57</f>
        <v>262207197</v>
      </c>
      <c r="E58" s="20">
        <f t="shared" si="4"/>
        <v>4359182</v>
      </c>
      <c r="F58" s="280">
        <f>'Table 7 Local Revenue'!AI57</f>
        <v>13320229</v>
      </c>
      <c r="G58" s="20">
        <f>'Table 7 Local Revenue'!AM57</f>
        <v>666011450</v>
      </c>
      <c r="H58" s="20">
        <f t="shared" si="5"/>
        <v>5447241</v>
      </c>
      <c r="I58" s="235">
        <f>'Table 7 Local Revenue'!AP57</f>
        <v>581751.5</v>
      </c>
      <c r="J58" s="20">
        <f t="shared" si="6"/>
        <v>10388174.5</v>
      </c>
    </row>
    <row r="59" spans="1:10">
      <c r="A59" s="12">
        <v>51</v>
      </c>
      <c r="B59" s="13" t="s">
        <v>141</v>
      </c>
      <c r="C59" s="14">
        <f>'Table 7 Local Revenue'!AE58</f>
        <v>20886105</v>
      </c>
      <c r="D59" s="14">
        <f>'Table 7 Local Revenue'!H58</f>
        <v>622917334.60000002</v>
      </c>
      <c r="E59" s="14">
        <f t="shared" si="4"/>
        <v>10355970</v>
      </c>
      <c r="F59" s="279">
        <f>'Table 7 Local Revenue'!AI58</f>
        <v>17160175</v>
      </c>
      <c r="G59" s="14">
        <f>'Table 7 Local Revenue'!AM58</f>
        <v>980581429</v>
      </c>
      <c r="H59" s="14">
        <f t="shared" si="5"/>
        <v>8020077</v>
      </c>
      <c r="I59" s="234">
        <f>'Table 7 Local Revenue'!AP58</f>
        <v>492769.5</v>
      </c>
      <c r="J59" s="14">
        <f t="shared" si="6"/>
        <v>18868816.5</v>
      </c>
    </row>
    <row r="60" spans="1:10">
      <c r="A60" s="12">
        <v>52</v>
      </c>
      <c r="B60" s="13" t="s">
        <v>142</v>
      </c>
      <c r="C60" s="14">
        <f>'Table 7 Local Revenue'!AE59</f>
        <v>106414920</v>
      </c>
      <c r="D60" s="14">
        <f>'Table 7 Local Revenue'!H59</f>
        <v>1580693189</v>
      </c>
      <c r="E60" s="14">
        <f t="shared" si="4"/>
        <v>26278945</v>
      </c>
      <c r="F60" s="279">
        <f>'Table 7 Local Revenue'!AI59</f>
        <v>77922516</v>
      </c>
      <c r="G60" s="14">
        <f>'Table 7 Local Revenue'!AM59</f>
        <v>3896125800</v>
      </c>
      <c r="H60" s="14">
        <f t="shared" si="5"/>
        <v>31866023</v>
      </c>
      <c r="I60" s="234">
        <f>'Table 7 Local Revenue'!AP59</f>
        <v>1906476</v>
      </c>
      <c r="J60" s="14">
        <f t="shared" si="6"/>
        <v>60051444</v>
      </c>
    </row>
    <row r="61" spans="1:10">
      <c r="A61" s="12">
        <v>53</v>
      </c>
      <c r="B61" s="13" t="s">
        <v>143</v>
      </c>
      <c r="C61" s="14">
        <f>'Table 7 Local Revenue'!AE60</f>
        <v>3647276</v>
      </c>
      <c r="D61" s="14">
        <f>'Table 7 Local Revenue'!H60</f>
        <v>499247586</v>
      </c>
      <c r="E61" s="14">
        <f t="shared" si="4"/>
        <v>8299966</v>
      </c>
      <c r="F61" s="279">
        <f>'Table 7 Local Revenue'!AI60</f>
        <v>33468866</v>
      </c>
      <c r="G61" s="14">
        <f>'Table 7 Local Revenue'!AM60</f>
        <v>1673443300</v>
      </c>
      <c r="H61" s="14">
        <f t="shared" si="5"/>
        <v>13686925</v>
      </c>
      <c r="I61" s="234">
        <f>'Table 7 Local Revenue'!AP60</f>
        <v>182091</v>
      </c>
      <c r="J61" s="14">
        <f t="shared" si="6"/>
        <v>22168982</v>
      </c>
    </row>
    <row r="62" spans="1:10">
      <c r="A62" s="12">
        <v>54</v>
      </c>
      <c r="B62" s="13" t="s">
        <v>144</v>
      </c>
      <c r="C62" s="14">
        <f>'Table 7 Local Revenue'!AE61</f>
        <v>1577238</v>
      </c>
      <c r="D62" s="14">
        <f>'Table 7 Local Revenue'!H61</f>
        <v>44629015</v>
      </c>
      <c r="E62" s="14">
        <f t="shared" si="4"/>
        <v>741955</v>
      </c>
      <c r="F62" s="279">
        <f>'Table 7 Local Revenue'!AI61</f>
        <v>767244</v>
      </c>
      <c r="G62" s="14">
        <f>'Table 7 Local Revenue'!AM61</f>
        <v>45592057.049999997</v>
      </c>
      <c r="H62" s="14">
        <f t="shared" si="5"/>
        <v>372893</v>
      </c>
      <c r="I62" s="234">
        <f>'Table 7 Local Revenue'!AP61</f>
        <v>51592.5</v>
      </c>
      <c r="J62" s="14">
        <f t="shared" si="6"/>
        <v>1166440.5</v>
      </c>
    </row>
    <row r="63" spans="1:10">
      <c r="A63" s="18">
        <v>55</v>
      </c>
      <c r="B63" s="19" t="s">
        <v>145</v>
      </c>
      <c r="C63" s="20">
        <f>'Table 7 Local Revenue'!AE62</f>
        <v>6984212</v>
      </c>
      <c r="D63" s="20">
        <f>'Table 7 Local Revenue'!H62</f>
        <v>770363925</v>
      </c>
      <c r="E63" s="20">
        <f t="shared" si="4"/>
        <v>12807262</v>
      </c>
      <c r="F63" s="280">
        <f>'Table 7 Local Revenue'!AI62</f>
        <v>48824395</v>
      </c>
      <c r="G63" s="20">
        <f>'Table 7 Local Revenue'!AM62</f>
        <v>2347326683</v>
      </c>
      <c r="H63" s="20">
        <f t="shared" si="5"/>
        <v>19198550</v>
      </c>
      <c r="I63" s="235">
        <f>'Table 7 Local Revenue'!AP62</f>
        <v>307581.5</v>
      </c>
      <c r="J63" s="20">
        <f t="shared" si="6"/>
        <v>32313393.5</v>
      </c>
    </row>
    <row r="64" spans="1:10">
      <c r="A64" s="12">
        <v>56</v>
      </c>
      <c r="B64" s="13" t="s">
        <v>146</v>
      </c>
      <c r="C64" s="14">
        <f>'Table 7 Local Revenue'!AE63</f>
        <v>3552586</v>
      </c>
      <c r="D64" s="14">
        <f>'Table 7 Local Revenue'!H63</f>
        <v>158847686</v>
      </c>
      <c r="E64" s="14">
        <f t="shared" si="4"/>
        <v>2640835</v>
      </c>
      <c r="F64" s="279">
        <f>'Table 7 Local Revenue'!AI63</f>
        <v>4471356</v>
      </c>
      <c r="G64" s="14">
        <f>'Table 7 Local Revenue'!AM63</f>
        <v>223567800</v>
      </c>
      <c r="H64" s="14">
        <f t="shared" si="5"/>
        <v>1828539</v>
      </c>
      <c r="I64" s="234">
        <f>'Table 7 Local Revenue'!AP63</f>
        <v>151652</v>
      </c>
      <c r="J64" s="14">
        <f t="shared" si="6"/>
        <v>4621026</v>
      </c>
    </row>
    <row r="65" spans="1:10">
      <c r="A65" s="12">
        <v>57</v>
      </c>
      <c r="B65" s="13" t="s">
        <v>147</v>
      </c>
      <c r="C65" s="14">
        <f>'Table 7 Local Revenue'!AE64</f>
        <v>12144105</v>
      </c>
      <c r="D65" s="14">
        <f>'Table 7 Local Revenue'!H64</f>
        <v>310522580</v>
      </c>
      <c r="E65" s="14">
        <f t="shared" si="4"/>
        <v>5162422</v>
      </c>
      <c r="F65" s="279">
        <f>'Table 7 Local Revenue'!AI64</f>
        <v>11290503</v>
      </c>
      <c r="G65" s="14">
        <f>'Table 7 Local Revenue'!AM64</f>
        <v>752700200</v>
      </c>
      <c r="H65" s="14">
        <f t="shared" si="5"/>
        <v>6156260</v>
      </c>
      <c r="I65" s="234">
        <f>'Table 7 Local Revenue'!AP64</f>
        <v>2326234</v>
      </c>
      <c r="J65" s="14">
        <f t="shared" si="6"/>
        <v>13644916</v>
      </c>
    </row>
    <row r="66" spans="1:10">
      <c r="A66" s="12">
        <v>58</v>
      </c>
      <c r="B66" s="13" t="s">
        <v>148</v>
      </c>
      <c r="C66" s="14">
        <f>'Table 7 Local Revenue'!AE65</f>
        <v>7050163</v>
      </c>
      <c r="D66" s="14">
        <f>'Table 7 Local Revenue'!H65</f>
        <v>120655413</v>
      </c>
      <c r="E66" s="14">
        <f t="shared" si="4"/>
        <v>2005890</v>
      </c>
      <c r="F66" s="279">
        <f>'Table 7 Local Revenue'!AI65</f>
        <v>12246187</v>
      </c>
      <c r="G66" s="14">
        <f>'Table 7 Local Revenue'!AM65</f>
        <v>612309350</v>
      </c>
      <c r="H66" s="14">
        <f t="shared" si="5"/>
        <v>5008017</v>
      </c>
      <c r="I66" s="234">
        <f>'Table 7 Local Revenue'!AP65</f>
        <v>420654</v>
      </c>
      <c r="J66" s="14">
        <f t="shared" si="6"/>
        <v>7434561</v>
      </c>
    </row>
    <row r="67" spans="1:10">
      <c r="A67" s="12">
        <v>59</v>
      </c>
      <c r="B67" s="13" t="s">
        <v>149</v>
      </c>
      <c r="C67" s="14">
        <f>'Table 7 Local Revenue'!AE66</f>
        <v>3924675</v>
      </c>
      <c r="D67" s="14">
        <f>'Table 7 Local Revenue'!H66</f>
        <v>82288265</v>
      </c>
      <c r="E67" s="14">
        <f t="shared" si="4"/>
        <v>1368038</v>
      </c>
      <c r="F67" s="279">
        <f>'Table 7 Local Revenue'!AI66</f>
        <v>4135359</v>
      </c>
      <c r="G67" s="14">
        <f>'Table 7 Local Revenue'!AM66</f>
        <v>206767950</v>
      </c>
      <c r="H67" s="14">
        <f t="shared" si="5"/>
        <v>1691134</v>
      </c>
      <c r="I67" s="234">
        <f>'Table 7 Local Revenue'!AP66</f>
        <v>165555</v>
      </c>
      <c r="J67" s="14">
        <f t="shared" si="6"/>
        <v>3224727</v>
      </c>
    </row>
    <row r="68" spans="1:10">
      <c r="A68" s="18">
        <v>60</v>
      </c>
      <c r="B68" s="19" t="s">
        <v>150</v>
      </c>
      <c r="C68" s="20">
        <f>'Table 7 Local Revenue'!AE67</f>
        <v>11462696</v>
      </c>
      <c r="D68" s="20">
        <f>'Table 7 Local Revenue'!H67</f>
        <v>234473401</v>
      </c>
      <c r="E68" s="20">
        <f t="shared" si="4"/>
        <v>3898109</v>
      </c>
      <c r="F68" s="280">
        <f>'Table 7 Local Revenue'!AI67</f>
        <v>14520505</v>
      </c>
      <c r="G68" s="20">
        <f>'Table 7 Local Revenue'!AM67</f>
        <v>681713850</v>
      </c>
      <c r="H68" s="20">
        <f t="shared" si="5"/>
        <v>5575669</v>
      </c>
      <c r="I68" s="235">
        <f>'Table 7 Local Revenue'!AP67</f>
        <v>309654</v>
      </c>
      <c r="J68" s="20">
        <f t="shared" si="6"/>
        <v>9783432</v>
      </c>
    </row>
    <row r="69" spans="1:10">
      <c r="A69" s="12">
        <v>61</v>
      </c>
      <c r="B69" s="13" t="s">
        <v>151</v>
      </c>
      <c r="C69" s="14">
        <f>'Table 7 Local Revenue'!AE68</f>
        <v>12515557</v>
      </c>
      <c r="D69" s="14">
        <f>'Table 7 Local Revenue'!H68</f>
        <v>352890497</v>
      </c>
      <c r="E69" s="14">
        <f t="shared" si="4"/>
        <v>5866787</v>
      </c>
      <c r="F69" s="279">
        <f>'Table 7 Local Revenue'!AI68</f>
        <v>11835265</v>
      </c>
      <c r="G69" s="14">
        <f>'Table 7 Local Revenue'!AM68</f>
        <v>586929122.5</v>
      </c>
      <c r="H69" s="14">
        <f t="shared" si="5"/>
        <v>4800435</v>
      </c>
      <c r="I69" s="234">
        <f>'Table 7 Local Revenue'!AP68</f>
        <v>156507.5</v>
      </c>
      <c r="J69" s="14">
        <f t="shared" si="6"/>
        <v>10823729.5</v>
      </c>
    </row>
    <row r="70" spans="1:10">
      <c r="A70" s="12">
        <v>62</v>
      </c>
      <c r="B70" s="13" t="s">
        <v>152</v>
      </c>
      <c r="C70" s="14">
        <f>'Table 7 Local Revenue'!AE69</f>
        <v>1352401</v>
      </c>
      <c r="D70" s="14">
        <f>'Table 7 Local Revenue'!H69</f>
        <v>52777324</v>
      </c>
      <c r="E70" s="14">
        <f t="shared" si="4"/>
        <v>877420</v>
      </c>
      <c r="F70" s="279">
        <f>'Table 7 Local Revenue'!AI69</f>
        <v>2408700</v>
      </c>
      <c r="G70" s="14">
        <f>'Table 7 Local Revenue'!AM69</f>
        <v>120435000</v>
      </c>
      <c r="H70" s="14">
        <f t="shared" si="5"/>
        <v>985026</v>
      </c>
      <c r="I70" s="234">
        <f>'Table 7 Local Revenue'!AP69</f>
        <v>99511</v>
      </c>
      <c r="J70" s="14">
        <f t="shared" si="6"/>
        <v>1961957</v>
      </c>
    </row>
    <row r="71" spans="1:10">
      <c r="A71" s="12">
        <v>63</v>
      </c>
      <c r="B71" s="13" t="s">
        <v>153</v>
      </c>
      <c r="C71" s="14">
        <f>'Table 7 Local Revenue'!AE70</f>
        <v>9936486</v>
      </c>
      <c r="D71" s="14">
        <f>'Table 7 Local Revenue'!H70</f>
        <v>268313413</v>
      </c>
      <c r="E71" s="14">
        <f t="shared" si="4"/>
        <v>4460697</v>
      </c>
      <c r="F71" s="279">
        <f>'Table 7 Local Revenue'!AI70</f>
        <v>4451261</v>
      </c>
      <c r="G71" s="14">
        <f>'Table 7 Local Revenue'!AM70</f>
        <v>178050440</v>
      </c>
      <c r="H71" s="14">
        <f t="shared" si="5"/>
        <v>1456257</v>
      </c>
      <c r="I71" s="234">
        <f>'Table 7 Local Revenue'!AP70</f>
        <v>56320.5</v>
      </c>
      <c r="J71" s="14">
        <f t="shared" si="6"/>
        <v>5973274.5</v>
      </c>
    </row>
    <row r="72" spans="1:10">
      <c r="A72" s="12">
        <v>64</v>
      </c>
      <c r="B72" s="13" t="s">
        <v>154</v>
      </c>
      <c r="C72" s="14">
        <f>'Table 7 Local Revenue'!AE71</f>
        <v>2842235</v>
      </c>
      <c r="D72" s="14">
        <f>'Table 7 Local Revenue'!H71</f>
        <v>63270868</v>
      </c>
      <c r="E72" s="14">
        <f t="shared" si="4"/>
        <v>1051875</v>
      </c>
      <c r="F72" s="279">
        <f>'Table 7 Local Revenue'!AI71</f>
        <v>3671568</v>
      </c>
      <c r="G72" s="14">
        <f>'Table 7 Local Revenue'!AM71</f>
        <v>183578400</v>
      </c>
      <c r="H72" s="14">
        <f t="shared" si="5"/>
        <v>1501469</v>
      </c>
      <c r="I72" s="234">
        <f>'Table 7 Local Revenue'!AP71</f>
        <v>378258</v>
      </c>
      <c r="J72" s="14">
        <f t="shared" si="6"/>
        <v>2931602</v>
      </c>
    </row>
    <row r="73" spans="1:10">
      <c r="A73" s="18">
        <v>65</v>
      </c>
      <c r="B73" s="19" t="s">
        <v>155</v>
      </c>
      <c r="C73" s="20">
        <f>'Table 7 Local Revenue'!AE72</f>
        <v>15285079</v>
      </c>
      <c r="D73" s="20">
        <f>'Table 7 Local Revenue'!H72</f>
        <v>341110740</v>
      </c>
      <c r="E73" s="20">
        <f>ROUND(D73*$E$6/1000,0)</f>
        <v>5670949</v>
      </c>
      <c r="F73" s="280">
        <f>'Table 7 Local Revenue'!AI72</f>
        <v>25768276</v>
      </c>
      <c r="G73" s="20">
        <f>'Table 7 Local Revenue'!AM72</f>
        <v>1288413800</v>
      </c>
      <c r="H73" s="20">
        <f>ROUND(G73*$H$6,0)</f>
        <v>10537808</v>
      </c>
      <c r="I73" s="235">
        <f>'Table 7 Local Revenue'!AP72</f>
        <v>296519</v>
      </c>
      <c r="J73" s="20">
        <f>E73+H73+I73</f>
        <v>16505276</v>
      </c>
    </row>
    <row r="74" spans="1:10">
      <c r="A74" s="12">
        <v>66</v>
      </c>
      <c r="B74" s="13" t="s">
        <v>156</v>
      </c>
      <c r="C74" s="14">
        <f>'Table 7 Local Revenue'!AE73</f>
        <v>4816237</v>
      </c>
      <c r="D74" s="14">
        <f>'Table 7 Local Revenue'!H73</f>
        <v>76320120</v>
      </c>
      <c r="E74" s="14">
        <f>ROUND(D74*$E$6/1000,0)</f>
        <v>1268818</v>
      </c>
      <c r="F74" s="279">
        <f>'Table 7 Local Revenue'!AI73</f>
        <v>2415009</v>
      </c>
      <c r="G74" s="14">
        <f>'Table 7 Local Revenue'!AM73</f>
        <v>241500900</v>
      </c>
      <c r="H74" s="14">
        <f>ROUND(G74*$H$6,0)</f>
        <v>1975212</v>
      </c>
      <c r="I74" s="234">
        <f>'Table 7 Local Revenue'!AP73</f>
        <v>216332</v>
      </c>
      <c r="J74" s="14">
        <f>E74+H74+I74</f>
        <v>3460362</v>
      </c>
    </row>
    <row r="75" spans="1:10">
      <c r="A75" s="12">
        <v>67</v>
      </c>
      <c r="B75" s="13" t="s">
        <v>32</v>
      </c>
      <c r="C75" s="14">
        <f>'Table 7 Local Revenue'!AE74</f>
        <v>15578142</v>
      </c>
      <c r="D75" s="14">
        <f>'Table 7 Local Revenue'!H74</f>
        <v>197901490</v>
      </c>
      <c r="E75" s="14">
        <f>ROUND(D75*$E$6/1000,0)</f>
        <v>3290102</v>
      </c>
      <c r="F75" s="279">
        <f>'Table 7 Local Revenue'!AI74</f>
        <v>10609846</v>
      </c>
      <c r="G75" s="14">
        <f>'Table 7 Local Revenue'!AM74</f>
        <v>446314079.99999994</v>
      </c>
      <c r="H75" s="14">
        <f>ROUND(G75*$H$6,0)</f>
        <v>3650358</v>
      </c>
      <c r="I75" s="234">
        <f>'Table 7 Local Revenue'!AP74</f>
        <v>82848</v>
      </c>
      <c r="J75" s="14">
        <f>E75+H75+I75</f>
        <v>7023308</v>
      </c>
    </row>
    <row r="76" spans="1:10">
      <c r="A76" s="12">
        <v>68</v>
      </c>
      <c r="B76" s="13" t="s">
        <v>30</v>
      </c>
      <c r="C76" s="14">
        <f>'Table 7 Local Revenue'!AE75</f>
        <v>1754821</v>
      </c>
      <c r="D76" s="14">
        <f>'Table 7 Local Revenue'!H75</f>
        <v>40867730</v>
      </c>
      <c r="E76" s="14">
        <f>ROUND(D76*$E$6/1000,0)</f>
        <v>679424</v>
      </c>
      <c r="F76" s="279">
        <f>'Table 7 Local Revenue'!AI75</f>
        <v>3064477</v>
      </c>
      <c r="G76" s="14">
        <f>'Table 7 Local Revenue'!AM75</f>
        <v>153223850</v>
      </c>
      <c r="H76" s="14">
        <f>ROUND(G76*$H$6,0)</f>
        <v>1253203</v>
      </c>
      <c r="I76" s="234">
        <f>'Table 7 Local Revenue'!AP75</f>
        <v>45224</v>
      </c>
      <c r="J76" s="14">
        <f>E76+H76+I76</f>
        <v>1977851</v>
      </c>
    </row>
    <row r="77" spans="1:10">
      <c r="A77" s="154">
        <v>69</v>
      </c>
      <c r="B77" s="19" t="s">
        <v>205</v>
      </c>
      <c r="C77" s="14">
        <f>'Table 7 Local Revenue'!AE76</f>
        <v>6823501</v>
      </c>
      <c r="D77" s="14">
        <f>'Table 7 Local Revenue'!H76</f>
        <v>109834740</v>
      </c>
      <c r="E77" s="14">
        <f>ROUND(D77*$E$6/1000,0)</f>
        <v>1825997</v>
      </c>
      <c r="F77" s="279">
        <f>'Table 7 Local Revenue'!AI76</f>
        <v>7323537</v>
      </c>
      <c r="G77" s="14">
        <f>'Table 7 Local Revenue'!AM76</f>
        <v>292941480</v>
      </c>
      <c r="H77" s="14">
        <f>ROUND(G77*$H$6,0)</f>
        <v>2395939</v>
      </c>
      <c r="I77" s="234">
        <f>'Table 7 Local Revenue'!AP76</f>
        <v>0</v>
      </c>
      <c r="J77" s="14">
        <f>E77+H77+I77</f>
        <v>4221936</v>
      </c>
    </row>
    <row r="78" spans="1:10" ht="13.5" thickBot="1">
      <c r="A78" s="17"/>
      <c r="B78" s="43" t="s">
        <v>88</v>
      </c>
      <c r="C78" s="44">
        <f t="shared" ref="C78:J78" si="7">SUM(C9:C77)</f>
        <v>1371935890</v>
      </c>
      <c r="D78" s="44">
        <f t="shared" si="7"/>
        <v>33628503076.299995</v>
      </c>
      <c r="E78" s="44">
        <f t="shared" si="7"/>
        <v>559072183</v>
      </c>
      <c r="F78" s="44">
        <f t="shared" si="7"/>
        <v>1669272600</v>
      </c>
      <c r="G78" s="44">
        <f t="shared" si="7"/>
        <v>83696655339.525009</v>
      </c>
      <c r="H78" s="44">
        <f t="shared" si="7"/>
        <v>684546577</v>
      </c>
      <c r="I78" s="267">
        <f t="shared" si="7"/>
        <v>37437635.5</v>
      </c>
      <c r="J78" s="44">
        <f t="shared" si="7"/>
        <v>1281056395.5</v>
      </c>
    </row>
    <row r="79" spans="1:10" ht="13.5" thickTop="1"/>
    <row r="81" spans="5:6">
      <c r="F81" s="431">
        <f>'Table 3 Levels 1&amp;2'!V77</f>
        <v>0.65</v>
      </c>
    </row>
    <row r="84" spans="5:6" ht="18">
      <c r="E84" s="231"/>
      <c r="F84" s="232"/>
    </row>
  </sheetData>
  <mergeCells count="10">
    <mergeCell ref="A4:A6"/>
    <mergeCell ref="B4:B6"/>
    <mergeCell ref="C4:E4"/>
    <mergeCell ref="F4:J4"/>
    <mergeCell ref="C5:C6"/>
    <mergeCell ref="D5:D6"/>
    <mergeCell ref="F5:F6"/>
    <mergeCell ref="G5:G6"/>
    <mergeCell ref="I5:I6"/>
    <mergeCell ref="J5:J6"/>
  </mergeCells>
  <phoneticPr fontId="0" type="noConversion"/>
  <printOptions horizontalCentered="1"/>
  <pageMargins left="0.68" right="0.28999999999999998" top="1.19" bottom="0.38" header="0.33" footer="0.18"/>
  <pageSetup paperSize="5" scale="87" firstPageNumber="95" orientation="portrait" useFirstPageNumber="1" r:id="rId1"/>
  <headerFooter alignWithMargins="0">
    <oddHeader>&amp;L&amp;"Arial,Bold"&amp;18TABLE 6: FY2013-14 Budget Letter 
Local Deduction Calculation</oddHeader>
    <oddFooter>&amp;R&amp;12&amp;P</oddFooter>
  </headerFooter>
  <colBreaks count="1" manualBreakCount="1">
    <brk id="5" min="2" max="7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2"/>
  <sheetViews>
    <sheetView view="pageBreakPreview" zoomScale="90" zoomScaleNormal="70" zoomScaleSheetLayoutView="90" workbookViewId="0">
      <pane xSplit="2" ySplit="4" topLeftCell="C5" activePane="bottomRight" state="frozen"/>
      <selection activeCell="X8" sqref="X8:X75"/>
      <selection pane="topRight" activeCell="X8" sqref="X8:X75"/>
      <selection pane="bottomLeft" activeCell="X8" sqref="X8:X75"/>
      <selection pane="bottomRight" sqref="A1:A3"/>
    </sheetView>
  </sheetViews>
  <sheetFormatPr defaultRowHeight="12.75"/>
  <cols>
    <col min="1" max="1" width="3.42578125" bestFit="1" customWidth="1"/>
    <col min="2" max="2" width="17.85546875" customWidth="1"/>
    <col min="3" max="3" width="17.7109375" customWidth="1"/>
    <col min="4" max="4" width="13.28515625" bestFit="1" customWidth="1"/>
    <col min="5" max="5" width="14.5703125" bestFit="1" customWidth="1"/>
    <col min="6" max="9" width="12.85546875" bestFit="1" customWidth="1"/>
    <col min="10" max="10" width="13.28515625" customWidth="1"/>
    <col min="11" max="11" width="12.85546875" bestFit="1" customWidth="1"/>
    <col min="12" max="12" width="14.28515625" customWidth="1"/>
    <col min="13" max="13" width="13.140625" customWidth="1"/>
    <col min="14" max="21" width="12.42578125" customWidth="1"/>
    <col min="22" max="22" width="14" bestFit="1" customWidth="1"/>
    <col min="23" max="23" width="15.5703125" customWidth="1"/>
    <col min="24" max="24" width="18.5703125" bestFit="1" customWidth="1"/>
    <col min="26" max="26" width="9.140625" customWidth="1"/>
    <col min="27" max="27" width="12.5703125" bestFit="1" customWidth="1"/>
    <col min="30" max="30" width="9.140625" style="49"/>
    <col min="39" max="39" width="9.140625" style="47"/>
  </cols>
  <sheetData>
    <row r="1" spans="1:39" ht="45" customHeight="1">
      <c r="A1" s="2170" t="s">
        <v>372</v>
      </c>
      <c r="B1" s="2154" t="s">
        <v>242</v>
      </c>
      <c r="C1" s="2173" t="s">
        <v>874</v>
      </c>
      <c r="D1" s="2173" t="s">
        <v>875</v>
      </c>
      <c r="E1" s="2173" t="s">
        <v>876</v>
      </c>
      <c r="F1" s="2168" t="s">
        <v>877</v>
      </c>
      <c r="G1" s="2168" t="s">
        <v>878</v>
      </c>
      <c r="H1" s="2168" t="s">
        <v>879</v>
      </c>
      <c r="I1" s="2168" t="s">
        <v>880</v>
      </c>
      <c r="J1" s="2168" t="s">
        <v>881</v>
      </c>
      <c r="K1" s="2168" t="s">
        <v>882</v>
      </c>
      <c r="L1" s="2168" t="s">
        <v>883</v>
      </c>
      <c r="M1" s="2168" t="s">
        <v>885</v>
      </c>
      <c r="N1" s="2168" t="s">
        <v>886</v>
      </c>
      <c r="O1" s="2168" t="s">
        <v>887</v>
      </c>
      <c r="P1" s="2168" t="s">
        <v>888</v>
      </c>
      <c r="Q1" s="2168" t="s">
        <v>889</v>
      </c>
      <c r="R1" s="2168" t="s">
        <v>890</v>
      </c>
      <c r="S1" s="2168" t="s">
        <v>891</v>
      </c>
      <c r="T1" s="2168" t="s">
        <v>892</v>
      </c>
      <c r="U1" s="2168" t="s">
        <v>893</v>
      </c>
      <c r="V1" s="2178" t="s">
        <v>894</v>
      </c>
      <c r="W1" s="2176" t="s">
        <v>515</v>
      </c>
      <c r="X1" s="2174" t="s">
        <v>516</v>
      </c>
      <c r="AD1"/>
      <c r="AM1"/>
    </row>
    <row r="2" spans="1:39" ht="22.15" customHeight="1">
      <c r="A2" s="2171"/>
      <c r="B2" s="2145"/>
      <c r="C2" s="2149"/>
      <c r="D2" s="2149"/>
      <c r="E2" s="2149"/>
      <c r="F2" s="2169"/>
      <c r="G2" s="2169"/>
      <c r="H2" s="2169"/>
      <c r="I2" s="2169"/>
      <c r="J2" s="2169"/>
      <c r="K2" s="2169"/>
      <c r="L2" s="2169"/>
      <c r="M2" s="2169"/>
      <c r="N2" s="2169"/>
      <c r="O2" s="2169"/>
      <c r="P2" s="2169"/>
      <c r="Q2" s="2169"/>
      <c r="R2" s="2169"/>
      <c r="S2" s="2169"/>
      <c r="T2" s="2169"/>
      <c r="U2" s="2169"/>
      <c r="V2" s="2179"/>
      <c r="W2" s="2177"/>
      <c r="X2" s="2175"/>
      <c r="AD2"/>
      <c r="AM2"/>
    </row>
    <row r="3" spans="1:39" ht="136.15" customHeight="1">
      <c r="A3" s="2171"/>
      <c r="B3" s="2145"/>
      <c r="C3" s="2149"/>
      <c r="D3" s="2149"/>
      <c r="E3" s="2149"/>
      <c r="F3" s="2169"/>
      <c r="G3" s="2169"/>
      <c r="H3" s="2169"/>
      <c r="I3" s="2169"/>
      <c r="J3" s="2169"/>
      <c r="K3" s="2169"/>
      <c r="L3" s="2169"/>
      <c r="M3" s="2169"/>
      <c r="N3" s="2169"/>
      <c r="O3" s="2169"/>
      <c r="P3" s="2169"/>
      <c r="Q3" s="2169"/>
      <c r="R3" s="2169"/>
      <c r="S3" s="2169"/>
      <c r="T3" s="2169"/>
      <c r="U3" s="2169"/>
      <c r="V3" s="2179"/>
      <c r="W3" s="2177"/>
      <c r="X3" s="2175"/>
      <c r="AD3"/>
      <c r="AM3"/>
    </row>
    <row r="4" spans="1:39" s="716" customFormat="1">
      <c r="A4" s="713"/>
      <c r="B4" s="714"/>
      <c r="C4" s="715">
        <v>1</v>
      </c>
      <c r="D4" s="715">
        <f>C4+1</f>
        <v>2</v>
      </c>
      <c r="E4" s="715">
        <f t="shared" ref="E4:H4" si="0">1+D4</f>
        <v>3</v>
      </c>
      <c r="F4" s="715">
        <f t="shared" si="0"/>
        <v>4</v>
      </c>
      <c r="G4" s="715">
        <f t="shared" si="0"/>
        <v>5</v>
      </c>
      <c r="H4" s="715">
        <f t="shared" si="0"/>
        <v>6</v>
      </c>
      <c r="I4" s="715">
        <f t="shared" ref="I4" si="1">H4+1</f>
        <v>7</v>
      </c>
      <c r="J4" s="715">
        <f t="shared" ref="J4" si="2">I4+1</f>
        <v>8</v>
      </c>
      <c r="K4" s="715">
        <f t="shared" ref="K4" si="3">J4+1</f>
        <v>9</v>
      </c>
      <c r="L4" s="715">
        <f t="shared" ref="L4" si="4">K4+1</f>
        <v>10</v>
      </c>
      <c r="M4" s="715">
        <f t="shared" ref="M4" si="5">L4+1</f>
        <v>11</v>
      </c>
      <c r="N4" s="715">
        <f t="shared" ref="N4" si="6">M4+1</f>
        <v>12</v>
      </c>
      <c r="O4" s="715">
        <f t="shared" ref="O4" si="7">N4+1</f>
        <v>13</v>
      </c>
      <c r="P4" s="715">
        <f t="shared" ref="P4" si="8">O4+1</f>
        <v>14</v>
      </c>
      <c r="Q4" s="715">
        <f t="shared" ref="Q4" si="9">P4+1</f>
        <v>15</v>
      </c>
      <c r="R4" s="715">
        <f t="shared" ref="R4" si="10">Q4+1</f>
        <v>16</v>
      </c>
      <c r="S4" s="715">
        <f t="shared" ref="S4" si="11">R4+1</f>
        <v>17</v>
      </c>
      <c r="T4" s="715">
        <f t="shared" ref="T4" si="12">S4+1</f>
        <v>18</v>
      </c>
      <c r="U4" s="715">
        <f t="shared" ref="U4" si="13">T4+1</f>
        <v>19</v>
      </c>
      <c r="V4" s="715">
        <f t="shared" ref="V4" si="14">U4+1</f>
        <v>20</v>
      </c>
      <c r="W4" s="715">
        <f t="shared" ref="W4" si="15">V4+1</f>
        <v>21</v>
      </c>
      <c r="X4" s="715">
        <f t="shared" ref="X4" si="16">W4+1</f>
        <v>22</v>
      </c>
    </row>
    <row r="5" spans="1:39" s="716" customFormat="1" ht="25.9" customHeight="1">
      <c r="A5" s="1641"/>
      <c r="B5" s="1642"/>
      <c r="C5" s="1647" t="s">
        <v>918</v>
      </c>
      <c r="D5" s="1644" t="s">
        <v>919</v>
      </c>
      <c r="E5" s="1644" t="s">
        <v>884</v>
      </c>
      <c r="F5" s="1644" t="s">
        <v>938</v>
      </c>
      <c r="G5" s="1644" t="s">
        <v>938</v>
      </c>
      <c r="H5" s="1644" t="s">
        <v>938</v>
      </c>
      <c r="I5" s="1644" t="s">
        <v>938</v>
      </c>
      <c r="J5" s="1644" t="s">
        <v>939</v>
      </c>
      <c r="K5" s="1644" t="s">
        <v>938</v>
      </c>
      <c r="L5" s="1644" t="s">
        <v>938</v>
      </c>
      <c r="M5" s="1644" t="s">
        <v>938</v>
      </c>
      <c r="N5" s="1644" t="s">
        <v>938</v>
      </c>
      <c r="O5" s="1644" t="s">
        <v>938</v>
      </c>
      <c r="P5" s="1644" t="s">
        <v>938</v>
      </c>
      <c r="Q5" s="1644" t="s">
        <v>938</v>
      </c>
      <c r="R5" s="1644" t="s">
        <v>938</v>
      </c>
      <c r="S5" s="1644" t="s">
        <v>938</v>
      </c>
      <c r="T5" s="1644" t="s">
        <v>940</v>
      </c>
      <c r="U5" s="1644" t="s">
        <v>940</v>
      </c>
      <c r="V5" s="1644" t="s">
        <v>895</v>
      </c>
      <c r="W5" s="1643"/>
      <c r="X5" s="1643"/>
    </row>
    <row r="6" spans="1:39">
      <c r="A6" s="99">
        <v>1</v>
      </c>
      <c r="B6" s="301" t="s">
        <v>92</v>
      </c>
      <c r="C6" s="310">
        <f>'Table 2_State Distrib and Adjs'!AF8</f>
        <v>52267164</v>
      </c>
      <c r="D6" s="356"/>
      <c r="E6" s="356"/>
      <c r="F6" s="356">
        <f>-('Table 5C1A-Madison Prep'!AA8+'Table 5C1A-Madison Prep'!AD8)</f>
        <v>0</v>
      </c>
      <c r="G6" s="356">
        <f>-('Table 5C1B-DArbonne'!AA8+'Table 5C1B-DArbonne'!AD8)</f>
        <v>0</v>
      </c>
      <c r="H6" s="356">
        <f>-('Table 5C1C-Intl_VIBE'!AA8+'Table 5C1C-Intl_VIBE'!AD8)</f>
        <v>0</v>
      </c>
      <c r="I6" s="356">
        <f>-('Table 5C1D-NOMMA'!AA8+'Table 5C1D-NOMMA'!AD8)</f>
        <v>0</v>
      </c>
      <c r="J6" s="356">
        <f>-('Table 5C1E-LFNO'!AC8+'Table 5C1E-LFNO'!AF8)</f>
        <v>0</v>
      </c>
      <c r="K6" s="358">
        <f>-('Table 5C1F-Lake Charles Charter'!AA8+'Table 5C1F-Lake Charles Charter'!AD8)</f>
        <v>0</v>
      </c>
      <c r="L6" s="356">
        <f>-('Table 5C1G-JS Clark Academy'!AA8+'Table 5C1G-JS Clark Academy'!AD8)</f>
        <v>0</v>
      </c>
      <c r="M6" s="356">
        <f>-('Table 5C1H-Southwest LA Charter'!AA8+'Table 5C1H-Southwest LA Charter'!AD8)</f>
        <v>0</v>
      </c>
      <c r="N6" s="356">
        <f>-('Table 5C1I-LA Key Academy'!AA8+'Table 5C1I-LA Key Academy'!AD8)</f>
        <v>0</v>
      </c>
      <c r="O6" s="356">
        <f>-('Table 5C1J-Jefferson Chamber'!AA8+'Table 5C1J-Jefferson Chamber'!AD8)</f>
        <v>0</v>
      </c>
      <c r="P6" s="356">
        <f>-('Table 5C1K-Tallulah Charter'!AA8+'Table 5C1K-Tallulah Charter'!AD8)</f>
        <v>0</v>
      </c>
      <c r="Q6" s="356">
        <f>-('Table 5C1L-Northshore Charter'!AA8+'Table 5C1L-Northshore Charter'!AD8)</f>
        <v>0</v>
      </c>
      <c r="R6" s="356">
        <f>-('Table 5C1M-B.R. Charter'!AA8+'Table 5C1M-B.R. Charter'!AD8)</f>
        <v>0</v>
      </c>
      <c r="S6" s="356">
        <f>-('Table 5C1N-Delta Charter'!AA8+'Table 5C1N-Delta Charter'!AD8)</f>
        <v>0</v>
      </c>
      <c r="T6" s="356">
        <f>-('Table 5C2 - LA Virtual Admy'!AB6+'Table 5C2 - LA Virtual Admy'!AE6)</f>
        <v>-33491.699999999997</v>
      </c>
      <c r="U6" s="356">
        <f>-('Table 5C3 - LA Connections EBR'!AB6+'Table 5C3 - LA Connections EBR'!AE6)</f>
        <v>-32373</v>
      </c>
      <c r="V6" s="356">
        <f>-'Table 5E_OJJ'!S8</f>
        <v>-4660.2948217113571</v>
      </c>
      <c r="W6" s="356">
        <f t="shared" ref="W6:W37" si="17">SUM(D6:V6)</f>
        <v>-70524.994821711356</v>
      </c>
      <c r="X6" s="717">
        <f t="shared" ref="X6:X37" si="18">SUM(C6:V6)</f>
        <v>52196639.005178288</v>
      </c>
      <c r="AA6" s="49"/>
      <c r="AD6"/>
      <c r="AM6"/>
    </row>
    <row r="7" spans="1:39">
      <c r="A7" s="99">
        <v>2</v>
      </c>
      <c r="B7" s="301" t="s">
        <v>93</v>
      </c>
      <c r="C7" s="310">
        <f>'Table 2_State Distrib and Adjs'!AF9</f>
        <v>28703048</v>
      </c>
      <c r="D7" s="356"/>
      <c r="E7" s="356"/>
      <c r="F7" s="356">
        <f>-('Table 5C1A-Madison Prep'!AA9+'Table 5C1A-Madison Prep'!AD9)</f>
        <v>0</v>
      </c>
      <c r="G7" s="356">
        <f>-('Table 5C1B-DArbonne'!AA9+'Table 5C1B-DArbonne'!AD9)</f>
        <v>0</v>
      </c>
      <c r="H7" s="356">
        <f>-('Table 5C1C-Intl_VIBE'!AA9+'Table 5C1C-Intl_VIBE'!AD9)</f>
        <v>0</v>
      </c>
      <c r="I7" s="356">
        <f>-('Table 5C1D-NOMMA'!AA9+'Table 5C1D-NOMMA'!AD9)</f>
        <v>0</v>
      </c>
      <c r="J7" s="356">
        <f>-('Table 5C1E-LFNO'!AC9+'Table 5C1E-LFNO'!AF9)</f>
        <v>0</v>
      </c>
      <c r="K7" s="356">
        <f>-('Table 5C1F-Lake Charles Charter'!AA9+'Table 5C1F-Lake Charles Charter'!AD9)</f>
        <v>0</v>
      </c>
      <c r="L7" s="356">
        <f>-('Table 5C1G-JS Clark Academy'!AA9+'Table 5C1G-JS Clark Academy'!AD9)</f>
        <v>0</v>
      </c>
      <c r="M7" s="356">
        <f>-('Table 5C1H-Southwest LA Charter'!AA9+'Table 5C1H-Southwest LA Charter'!AD9)</f>
        <v>0</v>
      </c>
      <c r="N7" s="356">
        <f>-('Table 5C1I-LA Key Academy'!AA9+'Table 5C1I-LA Key Academy'!AD9)</f>
        <v>0</v>
      </c>
      <c r="O7" s="356">
        <f>-('Table 5C1J-Jefferson Chamber'!AA9+'Table 5C1J-Jefferson Chamber'!AD9)</f>
        <v>0</v>
      </c>
      <c r="P7" s="356">
        <f>-('Table 5C1K-Tallulah Charter'!AA9+'Table 5C1K-Tallulah Charter'!AD9)</f>
        <v>0</v>
      </c>
      <c r="Q7" s="356">
        <f>-('Table 5C1L-Northshore Charter'!AA9+'Table 5C1L-Northshore Charter'!AD9)</f>
        <v>0</v>
      </c>
      <c r="R7" s="356">
        <f>-('Table 5C1M-B.R. Charter'!AA9+'Table 5C1M-B.R. Charter'!AD9)</f>
        <v>0</v>
      </c>
      <c r="S7" s="356">
        <f>-('Table 5C1N-Delta Charter'!AA9+'Table 5C1N-Delta Charter'!AD9)</f>
        <v>0</v>
      </c>
      <c r="T7" s="356">
        <f>-('Table 5C2 - LA Virtual Admy'!AB7+'Table 5C2 - LA Virtual Admy'!AE7)</f>
        <v>-18535.949999999997</v>
      </c>
      <c r="U7" s="356">
        <f>-('Table 5C3 - LA Connections EBR'!AB7+'Table 5C3 - LA Connections EBR'!AE7)</f>
        <v>-21106.35</v>
      </c>
      <c r="V7" s="356">
        <f>-'Table 5E_OJJ'!S9</f>
        <v>0</v>
      </c>
      <c r="W7" s="356">
        <f t="shared" si="17"/>
        <v>-39642.299999999996</v>
      </c>
      <c r="X7" s="717">
        <f t="shared" si="18"/>
        <v>28663405.699999999</v>
      </c>
      <c r="AA7" s="49"/>
      <c r="AD7"/>
      <c r="AM7"/>
    </row>
    <row r="8" spans="1:39">
      <c r="A8" s="99">
        <v>3</v>
      </c>
      <c r="B8" s="301" t="s">
        <v>94</v>
      </c>
      <c r="C8" s="310">
        <f>'Table 2_State Distrib and Adjs'!AF10</f>
        <v>100360586</v>
      </c>
      <c r="D8" s="356"/>
      <c r="E8" s="356"/>
      <c r="F8" s="356">
        <f>-('Table 5C1A-Madison Prep'!AA10+'Table 5C1A-Madison Prep'!AD10)</f>
        <v>0</v>
      </c>
      <c r="G8" s="356">
        <f>-('Table 5C1B-DArbonne'!AA10+'Table 5C1B-DArbonne'!AD10)</f>
        <v>0</v>
      </c>
      <c r="H8" s="356">
        <f>-('Table 5C1C-Intl_VIBE'!AA10+'Table 5C1C-Intl_VIBE'!AD10)</f>
        <v>0</v>
      </c>
      <c r="I8" s="356">
        <f>-('Table 5C1D-NOMMA'!AA10+'Table 5C1D-NOMMA'!AD10)</f>
        <v>0</v>
      </c>
      <c r="J8" s="356">
        <f>-('Table 5C1E-LFNO'!AC10+'Table 5C1E-LFNO'!AF10)</f>
        <v>0</v>
      </c>
      <c r="K8" s="356">
        <f>-('Table 5C1F-Lake Charles Charter'!AA10+'Table 5C1F-Lake Charles Charter'!AD10)</f>
        <v>0</v>
      </c>
      <c r="L8" s="356">
        <f>-('Table 5C1G-JS Clark Academy'!AA10+'Table 5C1G-JS Clark Academy'!AD10)</f>
        <v>0</v>
      </c>
      <c r="M8" s="356">
        <f>-('Table 5C1H-Southwest LA Charter'!AA10+'Table 5C1H-Southwest LA Charter'!AD10)</f>
        <v>0</v>
      </c>
      <c r="N8" s="356">
        <f>-('Table 5C1I-LA Key Academy'!AA10+'Table 5C1I-LA Key Academy'!AD10)</f>
        <v>-38766</v>
      </c>
      <c r="O8" s="356">
        <f>-('Table 5C1J-Jefferson Chamber'!AA10+'Table 5C1J-Jefferson Chamber'!AD10)</f>
        <v>0</v>
      </c>
      <c r="P8" s="356">
        <f>-('Table 5C1K-Tallulah Charter'!AA10+'Table 5C1K-Tallulah Charter'!AD10)</f>
        <v>0</v>
      </c>
      <c r="Q8" s="356">
        <f>-('Table 5C1L-Northshore Charter'!AA10+'Table 5C1L-Northshore Charter'!AD10)</f>
        <v>0</v>
      </c>
      <c r="R8" s="356">
        <f>-('Table 5C1M-B.R. Charter'!AA10+'Table 5C1M-B.R. Charter'!AD10)</f>
        <v>-2769</v>
      </c>
      <c r="S8" s="356">
        <f>-('Table 5C1N-Delta Charter'!AA10+'Table 5C1N-Delta Charter'!AD10)</f>
        <v>0</v>
      </c>
      <c r="T8" s="356">
        <f>-('Table 5C2 - LA Virtual Admy'!AB8+'Table 5C2 - LA Virtual Admy'!AE8)</f>
        <v>-267881.84999999998</v>
      </c>
      <c r="U8" s="356">
        <f>-('Table 5C3 - LA Connections EBR'!AB8+'Table 5C3 - LA Connections EBR'!AE8)</f>
        <v>-199368</v>
      </c>
      <c r="V8" s="356">
        <f>-'Table 5E_OJJ'!S10</f>
        <v>-4556.4254998190681</v>
      </c>
      <c r="W8" s="356">
        <f t="shared" si="17"/>
        <v>-513341.27549981902</v>
      </c>
      <c r="X8" s="717">
        <f t="shared" si="18"/>
        <v>99847244.724500194</v>
      </c>
      <c r="AA8" s="49"/>
      <c r="AD8"/>
      <c r="AM8"/>
    </row>
    <row r="9" spans="1:39">
      <c r="A9" s="99">
        <v>4</v>
      </c>
      <c r="B9" s="301" t="s">
        <v>95</v>
      </c>
      <c r="C9" s="310">
        <f>'Table 2_State Distrib and Adjs'!AF11</f>
        <v>23587674</v>
      </c>
      <c r="D9" s="356"/>
      <c r="E9" s="356"/>
      <c r="F9" s="356">
        <f>-('Table 5C1A-Madison Prep'!AA11+'Table 5C1A-Madison Prep'!AD11)</f>
        <v>0</v>
      </c>
      <c r="G9" s="356">
        <f>-('Table 5C1B-DArbonne'!AA11+'Table 5C1B-DArbonne'!AD11)</f>
        <v>0</v>
      </c>
      <c r="H9" s="356">
        <f>-('Table 5C1C-Intl_VIBE'!AA11+'Table 5C1C-Intl_VIBE'!AD11)</f>
        <v>0</v>
      </c>
      <c r="I9" s="356">
        <f>-('Table 5C1D-NOMMA'!AA11+'Table 5C1D-NOMMA'!AD11)</f>
        <v>0</v>
      </c>
      <c r="J9" s="356">
        <f>-('Table 5C1E-LFNO'!AC11+'Table 5C1E-LFNO'!AF11)</f>
        <v>0</v>
      </c>
      <c r="K9" s="356">
        <f>-('Table 5C1F-Lake Charles Charter'!AA11+'Table 5C1F-Lake Charles Charter'!AD11)</f>
        <v>0</v>
      </c>
      <c r="L9" s="356">
        <f>-('Table 5C1G-JS Clark Academy'!AA11+'Table 5C1G-JS Clark Academy'!AD11)</f>
        <v>0</v>
      </c>
      <c r="M9" s="356">
        <f>-('Table 5C1H-Southwest LA Charter'!AA11+'Table 5C1H-Southwest LA Charter'!AD11)</f>
        <v>0</v>
      </c>
      <c r="N9" s="356">
        <f>-('Table 5C1I-LA Key Academy'!AA11+'Table 5C1I-LA Key Academy'!AD11)</f>
        <v>0</v>
      </c>
      <c r="O9" s="356">
        <f>-('Table 5C1J-Jefferson Chamber'!AA11+'Table 5C1J-Jefferson Chamber'!AD11)</f>
        <v>0</v>
      </c>
      <c r="P9" s="356">
        <f>-('Table 5C1K-Tallulah Charter'!AA11+'Table 5C1K-Tallulah Charter'!AD11)</f>
        <v>0</v>
      </c>
      <c r="Q9" s="356">
        <f>-('Table 5C1L-Northshore Charter'!AA11+'Table 5C1L-Northshore Charter'!AD11)</f>
        <v>0</v>
      </c>
      <c r="R9" s="356">
        <f>-('Table 5C1M-B.R. Charter'!AA11+'Table 5C1M-B.R. Charter'!AD11)</f>
        <v>0</v>
      </c>
      <c r="S9" s="356">
        <f>-('Table 5C1N-Delta Charter'!AA11+'Table 5C1N-Delta Charter'!AD11)</f>
        <v>0</v>
      </c>
      <c r="T9" s="356">
        <f>-('Table 5C2 - LA Virtual Admy'!AB9+'Table 5C2 - LA Virtual Admy'!AE9)</f>
        <v>6767.5499999999993</v>
      </c>
      <c r="U9" s="356">
        <f>-('Table 5C3 - LA Connections EBR'!AB9+'Table 5C3 - LA Connections EBR'!AE9)</f>
        <v>-9468.9000000000015</v>
      </c>
      <c r="V9" s="356">
        <f>-'Table 5E_OJJ'!S11</f>
        <v>-408.11933452131268</v>
      </c>
      <c r="W9" s="356">
        <f t="shared" si="17"/>
        <v>-3109.469334521315</v>
      </c>
      <c r="X9" s="717">
        <f t="shared" si="18"/>
        <v>23584564.53066548</v>
      </c>
      <c r="AA9" s="49"/>
      <c r="AD9"/>
      <c r="AM9"/>
    </row>
    <row r="10" spans="1:39">
      <c r="A10" s="100">
        <v>5</v>
      </c>
      <c r="B10" s="302" t="s">
        <v>96</v>
      </c>
      <c r="C10" s="318">
        <f>'Table 2_State Distrib and Adjs'!AF12</f>
        <v>31209570</v>
      </c>
      <c r="D10" s="357"/>
      <c r="E10" s="357"/>
      <c r="F10" s="357">
        <f>-('Table 5C1A-Madison Prep'!AA12+'Table 5C1A-Madison Prep'!AD12)</f>
        <v>0</v>
      </c>
      <c r="G10" s="357">
        <f>-('Table 5C1B-DArbonne'!AA12+'Table 5C1B-DArbonne'!AD12)</f>
        <v>0</v>
      </c>
      <c r="H10" s="357">
        <f>-('Table 5C1C-Intl_VIBE'!AA12+'Table 5C1C-Intl_VIBE'!AD12)</f>
        <v>0</v>
      </c>
      <c r="I10" s="357">
        <f>-('Table 5C1D-NOMMA'!AA12+'Table 5C1D-NOMMA'!AD12)</f>
        <v>0</v>
      </c>
      <c r="J10" s="357">
        <f>-('Table 5C1E-LFNO'!AC12+'Table 5C1E-LFNO'!AF12)</f>
        <v>0</v>
      </c>
      <c r="K10" s="357">
        <f>-('Table 5C1F-Lake Charles Charter'!AA12+'Table 5C1F-Lake Charles Charter'!AD12)</f>
        <v>0</v>
      </c>
      <c r="L10" s="357">
        <f>-('Table 5C1G-JS Clark Academy'!AA12+'Table 5C1G-JS Clark Academy'!AD12)</f>
        <v>0</v>
      </c>
      <c r="M10" s="357">
        <f>-('Table 5C1H-Southwest LA Charter'!AA12+'Table 5C1H-Southwest LA Charter'!AD12)</f>
        <v>0</v>
      </c>
      <c r="N10" s="357">
        <f>-('Table 5C1I-LA Key Academy'!AA12+'Table 5C1I-LA Key Academy'!AD12)</f>
        <v>0</v>
      </c>
      <c r="O10" s="357">
        <f>-('Table 5C1J-Jefferson Chamber'!AA12+'Table 5C1J-Jefferson Chamber'!AD12)</f>
        <v>0</v>
      </c>
      <c r="P10" s="357">
        <f>-('Table 5C1K-Tallulah Charter'!AA12+'Table 5C1K-Tallulah Charter'!AD12)</f>
        <v>0</v>
      </c>
      <c r="Q10" s="357">
        <f>-('Table 5C1L-Northshore Charter'!AA12+'Table 5C1L-Northshore Charter'!AD12)</f>
        <v>0</v>
      </c>
      <c r="R10" s="357">
        <f>-('Table 5C1M-B.R. Charter'!AA12+'Table 5C1M-B.R. Charter'!AD12)</f>
        <v>0</v>
      </c>
      <c r="S10" s="357">
        <f>-('Table 5C1N-Delta Charter'!AA12+'Table 5C1N-Delta Charter'!AD12)</f>
        <v>0</v>
      </c>
      <c r="T10" s="357">
        <f>-('Table 5C2 - LA Virtual Admy'!AB10+'Table 5C2 - LA Virtual Admy'!AE10)</f>
        <v>-56406.15</v>
      </c>
      <c r="U10" s="357">
        <f>-('Table 5C3 - LA Connections EBR'!AB10+'Table 5C3 - LA Connections EBR'!AE10)</f>
        <v>-24406.2</v>
      </c>
      <c r="V10" s="357">
        <f>-'Table 5E_OJJ'!S12</f>
        <v>-3871.7126307376093</v>
      </c>
      <c r="W10" s="357">
        <f t="shared" si="17"/>
        <v>-84684.062630737608</v>
      </c>
      <c r="X10" s="718">
        <f t="shared" si="18"/>
        <v>31124885.937369265</v>
      </c>
      <c r="AA10" s="49"/>
      <c r="AD10"/>
      <c r="AM10"/>
    </row>
    <row r="11" spans="1:39">
      <c r="A11" s="99">
        <v>6</v>
      </c>
      <c r="B11" s="301" t="s">
        <v>97</v>
      </c>
      <c r="C11" s="310">
        <f>'Table 2_State Distrib and Adjs'!AF13</f>
        <v>34609047</v>
      </c>
      <c r="D11" s="356"/>
      <c r="E11" s="356"/>
      <c r="F11" s="356">
        <f>-('Table 5C1A-Madison Prep'!AA13+'Table 5C1A-Madison Prep'!AD13)</f>
        <v>0</v>
      </c>
      <c r="G11" s="356">
        <f>-('Table 5C1B-DArbonne'!AA13+'Table 5C1B-DArbonne'!AD13)</f>
        <v>0</v>
      </c>
      <c r="H11" s="356">
        <f>-('Table 5C1C-Intl_VIBE'!AA13+'Table 5C1C-Intl_VIBE'!AD13)</f>
        <v>0</v>
      </c>
      <c r="I11" s="356">
        <f>-('Table 5C1D-NOMMA'!AA13+'Table 5C1D-NOMMA'!AD13)</f>
        <v>0</v>
      </c>
      <c r="J11" s="356">
        <f>-('Table 5C1E-LFNO'!AC13+'Table 5C1E-LFNO'!AF13)</f>
        <v>0</v>
      </c>
      <c r="K11" s="356">
        <f>-('Table 5C1F-Lake Charles Charter'!AA13+'Table 5C1F-Lake Charles Charter'!AD13)</f>
        <v>0</v>
      </c>
      <c r="L11" s="356">
        <f>-('Table 5C1G-JS Clark Academy'!AA13+'Table 5C1G-JS Clark Academy'!AD13)</f>
        <v>0</v>
      </c>
      <c r="M11" s="356">
        <f>-('Table 5C1H-Southwest LA Charter'!AA13+'Table 5C1H-Southwest LA Charter'!AD13)</f>
        <v>0</v>
      </c>
      <c r="N11" s="356">
        <f>-('Table 5C1I-LA Key Academy'!AA13+'Table 5C1I-LA Key Academy'!AD13)</f>
        <v>0</v>
      </c>
      <c r="O11" s="356">
        <f>-('Table 5C1J-Jefferson Chamber'!AA13+'Table 5C1J-Jefferson Chamber'!AD13)</f>
        <v>0</v>
      </c>
      <c r="P11" s="356">
        <f>-('Table 5C1K-Tallulah Charter'!AA13+'Table 5C1K-Tallulah Charter'!AD13)</f>
        <v>0</v>
      </c>
      <c r="Q11" s="356">
        <f>-('Table 5C1L-Northshore Charter'!AA13+'Table 5C1L-Northshore Charter'!AD13)</f>
        <v>0</v>
      </c>
      <c r="R11" s="356">
        <f>-('Table 5C1M-B.R. Charter'!AA13+'Table 5C1M-B.R. Charter'!AD13)</f>
        <v>0</v>
      </c>
      <c r="S11" s="356">
        <f>-('Table 5C1N-Delta Charter'!AA13+'Table 5C1N-Delta Charter'!AD13)</f>
        <v>0</v>
      </c>
      <c r="T11" s="356">
        <f>-('Table 5C2 - LA Virtual Admy'!AB11+'Table 5C2 - LA Virtual Admy'!AE11)</f>
        <v>-82867.5</v>
      </c>
      <c r="U11" s="356">
        <f>-('Table 5C3 - LA Connections EBR'!AB11+'Table 5C3 - LA Connections EBR'!AE11)</f>
        <v>-33147.000000000007</v>
      </c>
      <c r="V11" s="356">
        <f>-'Table 5E_OJJ'!S13</f>
        <v>-6829.5094365608275</v>
      </c>
      <c r="W11" s="356">
        <f t="shared" si="17"/>
        <v>-122844.00943656082</v>
      </c>
      <c r="X11" s="717">
        <f t="shared" si="18"/>
        <v>34486202.990563437</v>
      </c>
      <c r="AA11" s="49"/>
      <c r="AD11"/>
      <c r="AM11"/>
    </row>
    <row r="12" spans="1:39">
      <c r="A12" s="99">
        <v>7</v>
      </c>
      <c r="B12" s="301" t="s">
        <v>98</v>
      </c>
      <c r="C12" s="310">
        <f>'Table 2_State Distrib and Adjs'!AF14</f>
        <v>5503057</v>
      </c>
      <c r="D12" s="356"/>
      <c r="E12" s="356"/>
      <c r="F12" s="356">
        <f>-('Table 5C1A-Madison Prep'!AA14+'Table 5C1A-Madison Prep'!AD14)</f>
        <v>0</v>
      </c>
      <c r="G12" s="356">
        <f>-('Table 5C1B-DArbonne'!AA14+'Table 5C1B-DArbonne'!AD14)</f>
        <v>0</v>
      </c>
      <c r="H12" s="356">
        <f>-('Table 5C1C-Intl_VIBE'!AA14+'Table 5C1C-Intl_VIBE'!AD14)</f>
        <v>0</v>
      </c>
      <c r="I12" s="356">
        <f>-('Table 5C1D-NOMMA'!AA14+'Table 5C1D-NOMMA'!AD14)</f>
        <v>0</v>
      </c>
      <c r="J12" s="356">
        <f>-('Table 5C1E-LFNO'!AC14+'Table 5C1E-LFNO'!AF14)</f>
        <v>0</v>
      </c>
      <c r="K12" s="356">
        <f>-('Table 5C1F-Lake Charles Charter'!AA14+'Table 5C1F-Lake Charles Charter'!AD14)</f>
        <v>0</v>
      </c>
      <c r="L12" s="356">
        <f>-('Table 5C1G-JS Clark Academy'!AA14+'Table 5C1G-JS Clark Academy'!AD14)</f>
        <v>0</v>
      </c>
      <c r="M12" s="356">
        <f>-('Table 5C1H-Southwest LA Charter'!AA14+'Table 5C1H-Southwest LA Charter'!AD14)</f>
        <v>0</v>
      </c>
      <c r="N12" s="356">
        <f>-('Table 5C1I-LA Key Academy'!AA14+'Table 5C1I-LA Key Academy'!AD14)</f>
        <v>0</v>
      </c>
      <c r="O12" s="356">
        <f>-('Table 5C1J-Jefferson Chamber'!AA14+'Table 5C1J-Jefferson Chamber'!AD14)</f>
        <v>0</v>
      </c>
      <c r="P12" s="356">
        <f>-('Table 5C1K-Tallulah Charter'!AA14+'Table 5C1K-Tallulah Charter'!AD14)</f>
        <v>0</v>
      </c>
      <c r="Q12" s="356">
        <f>-('Table 5C1L-Northshore Charter'!AA14+'Table 5C1L-Northshore Charter'!AD14)</f>
        <v>0</v>
      </c>
      <c r="R12" s="356">
        <f>-('Table 5C1M-B.R. Charter'!AA14+'Table 5C1M-B.R. Charter'!AD14)</f>
        <v>0</v>
      </c>
      <c r="S12" s="356">
        <f>-('Table 5C1N-Delta Charter'!AA14+'Table 5C1N-Delta Charter'!AD14)</f>
        <v>0</v>
      </c>
      <c r="T12" s="356">
        <f>-('Table 5C2 - LA Virtual Admy'!AB12+'Table 5C2 - LA Virtual Admy'!AE12)</f>
        <v>-40665.599999999991</v>
      </c>
      <c r="U12" s="356">
        <f>-('Table 5C3 - LA Connections EBR'!AB12+'Table 5C3 - LA Connections EBR'!AE12)</f>
        <v>-63725.399999999994</v>
      </c>
      <c r="V12" s="356">
        <f>-'Table 5E_OJJ'!S14</f>
        <v>-1694.8901116310349</v>
      </c>
      <c r="W12" s="356">
        <f t="shared" si="17"/>
        <v>-106085.89011163102</v>
      </c>
      <c r="X12" s="717">
        <f t="shared" si="18"/>
        <v>5396971.1098883692</v>
      </c>
      <c r="AA12" s="49"/>
      <c r="AD12"/>
      <c r="AM12"/>
    </row>
    <row r="13" spans="1:39">
      <c r="A13" s="99">
        <v>8</v>
      </c>
      <c r="B13" s="301" t="s">
        <v>99</v>
      </c>
      <c r="C13" s="310">
        <f>'Table 2_State Distrib and Adjs'!AF15</f>
        <v>107843542</v>
      </c>
      <c r="D13" s="356"/>
      <c r="E13" s="356"/>
      <c r="F13" s="356">
        <f>-('Table 5C1A-Madison Prep'!AA15+'Table 5C1A-Madison Prep'!AD15)</f>
        <v>0</v>
      </c>
      <c r="G13" s="356">
        <f>-('Table 5C1B-DArbonne'!AA15+'Table 5C1B-DArbonne'!AD15)</f>
        <v>0</v>
      </c>
      <c r="H13" s="356">
        <f>-('Table 5C1C-Intl_VIBE'!AA15+'Table 5C1C-Intl_VIBE'!AD15)</f>
        <v>0</v>
      </c>
      <c r="I13" s="356">
        <f>-('Table 5C1D-NOMMA'!AA15+'Table 5C1D-NOMMA'!AD15)</f>
        <v>0</v>
      </c>
      <c r="J13" s="356">
        <f>-('Table 5C1E-LFNO'!AC15+'Table 5C1E-LFNO'!AF15)</f>
        <v>0</v>
      </c>
      <c r="K13" s="356">
        <f>-('Table 5C1F-Lake Charles Charter'!AA15+'Table 5C1F-Lake Charles Charter'!AD15)</f>
        <v>0</v>
      </c>
      <c r="L13" s="356">
        <f>-('Table 5C1G-JS Clark Academy'!AA15+'Table 5C1G-JS Clark Academy'!AD15)</f>
        <v>0</v>
      </c>
      <c r="M13" s="356">
        <f>-('Table 5C1H-Southwest LA Charter'!AA15+'Table 5C1H-Southwest LA Charter'!AD15)</f>
        <v>0</v>
      </c>
      <c r="N13" s="356">
        <f>-('Table 5C1I-LA Key Academy'!AA15+'Table 5C1I-LA Key Academy'!AD15)</f>
        <v>0</v>
      </c>
      <c r="O13" s="356">
        <f>-('Table 5C1J-Jefferson Chamber'!AA15+'Table 5C1J-Jefferson Chamber'!AD15)</f>
        <v>0</v>
      </c>
      <c r="P13" s="356">
        <f>-('Table 5C1K-Tallulah Charter'!AA15+'Table 5C1K-Tallulah Charter'!AD15)</f>
        <v>0</v>
      </c>
      <c r="Q13" s="356">
        <f>-('Table 5C1L-Northshore Charter'!AA15+'Table 5C1L-Northshore Charter'!AD15)</f>
        <v>0</v>
      </c>
      <c r="R13" s="356">
        <f>-('Table 5C1M-B.R. Charter'!AA15+'Table 5C1M-B.R. Charter'!AD15)</f>
        <v>0</v>
      </c>
      <c r="S13" s="356">
        <f>-('Table 5C1N-Delta Charter'!AA15+'Table 5C1N-Delta Charter'!AD15)</f>
        <v>0</v>
      </c>
      <c r="T13" s="356">
        <f>-('Table 5C2 - LA Virtual Admy'!AB13+'Table 5C2 - LA Virtual Admy'!AE13)</f>
        <v>-253038.60000000003</v>
      </c>
      <c r="U13" s="356">
        <f>-('Table 5C3 - LA Connections EBR'!AB13+'Table 5C3 - LA Connections EBR'!AE13)</f>
        <v>-143568</v>
      </c>
      <c r="V13" s="356">
        <f>-'Table 5E_OJJ'!S15</f>
        <v>-29405.453176689211</v>
      </c>
      <c r="W13" s="356">
        <f t="shared" si="17"/>
        <v>-426012.05317668925</v>
      </c>
      <c r="X13" s="717">
        <f t="shared" si="18"/>
        <v>107417529.94682331</v>
      </c>
      <c r="AA13" s="49"/>
      <c r="AD13"/>
      <c r="AM13"/>
    </row>
    <row r="14" spans="1:39">
      <c r="A14" s="99">
        <v>9</v>
      </c>
      <c r="B14" s="301" t="s">
        <v>100</v>
      </c>
      <c r="C14" s="310">
        <f>'Table 2_State Distrib and Adjs'!AF16</f>
        <v>204775201</v>
      </c>
      <c r="D14" s="356">
        <f>-'Table 5B2_RSD_LA'!AD30-'Table 5B2_RSD_LA'!AI30-'Table 5B2_RSD_LA'!AJ30</f>
        <v>-2628080</v>
      </c>
      <c r="E14" s="356"/>
      <c r="F14" s="356">
        <f>-('Table 5C1A-Madison Prep'!AA16+'Table 5C1A-Madison Prep'!AD16)</f>
        <v>0</v>
      </c>
      <c r="G14" s="356">
        <f>-('Table 5C1B-DArbonne'!AA16+'Table 5C1B-DArbonne'!AD16)</f>
        <v>0</v>
      </c>
      <c r="H14" s="356">
        <f>-('Table 5C1C-Intl_VIBE'!AA16+'Table 5C1C-Intl_VIBE'!AD16)</f>
        <v>0</v>
      </c>
      <c r="I14" s="356">
        <f>-('Table 5C1D-NOMMA'!AA16+'Table 5C1D-NOMMA'!AD16)</f>
        <v>0</v>
      </c>
      <c r="J14" s="356">
        <f>-('Table 5C1E-LFNO'!AC16+'Table 5C1E-LFNO'!AF16)</f>
        <v>0</v>
      </c>
      <c r="K14" s="356">
        <f>-('Table 5C1F-Lake Charles Charter'!AA16+'Table 5C1F-Lake Charles Charter'!AD16)</f>
        <v>0</v>
      </c>
      <c r="L14" s="356">
        <f>-('Table 5C1G-JS Clark Academy'!AA16+'Table 5C1G-JS Clark Academy'!AD16)</f>
        <v>0</v>
      </c>
      <c r="M14" s="356">
        <f>-('Table 5C1H-Southwest LA Charter'!AA16+'Table 5C1H-Southwest LA Charter'!AD16)</f>
        <v>0</v>
      </c>
      <c r="N14" s="356">
        <f>-('Table 5C1I-LA Key Academy'!AA16+'Table 5C1I-LA Key Academy'!AD16)</f>
        <v>0</v>
      </c>
      <c r="O14" s="356">
        <f>-('Table 5C1J-Jefferson Chamber'!AA16+'Table 5C1J-Jefferson Chamber'!AD16)</f>
        <v>0</v>
      </c>
      <c r="P14" s="356">
        <f>-('Table 5C1K-Tallulah Charter'!AA16+'Table 5C1K-Tallulah Charter'!AD16)</f>
        <v>0</v>
      </c>
      <c r="Q14" s="356">
        <f>-('Table 5C1L-Northshore Charter'!AA16+'Table 5C1L-Northshore Charter'!AD16)</f>
        <v>0</v>
      </c>
      <c r="R14" s="356">
        <f>-('Table 5C1M-B.R. Charter'!AA16+'Table 5C1M-B.R. Charter'!AD16)</f>
        <v>0</v>
      </c>
      <c r="S14" s="356">
        <f>-('Table 5C1N-Delta Charter'!AA16+'Table 5C1N-Delta Charter'!AD16)</f>
        <v>0</v>
      </c>
      <c r="T14" s="356">
        <f>-('Table 5C2 - LA Virtual Admy'!AB14+'Table 5C2 - LA Virtual Admy'!AE14)</f>
        <v>-404005.50000000006</v>
      </c>
      <c r="U14" s="356">
        <f>-('Table 5C3 - LA Connections EBR'!AB14+'Table 5C3 - LA Connections EBR'!AE14)</f>
        <v>-290441.7</v>
      </c>
      <c r="V14" s="356">
        <f>-'Table 5E_OJJ'!S16</f>
        <v>-131825.46125305182</v>
      </c>
      <c r="W14" s="356">
        <f t="shared" si="17"/>
        <v>-3454352.6612530518</v>
      </c>
      <c r="X14" s="717">
        <f t="shared" si="18"/>
        <v>201320848.33874696</v>
      </c>
      <c r="AA14" s="49"/>
      <c r="AD14"/>
      <c r="AM14"/>
    </row>
    <row r="15" spans="1:39">
      <c r="A15" s="100">
        <v>10</v>
      </c>
      <c r="B15" s="302" t="s">
        <v>101</v>
      </c>
      <c r="C15" s="318">
        <f>'Table 2_State Distrib and Adjs'!AF17</f>
        <v>149448882</v>
      </c>
      <c r="D15" s="357"/>
      <c r="E15" s="357"/>
      <c r="F15" s="357">
        <f>-('Table 5C1A-Madison Prep'!AA17+'Table 5C1A-Madison Prep'!AD17)</f>
        <v>0</v>
      </c>
      <c r="G15" s="357">
        <f>-('Table 5C1B-DArbonne'!AA17+'Table 5C1B-DArbonne'!AD17)</f>
        <v>0</v>
      </c>
      <c r="H15" s="357">
        <f>-('Table 5C1C-Intl_VIBE'!AA17+'Table 5C1C-Intl_VIBE'!AD17)</f>
        <v>0</v>
      </c>
      <c r="I15" s="357">
        <f>-('Table 5C1D-NOMMA'!AA17+'Table 5C1D-NOMMA'!AD17)</f>
        <v>0</v>
      </c>
      <c r="J15" s="357">
        <f>-('Table 5C1E-LFNO'!AC17+'Table 5C1E-LFNO'!AF17)</f>
        <v>0</v>
      </c>
      <c r="K15" s="357">
        <f>-('Table 5C1F-Lake Charles Charter'!AA17+'Table 5C1F-Lake Charles Charter'!AD17)</f>
        <v>-3909987</v>
      </c>
      <c r="L15" s="357">
        <f>-('Table 5C1G-JS Clark Academy'!AA17+'Table 5C1G-JS Clark Academy'!AD17)</f>
        <v>0</v>
      </c>
      <c r="M15" s="357">
        <f>-('Table 5C1H-Southwest LA Charter'!AA17+'Table 5C1H-Southwest LA Charter'!AD17)</f>
        <v>-3038850</v>
      </c>
      <c r="N15" s="357">
        <f>-('Table 5C1I-LA Key Academy'!AA17+'Table 5C1I-LA Key Academy'!AD17)</f>
        <v>0</v>
      </c>
      <c r="O15" s="357">
        <f>-('Table 5C1J-Jefferson Chamber'!AA17+'Table 5C1J-Jefferson Chamber'!AD17)</f>
        <v>0</v>
      </c>
      <c r="P15" s="357">
        <f>-('Table 5C1K-Tallulah Charter'!AA17+'Table 5C1K-Tallulah Charter'!AD17)</f>
        <v>0</v>
      </c>
      <c r="Q15" s="357">
        <f>-('Table 5C1L-Northshore Charter'!AA17+'Table 5C1L-Northshore Charter'!AD17)</f>
        <v>0</v>
      </c>
      <c r="R15" s="357">
        <f>-('Table 5C1M-B.R. Charter'!AA17+'Table 5C1M-B.R. Charter'!AD17)</f>
        <v>0</v>
      </c>
      <c r="S15" s="357">
        <f>-('Table 5C1N-Delta Charter'!AA17+'Table 5C1N-Delta Charter'!AD17)</f>
        <v>0</v>
      </c>
      <c r="T15" s="357">
        <f>-('Table 5C2 - LA Virtual Admy'!AB15+'Table 5C2 - LA Virtual Admy'!AE15)</f>
        <v>-296696.70000000007</v>
      </c>
      <c r="U15" s="357">
        <f>-('Table 5C3 - LA Connections EBR'!AB15+'Table 5C3 - LA Connections EBR'!AE15)</f>
        <v>-184356.90000000002</v>
      </c>
      <c r="V15" s="357">
        <f>-'Table 5E_OJJ'!S17</f>
        <v>-54071.174942486323</v>
      </c>
      <c r="W15" s="357">
        <f t="shared" si="17"/>
        <v>-7483961.7749424865</v>
      </c>
      <c r="X15" s="718">
        <f t="shared" si="18"/>
        <v>141964920.22505751</v>
      </c>
      <c r="AA15" s="49"/>
      <c r="AD15"/>
      <c r="AM15"/>
    </row>
    <row r="16" spans="1:39">
      <c r="A16" s="99">
        <v>11</v>
      </c>
      <c r="B16" s="301" t="s">
        <v>102</v>
      </c>
      <c r="C16" s="310">
        <f>'Table 2_State Distrib and Adjs'!AF18</f>
        <v>11849460</v>
      </c>
      <c r="D16" s="356"/>
      <c r="E16" s="356"/>
      <c r="F16" s="356">
        <f>-('Table 5C1A-Madison Prep'!AA18+'Table 5C1A-Madison Prep'!AD18)</f>
        <v>0</v>
      </c>
      <c r="G16" s="356">
        <f>-('Table 5C1B-DArbonne'!AA18+'Table 5C1B-DArbonne'!AD18)</f>
        <v>0</v>
      </c>
      <c r="H16" s="356">
        <f>-('Table 5C1C-Intl_VIBE'!AA18+'Table 5C1C-Intl_VIBE'!AD18)</f>
        <v>0</v>
      </c>
      <c r="I16" s="356">
        <f>-('Table 5C1D-NOMMA'!AA18+'Table 5C1D-NOMMA'!AD18)</f>
        <v>0</v>
      </c>
      <c r="J16" s="356">
        <f>-('Table 5C1E-LFNO'!AC18+'Table 5C1E-LFNO'!AF18)</f>
        <v>0</v>
      </c>
      <c r="K16" s="356">
        <f>-('Table 5C1F-Lake Charles Charter'!AA18+'Table 5C1F-Lake Charles Charter'!AD18)</f>
        <v>0</v>
      </c>
      <c r="L16" s="356">
        <f>-('Table 5C1G-JS Clark Academy'!AA18+'Table 5C1G-JS Clark Academy'!AD18)</f>
        <v>0</v>
      </c>
      <c r="M16" s="356">
        <f>-('Table 5C1H-Southwest LA Charter'!AA18+'Table 5C1H-Southwest LA Charter'!AD18)</f>
        <v>0</v>
      </c>
      <c r="N16" s="356">
        <f>-('Table 5C1I-LA Key Academy'!AA18+'Table 5C1I-LA Key Academy'!AD18)</f>
        <v>0</v>
      </c>
      <c r="O16" s="356">
        <f>-('Table 5C1J-Jefferson Chamber'!AA18+'Table 5C1J-Jefferson Chamber'!AD18)</f>
        <v>0</v>
      </c>
      <c r="P16" s="356">
        <f>-('Table 5C1K-Tallulah Charter'!AA18+'Table 5C1K-Tallulah Charter'!AD18)</f>
        <v>0</v>
      </c>
      <c r="Q16" s="356">
        <f>-('Table 5C1L-Northshore Charter'!AA18+'Table 5C1L-Northshore Charter'!AD18)</f>
        <v>0</v>
      </c>
      <c r="R16" s="356">
        <f>-('Table 5C1M-B.R. Charter'!AA18+'Table 5C1M-B.R. Charter'!AD18)</f>
        <v>0</v>
      </c>
      <c r="S16" s="356">
        <f>-('Table 5C1N-Delta Charter'!AA18+'Table 5C1N-Delta Charter'!AD18)</f>
        <v>0</v>
      </c>
      <c r="T16" s="356">
        <f>-('Table 5C2 - LA Virtual Admy'!AB16+'Table 5C2 - LA Virtual Admy'!AE16)</f>
        <v>-11679.3</v>
      </c>
      <c r="U16" s="356">
        <f>-('Table 5C3 - LA Connections EBR'!AB16+'Table 5C3 - LA Connections EBR'!AE16)</f>
        <v>-3398.4</v>
      </c>
      <c r="V16" s="356">
        <f>-'Table 5E_OJJ'!S18</f>
        <v>0</v>
      </c>
      <c r="W16" s="356">
        <f t="shared" si="17"/>
        <v>-15077.699999999999</v>
      </c>
      <c r="X16" s="717">
        <f t="shared" si="18"/>
        <v>11834382.299999999</v>
      </c>
      <c r="AA16" s="49"/>
      <c r="AD16"/>
      <c r="AM16"/>
    </row>
    <row r="17" spans="1:39">
      <c r="A17" s="99">
        <v>12</v>
      </c>
      <c r="B17" s="301" t="s">
        <v>103</v>
      </c>
      <c r="C17" s="310">
        <f>'Table 2_State Distrib and Adjs'!AF19</f>
        <v>3429386</v>
      </c>
      <c r="D17" s="356"/>
      <c r="E17" s="356"/>
      <c r="F17" s="356">
        <f>-('Table 5C1A-Madison Prep'!AA19+'Table 5C1A-Madison Prep'!AD19)</f>
        <v>0</v>
      </c>
      <c r="G17" s="356">
        <f>-('Table 5C1B-DArbonne'!AA19+'Table 5C1B-DArbonne'!AD19)</f>
        <v>0</v>
      </c>
      <c r="H17" s="356">
        <f>-('Table 5C1C-Intl_VIBE'!AA19+'Table 5C1C-Intl_VIBE'!AD19)</f>
        <v>0</v>
      </c>
      <c r="I17" s="356">
        <f>-('Table 5C1D-NOMMA'!AA19+'Table 5C1D-NOMMA'!AD19)</f>
        <v>0</v>
      </c>
      <c r="J17" s="356">
        <f>-('Table 5C1E-LFNO'!AC19+'Table 5C1E-LFNO'!AF19)</f>
        <v>0</v>
      </c>
      <c r="K17" s="356">
        <f>-('Table 5C1F-Lake Charles Charter'!AA19+'Table 5C1F-Lake Charles Charter'!AD19)</f>
        <v>0</v>
      </c>
      <c r="L17" s="356">
        <f>-('Table 5C1G-JS Clark Academy'!AA19+'Table 5C1G-JS Clark Academy'!AD19)</f>
        <v>0</v>
      </c>
      <c r="M17" s="356">
        <f>-('Table 5C1H-Southwest LA Charter'!AA19+'Table 5C1H-Southwest LA Charter'!AD19)</f>
        <v>0</v>
      </c>
      <c r="N17" s="356">
        <f>-('Table 5C1I-LA Key Academy'!AA19+'Table 5C1I-LA Key Academy'!AD19)</f>
        <v>0</v>
      </c>
      <c r="O17" s="356">
        <f>-('Table 5C1J-Jefferson Chamber'!AA19+'Table 5C1J-Jefferson Chamber'!AD19)</f>
        <v>0</v>
      </c>
      <c r="P17" s="356">
        <f>-('Table 5C1K-Tallulah Charter'!AA19+'Table 5C1K-Tallulah Charter'!AD19)</f>
        <v>0</v>
      </c>
      <c r="Q17" s="356">
        <f>-('Table 5C1L-Northshore Charter'!AA19+'Table 5C1L-Northshore Charter'!AD19)</f>
        <v>0</v>
      </c>
      <c r="R17" s="356">
        <f>-('Table 5C1M-B.R. Charter'!AA19+'Table 5C1M-B.R. Charter'!AD19)</f>
        <v>0</v>
      </c>
      <c r="S17" s="356">
        <f>-('Table 5C1N-Delta Charter'!AA19+'Table 5C1N-Delta Charter'!AD19)</f>
        <v>0</v>
      </c>
      <c r="T17" s="356">
        <f>-('Table 5C2 - LA Virtual Admy'!AB17+'Table 5C2 - LA Virtual Admy'!AE17)</f>
        <v>-17971.2</v>
      </c>
      <c r="U17" s="356">
        <f>-('Table 5C3 - LA Connections EBR'!AB17+'Table 5C3 - LA Connections EBR'!AE17)</f>
        <v>-11980.800000000001</v>
      </c>
      <c r="V17" s="356">
        <f>-'Table 5E_OJJ'!S19</f>
        <v>0</v>
      </c>
      <c r="W17" s="356">
        <f t="shared" si="17"/>
        <v>-29952</v>
      </c>
      <c r="X17" s="717">
        <f t="shared" si="18"/>
        <v>3399434</v>
      </c>
      <c r="AA17" s="49"/>
      <c r="AD17"/>
      <c r="AM17"/>
    </row>
    <row r="18" spans="1:39">
      <c r="A18" s="99">
        <v>13</v>
      </c>
      <c r="B18" s="301" t="s">
        <v>104</v>
      </c>
      <c r="C18" s="310">
        <f>'Table 2_State Distrib and Adjs'!AF20</f>
        <v>10061888</v>
      </c>
      <c r="D18" s="356"/>
      <c r="E18" s="356"/>
      <c r="F18" s="356">
        <f>-('Table 5C1A-Madison Prep'!AA20+'Table 5C1A-Madison Prep'!AD20)</f>
        <v>0</v>
      </c>
      <c r="G18" s="356">
        <f>-('Table 5C1B-DArbonne'!AA20+'Table 5C1B-DArbonne'!AD20)</f>
        <v>0</v>
      </c>
      <c r="H18" s="356">
        <f>-('Table 5C1C-Intl_VIBE'!AA20+'Table 5C1C-Intl_VIBE'!AD20)</f>
        <v>0</v>
      </c>
      <c r="I18" s="356">
        <f>-('Table 5C1D-NOMMA'!AA20+'Table 5C1D-NOMMA'!AD20)</f>
        <v>0</v>
      </c>
      <c r="J18" s="356">
        <f>-('Table 5C1E-LFNO'!AC20+'Table 5C1E-LFNO'!AF20)</f>
        <v>0</v>
      </c>
      <c r="K18" s="356">
        <f>-('Table 5C1F-Lake Charles Charter'!AA20+'Table 5C1F-Lake Charles Charter'!AD20)</f>
        <v>0</v>
      </c>
      <c r="L18" s="356">
        <f>-('Table 5C1G-JS Clark Academy'!AA20+'Table 5C1G-JS Clark Academy'!AD20)</f>
        <v>0</v>
      </c>
      <c r="M18" s="356">
        <f>-('Table 5C1H-Southwest LA Charter'!AA20+'Table 5C1H-Southwest LA Charter'!AD20)</f>
        <v>0</v>
      </c>
      <c r="N18" s="356">
        <f>-('Table 5C1I-LA Key Academy'!AA20+'Table 5C1I-LA Key Academy'!AD20)</f>
        <v>0</v>
      </c>
      <c r="O18" s="356">
        <f>-('Table 5C1J-Jefferson Chamber'!AA20+'Table 5C1J-Jefferson Chamber'!AD20)</f>
        <v>0</v>
      </c>
      <c r="P18" s="356">
        <f>-('Table 5C1K-Tallulah Charter'!AA20+'Table 5C1K-Tallulah Charter'!AD20)</f>
        <v>0</v>
      </c>
      <c r="Q18" s="356">
        <f>-('Table 5C1L-Northshore Charter'!AA20+'Table 5C1L-Northshore Charter'!AD20)</f>
        <v>0</v>
      </c>
      <c r="R18" s="356">
        <f>-('Table 5C1M-B.R. Charter'!AA20+'Table 5C1M-B.R. Charter'!AD20)</f>
        <v>0</v>
      </c>
      <c r="S18" s="356">
        <f>-('Table 5C1N-Delta Charter'!AA20+'Table 5C1N-Delta Charter'!AD20)</f>
        <v>-109511</v>
      </c>
      <c r="T18" s="356">
        <f>-('Table 5C2 - LA Virtual Admy'!AB18+'Table 5C2 - LA Virtual Admy'!AE18)</f>
        <v>-1663.1999999999971</v>
      </c>
      <c r="U18" s="356">
        <f>-('Table 5C3 - LA Connections EBR'!AB18+'Table 5C3 - LA Connections EBR'!AE18)</f>
        <v>-20433.150000000001</v>
      </c>
      <c r="V18" s="356">
        <f>-'Table 5E_OJJ'!S20</f>
        <v>0</v>
      </c>
      <c r="W18" s="356">
        <f t="shared" si="17"/>
        <v>-131607.35</v>
      </c>
      <c r="X18" s="717">
        <f t="shared" si="18"/>
        <v>9930280.6500000004</v>
      </c>
      <c r="AA18" s="49"/>
      <c r="AD18"/>
      <c r="AM18"/>
    </row>
    <row r="19" spans="1:39">
      <c r="A19" s="99">
        <v>14</v>
      </c>
      <c r="B19" s="301" t="s">
        <v>105</v>
      </c>
      <c r="C19" s="310">
        <f>'Table 2_State Distrib and Adjs'!AF21</f>
        <v>10288490</v>
      </c>
      <c r="D19" s="356"/>
      <c r="E19" s="356"/>
      <c r="F19" s="356">
        <f>-('Table 5C1A-Madison Prep'!AA21+'Table 5C1A-Madison Prep'!AD21)</f>
        <v>0</v>
      </c>
      <c r="G19" s="356">
        <f>-('Table 5C1B-DArbonne'!AA21+'Table 5C1B-DArbonne'!AD21)</f>
        <v>-8878</v>
      </c>
      <c r="H19" s="356">
        <f>-('Table 5C1C-Intl_VIBE'!AA21+'Table 5C1C-Intl_VIBE'!AD21)</f>
        <v>0</v>
      </c>
      <c r="I19" s="356">
        <f>-('Table 5C1D-NOMMA'!AA21+'Table 5C1D-NOMMA'!AD21)</f>
        <v>0</v>
      </c>
      <c r="J19" s="356">
        <f>-('Table 5C1E-LFNO'!AC21+'Table 5C1E-LFNO'!AF21)</f>
        <v>0</v>
      </c>
      <c r="K19" s="356">
        <f>-('Table 5C1F-Lake Charles Charter'!AA21+'Table 5C1F-Lake Charles Charter'!AD21)</f>
        <v>0</v>
      </c>
      <c r="L19" s="356">
        <f>-('Table 5C1G-JS Clark Academy'!AA21+'Table 5C1G-JS Clark Academy'!AD21)</f>
        <v>0</v>
      </c>
      <c r="M19" s="356">
        <f>-('Table 5C1H-Southwest LA Charter'!AA21+'Table 5C1H-Southwest LA Charter'!AD21)</f>
        <v>0</v>
      </c>
      <c r="N19" s="356">
        <f>-('Table 5C1I-LA Key Academy'!AA21+'Table 5C1I-LA Key Academy'!AD21)</f>
        <v>0</v>
      </c>
      <c r="O19" s="356">
        <f>-('Table 5C1J-Jefferson Chamber'!AA21+'Table 5C1J-Jefferson Chamber'!AD21)</f>
        <v>0</v>
      </c>
      <c r="P19" s="356">
        <f>-('Table 5C1K-Tallulah Charter'!AA21+'Table 5C1K-Tallulah Charter'!AD21)</f>
        <v>0</v>
      </c>
      <c r="Q19" s="356">
        <f>-('Table 5C1L-Northshore Charter'!AA21+'Table 5C1L-Northshore Charter'!AD21)</f>
        <v>0</v>
      </c>
      <c r="R19" s="356">
        <f>-('Table 5C1M-B.R. Charter'!AA21+'Table 5C1M-B.R. Charter'!AD21)</f>
        <v>0</v>
      </c>
      <c r="S19" s="356">
        <f>-('Table 5C1N-Delta Charter'!AA21+'Table 5C1N-Delta Charter'!AD21)</f>
        <v>0</v>
      </c>
      <c r="T19" s="356">
        <f>-('Table 5C2 - LA Virtual Admy'!AB19+'Table 5C2 - LA Virtual Admy'!AE19)</f>
        <v>-489.14999999999986</v>
      </c>
      <c r="U19" s="356">
        <f>-('Table 5C3 - LA Connections EBR'!AB19+'Table 5C3 - LA Connections EBR'!AE19)</f>
        <v>-59926.5</v>
      </c>
      <c r="V19" s="356">
        <f>-'Table 5E_OJJ'!S21</f>
        <v>-7126.3885134451812</v>
      </c>
      <c r="W19" s="356">
        <f t="shared" si="17"/>
        <v>-76420.038513445179</v>
      </c>
      <c r="X19" s="717">
        <f t="shared" si="18"/>
        <v>10212069.961486554</v>
      </c>
      <c r="AA19" s="49"/>
      <c r="AD19"/>
      <c r="AM19"/>
    </row>
    <row r="20" spans="1:39">
      <c r="A20" s="100">
        <v>15</v>
      </c>
      <c r="B20" s="302" t="s">
        <v>106</v>
      </c>
      <c r="C20" s="318">
        <f>'Table 2_State Distrib and Adjs'!AF22</f>
        <v>20658914</v>
      </c>
      <c r="D20" s="357"/>
      <c r="E20" s="357"/>
      <c r="F20" s="357">
        <f>-('Table 5C1A-Madison Prep'!AA22+'Table 5C1A-Madison Prep'!AD22)</f>
        <v>0</v>
      </c>
      <c r="G20" s="357">
        <f>-('Table 5C1B-DArbonne'!AA22+'Table 5C1B-DArbonne'!AD22)</f>
        <v>0</v>
      </c>
      <c r="H20" s="357">
        <f>-('Table 5C1C-Intl_VIBE'!AA22+'Table 5C1C-Intl_VIBE'!AD22)</f>
        <v>0</v>
      </c>
      <c r="I20" s="357">
        <f>-('Table 5C1D-NOMMA'!AA22+'Table 5C1D-NOMMA'!AD22)</f>
        <v>0</v>
      </c>
      <c r="J20" s="357">
        <f>-('Table 5C1E-LFNO'!AC22+'Table 5C1E-LFNO'!AF22)</f>
        <v>0</v>
      </c>
      <c r="K20" s="357">
        <f>-('Table 5C1F-Lake Charles Charter'!AA22+'Table 5C1F-Lake Charles Charter'!AD22)</f>
        <v>0</v>
      </c>
      <c r="L20" s="357">
        <f>-('Table 5C1G-JS Clark Academy'!AA22+'Table 5C1G-JS Clark Academy'!AD22)</f>
        <v>0</v>
      </c>
      <c r="M20" s="357">
        <f>-('Table 5C1H-Southwest LA Charter'!AA22+'Table 5C1H-Southwest LA Charter'!AD22)</f>
        <v>0</v>
      </c>
      <c r="N20" s="357">
        <f>-('Table 5C1I-LA Key Academy'!AA22+'Table 5C1I-LA Key Academy'!AD22)</f>
        <v>0</v>
      </c>
      <c r="O20" s="357">
        <f>-('Table 5C1J-Jefferson Chamber'!AA22+'Table 5C1J-Jefferson Chamber'!AD22)</f>
        <v>0</v>
      </c>
      <c r="P20" s="357">
        <f>-('Table 5C1K-Tallulah Charter'!AA22+'Table 5C1K-Tallulah Charter'!AD22)</f>
        <v>0</v>
      </c>
      <c r="Q20" s="357">
        <f>-('Table 5C1L-Northshore Charter'!AA22+'Table 5C1L-Northshore Charter'!AD22)</f>
        <v>0</v>
      </c>
      <c r="R20" s="357">
        <f>-('Table 5C1M-B.R. Charter'!AA22+'Table 5C1M-B.R. Charter'!AD22)</f>
        <v>0</v>
      </c>
      <c r="S20" s="357">
        <f>-('Table 5C1N-Delta Charter'!AA22+'Table 5C1N-Delta Charter'!AD22)</f>
        <v>-757400</v>
      </c>
      <c r="T20" s="357">
        <f>-('Table 5C2 - LA Virtual Admy'!AB20+'Table 5C2 - LA Virtual Admy'!AE20)</f>
        <v>-55665</v>
      </c>
      <c r="U20" s="357">
        <f>-('Table 5C3 - LA Connections EBR'!AB20+'Table 5C3 - LA Connections EBR'!AE20)</f>
        <v>-11340</v>
      </c>
      <c r="V20" s="357">
        <f>-'Table 5E_OJJ'!S22</f>
        <v>-3798.5781557995674</v>
      </c>
      <c r="W20" s="357">
        <f t="shared" si="17"/>
        <v>-828203.57815579954</v>
      </c>
      <c r="X20" s="718">
        <f t="shared" si="18"/>
        <v>19830710.421844199</v>
      </c>
      <c r="AA20" s="49"/>
      <c r="AD20"/>
      <c r="AM20"/>
    </row>
    <row r="21" spans="1:39">
      <c r="A21" s="99">
        <v>16</v>
      </c>
      <c r="B21" s="301" t="s">
        <v>107</v>
      </c>
      <c r="C21" s="310">
        <f>'Table 2_State Distrib and Adjs'!AF23</f>
        <v>10787264</v>
      </c>
      <c r="D21" s="356"/>
      <c r="E21" s="356"/>
      <c r="F21" s="356">
        <f>-('Table 5C1A-Madison Prep'!AA23+'Table 5C1A-Madison Prep'!AD23)</f>
        <v>0</v>
      </c>
      <c r="G21" s="356">
        <f>-('Table 5C1B-DArbonne'!AA23+'Table 5C1B-DArbonne'!AD23)</f>
        <v>0</v>
      </c>
      <c r="H21" s="356">
        <f>-('Table 5C1C-Intl_VIBE'!AA23+'Table 5C1C-Intl_VIBE'!AD23)</f>
        <v>0</v>
      </c>
      <c r="I21" s="356">
        <f>-('Table 5C1D-NOMMA'!AA23+'Table 5C1D-NOMMA'!AD23)</f>
        <v>0</v>
      </c>
      <c r="J21" s="356">
        <f>-('Table 5C1E-LFNO'!AC23+'Table 5C1E-LFNO'!AF23)</f>
        <v>0</v>
      </c>
      <c r="K21" s="356">
        <f>-('Table 5C1F-Lake Charles Charter'!AA23+'Table 5C1F-Lake Charles Charter'!AD23)</f>
        <v>0</v>
      </c>
      <c r="L21" s="356">
        <f>-('Table 5C1G-JS Clark Academy'!AA23+'Table 5C1G-JS Clark Academy'!AD23)</f>
        <v>0</v>
      </c>
      <c r="M21" s="356">
        <f>-('Table 5C1H-Southwest LA Charter'!AA23+'Table 5C1H-Southwest LA Charter'!AD23)</f>
        <v>0</v>
      </c>
      <c r="N21" s="356">
        <f>-('Table 5C1I-LA Key Academy'!AA23+'Table 5C1I-LA Key Academy'!AD23)</f>
        <v>0</v>
      </c>
      <c r="O21" s="356">
        <f>-('Table 5C1J-Jefferson Chamber'!AA23+'Table 5C1J-Jefferson Chamber'!AD23)</f>
        <v>0</v>
      </c>
      <c r="P21" s="356">
        <f>-('Table 5C1K-Tallulah Charter'!AA23+'Table 5C1K-Tallulah Charter'!AD23)</f>
        <v>0</v>
      </c>
      <c r="Q21" s="356">
        <f>-('Table 5C1L-Northshore Charter'!AA23+'Table 5C1L-Northshore Charter'!AD23)</f>
        <v>0</v>
      </c>
      <c r="R21" s="356">
        <f>-('Table 5C1M-B.R. Charter'!AA23+'Table 5C1M-B.R. Charter'!AD23)</f>
        <v>0</v>
      </c>
      <c r="S21" s="356">
        <f>-('Table 5C1N-Delta Charter'!AA23+'Table 5C1N-Delta Charter'!AD23)</f>
        <v>0</v>
      </c>
      <c r="T21" s="356">
        <f>-('Table 5C2 - LA Virtual Admy'!AB21+'Table 5C2 - LA Virtual Admy'!AE21)</f>
        <v>-210535.2</v>
      </c>
      <c r="U21" s="356">
        <f>-('Table 5C3 - LA Connections EBR'!AB21+'Table 5C3 - LA Connections EBR'!AE21)</f>
        <v>-60944.4</v>
      </c>
      <c r="V21" s="356">
        <f>-'Table 5E_OJJ'!S23</f>
        <v>-7884.2008113630727</v>
      </c>
      <c r="W21" s="356">
        <f t="shared" si="17"/>
        <v>-279363.80081136309</v>
      </c>
      <c r="X21" s="717">
        <f t="shared" si="18"/>
        <v>10507900.199188637</v>
      </c>
      <c r="AA21" s="49"/>
      <c r="AD21"/>
      <c r="AM21"/>
    </row>
    <row r="22" spans="1:39">
      <c r="A22" s="99">
        <v>17</v>
      </c>
      <c r="B22" s="301" t="s">
        <v>108</v>
      </c>
      <c r="C22" s="310">
        <f>'Table 2_State Distrib and Adjs'!AF24</f>
        <v>165385874</v>
      </c>
      <c r="D22" s="356">
        <f>-'Table 5B2_RSD_LA'!AD18-'Table 5B2_RSD_LA'!AI18-'Table 5B2_RSD_LA'!AJ18</f>
        <v>-12898005</v>
      </c>
      <c r="E22" s="356"/>
      <c r="F22" s="356">
        <f>-('Table 5C1A-Madison Prep'!AA24+'Table 5C1A-Madison Prep'!AD24)</f>
        <v>-1802325</v>
      </c>
      <c r="G22" s="356">
        <f>-('Table 5C1B-DArbonne'!AA24+'Table 5C1B-DArbonne'!AD24)</f>
        <v>0</v>
      </c>
      <c r="H22" s="356">
        <f>-('Table 5C1C-Intl_VIBE'!AA24+'Table 5C1C-Intl_VIBE'!AD24)</f>
        <v>0</v>
      </c>
      <c r="I22" s="356">
        <f>-('Table 5C1D-NOMMA'!AA24+'Table 5C1D-NOMMA'!AD24)</f>
        <v>0</v>
      </c>
      <c r="J22" s="356">
        <f>-('Table 5C1E-LFNO'!AC24+'Table 5C1E-LFNO'!AF24)</f>
        <v>0</v>
      </c>
      <c r="K22" s="356">
        <f>-('Table 5C1F-Lake Charles Charter'!AA24+'Table 5C1F-Lake Charles Charter'!AD24)</f>
        <v>0</v>
      </c>
      <c r="L22" s="356">
        <f>-('Table 5C1G-JS Clark Academy'!AA24+'Table 5C1G-JS Clark Academy'!AD24)</f>
        <v>0</v>
      </c>
      <c r="M22" s="356">
        <f>-('Table 5C1H-Southwest LA Charter'!AA24+'Table 5C1H-Southwest LA Charter'!AD24)</f>
        <v>0</v>
      </c>
      <c r="N22" s="356">
        <f>-('Table 5C1I-LA Key Academy'!AA24+'Table 5C1I-LA Key Academy'!AD24)</f>
        <v>-744961</v>
      </c>
      <c r="O22" s="356">
        <f>-('Table 5C1J-Jefferson Chamber'!AA24+'Table 5C1J-Jefferson Chamber'!AD24)</f>
        <v>0</v>
      </c>
      <c r="P22" s="356">
        <f>-('Table 5C1K-Tallulah Charter'!AA24+'Table 5C1K-Tallulah Charter'!AD24)</f>
        <v>0</v>
      </c>
      <c r="Q22" s="356">
        <f>-('Table 5C1L-Northshore Charter'!AA24+'Table 5C1L-Northshore Charter'!AD24)</f>
        <v>0</v>
      </c>
      <c r="R22" s="356">
        <f>-('Table 5C1M-B.R. Charter'!AA24+'Table 5C1M-B.R. Charter'!AD24)</f>
        <v>-3213288</v>
      </c>
      <c r="S22" s="356">
        <f>-('Table 5C1N-Delta Charter'!AA24+'Table 5C1N-Delta Charter'!AD24)</f>
        <v>-3433</v>
      </c>
      <c r="T22" s="356">
        <f>-('Table 5C2 - LA Virtual Admy'!AB22+'Table 5C2 - LA Virtual Admy'!AE22)</f>
        <v>-690139.80000000016</v>
      </c>
      <c r="U22" s="356">
        <f>-('Table 5C3 - LA Connections EBR'!AB22+'Table 5C3 - LA Connections EBR'!AE22)</f>
        <v>-528577.19999999995</v>
      </c>
      <c r="V22" s="356">
        <f>-'Table 5E_OJJ'!S24</f>
        <v>-184553.90727012081</v>
      </c>
      <c r="W22" s="356">
        <f t="shared" si="17"/>
        <v>-20065282.907270122</v>
      </c>
      <c r="X22" s="717">
        <f t="shared" si="18"/>
        <v>145320591.09272987</v>
      </c>
      <c r="AA22" s="49"/>
      <c r="AD22"/>
      <c r="AM22"/>
    </row>
    <row r="23" spans="1:39">
      <c r="A23" s="99">
        <v>18</v>
      </c>
      <c r="B23" s="301" t="s">
        <v>109</v>
      </c>
      <c r="C23" s="310">
        <f>'Table 2_State Distrib and Adjs'!AF25</f>
        <v>7242846</v>
      </c>
      <c r="D23" s="356"/>
      <c r="E23" s="356"/>
      <c r="F23" s="356">
        <f>-('Table 5C1A-Madison Prep'!AA25+'Table 5C1A-Madison Prep'!AD25)</f>
        <v>0</v>
      </c>
      <c r="G23" s="356">
        <f>-('Table 5C1B-DArbonne'!AA25+'Table 5C1B-DArbonne'!AD25)</f>
        <v>0</v>
      </c>
      <c r="H23" s="356">
        <f>-('Table 5C1C-Intl_VIBE'!AA25+'Table 5C1C-Intl_VIBE'!AD25)</f>
        <v>0</v>
      </c>
      <c r="I23" s="356">
        <f>-('Table 5C1D-NOMMA'!AA25+'Table 5C1D-NOMMA'!AD25)</f>
        <v>0</v>
      </c>
      <c r="J23" s="356">
        <f>-('Table 5C1E-LFNO'!AC25+'Table 5C1E-LFNO'!AF25)</f>
        <v>0</v>
      </c>
      <c r="K23" s="356">
        <f>-('Table 5C1F-Lake Charles Charter'!AA25+'Table 5C1F-Lake Charles Charter'!AD25)</f>
        <v>0</v>
      </c>
      <c r="L23" s="356">
        <f>-('Table 5C1G-JS Clark Academy'!AA25+'Table 5C1G-JS Clark Academy'!AD25)</f>
        <v>0</v>
      </c>
      <c r="M23" s="356">
        <f>-('Table 5C1H-Southwest LA Charter'!AA25+'Table 5C1H-Southwest LA Charter'!AD25)</f>
        <v>0</v>
      </c>
      <c r="N23" s="356">
        <f>-('Table 5C1I-LA Key Academy'!AA25+'Table 5C1I-LA Key Academy'!AD25)</f>
        <v>0</v>
      </c>
      <c r="O23" s="356">
        <f>-('Table 5C1J-Jefferson Chamber'!AA25+'Table 5C1J-Jefferson Chamber'!AD25)</f>
        <v>0</v>
      </c>
      <c r="P23" s="356">
        <f>-('Table 5C1K-Tallulah Charter'!AA25+'Table 5C1K-Tallulah Charter'!AD25)</f>
        <v>0</v>
      </c>
      <c r="Q23" s="356">
        <f>-('Table 5C1L-Northshore Charter'!AA25+'Table 5C1L-Northshore Charter'!AD25)</f>
        <v>0</v>
      </c>
      <c r="R23" s="356">
        <f>-('Table 5C1M-B.R. Charter'!AA25+'Table 5C1M-B.R. Charter'!AD25)</f>
        <v>0</v>
      </c>
      <c r="S23" s="356">
        <f>-('Table 5C1N-Delta Charter'!AA25+'Table 5C1N-Delta Charter'!AD25)</f>
        <v>0</v>
      </c>
      <c r="T23" s="356">
        <f>-('Table 5C2 - LA Virtual Admy'!AB23+'Table 5C2 - LA Virtual Admy'!AE23)</f>
        <v>-8291.7000000000007</v>
      </c>
      <c r="U23" s="356">
        <f>-('Table 5C3 - LA Connections EBR'!AB23+'Table 5C3 - LA Connections EBR'!AE23)</f>
        <v>0</v>
      </c>
      <c r="V23" s="356">
        <f>-'Table 5E_OJJ'!S25</f>
        <v>-112.42689593829242</v>
      </c>
      <c r="W23" s="356">
        <f t="shared" si="17"/>
        <v>-8404.1268959382924</v>
      </c>
      <c r="X23" s="717">
        <f t="shared" si="18"/>
        <v>7234441.8731040619</v>
      </c>
      <c r="AA23" s="49"/>
      <c r="AD23"/>
      <c r="AM23"/>
    </row>
    <row r="24" spans="1:39">
      <c r="A24" s="99">
        <v>19</v>
      </c>
      <c r="B24" s="301" t="s">
        <v>110</v>
      </c>
      <c r="C24" s="310">
        <f>'Table 2_State Distrib and Adjs'!AF26</f>
        <v>11712456</v>
      </c>
      <c r="D24" s="356"/>
      <c r="E24" s="356"/>
      <c r="F24" s="356">
        <f>-('Table 5C1A-Madison Prep'!AA26+'Table 5C1A-Madison Prep'!AD26)</f>
        <v>0</v>
      </c>
      <c r="G24" s="356">
        <f>-('Table 5C1B-DArbonne'!AA26+'Table 5C1B-DArbonne'!AD26)</f>
        <v>0</v>
      </c>
      <c r="H24" s="356">
        <f>-('Table 5C1C-Intl_VIBE'!AA26+'Table 5C1C-Intl_VIBE'!AD26)</f>
        <v>0</v>
      </c>
      <c r="I24" s="356">
        <f>-('Table 5C1D-NOMMA'!AA26+'Table 5C1D-NOMMA'!AD26)</f>
        <v>0</v>
      </c>
      <c r="J24" s="356">
        <f>-('Table 5C1E-LFNO'!AC26+'Table 5C1E-LFNO'!AF26)</f>
        <v>0</v>
      </c>
      <c r="K24" s="356">
        <f>-('Table 5C1F-Lake Charles Charter'!AA26+'Table 5C1F-Lake Charles Charter'!AD26)</f>
        <v>0</v>
      </c>
      <c r="L24" s="356">
        <f>-('Table 5C1G-JS Clark Academy'!AA26+'Table 5C1G-JS Clark Academy'!AD26)</f>
        <v>0</v>
      </c>
      <c r="M24" s="356">
        <f>-('Table 5C1H-Southwest LA Charter'!AA26+'Table 5C1H-Southwest LA Charter'!AD26)</f>
        <v>0</v>
      </c>
      <c r="N24" s="356">
        <f>-('Table 5C1I-LA Key Academy'!AA26+'Table 5C1I-LA Key Academy'!AD26)</f>
        <v>-5132</v>
      </c>
      <c r="O24" s="356">
        <f>-('Table 5C1J-Jefferson Chamber'!AA26+'Table 5C1J-Jefferson Chamber'!AD26)</f>
        <v>0</v>
      </c>
      <c r="P24" s="356">
        <f>-('Table 5C1K-Tallulah Charter'!AA26+'Table 5C1K-Tallulah Charter'!AD26)</f>
        <v>0</v>
      </c>
      <c r="Q24" s="356">
        <f>-('Table 5C1L-Northshore Charter'!AA26+'Table 5C1L-Northshore Charter'!AD26)</f>
        <v>0</v>
      </c>
      <c r="R24" s="356">
        <f>-('Table 5C1M-B.R. Charter'!AA26+'Table 5C1M-B.R. Charter'!AD26)</f>
        <v>-3849</v>
      </c>
      <c r="S24" s="356">
        <f>-('Table 5C1N-Delta Charter'!AA26+'Table 5C1N-Delta Charter'!AD26)</f>
        <v>0</v>
      </c>
      <c r="T24" s="356">
        <f>-('Table 5C2 - LA Virtual Admy'!AB24+'Table 5C2 - LA Virtual Admy'!AE24)</f>
        <v>-32188.050000000003</v>
      </c>
      <c r="U24" s="356">
        <f>-('Table 5C3 - LA Connections EBR'!AB24+'Table 5C3 - LA Connections EBR'!AE24)</f>
        <v>-12701.7</v>
      </c>
      <c r="V24" s="356">
        <f>-'Table 5E_OJJ'!S26</f>
        <v>-3345.8549357096967</v>
      </c>
      <c r="W24" s="356">
        <f t="shared" si="17"/>
        <v>-57216.6049357097</v>
      </c>
      <c r="X24" s="717">
        <f t="shared" si="18"/>
        <v>11655239.395064291</v>
      </c>
      <c r="AA24" s="49"/>
      <c r="AD24"/>
      <c r="AM24"/>
    </row>
    <row r="25" spans="1:39">
      <c r="A25" s="100">
        <v>20</v>
      </c>
      <c r="B25" s="302" t="s">
        <v>111</v>
      </c>
      <c r="C25" s="318">
        <f>'Table 2_State Distrib and Adjs'!AF27</f>
        <v>35332497</v>
      </c>
      <c r="D25" s="357"/>
      <c r="E25" s="357"/>
      <c r="F25" s="357">
        <f>-('Table 5C1A-Madison Prep'!AA27+'Table 5C1A-Madison Prep'!AD27)</f>
        <v>0</v>
      </c>
      <c r="G25" s="357">
        <f>-('Table 5C1B-DArbonne'!AA27+'Table 5C1B-DArbonne'!AD27)</f>
        <v>0</v>
      </c>
      <c r="H25" s="357">
        <f>-('Table 5C1C-Intl_VIBE'!AA27+'Table 5C1C-Intl_VIBE'!AD27)</f>
        <v>0</v>
      </c>
      <c r="I25" s="357">
        <f>-('Table 5C1D-NOMMA'!AA27+'Table 5C1D-NOMMA'!AD27)</f>
        <v>0</v>
      </c>
      <c r="J25" s="357">
        <f>-('Table 5C1E-LFNO'!AC27+'Table 5C1E-LFNO'!AF27)</f>
        <v>0</v>
      </c>
      <c r="K25" s="357">
        <f>-('Table 5C1F-Lake Charles Charter'!AA27+'Table 5C1F-Lake Charles Charter'!AD27)</f>
        <v>0</v>
      </c>
      <c r="L25" s="357">
        <f>-('Table 5C1G-JS Clark Academy'!AA27+'Table 5C1G-JS Clark Academy'!AD27)</f>
        <v>0</v>
      </c>
      <c r="M25" s="357">
        <f>-('Table 5C1H-Southwest LA Charter'!AA27+'Table 5C1H-Southwest LA Charter'!AD27)</f>
        <v>0</v>
      </c>
      <c r="N25" s="357">
        <f>-('Table 5C1I-LA Key Academy'!AA27+'Table 5C1I-LA Key Academy'!AD27)</f>
        <v>0</v>
      </c>
      <c r="O25" s="357">
        <f>-('Table 5C1J-Jefferson Chamber'!AA27+'Table 5C1J-Jefferson Chamber'!AD27)</f>
        <v>0</v>
      </c>
      <c r="P25" s="357">
        <f>-('Table 5C1K-Tallulah Charter'!AA27+'Table 5C1K-Tallulah Charter'!AD27)</f>
        <v>0</v>
      </c>
      <c r="Q25" s="357">
        <f>-('Table 5C1L-Northshore Charter'!AA27+'Table 5C1L-Northshore Charter'!AD27)</f>
        <v>0</v>
      </c>
      <c r="R25" s="357">
        <f>-('Table 5C1M-B.R. Charter'!AA27+'Table 5C1M-B.R. Charter'!AD27)</f>
        <v>0</v>
      </c>
      <c r="S25" s="357">
        <f>-('Table 5C1N-Delta Charter'!AA27+'Table 5C1N-Delta Charter'!AD27)</f>
        <v>0</v>
      </c>
      <c r="T25" s="357">
        <f>-('Table 5C2 - LA Virtual Admy'!AB25+'Table 5C2 - LA Virtual Admy'!AE25)</f>
        <v>-18662.849999999999</v>
      </c>
      <c r="U25" s="357">
        <f>-('Table 5C3 - LA Connections EBR'!AB25+'Table 5C3 - LA Connections EBR'!AE25)</f>
        <v>-15332.850000000002</v>
      </c>
      <c r="V25" s="357">
        <f>-'Table 5E_OJJ'!S27</f>
        <v>-23595.867517750212</v>
      </c>
      <c r="W25" s="357">
        <f t="shared" si="17"/>
        <v>-57591.567517750213</v>
      </c>
      <c r="X25" s="718">
        <f t="shared" si="18"/>
        <v>35274905.43248225</v>
      </c>
      <c r="AA25" s="49"/>
      <c r="AD25"/>
      <c r="AM25"/>
    </row>
    <row r="26" spans="1:39">
      <c r="A26" s="99">
        <v>21</v>
      </c>
      <c r="B26" s="301" t="s">
        <v>112</v>
      </c>
      <c r="C26" s="310">
        <f>'Table 2_State Distrib and Adjs'!AF28</f>
        <v>18358513</v>
      </c>
      <c r="D26" s="356"/>
      <c r="E26" s="356"/>
      <c r="F26" s="356">
        <f>-('Table 5C1A-Madison Prep'!AA28+'Table 5C1A-Madison Prep'!AD28)</f>
        <v>0</v>
      </c>
      <c r="G26" s="356">
        <f>-('Table 5C1B-DArbonne'!AA28+'Table 5C1B-DArbonne'!AD28)</f>
        <v>0</v>
      </c>
      <c r="H26" s="356">
        <f>-('Table 5C1C-Intl_VIBE'!AA28+'Table 5C1C-Intl_VIBE'!AD28)</f>
        <v>0</v>
      </c>
      <c r="I26" s="356">
        <f>-('Table 5C1D-NOMMA'!AA28+'Table 5C1D-NOMMA'!AD28)</f>
        <v>0</v>
      </c>
      <c r="J26" s="356">
        <f>-('Table 5C1E-LFNO'!AC28+'Table 5C1E-LFNO'!AF28)</f>
        <v>0</v>
      </c>
      <c r="K26" s="356">
        <f>-('Table 5C1F-Lake Charles Charter'!AA28+'Table 5C1F-Lake Charles Charter'!AD28)</f>
        <v>0</v>
      </c>
      <c r="L26" s="356">
        <f>-('Table 5C1G-JS Clark Academy'!AA28+'Table 5C1G-JS Clark Academy'!AD28)</f>
        <v>0</v>
      </c>
      <c r="M26" s="356">
        <f>-('Table 5C1H-Southwest LA Charter'!AA28+'Table 5C1H-Southwest LA Charter'!AD28)</f>
        <v>0</v>
      </c>
      <c r="N26" s="356">
        <f>-('Table 5C1I-LA Key Academy'!AA28+'Table 5C1I-LA Key Academy'!AD28)</f>
        <v>0</v>
      </c>
      <c r="O26" s="356">
        <f>-('Table 5C1J-Jefferson Chamber'!AA28+'Table 5C1J-Jefferson Chamber'!AD28)</f>
        <v>0</v>
      </c>
      <c r="P26" s="356">
        <f>-('Table 5C1K-Tallulah Charter'!AA28+'Table 5C1K-Tallulah Charter'!AD28)</f>
        <v>0</v>
      </c>
      <c r="Q26" s="356">
        <f>-('Table 5C1L-Northshore Charter'!AA28+'Table 5C1L-Northshore Charter'!AD28)</f>
        <v>0</v>
      </c>
      <c r="R26" s="356">
        <f>-('Table 5C1M-B.R. Charter'!AA28+'Table 5C1M-B.R. Charter'!AD28)</f>
        <v>0</v>
      </c>
      <c r="S26" s="356">
        <f>-('Table 5C1N-Delta Charter'!AA28+'Table 5C1N-Delta Charter'!AD28)</f>
        <v>-4890</v>
      </c>
      <c r="T26" s="356">
        <f>-('Table 5C2 - LA Virtual Admy'!AB26+'Table 5C2 - LA Virtual Admy'!AE26)</f>
        <v>-15992.1</v>
      </c>
      <c r="U26" s="356">
        <f>-('Table 5C3 - LA Connections EBR'!AB26+'Table 5C3 - LA Connections EBR'!AE26)</f>
        <v>-15403.5</v>
      </c>
      <c r="V26" s="356">
        <f>-'Table 5E_OJJ'!S28</f>
        <v>-7797.9382796267046</v>
      </c>
      <c r="W26" s="356">
        <f t="shared" si="17"/>
        <v>-44083.5382796267</v>
      </c>
      <c r="X26" s="717">
        <f t="shared" si="18"/>
        <v>18314429.461720373</v>
      </c>
      <c r="AA26" s="49"/>
      <c r="AD26"/>
      <c r="AM26"/>
    </row>
    <row r="27" spans="1:39">
      <c r="A27" s="99">
        <v>22</v>
      </c>
      <c r="B27" s="301" t="s">
        <v>113</v>
      </c>
      <c r="C27" s="310">
        <f>'Table 2_State Distrib and Adjs'!AF29</f>
        <v>20956516</v>
      </c>
      <c r="D27" s="356"/>
      <c r="E27" s="356"/>
      <c r="F27" s="356">
        <f>-('Table 5C1A-Madison Prep'!AA29+'Table 5C1A-Madison Prep'!AD29)</f>
        <v>0</v>
      </c>
      <c r="G27" s="356">
        <f>-('Table 5C1B-DArbonne'!AA29+'Table 5C1B-DArbonne'!AD29)</f>
        <v>0</v>
      </c>
      <c r="H27" s="356">
        <f>-('Table 5C1C-Intl_VIBE'!AA29+'Table 5C1C-Intl_VIBE'!AD29)</f>
        <v>0</v>
      </c>
      <c r="I27" s="356">
        <f>-('Table 5C1D-NOMMA'!AA29+'Table 5C1D-NOMMA'!AD29)</f>
        <v>0</v>
      </c>
      <c r="J27" s="356">
        <f>-('Table 5C1E-LFNO'!AC29+'Table 5C1E-LFNO'!AF29)</f>
        <v>0</v>
      </c>
      <c r="K27" s="356">
        <f>-('Table 5C1F-Lake Charles Charter'!AA29+'Table 5C1F-Lake Charles Charter'!AD29)</f>
        <v>0</v>
      </c>
      <c r="L27" s="356">
        <f>-('Table 5C1G-JS Clark Academy'!AA29+'Table 5C1G-JS Clark Academy'!AD29)</f>
        <v>0</v>
      </c>
      <c r="M27" s="356">
        <f>-('Table 5C1H-Southwest LA Charter'!AA29+'Table 5C1H-Southwest LA Charter'!AD29)</f>
        <v>0</v>
      </c>
      <c r="N27" s="356">
        <f>-('Table 5C1I-LA Key Academy'!AA29+'Table 5C1I-LA Key Academy'!AD29)</f>
        <v>0</v>
      </c>
      <c r="O27" s="356">
        <f>-('Table 5C1J-Jefferson Chamber'!AA29+'Table 5C1J-Jefferson Chamber'!AD29)</f>
        <v>0</v>
      </c>
      <c r="P27" s="356">
        <f>-('Table 5C1K-Tallulah Charter'!AA29+'Table 5C1K-Tallulah Charter'!AD29)</f>
        <v>0</v>
      </c>
      <c r="Q27" s="356">
        <f>-('Table 5C1L-Northshore Charter'!AA29+'Table 5C1L-Northshore Charter'!AD29)</f>
        <v>0</v>
      </c>
      <c r="R27" s="356">
        <f>-('Table 5C1M-B.R. Charter'!AA29+'Table 5C1M-B.R. Charter'!AD29)</f>
        <v>0</v>
      </c>
      <c r="S27" s="356">
        <f>-('Table 5C1N-Delta Charter'!AA29+'Table 5C1N-Delta Charter'!AD29)</f>
        <v>0</v>
      </c>
      <c r="T27" s="356">
        <f>-('Table 5C2 - LA Virtual Admy'!AB27+'Table 5C2 - LA Virtual Admy'!AE27)</f>
        <v>-10253.250000000002</v>
      </c>
      <c r="U27" s="356">
        <f>-('Table 5C3 - LA Connections EBR'!AB27+'Table 5C3 - LA Connections EBR'!AE27)</f>
        <v>-12987.45</v>
      </c>
      <c r="V27" s="356">
        <f>-'Table 5E_OJJ'!S29</f>
        <v>-2323.0053060309392</v>
      </c>
      <c r="W27" s="356">
        <f t="shared" si="17"/>
        <v>-25563.705306030944</v>
      </c>
      <c r="X27" s="717">
        <f t="shared" si="18"/>
        <v>20930952.294693969</v>
      </c>
      <c r="AA27" s="49"/>
      <c r="AD27"/>
      <c r="AM27"/>
    </row>
    <row r="28" spans="1:39">
      <c r="A28" s="99">
        <v>23</v>
      </c>
      <c r="B28" s="301" t="s">
        <v>114</v>
      </c>
      <c r="C28" s="310">
        <f>'Table 2_State Distrib and Adjs'!AF30</f>
        <v>75042793</v>
      </c>
      <c r="D28" s="356"/>
      <c r="E28" s="356"/>
      <c r="F28" s="356">
        <f>-('Table 5C1A-Madison Prep'!AA30+'Table 5C1A-Madison Prep'!AD30)</f>
        <v>0</v>
      </c>
      <c r="G28" s="356">
        <f>-('Table 5C1B-DArbonne'!AA30+'Table 5C1B-DArbonne'!AD30)</f>
        <v>0</v>
      </c>
      <c r="H28" s="356">
        <f>-('Table 5C1C-Intl_VIBE'!AA30+'Table 5C1C-Intl_VIBE'!AD30)</f>
        <v>0</v>
      </c>
      <c r="I28" s="356">
        <f>-('Table 5C1D-NOMMA'!AA30+'Table 5C1D-NOMMA'!AD30)</f>
        <v>0</v>
      </c>
      <c r="J28" s="356">
        <f>-('Table 5C1E-LFNO'!AC30+'Table 5C1E-LFNO'!AF30)</f>
        <v>0</v>
      </c>
      <c r="K28" s="356">
        <f>-('Table 5C1F-Lake Charles Charter'!AA30+'Table 5C1F-Lake Charles Charter'!AD30)</f>
        <v>0</v>
      </c>
      <c r="L28" s="356">
        <f>-('Table 5C1G-JS Clark Academy'!AA30+'Table 5C1G-JS Clark Academy'!AD30)</f>
        <v>0</v>
      </c>
      <c r="M28" s="356">
        <f>-('Table 5C1H-Southwest LA Charter'!AA30+'Table 5C1H-Southwest LA Charter'!AD30)</f>
        <v>0</v>
      </c>
      <c r="N28" s="356">
        <f>-('Table 5C1I-LA Key Academy'!AA30+'Table 5C1I-LA Key Academy'!AD30)</f>
        <v>0</v>
      </c>
      <c r="O28" s="356">
        <f>-('Table 5C1J-Jefferson Chamber'!AA30+'Table 5C1J-Jefferson Chamber'!AD30)</f>
        <v>0</v>
      </c>
      <c r="P28" s="356">
        <f>-('Table 5C1K-Tallulah Charter'!AA30+'Table 5C1K-Tallulah Charter'!AD30)</f>
        <v>0</v>
      </c>
      <c r="Q28" s="356">
        <f>-('Table 5C1L-Northshore Charter'!AA30+'Table 5C1L-Northshore Charter'!AD30)</f>
        <v>0</v>
      </c>
      <c r="R28" s="356">
        <f>-('Table 5C1M-B.R. Charter'!AA30+'Table 5C1M-B.R. Charter'!AD30)</f>
        <v>0</v>
      </c>
      <c r="S28" s="356">
        <f>-('Table 5C1N-Delta Charter'!AA30+'Table 5C1N-Delta Charter'!AD30)</f>
        <v>0</v>
      </c>
      <c r="T28" s="356">
        <f>-('Table 5C2 - LA Virtual Admy'!AB28+'Table 5C2 - LA Virtual Admy'!AE28)</f>
        <v>-63332.1</v>
      </c>
      <c r="U28" s="356">
        <f>-('Table 5C3 - LA Connections EBR'!AB28+'Table 5C3 - LA Connections EBR'!AE28)</f>
        <v>-71169.75</v>
      </c>
      <c r="V28" s="356">
        <f>-'Table 5E_OJJ'!S30</f>
        <v>-20440.254789226718</v>
      </c>
      <c r="W28" s="356">
        <f t="shared" si="17"/>
        <v>-154942.10478922672</v>
      </c>
      <c r="X28" s="717">
        <f t="shared" si="18"/>
        <v>74887850.895210773</v>
      </c>
      <c r="AA28" s="49"/>
      <c r="AD28"/>
      <c r="AM28"/>
    </row>
    <row r="29" spans="1:39">
      <c r="A29" s="99">
        <v>24</v>
      </c>
      <c r="B29" s="301" t="s">
        <v>115</v>
      </c>
      <c r="C29" s="310">
        <f>'Table 2_State Distrib and Adjs'!AF31</f>
        <v>16530531</v>
      </c>
      <c r="D29" s="356"/>
      <c r="E29" s="356"/>
      <c r="F29" s="356">
        <f>-('Table 5C1A-Madison Prep'!AA31+'Table 5C1A-Madison Prep'!AD31)</f>
        <v>-10907</v>
      </c>
      <c r="G29" s="356">
        <f>-('Table 5C1B-DArbonne'!AA31+'Table 5C1B-DArbonne'!AD31)</f>
        <v>0</v>
      </c>
      <c r="H29" s="356">
        <f>-('Table 5C1C-Intl_VIBE'!AA31+'Table 5C1C-Intl_VIBE'!AD31)</f>
        <v>0</v>
      </c>
      <c r="I29" s="356">
        <f>-('Table 5C1D-NOMMA'!AA31+'Table 5C1D-NOMMA'!AD31)</f>
        <v>0</v>
      </c>
      <c r="J29" s="356">
        <f>-('Table 5C1E-LFNO'!AC31+'Table 5C1E-LFNO'!AF31)</f>
        <v>0</v>
      </c>
      <c r="K29" s="356">
        <f>-('Table 5C1F-Lake Charles Charter'!AA31+'Table 5C1F-Lake Charles Charter'!AD31)</f>
        <v>0</v>
      </c>
      <c r="L29" s="356">
        <f>-('Table 5C1G-JS Clark Academy'!AA31+'Table 5C1G-JS Clark Academy'!AD31)</f>
        <v>0</v>
      </c>
      <c r="M29" s="356">
        <f>-('Table 5C1H-Southwest LA Charter'!AA31+'Table 5C1H-Southwest LA Charter'!AD31)</f>
        <v>0</v>
      </c>
      <c r="N29" s="356">
        <f>-('Table 5C1I-LA Key Academy'!AA31+'Table 5C1I-LA Key Academy'!AD31)</f>
        <v>-38174.5</v>
      </c>
      <c r="O29" s="356">
        <f>-('Table 5C1J-Jefferson Chamber'!AA31+'Table 5C1J-Jefferson Chamber'!AD31)</f>
        <v>0</v>
      </c>
      <c r="P29" s="356">
        <f>-('Table 5C1K-Tallulah Charter'!AA31+'Table 5C1K-Tallulah Charter'!AD31)</f>
        <v>0</v>
      </c>
      <c r="Q29" s="356">
        <f>-('Table 5C1L-Northshore Charter'!AA31+'Table 5C1L-Northshore Charter'!AD31)</f>
        <v>0</v>
      </c>
      <c r="R29" s="356">
        <f>-('Table 5C1M-B.R. Charter'!AA31+'Table 5C1M-B.R. Charter'!AD31)</f>
        <v>-21814</v>
      </c>
      <c r="S29" s="356">
        <f>-('Table 5C1N-Delta Charter'!AA31+'Table 5C1N-Delta Charter'!AD31)</f>
        <v>0</v>
      </c>
      <c r="T29" s="356">
        <f>-('Table 5C2 - LA Virtual Admy'!AB29+'Table 5C2 - LA Virtual Admy'!AE29)</f>
        <v>-110113.65000000002</v>
      </c>
      <c r="U29" s="356">
        <f>-('Table 5C3 - LA Connections EBR'!AB29+'Table 5C3 - LA Connections EBR'!AE29)</f>
        <v>-14724.45</v>
      </c>
      <c r="V29" s="356">
        <f>-'Table 5E_OJJ'!S31</f>
        <v>-5954.7555069195814</v>
      </c>
      <c r="W29" s="356">
        <f t="shared" si="17"/>
        <v>-201688.35550691962</v>
      </c>
      <c r="X29" s="717">
        <f t="shared" si="18"/>
        <v>16328842.644493081</v>
      </c>
      <c r="AA29" s="49"/>
      <c r="AD29"/>
      <c r="AM29"/>
    </row>
    <row r="30" spans="1:39">
      <c r="A30" s="100">
        <v>25</v>
      </c>
      <c r="B30" s="302" t="s">
        <v>116</v>
      </c>
      <c r="C30" s="318">
        <f>'Table 2_State Distrib and Adjs'!AF32</f>
        <v>10310547</v>
      </c>
      <c r="D30" s="357"/>
      <c r="E30" s="357"/>
      <c r="F30" s="357">
        <f>-('Table 5C1A-Madison Prep'!AA32+'Table 5C1A-Madison Prep'!AD32)</f>
        <v>0</v>
      </c>
      <c r="G30" s="357">
        <f>-('Table 5C1B-DArbonne'!AA32+'Table 5C1B-DArbonne'!AD32)</f>
        <v>0</v>
      </c>
      <c r="H30" s="357">
        <f>-('Table 5C1C-Intl_VIBE'!AA32+'Table 5C1C-Intl_VIBE'!AD32)</f>
        <v>0</v>
      </c>
      <c r="I30" s="357">
        <f>-('Table 5C1D-NOMMA'!AA32+'Table 5C1D-NOMMA'!AD32)</f>
        <v>0</v>
      </c>
      <c r="J30" s="357">
        <f>-('Table 5C1E-LFNO'!AC32+'Table 5C1E-LFNO'!AF32)</f>
        <v>0</v>
      </c>
      <c r="K30" s="357">
        <f>-('Table 5C1F-Lake Charles Charter'!AA32+'Table 5C1F-Lake Charles Charter'!AD32)</f>
        <v>0</v>
      </c>
      <c r="L30" s="357">
        <f>-('Table 5C1G-JS Clark Academy'!AA32+'Table 5C1G-JS Clark Academy'!AD32)</f>
        <v>0</v>
      </c>
      <c r="M30" s="357">
        <f>-('Table 5C1H-Southwest LA Charter'!AA32+'Table 5C1H-Southwest LA Charter'!AD32)</f>
        <v>0</v>
      </c>
      <c r="N30" s="357">
        <f>-('Table 5C1I-LA Key Academy'!AA32+'Table 5C1I-LA Key Academy'!AD32)</f>
        <v>0</v>
      </c>
      <c r="O30" s="357">
        <f>-('Table 5C1J-Jefferson Chamber'!AA32+'Table 5C1J-Jefferson Chamber'!AD32)</f>
        <v>0</v>
      </c>
      <c r="P30" s="357">
        <f>-('Table 5C1K-Tallulah Charter'!AA32+'Table 5C1K-Tallulah Charter'!AD32)</f>
        <v>0</v>
      </c>
      <c r="Q30" s="357">
        <f>-('Table 5C1L-Northshore Charter'!AA32+'Table 5C1L-Northshore Charter'!AD32)</f>
        <v>0</v>
      </c>
      <c r="R30" s="357">
        <f>-('Table 5C1M-B.R. Charter'!AA32+'Table 5C1M-B.R. Charter'!AD32)</f>
        <v>0</v>
      </c>
      <c r="S30" s="357">
        <f>-('Table 5C1N-Delta Charter'!AA32+'Table 5C1N-Delta Charter'!AD32)</f>
        <v>0</v>
      </c>
      <c r="T30" s="357">
        <f>-('Table 5C2 - LA Virtual Admy'!AB30+'Table 5C2 - LA Virtual Admy'!AE30)</f>
        <v>-2374.6500000000015</v>
      </c>
      <c r="U30" s="357">
        <f>-('Table 5C3 - LA Connections EBR'!AB30+'Table 5C3 - LA Connections EBR'!AE30)</f>
        <v>-2320.2000000000003</v>
      </c>
      <c r="V30" s="357">
        <f>-'Table 5E_OJJ'!S32</f>
        <v>-8469.2501449223237</v>
      </c>
      <c r="W30" s="357">
        <f t="shared" si="17"/>
        <v>-13164.100144922326</v>
      </c>
      <c r="X30" s="718">
        <f t="shared" si="18"/>
        <v>10297382.899855077</v>
      </c>
      <c r="AA30" s="49"/>
      <c r="AD30"/>
      <c r="AM30"/>
    </row>
    <row r="31" spans="1:39">
      <c r="A31" s="99">
        <v>26</v>
      </c>
      <c r="B31" s="301" t="s">
        <v>117</v>
      </c>
      <c r="C31" s="310">
        <f>'Table 2_State Distrib and Adjs'!AF33</f>
        <v>183956870</v>
      </c>
      <c r="D31" s="356"/>
      <c r="E31" s="356"/>
      <c r="F31" s="356">
        <f>-('Table 5C1A-Madison Prep'!AA33+'Table 5C1A-Madison Prep'!AD33)</f>
        <v>0</v>
      </c>
      <c r="G31" s="356">
        <f>-('Table 5C1B-DArbonne'!AA33+'Table 5C1B-DArbonne'!AD33)</f>
        <v>0</v>
      </c>
      <c r="H31" s="356">
        <f>-('Table 5C1C-Intl_VIBE'!AA33+'Table 5C1C-Intl_VIBE'!AD33)</f>
        <v>-320640</v>
      </c>
      <c r="I31" s="356">
        <f>-('Table 5C1D-NOMMA'!AA33+'Table 5C1D-NOMMA'!AD33)</f>
        <v>-1028024</v>
      </c>
      <c r="J31" s="356">
        <f>-('Table 5C1E-LFNO'!AC33+'Table 5C1E-LFNO'!AF33)</f>
        <v>-376752</v>
      </c>
      <c r="K31" s="356">
        <f>-('Table 5C1F-Lake Charles Charter'!AA33+'Table 5C1F-Lake Charles Charter'!AD33)</f>
        <v>0</v>
      </c>
      <c r="L31" s="356">
        <f>-('Table 5C1G-JS Clark Academy'!AA33+'Table 5C1G-JS Clark Academy'!AD33)</f>
        <v>0</v>
      </c>
      <c r="M31" s="356">
        <f>-('Table 5C1H-Southwest LA Charter'!AA33+'Table 5C1H-Southwest LA Charter'!AD33)</f>
        <v>0</v>
      </c>
      <c r="N31" s="356">
        <f>-('Table 5C1I-LA Key Academy'!AA33+'Table 5C1I-LA Key Academy'!AD33)</f>
        <v>0</v>
      </c>
      <c r="O31" s="356">
        <f>-('Table 5C1J-Jefferson Chamber'!AA33+'Table 5C1J-Jefferson Chamber'!AD33)</f>
        <v>-470272</v>
      </c>
      <c r="P31" s="356">
        <f>-('Table 5C1K-Tallulah Charter'!AA33+'Table 5C1K-Tallulah Charter'!AD33)</f>
        <v>0</v>
      </c>
      <c r="Q31" s="356">
        <f>-('Table 5C1L-Northshore Charter'!AA33+'Table 5C1L-Northshore Charter'!AD33)</f>
        <v>0</v>
      </c>
      <c r="R31" s="356">
        <f>-('Table 5C1M-B.R. Charter'!AA33+'Table 5C1M-B.R. Charter'!AD33)</f>
        <v>0</v>
      </c>
      <c r="S31" s="356">
        <f>-('Table 5C1N-Delta Charter'!AA33+'Table 5C1N-Delta Charter'!AD33)</f>
        <v>0</v>
      </c>
      <c r="T31" s="356">
        <f>-('Table 5C2 - LA Virtual Admy'!AB31+'Table 5C2 - LA Virtual Admy'!AE31)</f>
        <v>-817167.6</v>
      </c>
      <c r="U31" s="356">
        <f>-('Table 5C3 - LA Connections EBR'!AB31+'Table 5C3 - LA Connections EBR'!AE31)</f>
        <v>-492984.00000000006</v>
      </c>
      <c r="V31" s="356">
        <f>-'Table 5E_OJJ'!S33</f>
        <v>-136769.57955174454</v>
      </c>
      <c r="W31" s="356">
        <f t="shared" si="17"/>
        <v>-3642609.1795517448</v>
      </c>
      <c r="X31" s="717">
        <f t="shared" si="18"/>
        <v>180314260.82044825</v>
      </c>
      <c r="AA31" s="49"/>
      <c r="AD31"/>
      <c r="AM31"/>
    </row>
    <row r="32" spans="1:39">
      <c r="A32" s="99">
        <v>27</v>
      </c>
      <c r="B32" s="301" t="s">
        <v>118</v>
      </c>
      <c r="C32" s="310">
        <f>'Table 2_State Distrib and Adjs'!AF34</f>
        <v>35852809</v>
      </c>
      <c r="D32" s="356"/>
      <c r="E32" s="356"/>
      <c r="F32" s="356">
        <f>-('Table 5C1A-Madison Prep'!AA34+'Table 5C1A-Madison Prep'!AD34)</f>
        <v>0</v>
      </c>
      <c r="G32" s="356">
        <f>-('Table 5C1B-DArbonne'!AA34+'Table 5C1B-DArbonne'!AD34)</f>
        <v>0</v>
      </c>
      <c r="H32" s="356">
        <f>-('Table 5C1C-Intl_VIBE'!AA34+'Table 5C1C-Intl_VIBE'!AD34)</f>
        <v>0</v>
      </c>
      <c r="I32" s="356">
        <f>-('Table 5C1D-NOMMA'!AA34+'Table 5C1D-NOMMA'!AD34)</f>
        <v>0</v>
      </c>
      <c r="J32" s="356">
        <f>-('Table 5C1E-LFNO'!AC34+'Table 5C1E-LFNO'!AF34)</f>
        <v>0</v>
      </c>
      <c r="K32" s="356">
        <f>-('Table 5C1F-Lake Charles Charter'!AA34+'Table 5C1F-Lake Charles Charter'!AD34)</f>
        <v>0</v>
      </c>
      <c r="L32" s="356">
        <f>-('Table 5C1G-JS Clark Academy'!AA34+'Table 5C1G-JS Clark Academy'!AD34)</f>
        <v>0</v>
      </c>
      <c r="M32" s="356">
        <f>-('Table 5C1H-Southwest LA Charter'!AA34+'Table 5C1H-Southwest LA Charter'!AD34)</f>
        <v>0</v>
      </c>
      <c r="N32" s="356">
        <f>-('Table 5C1I-LA Key Academy'!AA34+'Table 5C1I-LA Key Academy'!AD34)</f>
        <v>0</v>
      </c>
      <c r="O32" s="356">
        <f>-('Table 5C1J-Jefferson Chamber'!AA34+'Table 5C1J-Jefferson Chamber'!AD34)</f>
        <v>0</v>
      </c>
      <c r="P32" s="356">
        <f>-('Table 5C1K-Tallulah Charter'!AA34+'Table 5C1K-Tallulah Charter'!AD34)</f>
        <v>0</v>
      </c>
      <c r="Q32" s="356">
        <f>-('Table 5C1L-Northshore Charter'!AA34+'Table 5C1L-Northshore Charter'!AD34)</f>
        <v>0</v>
      </c>
      <c r="R32" s="356">
        <f>-('Table 5C1M-B.R. Charter'!AA34+'Table 5C1M-B.R. Charter'!AD34)</f>
        <v>0</v>
      </c>
      <c r="S32" s="356">
        <f>-('Table 5C1N-Delta Charter'!AA34+'Table 5C1N-Delta Charter'!AD34)</f>
        <v>0</v>
      </c>
      <c r="T32" s="356">
        <f>-('Table 5C2 - LA Virtual Admy'!AB32+'Table 5C2 - LA Virtual Admy'!AE32)</f>
        <v>-37555.200000000004</v>
      </c>
      <c r="U32" s="356">
        <f>-('Table 5C3 - LA Connections EBR'!AB32+'Table 5C3 - LA Connections EBR'!AE32)</f>
        <v>-14719.5</v>
      </c>
      <c r="V32" s="356">
        <f>-'Table 5E_OJJ'!S34</f>
        <v>-11701.988285332414</v>
      </c>
      <c r="W32" s="356">
        <f t="shared" si="17"/>
        <v>-63976.68828533242</v>
      </c>
      <c r="X32" s="717">
        <f t="shared" si="18"/>
        <v>35788832.311714664</v>
      </c>
      <c r="AA32" s="49"/>
      <c r="AD32"/>
      <c r="AM32"/>
    </row>
    <row r="33" spans="1:39">
      <c r="A33" s="99">
        <v>28</v>
      </c>
      <c r="B33" s="301" t="s">
        <v>119</v>
      </c>
      <c r="C33" s="310">
        <f>'Table 2_State Distrib and Adjs'!AF35</f>
        <v>116323697</v>
      </c>
      <c r="D33" s="356"/>
      <c r="E33" s="356"/>
      <c r="F33" s="356">
        <f>-('Table 5C1A-Madison Prep'!AA35+'Table 5C1A-Madison Prep'!AD35)</f>
        <v>0</v>
      </c>
      <c r="G33" s="356">
        <f>-('Table 5C1B-DArbonne'!AA35+'Table 5C1B-DArbonne'!AD35)</f>
        <v>0</v>
      </c>
      <c r="H33" s="356">
        <f>-('Table 5C1C-Intl_VIBE'!AA35+'Table 5C1C-Intl_VIBE'!AD35)</f>
        <v>0</v>
      </c>
      <c r="I33" s="356">
        <f>-('Table 5C1D-NOMMA'!AA35+'Table 5C1D-NOMMA'!AD35)</f>
        <v>0</v>
      </c>
      <c r="J33" s="356">
        <f>-('Table 5C1E-LFNO'!AC35+'Table 5C1E-LFNO'!AF35)</f>
        <v>0</v>
      </c>
      <c r="K33" s="356">
        <f>-('Table 5C1F-Lake Charles Charter'!AA35+'Table 5C1F-Lake Charles Charter'!AD35)</f>
        <v>0</v>
      </c>
      <c r="L33" s="356">
        <f>-('Table 5C1G-JS Clark Academy'!AA35+'Table 5C1G-JS Clark Academy'!AD35)</f>
        <v>-2823.5</v>
      </c>
      <c r="M33" s="356">
        <f>-('Table 5C1H-Southwest LA Charter'!AA35+'Table 5C1H-Southwest LA Charter'!AD35)</f>
        <v>0</v>
      </c>
      <c r="N33" s="356">
        <f>-('Table 5C1I-LA Key Academy'!AA35+'Table 5C1I-LA Key Academy'!AD35)</f>
        <v>0</v>
      </c>
      <c r="O33" s="356">
        <f>-('Table 5C1J-Jefferson Chamber'!AA35+'Table 5C1J-Jefferson Chamber'!AD35)</f>
        <v>0</v>
      </c>
      <c r="P33" s="356">
        <f>-('Table 5C1K-Tallulah Charter'!AA35+'Table 5C1K-Tallulah Charter'!AD35)</f>
        <v>0</v>
      </c>
      <c r="Q33" s="356">
        <f>-('Table 5C1L-Northshore Charter'!AA35+'Table 5C1L-Northshore Charter'!AD35)</f>
        <v>0</v>
      </c>
      <c r="R33" s="356">
        <f>-('Table 5C1M-B.R. Charter'!AA35+'Table 5C1M-B.R. Charter'!AD35)</f>
        <v>0</v>
      </c>
      <c r="S33" s="356">
        <f>-('Table 5C1N-Delta Charter'!AA35+'Table 5C1N-Delta Charter'!AD35)</f>
        <v>0</v>
      </c>
      <c r="T33" s="356">
        <f>-('Table 5C2 - LA Virtual Admy'!AB33+'Table 5C2 - LA Virtual Admy'!AE33)</f>
        <v>-426637.35000000003</v>
      </c>
      <c r="U33" s="356">
        <f>-('Table 5C3 - LA Connections EBR'!AB33+'Table 5C3 - LA Connections EBR'!AE33)</f>
        <v>-274444.2</v>
      </c>
      <c r="V33" s="356">
        <f>-'Table 5E_OJJ'!S35</f>
        <v>-38758.103900933173</v>
      </c>
      <c r="W33" s="356">
        <f t="shared" si="17"/>
        <v>-742663.15390093322</v>
      </c>
      <c r="X33" s="717">
        <f t="shared" si="18"/>
        <v>115581033.84609906</v>
      </c>
      <c r="AA33" s="49"/>
      <c r="AD33"/>
      <c r="AM33"/>
    </row>
    <row r="34" spans="1:39">
      <c r="A34" s="99">
        <v>29</v>
      </c>
      <c r="B34" s="301" t="s">
        <v>120</v>
      </c>
      <c r="C34" s="310">
        <f>'Table 2_State Distrib and Adjs'!AF36</f>
        <v>65320668</v>
      </c>
      <c r="D34" s="356"/>
      <c r="E34" s="356"/>
      <c r="F34" s="356">
        <f>-('Table 5C1A-Madison Prep'!AA36+'Table 5C1A-Madison Prep'!AD36)</f>
        <v>0</v>
      </c>
      <c r="G34" s="356">
        <f>-('Table 5C1B-DArbonne'!AA36+'Table 5C1B-DArbonne'!AD36)</f>
        <v>0</v>
      </c>
      <c r="H34" s="356">
        <f>-('Table 5C1C-Intl_VIBE'!AA36+'Table 5C1C-Intl_VIBE'!AD36)</f>
        <v>0</v>
      </c>
      <c r="I34" s="356">
        <f>-('Table 5C1D-NOMMA'!AA36+'Table 5C1D-NOMMA'!AD36)</f>
        <v>0</v>
      </c>
      <c r="J34" s="356">
        <f>-('Table 5C1E-LFNO'!AC36+'Table 5C1E-LFNO'!AF36)</f>
        <v>-4826</v>
      </c>
      <c r="K34" s="356">
        <f>-('Table 5C1F-Lake Charles Charter'!AA36+'Table 5C1F-Lake Charles Charter'!AD36)</f>
        <v>0</v>
      </c>
      <c r="L34" s="356">
        <f>-('Table 5C1G-JS Clark Academy'!AA36+'Table 5C1G-JS Clark Academy'!AD36)</f>
        <v>0</v>
      </c>
      <c r="M34" s="356">
        <f>-('Table 5C1H-Southwest LA Charter'!AA36+'Table 5C1H-Southwest LA Charter'!AD36)</f>
        <v>0</v>
      </c>
      <c r="N34" s="356">
        <f>-('Table 5C1I-LA Key Academy'!AA36+'Table 5C1I-LA Key Academy'!AD36)</f>
        <v>0</v>
      </c>
      <c r="O34" s="356">
        <f>-('Table 5C1J-Jefferson Chamber'!AA36+'Table 5C1J-Jefferson Chamber'!AD36)</f>
        <v>0</v>
      </c>
      <c r="P34" s="356">
        <f>-('Table 5C1K-Tallulah Charter'!AA36+'Table 5C1K-Tallulah Charter'!AD36)</f>
        <v>0</v>
      </c>
      <c r="Q34" s="356">
        <f>-('Table 5C1L-Northshore Charter'!AA36+'Table 5C1L-Northshore Charter'!AD36)</f>
        <v>0</v>
      </c>
      <c r="R34" s="356">
        <f>-('Table 5C1M-B.R. Charter'!AA36+'Table 5C1M-B.R. Charter'!AD36)</f>
        <v>0</v>
      </c>
      <c r="S34" s="356">
        <f>-('Table 5C1N-Delta Charter'!AA36+'Table 5C1N-Delta Charter'!AD36)</f>
        <v>0</v>
      </c>
      <c r="T34" s="356">
        <f>-('Table 5C2 - LA Virtual Admy'!AB34+'Table 5C2 - LA Virtual Admy'!AE34)</f>
        <v>-99898.200000000012</v>
      </c>
      <c r="U34" s="356">
        <f>-('Table 5C3 - LA Connections EBR'!AB34+'Table 5C3 - LA Connections EBR'!AE34)</f>
        <v>-13030.2</v>
      </c>
      <c r="V34" s="356">
        <f>-'Table 5E_OJJ'!S36</f>
        <v>-35355.758884385941</v>
      </c>
      <c r="W34" s="356">
        <f t="shared" si="17"/>
        <v>-153110.15888438595</v>
      </c>
      <c r="X34" s="717">
        <f t="shared" si="18"/>
        <v>65167557.841115609</v>
      </c>
      <c r="AA34" s="49"/>
      <c r="AD34"/>
      <c r="AM34"/>
    </row>
    <row r="35" spans="1:39">
      <c r="A35" s="100">
        <v>30</v>
      </c>
      <c r="B35" s="302" t="s">
        <v>121</v>
      </c>
      <c r="C35" s="318">
        <f>'Table 2_State Distrib and Adjs'!AF37</f>
        <v>15821600</v>
      </c>
      <c r="D35" s="357"/>
      <c r="E35" s="357"/>
      <c r="F35" s="357">
        <f>-('Table 5C1A-Madison Prep'!AA37+'Table 5C1A-Madison Prep'!AD37)</f>
        <v>0</v>
      </c>
      <c r="G35" s="357">
        <f>-('Table 5C1B-DArbonne'!AA37+'Table 5C1B-DArbonne'!AD37)</f>
        <v>0</v>
      </c>
      <c r="H35" s="357">
        <f>-('Table 5C1C-Intl_VIBE'!AA37+'Table 5C1C-Intl_VIBE'!AD37)</f>
        <v>0</v>
      </c>
      <c r="I35" s="357">
        <f>-('Table 5C1D-NOMMA'!AA37+'Table 5C1D-NOMMA'!AD37)</f>
        <v>0</v>
      </c>
      <c r="J35" s="357">
        <f>-('Table 5C1E-LFNO'!AC37+'Table 5C1E-LFNO'!AF37)</f>
        <v>0</v>
      </c>
      <c r="K35" s="357">
        <f>-('Table 5C1F-Lake Charles Charter'!AA37+'Table 5C1F-Lake Charles Charter'!AD37)</f>
        <v>0</v>
      </c>
      <c r="L35" s="357">
        <f>-('Table 5C1G-JS Clark Academy'!AA37+'Table 5C1G-JS Clark Academy'!AD37)</f>
        <v>0</v>
      </c>
      <c r="M35" s="357">
        <f>-('Table 5C1H-Southwest LA Charter'!AA37+'Table 5C1H-Southwest LA Charter'!AD37)</f>
        <v>0</v>
      </c>
      <c r="N35" s="357">
        <f>-('Table 5C1I-LA Key Academy'!AA37+'Table 5C1I-LA Key Academy'!AD37)</f>
        <v>0</v>
      </c>
      <c r="O35" s="357">
        <f>-('Table 5C1J-Jefferson Chamber'!AA37+'Table 5C1J-Jefferson Chamber'!AD37)</f>
        <v>0</v>
      </c>
      <c r="P35" s="357">
        <f>-('Table 5C1K-Tallulah Charter'!AA37+'Table 5C1K-Tallulah Charter'!AD37)</f>
        <v>0</v>
      </c>
      <c r="Q35" s="357">
        <f>-('Table 5C1L-Northshore Charter'!AA37+'Table 5C1L-Northshore Charter'!AD37)</f>
        <v>0</v>
      </c>
      <c r="R35" s="357">
        <f>-('Table 5C1M-B.R. Charter'!AA37+'Table 5C1M-B.R. Charter'!AD37)</f>
        <v>0</v>
      </c>
      <c r="S35" s="357">
        <f>-('Table 5C1N-Delta Charter'!AA37+'Table 5C1N-Delta Charter'!AD37)</f>
        <v>0</v>
      </c>
      <c r="T35" s="357">
        <f>-('Table 5C2 - LA Virtual Admy'!AB35+'Table 5C2 - LA Virtual Admy'!AE35)</f>
        <v>-13207.95</v>
      </c>
      <c r="U35" s="357">
        <f>-('Table 5C3 - LA Connections EBR'!AB35+'Table 5C3 - LA Connections EBR'!AE35)</f>
        <v>-9434.25</v>
      </c>
      <c r="V35" s="357">
        <f>-'Table 5E_OJJ'!S37</f>
        <v>0</v>
      </c>
      <c r="W35" s="357">
        <f t="shared" si="17"/>
        <v>-22642.2</v>
      </c>
      <c r="X35" s="718">
        <f t="shared" si="18"/>
        <v>15798957.800000001</v>
      </c>
      <c r="AA35" s="49"/>
      <c r="AD35"/>
      <c r="AM35"/>
    </row>
    <row r="36" spans="1:39">
      <c r="A36" s="99">
        <v>31</v>
      </c>
      <c r="B36" s="301" t="s">
        <v>122</v>
      </c>
      <c r="C36" s="310">
        <f>'Table 2_State Distrib and Adjs'!AF38</f>
        <v>31657271</v>
      </c>
      <c r="D36" s="356"/>
      <c r="E36" s="356"/>
      <c r="F36" s="356">
        <f>-('Table 5C1A-Madison Prep'!AA38+'Table 5C1A-Madison Prep'!AD38)</f>
        <v>0</v>
      </c>
      <c r="G36" s="356">
        <f>-('Table 5C1B-DArbonne'!AA38+'Table 5C1B-DArbonne'!AD38)</f>
        <v>-58812</v>
      </c>
      <c r="H36" s="356">
        <f>-('Table 5C1C-Intl_VIBE'!AA38+'Table 5C1C-Intl_VIBE'!AD38)</f>
        <v>0</v>
      </c>
      <c r="I36" s="356">
        <f>-('Table 5C1D-NOMMA'!AA38+'Table 5C1D-NOMMA'!AD38)</f>
        <v>0</v>
      </c>
      <c r="J36" s="356">
        <f>-('Table 5C1E-LFNO'!AC38+'Table 5C1E-LFNO'!AF38)</f>
        <v>0</v>
      </c>
      <c r="K36" s="356">
        <f>-('Table 5C1F-Lake Charles Charter'!AA38+'Table 5C1F-Lake Charles Charter'!AD38)</f>
        <v>0</v>
      </c>
      <c r="L36" s="356">
        <f>-('Table 5C1G-JS Clark Academy'!AA38+'Table 5C1G-JS Clark Academy'!AD38)</f>
        <v>0</v>
      </c>
      <c r="M36" s="356">
        <f>-('Table 5C1H-Southwest LA Charter'!AA38+'Table 5C1H-Southwest LA Charter'!AD38)</f>
        <v>0</v>
      </c>
      <c r="N36" s="356">
        <f>-('Table 5C1I-LA Key Academy'!AA38+'Table 5C1I-LA Key Academy'!AD38)</f>
        <v>0</v>
      </c>
      <c r="O36" s="356">
        <f>-('Table 5C1J-Jefferson Chamber'!AA38+'Table 5C1J-Jefferson Chamber'!AD38)</f>
        <v>0</v>
      </c>
      <c r="P36" s="356">
        <f>-('Table 5C1K-Tallulah Charter'!AA38+'Table 5C1K-Tallulah Charter'!AD38)</f>
        <v>0</v>
      </c>
      <c r="Q36" s="356">
        <f>-('Table 5C1L-Northshore Charter'!AA38+'Table 5C1L-Northshore Charter'!AD38)</f>
        <v>0</v>
      </c>
      <c r="R36" s="356">
        <f>-('Table 5C1M-B.R. Charter'!AA38+'Table 5C1M-B.R. Charter'!AD38)</f>
        <v>0</v>
      </c>
      <c r="S36" s="356">
        <f>-('Table 5C1N-Delta Charter'!AA38+'Table 5C1N-Delta Charter'!AD38)</f>
        <v>0</v>
      </c>
      <c r="T36" s="356">
        <f>-('Table 5C2 - LA Virtual Admy'!AB36+'Table 5C2 - LA Virtual Admy'!AE36)</f>
        <v>-11329.650000000001</v>
      </c>
      <c r="U36" s="356">
        <f>-('Table 5C3 - LA Connections EBR'!AB36+'Table 5C3 - LA Connections EBR'!AE36)</f>
        <v>-15438.150000000001</v>
      </c>
      <c r="V36" s="356">
        <f>-'Table 5E_OJJ'!S38</f>
        <v>-5294.2283847535637</v>
      </c>
      <c r="W36" s="356">
        <f t="shared" si="17"/>
        <v>-90874.028384753547</v>
      </c>
      <c r="X36" s="717">
        <f t="shared" si="18"/>
        <v>31566396.971615251</v>
      </c>
      <c r="AA36" s="49"/>
      <c r="AD36"/>
      <c r="AM36"/>
    </row>
    <row r="37" spans="1:39">
      <c r="A37" s="99">
        <v>32</v>
      </c>
      <c r="B37" s="301" t="s">
        <v>123</v>
      </c>
      <c r="C37" s="310">
        <f>'Table 2_State Distrib and Adjs'!AF39</f>
        <v>152921729</v>
      </c>
      <c r="D37" s="356"/>
      <c r="E37" s="356"/>
      <c r="F37" s="356">
        <f>-('Table 5C1A-Madison Prep'!AA39+'Table 5C1A-Madison Prep'!AD39)</f>
        <v>0</v>
      </c>
      <c r="G37" s="356">
        <f>-('Table 5C1B-DArbonne'!AA39+'Table 5C1B-DArbonne'!AD39)</f>
        <v>0</v>
      </c>
      <c r="H37" s="356">
        <f>-('Table 5C1C-Intl_VIBE'!AA39+'Table 5C1C-Intl_VIBE'!AD39)</f>
        <v>0</v>
      </c>
      <c r="I37" s="356">
        <f>-('Table 5C1D-NOMMA'!AA39+'Table 5C1D-NOMMA'!AD39)</f>
        <v>0</v>
      </c>
      <c r="J37" s="356">
        <f>-('Table 5C1E-LFNO'!AC39+'Table 5C1E-LFNO'!AF39)</f>
        <v>0</v>
      </c>
      <c r="K37" s="356">
        <f>-('Table 5C1F-Lake Charles Charter'!AA39+'Table 5C1F-Lake Charles Charter'!AD39)</f>
        <v>0</v>
      </c>
      <c r="L37" s="356">
        <f>-('Table 5C1G-JS Clark Academy'!AA39+'Table 5C1G-JS Clark Academy'!AD39)</f>
        <v>0</v>
      </c>
      <c r="M37" s="356">
        <f>-('Table 5C1H-Southwest LA Charter'!AA39+'Table 5C1H-Southwest LA Charter'!AD39)</f>
        <v>0</v>
      </c>
      <c r="N37" s="356">
        <f>-('Table 5C1I-LA Key Academy'!AA39+'Table 5C1I-LA Key Academy'!AD39)</f>
        <v>-10370</v>
      </c>
      <c r="O37" s="356">
        <f>-('Table 5C1J-Jefferson Chamber'!AA39+'Table 5C1J-Jefferson Chamber'!AD39)</f>
        <v>0</v>
      </c>
      <c r="P37" s="356">
        <f>-('Table 5C1K-Tallulah Charter'!AA39+'Table 5C1K-Tallulah Charter'!AD39)</f>
        <v>0</v>
      </c>
      <c r="Q37" s="356">
        <f>-('Table 5C1L-Northshore Charter'!AA39+'Table 5C1L-Northshore Charter'!AD39)</f>
        <v>0</v>
      </c>
      <c r="R37" s="356">
        <f>-('Table 5C1M-B.R. Charter'!AA39+'Table 5C1M-B.R. Charter'!AD39)</f>
        <v>-1037</v>
      </c>
      <c r="S37" s="356">
        <f>-('Table 5C1N-Delta Charter'!AA39+'Table 5C1N-Delta Charter'!AD39)</f>
        <v>0</v>
      </c>
      <c r="T37" s="356">
        <f>-('Table 5C2 - LA Virtual Admy'!AB37+'Table 5C2 - LA Virtual Admy'!AE37)</f>
        <v>-146259.45000000001</v>
      </c>
      <c r="U37" s="356">
        <f>-('Table 5C3 - LA Connections EBR'!AB37+'Table 5C3 - LA Connections EBR'!AE37)</f>
        <v>-134395.20000000001</v>
      </c>
      <c r="V37" s="356">
        <f>-'Table 5E_OJJ'!S39</f>
        <v>-4388.7653250067924</v>
      </c>
      <c r="W37" s="356">
        <f t="shared" si="17"/>
        <v>-296450.41532500682</v>
      </c>
      <c r="X37" s="717">
        <f t="shared" si="18"/>
        <v>152625278.58467501</v>
      </c>
      <c r="AA37" s="49"/>
      <c r="AD37"/>
      <c r="AM37"/>
    </row>
    <row r="38" spans="1:39">
      <c r="A38" s="99">
        <v>33</v>
      </c>
      <c r="B38" s="301" t="s">
        <v>124</v>
      </c>
      <c r="C38" s="310">
        <f>'Table 2_State Distrib and Adjs'!AF40</f>
        <v>8459670</v>
      </c>
      <c r="D38" s="356"/>
      <c r="E38" s="356"/>
      <c r="F38" s="356">
        <f>-('Table 5C1A-Madison Prep'!AA40+'Table 5C1A-Madison Prep'!AD40)</f>
        <v>0</v>
      </c>
      <c r="G38" s="356">
        <f>-('Table 5C1B-DArbonne'!AA40+'Table 5C1B-DArbonne'!AD40)</f>
        <v>0</v>
      </c>
      <c r="H38" s="356">
        <f>-('Table 5C1C-Intl_VIBE'!AA40+'Table 5C1C-Intl_VIBE'!AD40)</f>
        <v>0</v>
      </c>
      <c r="I38" s="356">
        <f>-('Table 5C1D-NOMMA'!AA40+'Table 5C1D-NOMMA'!AD40)</f>
        <v>0</v>
      </c>
      <c r="J38" s="356">
        <f>-('Table 5C1E-LFNO'!AC40+'Table 5C1E-LFNO'!AF40)</f>
        <v>0</v>
      </c>
      <c r="K38" s="356">
        <f>-('Table 5C1F-Lake Charles Charter'!AA40+'Table 5C1F-Lake Charles Charter'!AD40)</f>
        <v>0</v>
      </c>
      <c r="L38" s="356">
        <f>-('Table 5C1G-JS Clark Academy'!AA40+'Table 5C1G-JS Clark Academy'!AD40)</f>
        <v>0</v>
      </c>
      <c r="M38" s="356">
        <f>-('Table 5C1H-Southwest LA Charter'!AA40+'Table 5C1H-Southwest LA Charter'!AD40)</f>
        <v>0</v>
      </c>
      <c r="N38" s="356">
        <f>-('Table 5C1I-LA Key Academy'!AA40+'Table 5C1I-LA Key Academy'!AD40)</f>
        <v>0</v>
      </c>
      <c r="O38" s="356">
        <f>-('Table 5C1J-Jefferson Chamber'!AA40+'Table 5C1J-Jefferson Chamber'!AD40)</f>
        <v>0</v>
      </c>
      <c r="P38" s="356">
        <f>-('Table 5C1K-Tallulah Charter'!AA40+'Table 5C1K-Tallulah Charter'!AD40)</f>
        <v>-1038046.5</v>
      </c>
      <c r="Q38" s="356">
        <f>-('Table 5C1L-Northshore Charter'!AA40+'Table 5C1L-Northshore Charter'!AD40)</f>
        <v>0</v>
      </c>
      <c r="R38" s="356">
        <f>-('Table 5C1M-B.R. Charter'!AA40+'Table 5C1M-B.R. Charter'!AD40)</f>
        <v>0</v>
      </c>
      <c r="S38" s="356">
        <f>-('Table 5C1N-Delta Charter'!AA40+'Table 5C1N-Delta Charter'!AD40)</f>
        <v>0</v>
      </c>
      <c r="T38" s="356">
        <f>-('Table 5C2 - LA Virtual Admy'!AB38+'Table 5C2 - LA Virtual Admy'!AE38)</f>
        <v>3495.1499999999996</v>
      </c>
      <c r="U38" s="356">
        <f>-('Table 5C3 - LA Connections EBR'!AB38+'Table 5C3 - LA Connections EBR'!AE38)</f>
        <v>0</v>
      </c>
      <c r="V38" s="356">
        <f>-'Table 5E_OJJ'!S40</f>
        <v>-7478.163913760226</v>
      </c>
      <c r="W38" s="356">
        <f t="shared" ref="W38:W69" si="19">SUM(D38:V38)</f>
        <v>-1042029.5139137602</v>
      </c>
      <c r="X38" s="717">
        <f t="shared" ref="X38:X74" si="20">SUM(C38:V38)</f>
        <v>7417640.48608624</v>
      </c>
      <c r="AA38" s="49"/>
      <c r="AD38"/>
      <c r="AM38"/>
    </row>
    <row r="39" spans="1:39">
      <c r="A39" s="99">
        <v>34</v>
      </c>
      <c r="B39" s="301" t="s">
        <v>125</v>
      </c>
      <c r="C39" s="310">
        <f>'Table 2_State Distrib and Adjs'!AF41</f>
        <v>29198202</v>
      </c>
      <c r="D39" s="356"/>
      <c r="E39" s="356"/>
      <c r="F39" s="356">
        <f>-('Table 5C1A-Madison Prep'!AA41+'Table 5C1A-Madison Prep'!AD41)</f>
        <v>0</v>
      </c>
      <c r="G39" s="356">
        <f>-('Table 5C1B-DArbonne'!AA41+'Table 5C1B-DArbonne'!AD41)</f>
        <v>0</v>
      </c>
      <c r="H39" s="356">
        <f>-('Table 5C1C-Intl_VIBE'!AA41+'Table 5C1C-Intl_VIBE'!AD41)</f>
        <v>0</v>
      </c>
      <c r="I39" s="356">
        <f>-('Table 5C1D-NOMMA'!AA41+'Table 5C1D-NOMMA'!AD41)</f>
        <v>0</v>
      </c>
      <c r="J39" s="356">
        <f>-('Table 5C1E-LFNO'!AC41+'Table 5C1E-LFNO'!AF41)</f>
        <v>0</v>
      </c>
      <c r="K39" s="356">
        <f>-('Table 5C1F-Lake Charles Charter'!AA41+'Table 5C1F-Lake Charles Charter'!AD41)</f>
        <v>0</v>
      </c>
      <c r="L39" s="356">
        <f>-('Table 5C1G-JS Clark Academy'!AA41+'Table 5C1G-JS Clark Academy'!AD41)</f>
        <v>0</v>
      </c>
      <c r="M39" s="356">
        <f>-('Table 5C1H-Southwest LA Charter'!AA41+'Table 5C1H-Southwest LA Charter'!AD41)</f>
        <v>0</v>
      </c>
      <c r="N39" s="356">
        <f>-('Table 5C1I-LA Key Academy'!AA41+'Table 5C1I-LA Key Academy'!AD41)</f>
        <v>0</v>
      </c>
      <c r="O39" s="356">
        <f>-('Table 5C1J-Jefferson Chamber'!AA41+'Table 5C1J-Jefferson Chamber'!AD41)</f>
        <v>0</v>
      </c>
      <c r="P39" s="356">
        <f>-('Table 5C1K-Tallulah Charter'!AA41+'Table 5C1K-Tallulah Charter'!AD41)</f>
        <v>0</v>
      </c>
      <c r="Q39" s="356">
        <f>-('Table 5C1L-Northshore Charter'!AA41+'Table 5C1L-Northshore Charter'!AD41)</f>
        <v>0</v>
      </c>
      <c r="R39" s="356">
        <f>-('Table 5C1M-B.R. Charter'!AA41+'Table 5C1M-B.R. Charter'!AD41)</f>
        <v>0</v>
      </c>
      <c r="S39" s="356">
        <f>-('Table 5C1N-Delta Charter'!AA41+'Table 5C1N-Delta Charter'!AD41)</f>
        <v>0</v>
      </c>
      <c r="T39" s="356">
        <f>-('Table 5C2 - LA Virtual Admy'!AB39+'Table 5C2 - LA Virtual Admy'!AE39)</f>
        <v>-61091.549999999996</v>
      </c>
      <c r="U39" s="356">
        <f>-('Table 5C3 - LA Connections EBR'!AB39+'Table 5C3 - LA Connections EBR'!AE39)</f>
        <v>-9979.2000000000007</v>
      </c>
      <c r="V39" s="356">
        <f>-'Table 5E_OJJ'!S41</f>
        <v>-6453.5222733691953</v>
      </c>
      <c r="W39" s="356">
        <f t="shared" si="19"/>
        <v>-77524.272273369192</v>
      </c>
      <c r="X39" s="717">
        <f t="shared" si="20"/>
        <v>29120677.727726631</v>
      </c>
      <c r="AA39" s="49"/>
      <c r="AD39"/>
      <c r="AM39"/>
    </row>
    <row r="40" spans="1:39">
      <c r="A40" s="100">
        <v>35</v>
      </c>
      <c r="B40" s="302" t="s">
        <v>126</v>
      </c>
      <c r="C40" s="318">
        <f>'Table 2_State Distrib and Adjs'!AF42</f>
        <v>32981412</v>
      </c>
      <c r="D40" s="357"/>
      <c r="E40" s="357"/>
      <c r="F40" s="357">
        <f>-('Table 5C1A-Madison Prep'!AA42+'Table 5C1A-Madison Prep'!AD42)</f>
        <v>0</v>
      </c>
      <c r="G40" s="357">
        <f>-('Table 5C1B-DArbonne'!AA42+'Table 5C1B-DArbonne'!AD42)</f>
        <v>0</v>
      </c>
      <c r="H40" s="357">
        <f>-('Table 5C1C-Intl_VIBE'!AA42+'Table 5C1C-Intl_VIBE'!AD42)</f>
        <v>0</v>
      </c>
      <c r="I40" s="357">
        <f>-('Table 5C1D-NOMMA'!AA42+'Table 5C1D-NOMMA'!AD42)</f>
        <v>0</v>
      </c>
      <c r="J40" s="357">
        <f>-('Table 5C1E-LFNO'!AC42+'Table 5C1E-LFNO'!AF42)</f>
        <v>0</v>
      </c>
      <c r="K40" s="357">
        <f>-('Table 5C1F-Lake Charles Charter'!AA42+'Table 5C1F-Lake Charles Charter'!AD42)</f>
        <v>0</v>
      </c>
      <c r="L40" s="357">
        <f>-('Table 5C1G-JS Clark Academy'!AA42+'Table 5C1G-JS Clark Academy'!AD42)</f>
        <v>0</v>
      </c>
      <c r="M40" s="357">
        <f>-('Table 5C1H-Southwest LA Charter'!AA42+'Table 5C1H-Southwest LA Charter'!AD42)</f>
        <v>0</v>
      </c>
      <c r="N40" s="357">
        <f>-('Table 5C1I-LA Key Academy'!AA42+'Table 5C1I-LA Key Academy'!AD42)</f>
        <v>0</v>
      </c>
      <c r="O40" s="357">
        <f>-('Table 5C1J-Jefferson Chamber'!AA42+'Table 5C1J-Jefferson Chamber'!AD42)</f>
        <v>0</v>
      </c>
      <c r="P40" s="357">
        <f>-('Table 5C1K-Tallulah Charter'!AA42+'Table 5C1K-Tallulah Charter'!AD42)</f>
        <v>0</v>
      </c>
      <c r="Q40" s="357">
        <f>-('Table 5C1L-Northshore Charter'!AA42+'Table 5C1L-Northshore Charter'!AD42)</f>
        <v>0</v>
      </c>
      <c r="R40" s="357">
        <f>-('Table 5C1M-B.R. Charter'!AA42+'Table 5C1M-B.R. Charter'!AD42)</f>
        <v>0</v>
      </c>
      <c r="S40" s="357">
        <f>-('Table 5C1N-Delta Charter'!AA42+'Table 5C1N-Delta Charter'!AD42)</f>
        <v>-3140</v>
      </c>
      <c r="T40" s="357">
        <f>-('Table 5C2 - LA Virtual Admy'!AB40+'Table 5C2 - LA Virtual Admy'!AE40)</f>
        <v>-55117.8</v>
      </c>
      <c r="U40" s="357">
        <f>-('Table 5C3 - LA Connections EBR'!AB40+'Table 5C3 - LA Connections EBR'!AE40)</f>
        <v>-49455</v>
      </c>
      <c r="V40" s="357">
        <f>-'Table 5E_OJJ'!S42</f>
        <v>-15799.9384724222</v>
      </c>
      <c r="W40" s="357">
        <f t="shared" si="19"/>
        <v>-123512.73847242221</v>
      </c>
      <c r="X40" s="718">
        <f t="shared" si="20"/>
        <v>32857899.261527576</v>
      </c>
      <c r="AA40" s="49"/>
      <c r="AD40"/>
      <c r="AM40"/>
    </row>
    <row r="41" spans="1:39">
      <c r="A41" s="99">
        <v>36</v>
      </c>
      <c r="B41" s="301" t="s">
        <v>127</v>
      </c>
      <c r="C41" s="310">
        <f>'Table 2_State Distrib and Adjs'!AF43</f>
        <v>51497324</v>
      </c>
      <c r="D41" s="356"/>
      <c r="E41" s="915">
        <f>-'Table 5B1_RSD_Orleans'!AA70-'Table 5B1_RSD_Orleans'!AF70-'Table 5B1_RSD_Orleans'!AG70</f>
        <v>-136790073.5</v>
      </c>
      <c r="F41" s="356">
        <f>-('Table 5C1A-Madison Prep'!AA43+'Table 5C1A-Madison Prep'!AD43)</f>
        <v>0</v>
      </c>
      <c r="G41" s="356">
        <f>-('Table 5C1B-DArbonne'!AA43+'Table 5C1B-DArbonne'!AD43)</f>
        <v>0</v>
      </c>
      <c r="H41" s="356">
        <f>-('Table 5C1C-Intl_VIBE'!AA43+'Table 5C1C-Intl_VIBE'!AD43)</f>
        <v>-1888206</v>
      </c>
      <c r="I41" s="356">
        <f>-('Table 5C1D-NOMMA'!AA43+'Table 5C1D-NOMMA'!AD43)</f>
        <v>-850264.5</v>
      </c>
      <c r="J41" s="356">
        <f>-('Table 5C1E-LFNO'!AC43+'Table 5C1E-LFNO'!AF43)</f>
        <v>-1216992</v>
      </c>
      <c r="K41" s="356">
        <f>-('Table 5C1F-Lake Charles Charter'!AA43+'Table 5C1F-Lake Charles Charter'!AD43)</f>
        <v>0</v>
      </c>
      <c r="L41" s="356">
        <f>-('Table 5C1G-JS Clark Academy'!AA43+'Table 5C1G-JS Clark Academy'!AD43)</f>
        <v>0</v>
      </c>
      <c r="M41" s="356">
        <f>-('Table 5C1H-Southwest LA Charter'!AA43+'Table 5C1H-Southwest LA Charter'!AD43)</f>
        <v>0</v>
      </c>
      <c r="N41" s="356">
        <f>-('Table 5C1I-LA Key Academy'!AA43+'Table 5C1I-LA Key Academy'!AD43)</f>
        <v>0</v>
      </c>
      <c r="O41" s="356">
        <f>-('Table 5C1J-Jefferson Chamber'!AA43+'Table 5C1J-Jefferson Chamber'!AD43)</f>
        <v>-13582.5</v>
      </c>
      <c r="P41" s="356">
        <f>-('Table 5C1K-Tallulah Charter'!AA43+'Table 5C1K-Tallulah Charter'!AD43)</f>
        <v>0</v>
      </c>
      <c r="Q41" s="356">
        <f>-('Table 5C1L-Northshore Charter'!AA43+'Table 5C1L-Northshore Charter'!AD43)</f>
        <v>0</v>
      </c>
      <c r="R41" s="356">
        <f>-('Table 5C1M-B.R. Charter'!AA43+'Table 5C1M-B.R. Charter'!AD43)</f>
        <v>0</v>
      </c>
      <c r="S41" s="356">
        <f>-('Table 5C1N-Delta Charter'!AA43+'Table 5C1N-Delta Charter'!AD43)</f>
        <v>0</v>
      </c>
      <c r="T41" s="356">
        <f>-('Table 5C2 - LA Virtual Admy'!AB41+'Table 5C2 - LA Virtual Admy'!AE41)</f>
        <v>-326212.65000000002</v>
      </c>
      <c r="U41" s="356">
        <f>-('Table 5C3 - LA Connections EBR'!AB41+'Table 5C3 - LA Connections EBR'!AE41)</f>
        <v>-163804.95000000001</v>
      </c>
      <c r="V41" s="356">
        <f>-'Table 5E_OJJ'!S43</f>
        <v>-153694.73355838115</v>
      </c>
      <c r="W41" s="946">
        <f t="shared" si="19"/>
        <v>-141402830.83355838</v>
      </c>
      <c r="X41" s="717">
        <f t="shared" si="20"/>
        <v>-89905506.833558396</v>
      </c>
      <c r="Z41" s="942"/>
      <c r="AA41" s="49"/>
      <c r="AB41" s="942"/>
      <c r="AD41"/>
      <c r="AM41"/>
    </row>
    <row r="42" spans="1:39">
      <c r="A42" s="99">
        <v>37</v>
      </c>
      <c r="B42" s="301" t="s">
        <v>128</v>
      </c>
      <c r="C42" s="310">
        <f>'Table 2_State Distrib and Adjs'!AF44</f>
        <v>119645159</v>
      </c>
      <c r="D42" s="356"/>
      <c r="E42" s="356"/>
      <c r="F42" s="356">
        <f>-('Table 5C1A-Madison Prep'!AA44+'Table 5C1A-Madison Prep'!AD44)</f>
        <v>0</v>
      </c>
      <c r="G42" s="356">
        <f>-('Table 5C1B-DArbonne'!AA44+'Table 5C1B-DArbonne'!AD44)</f>
        <v>-9930</v>
      </c>
      <c r="H42" s="356">
        <f>-('Table 5C1C-Intl_VIBE'!AA44+'Table 5C1C-Intl_VIBE'!AD44)</f>
        <v>0</v>
      </c>
      <c r="I42" s="1633">
        <f>-('Table 5C1D-NOMMA'!AA44+'Table 5C1D-NOMMA'!AD44)</f>
        <v>0</v>
      </c>
      <c r="J42" s="356">
        <f>-('Table 5C1E-LFNO'!AC44+'Table 5C1E-LFNO'!AF44)</f>
        <v>0</v>
      </c>
      <c r="K42" s="356">
        <f>-('Table 5C1F-Lake Charles Charter'!AA44+'Table 5C1F-Lake Charles Charter'!AD44)</f>
        <v>0</v>
      </c>
      <c r="L42" s="356">
        <f>-('Table 5C1G-JS Clark Academy'!AA44+'Table 5C1G-JS Clark Academy'!AD44)</f>
        <v>0</v>
      </c>
      <c r="M42" s="356">
        <f>-('Table 5C1H-Southwest LA Charter'!AA44+'Table 5C1H-Southwest LA Charter'!AD44)</f>
        <v>0</v>
      </c>
      <c r="N42" s="356">
        <f>-('Table 5C1I-LA Key Academy'!AA44+'Table 5C1I-LA Key Academy'!AD44)</f>
        <v>0</v>
      </c>
      <c r="O42" s="356">
        <f>-('Table 5C1J-Jefferson Chamber'!AA44+'Table 5C1J-Jefferson Chamber'!AD44)</f>
        <v>0</v>
      </c>
      <c r="P42" s="356">
        <f>-('Table 5C1K-Tallulah Charter'!AA44+'Table 5C1K-Tallulah Charter'!AD44)</f>
        <v>0</v>
      </c>
      <c r="Q42" s="356">
        <f>-('Table 5C1L-Northshore Charter'!AA44+'Table 5C1L-Northshore Charter'!AD44)</f>
        <v>0</v>
      </c>
      <c r="R42" s="356">
        <f>-('Table 5C1M-B.R. Charter'!AA44+'Table 5C1M-B.R. Charter'!AD44)</f>
        <v>0</v>
      </c>
      <c r="S42" s="356">
        <f>-('Table 5C1N-Delta Charter'!AA44+'Table 5C1N-Delta Charter'!AD44)</f>
        <v>-4965</v>
      </c>
      <c r="T42" s="356">
        <f>-('Table 5C2 - LA Virtual Admy'!AB42+'Table 5C2 - LA Virtual Admy'!AE42)</f>
        <v>-169047</v>
      </c>
      <c r="U42" s="356">
        <f>-('Table 5C3 - LA Connections EBR'!AB42+'Table 5C3 - LA Connections EBR'!AE42)</f>
        <v>-83412</v>
      </c>
      <c r="V42" s="356">
        <f>-'Table 5E_OJJ'!S44</f>
        <v>-14508.572855943117</v>
      </c>
      <c r="W42" s="356">
        <f t="shared" si="19"/>
        <v>-281862.57285594312</v>
      </c>
      <c r="X42" s="717">
        <f t="shared" si="20"/>
        <v>119363296.42714405</v>
      </c>
      <c r="Z42" s="942"/>
      <c r="AA42" s="49"/>
      <c r="AB42" s="942"/>
      <c r="AD42"/>
      <c r="AM42"/>
    </row>
    <row r="43" spans="1:39">
      <c r="A43" s="99">
        <v>38</v>
      </c>
      <c r="B43" s="301" t="s">
        <v>129</v>
      </c>
      <c r="C43" s="310">
        <f>'Table 2_State Distrib and Adjs'!AF45</f>
        <v>11616976</v>
      </c>
      <c r="D43" s="356"/>
      <c r="E43" s="356"/>
      <c r="F43" s="356">
        <f>-('Table 5C1A-Madison Prep'!AA45+'Table 5C1A-Madison Prep'!AD45)</f>
        <v>0</v>
      </c>
      <c r="G43" s="356">
        <f>-('Table 5C1B-DArbonne'!AA45+'Table 5C1B-DArbonne'!AD45)</f>
        <v>0</v>
      </c>
      <c r="H43" s="356">
        <f>-('Table 5C1C-Intl_VIBE'!AA45+'Table 5C1C-Intl_VIBE'!AD45)</f>
        <v>0</v>
      </c>
      <c r="I43" s="356">
        <f>-('Table 5C1D-NOMMA'!AA45+'Table 5C1D-NOMMA'!AD45)</f>
        <v>-118949.5</v>
      </c>
      <c r="J43" s="356">
        <f>-('Table 5C1E-LFNO'!AC45+'Table 5C1E-LFNO'!AF45)</f>
        <v>-50084</v>
      </c>
      <c r="K43" s="356">
        <f>-('Table 5C1F-Lake Charles Charter'!AA45+'Table 5C1F-Lake Charles Charter'!AD45)</f>
        <v>0</v>
      </c>
      <c r="L43" s="356">
        <f>-('Table 5C1G-JS Clark Academy'!AA45+'Table 5C1G-JS Clark Academy'!AD45)</f>
        <v>0</v>
      </c>
      <c r="M43" s="356">
        <f>-('Table 5C1H-Southwest LA Charter'!AA45+'Table 5C1H-Southwest LA Charter'!AD45)</f>
        <v>0</v>
      </c>
      <c r="N43" s="356">
        <f>-('Table 5C1I-LA Key Academy'!AA45+'Table 5C1I-LA Key Academy'!AD45)</f>
        <v>0</v>
      </c>
      <c r="O43" s="356">
        <f>-('Table 5C1J-Jefferson Chamber'!AA45+'Table 5C1J-Jefferson Chamber'!AD45)</f>
        <v>0</v>
      </c>
      <c r="P43" s="356">
        <f>-('Table 5C1K-Tallulah Charter'!AA45+'Table 5C1K-Tallulah Charter'!AD45)</f>
        <v>0</v>
      </c>
      <c r="Q43" s="356">
        <f>-('Table 5C1L-Northshore Charter'!AA45+'Table 5C1L-Northshore Charter'!AD45)</f>
        <v>0</v>
      </c>
      <c r="R43" s="356">
        <f>-('Table 5C1M-B.R. Charter'!AA45+'Table 5C1M-B.R. Charter'!AD45)</f>
        <v>0</v>
      </c>
      <c r="S43" s="356">
        <f>-('Table 5C1N-Delta Charter'!AA45+'Table 5C1N-Delta Charter'!AD45)</f>
        <v>0</v>
      </c>
      <c r="T43" s="356">
        <f>-('Table 5C2 - LA Virtual Admy'!AB43+'Table 5C2 - LA Virtual Admy'!AE43)</f>
        <v>-56838.149999999994</v>
      </c>
      <c r="U43" s="356">
        <f>-('Table 5C3 - LA Connections EBR'!AB43+'Table 5C3 - LA Connections EBR'!AE43)</f>
        <v>-67613.399999999994</v>
      </c>
      <c r="V43" s="356">
        <f>-'Table 5E_OJJ'!S45</f>
        <v>-3445.7922835512722</v>
      </c>
      <c r="W43" s="356">
        <f t="shared" si="19"/>
        <v>-296930.84228355123</v>
      </c>
      <c r="X43" s="717">
        <f t="shared" si="20"/>
        <v>11320045.157716447</v>
      </c>
      <c r="Z43" s="942"/>
      <c r="AA43" s="49"/>
      <c r="AB43" s="942"/>
      <c r="AD43"/>
      <c r="AM43"/>
    </row>
    <row r="44" spans="1:39">
      <c r="A44" s="99">
        <v>39</v>
      </c>
      <c r="B44" s="301" t="s">
        <v>130</v>
      </c>
      <c r="C44" s="310">
        <f>'Table 2_State Distrib and Adjs'!AF46</f>
        <v>11502139</v>
      </c>
      <c r="D44" s="356">
        <f>-'Table 5B2_RSD_LA'!AD23-'Table 5B2_RSD_LA'!AI23-'Table 5B2_RSD_LA'!AJ23</f>
        <v>-780277.5</v>
      </c>
      <c r="E44" s="356"/>
      <c r="F44" s="356">
        <f>-('Table 5C1A-Madison Prep'!AA46+'Table 5C1A-Madison Prep'!AD46)</f>
        <v>0</v>
      </c>
      <c r="G44" s="356">
        <f>-('Table 5C1B-DArbonne'!AA46+'Table 5C1B-DArbonne'!AD46)</f>
        <v>0</v>
      </c>
      <c r="H44" s="356">
        <f>-('Table 5C1C-Intl_VIBE'!AA46+'Table 5C1C-Intl_VIBE'!AD46)</f>
        <v>0</v>
      </c>
      <c r="I44" s="356">
        <f>-('Table 5C1D-NOMMA'!AA46+'Table 5C1D-NOMMA'!AD46)</f>
        <v>0</v>
      </c>
      <c r="J44" s="356">
        <f>-('Table 5C1E-LFNO'!AC46+'Table 5C1E-LFNO'!AF46)</f>
        <v>0</v>
      </c>
      <c r="K44" s="356">
        <f>-('Table 5C1F-Lake Charles Charter'!AA46+'Table 5C1F-Lake Charles Charter'!AD46)</f>
        <v>0</v>
      </c>
      <c r="L44" s="356">
        <f>-('Table 5C1G-JS Clark Academy'!AA46+'Table 5C1G-JS Clark Academy'!AD46)</f>
        <v>0</v>
      </c>
      <c r="M44" s="356">
        <f>-('Table 5C1H-Southwest LA Charter'!AA46+'Table 5C1H-Southwest LA Charter'!AD46)</f>
        <v>0</v>
      </c>
      <c r="N44" s="356">
        <f>-('Table 5C1I-LA Key Academy'!AA46+'Table 5C1I-LA Key Academy'!AD46)</f>
        <v>-2218</v>
      </c>
      <c r="O44" s="356">
        <f>-('Table 5C1J-Jefferson Chamber'!AA46+'Table 5C1J-Jefferson Chamber'!AD46)</f>
        <v>0</v>
      </c>
      <c r="P44" s="356">
        <f>-('Table 5C1K-Tallulah Charter'!AA46+'Table 5C1K-Tallulah Charter'!AD46)</f>
        <v>0</v>
      </c>
      <c r="Q44" s="356">
        <f>-('Table 5C1L-Northshore Charter'!AA46+'Table 5C1L-Northshore Charter'!AD46)</f>
        <v>0</v>
      </c>
      <c r="R44" s="356">
        <f>-('Table 5C1M-B.R. Charter'!AA46+'Table 5C1M-B.R. Charter'!AD46)</f>
        <v>0</v>
      </c>
      <c r="S44" s="356">
        <f>-('Table 5C1N-Delta Charter'!AA46+'Table 5C1N-Delta Charter'!AD46)</f>
        <v>0</v>
      </c>
      <c r="T44" s="356">
        <f>-('Table 5C2 - LA Virtual Admy'!AB44+'Table 5C2 - LA Virtual Admy'!AE44)</f>
        <v>-18378</v>
      </c>
      <c r="U44" s="356">
        <f>-('Table 5C3 - LA Connections EBR'!AB44+'Table 5C3 - LA Connections EBR'!AE44)</f>
        <v>-37927.800000000003</v>
      </c>
      <c r="V44" s="356">
        <f>-'Table 5E_OJJ'!S46</f>
        <v>-16378.173081601759</v>
      </c>
      <c r="W44" s="356">
        <f t="shared" si="19"/>
        <v>-855179.47308160178</v>
      </c>
      <c r="X44" s="717">
        <f t="shared" si="20"/>
        <v>10646959.526918398</v>
      </c>
      <c r="Z44" s="544"/>
      <c r="AA44" s="49"/>
      <c r="AB44" s="544"/>
      <c r="AD44"/>
      <c r="AM44"/>
    </row>
    <row r="45" spans="1:39">
      <c r="A45" s="100">
        <v>40</v>
      </c>
      <c r="B45" s="302" t="s">
        <v>131</v>
      </c>
      <c r="C45" s="318">
        <f>'Table 2_State Distrib and Adjs'!AF47</f>
        <v>129521375</v>
      </c>
      <c r="D45" s="357"/>
      <c r="E45" s="357"/>
      <c r="F45" s="357">
        <f>-('Table 5C1A-Madison Prep'!AA47+'Table 5C1A-Madison Prep'!AD47)</f>
        <v>0</v>
      </c>
      <c r="G45" s="357">
        <f>-('Table 5C1B-DArbonne'!AA47+'Table 5C1B-DArbonne'!AD47)</f>
        <v>0</v>
      </c>
      <c r="H45" s="357">
        <f>-('Table 5C1C-Intl_VIBE'!AA47+'Table 5C1C-Intl_VIBE'!AD47)</f>
        <v>0</v>
      </c>
      <c r="I45" s="357">
        <f>-('Table 5C1D-NOMMA'!AA47+'Table 5C1D-NOMMA'!AD47)</f>
        <v>0</v>
      </c>
      <c r="J45" s="357">
        <f>-('Table 5C1E-LFNO'!AC47+'Table 5C1E-LFNO'!AF47)</f>
        <v>0</v>
      </c>
      <c r="K45" s="357">
        <f>-('Table 5C1F-Lake Charles Charter'!AA47+'Table 5C1F-Lake Charles Charter'!AD47)</f>
        <v>0</v>
      </c>
      <c r="L45" s="357">
        <f>-('Table 5C1G-JS Clark Academy'!AA47+'Table 5C1G-JS Clark Academy'!AD47)</f>
        <v>0</v>
      </c>
      <c r="M45" s="357">
        <f>-('Table 5C1H-Southwest LA Charter'!AA47+'Table 5C1H-Southwest LA Charter'!AD47)</f>
        <v>0</v>
      </c>
      <c r="N45" s="357">
        <f>-('Table 5C1I-LA Key Academy'!AA47+'Table 5C1I-LA Key Academy'!AD47)</f>
        <v>0</v>
      </c>
      <c r="O45" s="357">
        <f>-('Table 5C1J-Jefferson Chamber'!AA47+'Table 5C1J-Jefferson Chamber'!AD47)</f>
        <v>0</v>
      </c>
      <c r="P45" s="357">
        <f>-('Table 5C1K-Tallulah Charter'!AA47+'Table 5C1K-Tallulah Charter'!AD47)</f>
        <v>0</v>
      </c>
      <c r="Q45" s="357">
        <f>-('Table 5C1L-Northshore Charter'!AA47+'Table 5C1L-Northshore Charter'!AD47)</f>
        <v>0</v>
      </c>
      <c r="R45" s="357">
        <f>-('Table 5C1M-B.R. Charter'!AA47+'Table 5C1M-B.R. Charter'!AD47)</f>
        <v>0</v>
      </c>
      <c r="S45" s="357">
        <f>-('Table 5C1N-Delta Charter'!AA47+'Table 5C1N-Delta Charter'!AD47)</f>
        <v>0</v>
      </c>
      <c r="T45" s="357">
        <f>-('Table 5C2 - LA Virtual Admy'!AB45+'Table 5C2 - LA Virtual Admy'!AE45)</f>
        <v>-147582.9</v>
      </c>
      <c r="U45" s="357">
        <f>-('Table 5C3 - LA Connections EBR'!AB45+'Table 5C3 - LA Connections EBR'!AE45)</f>
        <v>-93739.95</v>
      </c>
      <c r="V45" s="357">
        <f>-'Table 5E_OJJ'!S47</f>
        <v>-23838.905115959795</v>
      </c>
      <c r="W45" s="357">
        <f t="shared" si="19"/>
        <v>-265161.75511595979</v>
      </c>
      <c r="X45" s="718">
        <f t="shared" si="20"/>
        <v>129256213.24488403</v>
      </c>
      <c r="AA45" s="49"/>
      <c r="AD45"/>
      <c r="AM45"/>
    </row>
    <row r="46" spans="1:39">
      <c r="A46" s="99">
        <v>41</v>
      </c>
      <c r="B46" s="301" t="s">
        <v>132</v>
      </c>
      <c r="C46" s="310">
        <f>'Table 2_State Distrib and Adjs'!AF48</f>
        <v>3630143</v>
      </c>
      <c r="D46" s="356"/>
      <c r="E46" s="356"/>
      <c r="F46" s="356">
        <f>-('Table 5C1A-Madison Prep'!AA48+'Table 5C1A-Madison Prep'!AD48)</f>
        <v>0</v>
      </c>
      <c r="G46" s="356">
        <f>-('Table 5C1B-DArbonne'!AA48+'Table 5C1B-DArbonne'!AD48)</f>
        <v>0</v>
      </c>
      <c r="H46" s="356">
        <f>-('Table 5C1C-Intl_VIBE'!AA48+'Table 5C1C-Intl_VIBE'!AD48)</f>
        <v>0</v>
      </c>
      <c r="I46" s="356">
        <f>-('Table 5C1D-NOMMA'!AA48+'Table 5C1D-NOMMA'!AD48)</f>
        <v>0</v>
      </c>
      <c r="J46" s="356">
        <f>-('Table 5C1E-LFNO'!AC48+'Table 5C1E-LFNO'!AF48)</f>
        <v>0</v>
      </c>
      <c r="K46" s="356">
        <f>-('Table 5C1F-Lake Charles Charter'!AA48+'Table 5C1F-Lake Charles Charter'!AD48)</f>
        <v>0</v>
      </c>
      <c r="L46" s="356">
        <f>-('Table 5C1G-JS Clark Academy'!AA48+'Table 5C1G-JS Clark Academy'!AD48)</f>
        <v>0</v>
      </c>
      <c r="M46" s="356">
        <f>-('Table 5C1H-Southwest LA Charter'!AA48+'Table 5C1H-Southwest LA Charter'!AD48)</f>
        <v>0</v>
      </c>
      <c r="N46" s="356">
        <f>-('Table 5C1I-LA Key Academy'!AA48+'Table 5C1I-LA Key Academy'!AD48)</f>
        <v>0</v>
      </c>
      <c r="O46" s="356">
        <f>-('Table 5C1J-Jefferson Chamber'!AA48+'Table 5C1J-Jefferson Chamber'!AD48)</f>
        <v>0</v>
      </c>
      <c r="P46" s="356">
        <f>-('Table 5C1K-Tallulah Charter'!AA48+'Table 5C1K-Tallulah Charter'!AD48)</f>
        <v>0</v>
      </c>
      <c r="Q46" s="356">
        <f>-('Table 5C1L-Northshore Charter'!AA48+'Table 5C1L-Northshore Charter'!AD48)</f>
        <v>0</v>
      </c>
      <c r="R46" s="356">
        <f>-('Table 5C1M-B.R. Charter'!AA48+'Table 5C1M-B.R. Charter'!AD48)</f>
        <v>0</v>
      </c>
      <c r="S46" s="356">
        <f>-('Table 5C1N-Delta Charter'!AA48+'Table 5C1N-Delta Charter'!AD48)</f>
        <v>0</v>
      </c>
      <c r="T46" s="356">
        <f>-('Table 5C2 - LA Virtual Admy'!AB46+'Table 5C2 - LA Virtual Admy'!AE46)</f>
        <v>-4033.8</v>
      </c>
      <c r="U46" s="356">
        <f>-('Table 5C3 - LA Connections EBR'!AB46+'Table 5C3 - LA Connections EBR'!AE46)</f>
        <v>0</v>
      </c>
      <c r="V46" s="356">
        <f>-'Table 5E_OJJ'!S48</f>
        <v>0</v>
      </c>
      <c r="W46" s="356">
        <f t="shared" si="19"/>
        <v>-4033.8</v>
      </c>
      <c r="X46" s="717">
        <f t="shared" si="20"/>
        <v>3626109.2</v>
      </c>
      <c r="AA46" s="49"/>
      <c r="AD46"/>
      <c r="AM46"/>
    </row>
    <row r="47" spans="1:39">
      <c r="A47" s="99">
        <v>42</v>
      </c>
      <c r="B47" s="301" t="s">
        <v>133</v>
      </c>
      <c r="C47" s="310">
        <f>'Table 2_State Distrib and Adjs'!AF49</f>
        <v>18278899</v>
      </c>
      <c r="D47" s="356"/>
      <c r="E47" s="356"/>
      <c r="F47" s="356">
        <f>-('Table 5C1A-Madison Prep'!AA49+'Table 5C1A-Madison Prep'!AD49)</f>
        <v>0</v>
      </c>
      <c r="G47" s="356">
        <f>-('Table 5C1B-DArbonne'!AA49+'Table 5C1B-DArbonne'!AD49)</f>
        <v>0</v>
      </c>
      <c r="H47" s="356">
        <f>-('Table 5C1C-Intl_VIBE'!AA49+'Table 5C1C-Intl_VIBE'!AD49)</f>
        <v>0</v>
      </c>
      <c r="I47" s="356">
        <f>-('Table 5C1D-NOMMA'!AA49+'Table 5C1D-NOMMA'!AD49)</f>
        <v>0</v>
      </c>
      <c r="J47" s="356">
        <f>-('Table 5C1E-LFNO'!AC49+'Table 5C1E-LFNO'!AF49)</f>
        <v>0</v>
      </c>
      <c r="K47" s="356">
        <f>-('Table 5C1F-Lake Charles Charter'!AA49+'Table 5C1F-Lake Charles Charter'!AD49)</f>
        <v>0</v>
      </c>
      <c r="L47" s="356">
        <f>-('Table 5C1G-JS Clark Academy'!AA49+'Table 5C1G-JS Clark Academy'!AD49)</f>
        <v>0</v>
      </c>
      <c r="M47" s="356">
        <f>-('Table 5C1H-Southwest LA Charter'!AA49+'Table 5C1H-Southwest LA Charter'!AD49)</f>
        <v>0</v>
      </c>
      <c r="N47" s="356">
        <f>-('Table 5C1I-LA Key Academy'!AA49+'Table 5C1I-LA Key Academy'!AD49)</f>
        <v>0</v>
      </c>
      <c r="O47" s="356">
        <f>-('Table 5C1J-Jefferson Chamber'!AA49+'Table 5C1J-Jefferson Chamber'!AD49)</f>
        <v>0</v>
      </c>
      <c r="P47" s="356">
        <f>-('Table 5C1K-Tallulah Charter'!AA49+'Table 5C1K-Tallulah Charter'!AD49)</f>
        <v>0</v>
      </c>
      <c r="Q47" s="356">
        <f>-('Table 5C1L-Northshore Charter'!AA49+'Table 5C1L-Northshore Charter'!AD49)</f>
        <v>0</v>
      </c>
      <c r="R47" s="356">
        <f>-('Table 5C1M-B.R. Charter'!AA49+'Table 5C1M-B.R. Charter'!AD49)</f>
        <v>0</v>
      </c>
      <c r="S47" s="356">
        <f>-('Table 5C1N-Delta Charter'!AA49+'Table 5C1N-Delta Charter'!AD49)</f>
        <v>0</v>
      </c>
      <c r="T47" s="356">
        <f>-('Table 5C2 - LA Virtual Admy'!AB47+'Table 5C2 - LA Virtual Admy'!AE47)</f>
        <v>-17498.25</v>
      </c>
      <c r="U47" s="356">
        <f>-('Table 5C3 - LA Connections EBR'!AB47+'Table 5C3 - LA Connections EBR'!AE47)</f>
        <v>-15907.5</v>
      </c>
      <c r="V47" s="356">
        <f>-'Table 5E_OJJ'!S49</f>
        <v>-1897.6538980038745</v>
      </c>
      <c r="W47" s="356">
        <f t="shared" si="19"/>
        <v>-35303.403898003875</v>
      </c>
      <c r="X47" s="717">
        <f t="shared" si="20"/>
        <v>18243595.596101996</v>
      </c>
      <c r="AA47" s="49"/>
      <c r="AD47"/>
      <c r="AM47"/>
    </row>
    <row r="48" spans="1:39">
      <c r="A48" s="99">
        <v>43</v>
      </c>
      <c r="B48" s="301" t="s">
        <v>134</v>
      </c>
      <c r="C48" s="310">
        <f>'Table 2_State Distrib and Adjs'!AF50</f>
        <v>21664650</v>
      </c>
      <c r="D48" s="356"/>
      <c r="E48" s="356"/>
      <c r="F48" s="356">
        <f>-('Table 5C1A-Madison Prep'!AA50+'Table 5C1A-Madison Prep'!AD50)</f>
        <v>0</v>
      </c>
      <c r="G48" s="356">
        <f>-('Table 5C1B-DArbonne'!AA50+'Table 5C1B-DArbonne'!AD50)</f>
        <v>0</v>
      </c>
      <c r="H48" s="356">
        <f>-('Table 5C1C-Intl_VIBE'!AA50+'Table 5C1C-Intl_VIBE'!AD50)</f>
        <v>0</v>
      </c>
      <c r="I48" s="356">
        <f>-('Table 5C1D-NOMMA'!AA50+'Table 5C1D-NOMMA'!AD50)</f>
        <v>0</v>
      </c>
      <c r="J48" s="356">
        <f>-('Table 5C1E-LFNO'!AC50+'Table 5C1E-LFNO'!AF50)</f>
        <v>0</v>
      </c>
      <c r="K48" s="356">
        <f>-('Table 5C1F-Lake Charles Charter'!AA50+'Table 5C1F-Lake Charles Charter'!AD50)</f>
        <v>0</v>
      </c>
      <c r="L48" s="356">
        <f>-('Table 5C1G-JS Clark Academy'!AA50+'Table 5C1G-JS Clark Academy'!AD50)</f>
        <v>0</v>
      </c>
      <c r="M48" s="356">
        <f>-('Table 5C1H-Southwest LA Charter'!AA50+'Table 5C1H-Southwest LA Charter'!AD50)</f>
        <v>0</v>
      </c>
      <c r="N48" s="356">
        <f>-('Table 5C1I-LA Key Academy'!AA50+'Table 5C1I-LA Key Academy'!AD50)</f>
        <v>0</v>
      </c>
      <c r="O48" s="356">
        <f>-('Table 5C1J-Jefferson Chamber'!AA50+'Table 5C1J-Jefferson Chamber'!AD50)</f>
        <v>0</v>
      </c>
      <c r="P48" s="356">
        <f>-('Table 5C1K-Tallulah Charter'!AA50+'Table 5C1K-Tallulah Charter'!AD50)</f>
        <v>0</v>
      </c>
      <c r="Q48" s="356">
        <f>-('Table 5C1L-Northshore Charter'!AA50+'Table 5C1L-Northshore Charter'!AD50)</f>
        <v>0</v>
      </c>
      <c r="R48" s="356">
        <f>-('Table 5C1M-B.R. Charter'!AA50+'Table 5C1M-B.R. Charter'!AD50)</f>
        <v>0</v>
      </c>
      <c r="S48" s="356">
        <f>-('Table 5C1N-Delta Charter'!AA50+'Table 5C1N-Delta Charter'!AD50)</f>
        <v>0</v>
      </c>
      <c r="T48" s="356">
        <f>-('Table 5C2 - LA Virtual Admy'!AB48+'Table 5C2 - LA Virtual Admy'!AE48)</f>
        <v>-44374.950000000004</v>
      </c>
      <c r="U48" s="356">
        <f>-('Table 5C3 - LA Connections EBR'!AB48+'Table 5C3 - LA Connections EBR'!AE48)</f>
        <v>-17785.350000000002</v>
      </c>
      <c r="V48" s="356">
        <f>-'Table 5E_OJJ'!S50</f>
        <v>-10942.067940669262</v>
      </c>
      <c r="W48" s="356">
        <f t="shared" si="19"/>
        <v>-73102.367940669268</v>
      </c>
      <c r="X48" s="717">
        <f t="shared" si="20"/>
        <v>21591547.632059328</v>
      </c>
      <c r="AA48" s="49"/>
      <c r="AD48"/>
      <c r="AM48"/>
    </row>
    <row r="49" spans="1:39">
      <c r="A49" s="99">
        <v>44</v>
      </c>
      <c r="B49" s="301" t="s">
        <v>135</v>
      </c>
      <c r="C49" s="310">
        <f>'Table 2_State Distrib and Adjs'!AF51</f>
        <v>35798558</v>
      </c>
      <c r="D49" s="356"/>
      <c r="E49" s="356"/>
      <c r="F49" s="356">
        <f>-('Table 5C1A-Madison Prep'!AA51+'Table 5C1A-Madison Prep'!AD51)</f>
        <v>0</v>
      </c>
      <c r="G49" s="356">
        <f>-('Table 5C1B-DArbonne'!AA51+'Table 5C1B-DArbonne'!AD51)</f>
        <v>0</v>
      </c>
      <c r="H49" s="356">
        <f>-('Table 5C1C-Intl_VIBE'!AA51+'Table 5C1C-Intl_VIBE'!AD51)</f>
        <v>-8646</v>
      </c>
      <c r="I49" s="356">
        <f>-('Table 5C1D-NOMMA'!AA51+'Table 5C1D-NOMMA'!AD51)</f>
        <v>-4323</v>
      </c>
      <c r="J49" s="356">
        <f>-('Table 5C1E-LFNO'!AC51+'Table 5C1E-LFNO'!AF51)</f>
        <v>-17292</v>
      </c>
      <c r="K49" s="356">
        <f>-('Table 5C1F-Lake Charles Charter'!AA51+'Table 5C1F-Lake Charles Charter'!AD51)</f>
        <v>0</v>
      </c>
      <c r="L49" s="356">
        <f>-('Table 5C1G-JS Clark Academy'!AA51+'Table 5C1G-JS Clark Academy'!AD51)</f>
        <v>0</v>
      </c>
      <c r="M49" s="356">
        <f>-('Table 5C1H-Southwest LA Charter'!AA51+'Table 5C1H-Southwest LA Charter'!AD51)</f>
        <v>0</v>
      </c>
      <c r="N49" s="356">
        <f>-('Table 5C1I-LA Key Academy'!AA51+'Table 5C1I-LA Key Academy'!AD51)</f>
        <v>0</v>
      </c>
      <c r="O49" s="356">
        <f>-('Table 5C1J-Jefferson Chamber'!AA51+'Table 5C1J-Jefferson Chamber'!AD51)</f>
        <v>0</v>
      </c>
      <c r="P49" s="356">
        <f>-('Table 5C1K-Tallulah Charter'!AA51+'Table 5C1K-Tallulah Charter'!AD51)</f>
        <v>0</v>
      </c>
      <c r="Q49" s="356">
        <f>-('Table 5C1L-Northshore Charter'!AA51+'Table 5C1L-Northshore Charter'!AD51)</f>
        <v>0</v>
      </c>
      <c r="R49" s="356">
        <f>-('Table 5C1M-B.R. Charter'!AA51+'Table 5C1M-B.R. Charter'!AD51)</f>
        <v>0</v>
      </c>
      <c r="S49" s="356">
        <f>-('Table 5C1N-Delta Charter'!AA51+'Table 5C1N-Delta Charter'!AD51)</f>
        <v>0</v>
      </c>
      <c r="T49" s="356">
        <f>-('Table 5C2 - LA Virtual Admy'!AB49+'Table 5C2 - LA Virtual Admy'!AE49)</f>
        <v>-54852.3</v>
      </c>
      <c r="U49" s="356">
        <f>-('Table 5C3 - LA Connections EBR'!AB49+'Table 5C3 - LA Connections EBR'!AE49)</f>
        <v>-21398.850000000002</v>
      </c>
      <c r="V49" s="356">
        <f>-'Table 5E_OJJ'!S51</f>
        <v>-2662.7930497363204</v>
      </c>
      <c r="W49" s="356">
        <f t="shared" si="19"/>
        <v>-109174.94304973634</v>
      </c>
      <c r="X49" s="717">
        <f t="shared" si="20"/>
        <v>35689383.056950264</v>
      </c>
      <c r="AA49" s="49"/>
      <c r="AD49"/>
      <c r="AM49"/>
    </row>
    <row r="50" spans="1:39">
      <c r="A50" s="100">
        <v>45</v>
      </c>
      <c r="B50" s="302" t="s">
        <v>136</v>
      </c>
      <c r="C50" s="318">
        <f>'Table 2_State Distrib and Adjs'!AF52</f>
        <v>27692224</v>
      </c>
      <c r="D50" s="357"/>
      <c r="E50" s="357"/>
      <c r="F50" s="357">
        <f>-('Table 5C1A-Madison Prep'!AA52+'Table 5C1A-Madison Prep'!AD52)</f>
        <v>0</v>
      </c>
      <c r="G50" s="357">
        <f>-('Table 5C1B-DArbonne'!AA52+'Table 5C1B-DArbonne'!AD52)</f>
        <v>0</v>
      </c>
      <c r="H50" s="357">
        <f>-('Table 5C1C-Intl_VIBE'!AA52+'Table 5C1C-Intl_VIBE'!AD52)</f>
        <v>0</v>
      </c>
      <c r="I50" s="357">
        <f>-('Table 5C1D-NOMMA'!AA52+'Table 5C1D-NOMMA'!AD52)</f>
        <v>0</v>
      </c>
      <c r="J50" s="357">
        <f>-('Table 5C1E-LFNO'!AC52+'Table 5C1E-LFNO'!AF52)</f>
        <v>-25584</v>
      </c>
      <c r="K50" s="357">
        <f>-('Table 5C1F-Lake Charles Charter'!AA52+'Table 5C1F-Lake Charles Charter'!AD52)</f>
        <v>0</v>
      </c>
      <c r="L50" s="357">
        <f>-('Table 5C1G-JS Clark Academy'!AA52+'Table 5C1G-JS Clark Academy'!AD52)</f>
        <v>0</v>
      </c>
      <c r="M50" s="357">
        <f>-('Table 5C1H-Southwest LA Charter'!AA52+'Table 5C1H-Southwest LA Charter'!AD52)</f>
        <v>0</v>
      </c>
      <c r="N50" s="357">
        <f>-('Table 5C1I-LA Key Academy'!AA52+'Table 5C1I-LA Key Academy'!AD52)</f>
        <v>0</v>
      </c>
      <c r="O50" s="357">
        <f>-('Table 5C1J-Jefferson Chamber'!AA52+'Table 5C1J-Jefferson Chamber'!AD52)</f>
        <v>-6396</v>
      </c>
      <c r="P50" s="357">
        <f>-('Table 5C1K-Tallulah Charter'!AA52+'Table 5C1K-Tallulah Charter'!AD52)</f>
        <v>0</v>
      </c>
      <c r="Q50" s="357">
        <f>-('Table 5C1L-Northshore Charter'!AA52+'Table 5C1L-Northshore Charter'!AD52)</f>
        <v>0</v>
      </c>
      <c r="R50" s="357">
        <f>-('Table 5C1M-B.R. Charter'!AA52+'Table 5C1M-B.R. Charter'!AD52)</f>
        <v>0</v>
      </c>
      <c r="S50" s="357">
        <f>-('Table 5C1N-Delta Charter'!AA52+'Table 5C1N-Delta Charter'!AD52)</f>
        <v>0</v>
      </c>
      <c r="T50" s="357">
        <f>-('Table 5C2 - LA Virtual Admy'!AB50+'Table 5C2 - LA Virtual Admy'!AE50)</f>
        <v>-120884.40000000001</v>
      </c>
      <c r="U50" s="357">
        <f>-('Table 5C3 - LA Connections EBR'!AB50+'Table 5C3 - LA Connections EBR'!AE50)</f>
        <v>-132397.20000000001</v>
      </c>
      <c r="V50" s="357">
        <f>-'Table 5E_OJJ'!S52</f>
        <v>-14882.103958770625</v>
      </c>
      <c r="W50" s="357">
        <f t="shared" si="19"/>
        <v>-300143.70395877067</v>
      </c>
      <c r="X50" s="718">
        <f t="shared" si="20"/>
        <v>27392080.296041232</v>
      </c>
      <c r="AA50" s="49"/>
      <c r="AD50"/>
      <c r="AM50"/>
    </row>
    <row r="51" spans="1:39">
      <c r="A51" s="99">
        <v>46</v>
      </c>
      <c r="B51" s="301" t="s">
        <v>137</v>
      </c>
      <c r="C51" s="310">
        <f>'Table 2_State Distrib and Adjs'!AF53</f>
        <v>4532584</v>
      </c>
      <c r="D51" s="356">
        <f>-'Table 5B2_RSD_LA'!AD35-'Table 5B2_RSD_LA'!AI35-'Table 5B2_RSD_LA'!AJ35</f>
        <v>-424770</v>
      </c>
      <c r="E51" s="356"/>
      <c r="F51" s="356">
        <f>-('Table 5C1A-Madison Prep'!AA53+'Table 5C1A-Madison Prep'!AD53)</f>
        <v>0</v>
      </c>
      <c r="G51" s="356">
        <f>-('Table 5C1B-DArbonne'!AA53+'Table 5C1B-DArbonne'!AD53)</f>
        <v>0</v>
      </c>
      <c r="H51" s="356">
        <f>-('Table 5C1C-Intl_VIBE'!AA53+'Table 5C1C-Intl_VIBE'!AD53)</f>
        <v>0</v>
      </c>
      <c r="I51" s="356">
        <f>-('Table 5C1D-NOMMA'!AA53+'Table 5C1D-NOMMA'!AD53)</f>
        <v>0</v>
      </c>
      <c r="J51" s="356">
        <f>-('Table 5C1E-LFNO'!AC53+'Table 5C1E-LFNO'!AF53)</f>
        <v>0</v>
      </c>
      <c r="K51" s="356">
        <f>-('Table 5C1F-Lake Charles Charter'!AA53+'Table 5C1F-Lake Charles Charter'!AD53)</f>
        <v>0</v>
      </c>
      <c r="L51" s="356">
        <f>-('Table 5C1G-JS Clark Academy'!AA53+'Table 5C1G-JS Clark Academy'!AD53)</f>
        <v>0</v>
      </c>
      <c r="M51" s="356">
        <f>-('Table 5C1H-Southwest LA Charter'!AA53+'Table 5C1H-Southwest LA Charter'!AD53)</f>
        <v>0</v>
      </c>
      <c r="N51" s="356">
        <f>-('Table 5C1I-LA Key Academy'!AA53+'Table 5C1I-LA Key Academy'!AD53)</f>
        <v>0</v>
      </c>
      <c r="O51" s="356">
        <f>-('Table 5C1J-Jefferson Chamber'!AA53+'Table 5C1J-Jefferson Chamber'!AD53)</f>
        <v>0</v>
      </c>
      <c r="P51" s="356">
        <f>-('Table 5C1K-Tallulah Charter'!AA53+'Table 5C1K-Tallulah Charter'!AD53)</f>
        <v>0</v>
      </c>
      <c r="Q51" s="356">
        <f>-('Table 5C1L-Northshore Charter'!AA53+'Table 5C1L-Northshore Charter'!AD53)</f>
        <v>0</v>
      </c>
      <c r="R51" s="356">
        <f>-('Table 5C1M-B.R. Charter'!AA53+'Table 5C1M-B.R. Charter'!AD53)</f>
        <v>0</v>
      </c>
      <c r="S51" s="356">
        <f>-('Table 5C1N-Delta Charter'!AA53+'Table 5C1N-Delta Charter'!AD53)</f>
        <v>0</v>
      </c>
      <c r="T51" s="356">
        <f>-('Table 5C2 - LA Virtual Admy'!AB51+'Table 5C2 - LA Virtual Admy'!AE51)</f>
        <v>-14470.200000000003</v>
      </c>
      <c r="U51" s="356">
        <f>-('Table 5C3 - LA Connections EBR'!AB51+'Table 5C3 - LA Connections EBR'!AE51)</f>
        <v>-13084.200000000003</v>
      </c>
      <c r="V51" s="356">
        <f>-'Table 5E_OJJ'!S53</f>
        <v>0</v>
      </c>
      <c r="W51" s="356">
        <f t="shared" si="19"/>
        <v>-452324.4</v>
      </c>
      <c r="X51" s="717">
        <f t="shared" si="20"/>
        <v>4080259.5999999996</v>
      </c>
      <c r="AA51" s="49"/>
      <c r="AD51"/>
      <c r="AM51"/>
    </row>
    <row r="52" spans="1:39">
      <c r="A52" s="99">
        <v>47</v>
      </c>
      <c r="B52" s="301" t="s">
        <v>138</v>
      </c>
      <c r="C52" s="310">
        <f>'Table 2_State Distrib and Adjs'!AF54</f>
        <v>13203004</v>
      </c>
      <c r="D52" s="356"/>
      <c r="E52" s="356"/>
      <c r="F52" s="356">
        <f>-('Table 5C1A-Madison Prep'!AA54+'Table 5C1A-Madison Prep'!AD54)</f>
        <v>0</v>
      </c>
      <c r="G52" s="356">
        <f>-('Table 5C1B-DArbonne'!AA54+'Table 5C1B-DArbonne'!AD54)</f>
        <v>0</v>
      </c>
      <c r="H52" s="356">
        <f>-('Table 5C1C-Intl_VIBE'!AA54+'Table 5C1C-Intl_VIBE'!AD54)</f>
        <v>0</v>
      </c>
      <c r="I52" s="356">
        <f>-('Table 5C1D-NOMMA'!AA54+'Table 5C1D-NOMMA'!AD54)</f>
        <v>0</v>
      </c>
      <c r="J52" s="356">
        <f>-('Table 5C1E-LFNO'!AC54+'Table 5C1E-LFNO'!AF54)</f>
        <v>0</v>
      </c>
      <c r="K52" s="356">
        <f>-('Table 5C1F-Lake Charles Charter'!AA54+'Table 5C1F-Lake Charles Charter'!AD54)</f>
        <v>0</v>
      </c>
      <c r="L52" s="356">
        <f>-('Table 5C1G-JS Clark Academy'!AA54+'Table 5C1G-JS Clark Academy'!AD54)</f>
        <v>0</v>
      </c>
      <c r="M52" s="356">
        <f>-('Table 5C1H-Southwest LA Charter'!AA54+'Table 5C1H-Southwest LA Charter'!AD54)</f>
        <v>0</v>
      </c>
      <c r="N52" s="356">
        <f>-('Table 5C1I-LA Key Academy'!AA54+'Table 5C1I-LA Key Academy'!AD54)</f>
        <v>0</v>
      </c>
      <c r="O52" s="356">
        <f>-('Table 5C1J-Jefferson Chamber'!AA54+'Table 5C1J-Jefferson Chamber'!AD54)</f>
        <v>0</v>
      </c>
      <c r="P52" s="356">
        <f>-('Table 5C1K-Tallulah Charter'!AA54+'Table 5C1K-Tallulah Charter'!AD54)</f>
        <v>0</v>
      </c>
      <c r="Q52" s="356">
        <f>-('Table 5C1L-Northshore Charter'!AA54+'Table 5C1L-Northshore Charter'!AD54)</f>
        <v>0</v>
      </c>
      <c r="R52" s="356">
        <f>-('Table 5C1M-B.R. Charter'!AA54+'Table 5C1M-B.R. Charter'!AD54)</f>
        <v>0</v>
      </c>
      <c r="S52" s="356">
        <f>-('Table 5C1N-Delta Charter'!AA54+'Table 5C1N-Delta Charter'!AD54)</f>
        <v>0</v>
      </c>
      <c r="T52" s="356">
        <f>-('Table 5C2 - LA Virtual Admy'!AB52+'Table 5C2 - LA Virtual Admy'!AE52)</f>
        <v>-14553.900000000001</v>
      </c>
      <c r="U52" s="356">
        <f>-('Table 5C3 - LA Connections EBR'!AB52+'Table 5C3 - LA Connections EBR'!AE52)</f>
        <v>-11666.7</v>
      </c>
      <c r="V52" s="356">
        <f>-'Table 5E_OJJ'!S54</f>
        <v>0</v>
      </c>
      <c r="W52" s="356">
        <f t="shared" si="19"/>
        <v>-26220.600000000002</v>
      </c>
      <c r="X52" s="717">
        <f t="shared" si="20"/>
        <v>13176783.4</v>
      </c>
      <c r="AA52" s="49"/>
      <c r="AD52"/>
      <c r="AM52"/>
    </row>
    <row r="53" spans="1:39">
      <c r="A53" s="99">
        <v>48</v>
      </c>
      <c r="B53" s="301" t="s">
        <v>195</v>
      </c>
      <c r="C53" s="310">
        <f>'Table 2_State Distrib and Adjs'!AF55</f>
        <v>29426834</v>
      </c>
      <c r="D53" s="356"/>
      <c r="E53" s="356"/>
      <c r="F53" s="356">
        <f>-('Table 5C1A-Madison Prep'!AA55+'Table 5C1A-Madison Prep'!AD55)</f>
        <v>0</v>
      </c>
      <c r="G53" s="356">
        <f>-('Table 5C1B-DArbonne'!AA55+'Table 5C1B-DArbonne'!AD55)</f>
        <v>0</v>
      </c>
      <c r="H53" s="356">
        <f>-('Table 5C1C-Intl_VIBE'!AA55+'Table 5C1C-Intl_VIBE'!AD55)</f>
        <v>-13170</v>
      </c>
      <c r="I53" s="356">
        <f>-('Table 5C1D-NOMMA'!AA55+'Table 5C1D-NOMMA'!AD55)</f>
        <v>0</v>
      </c>
      <c r="J53" s="356">
        <f>-('Table 5C1E-LFNO'!AC55+'Table 5C1E-LFNO'!AF55)</f>
        <v>0</v>
      </c>
      <c r="K53" s="356">
        <f>-('Table 5C1F-Lake Charles Charter'!AA55+'Table 5C1F-Lake Charles Charter'!AD55)</f>
        <v>0</v>
      </c>
      <c r="L53" s="356">
        <f>-('Table 5C1G-JS Clark Academy'!AA55+'Table 5C1G-JS Clark Academy'!AD55)</f>
        <v>0</v>
      </c>
      <c r="M53" s="356">
        <f>-('Table 5C1H-Southwest LA Charter'!AA55+'Table 5C1H-Southwest LA Charter'!AD55)</f>
        <v>0</v>
      </c>
      <c r="N53" s="356">
        <f>-('Table 5C1I-LA Key Academy'!AA55+'Table 5C1I-LA Key Academy'!AD55)</f>
        <v>0</v>
      </c>
      <c r="O53" s="356">
        <f>-('Table 5C1J-Jefferson Chamber'!AA55+'Table 5C1J-Jefferson Chamber'!AD55)</f>
        <v>-9877.5</v>
      </c>
      <c r="P53" s="356">
        <f>-('Table 5C1K-Tallulah Charter'!AA55+'Table 5C1K-Tallulah Charter'!AD55)</f>
        <v>0</v>
      </c>
      <c r="Q53" s="356">
        <f>-('Table 5C1L-Northshore Charter'!AA55+'Table 5C1L-Northshore Charter'!AD55)</f>
        <v>0</v>
      </c>
      <c r="R53" s="356">
        <f>-('Table 5C1M-B.R. Charter'!AA55+'Table 5C1M-B.R. Charter'!AD55)</f>
        <v>0</v>
      </c>
      <c r="S53" s="356">
        <f>-('Table 5C1N-Delta Charter'!AA55+'Table 5C1N-Delta Charter'!AD55)</f>
        <v>0</v>
      </c>
      <c r="T53" s="356">
        <f>-('Table 5C2 - LA Virtual Admy'!AB53+'Table 5C2 - LA Virtual Admy'!AE53)</f>
        <v>-163985.85</v>
      </c>
      <c r="U53" s="356">
        <f>-('Table 5C3 - LA Connections EBR'!AB53+'Table 5C3 - LA Connections EBR'!AE53)</f>
        <v>-160015.5</v>
      </c>
      <c r="V53" s="356">
        <f>-'Table 5E_OJJ'!S55</f>
        <v>-5436.2522033747236</v>
      </c>
      <c r="W53" s="356">
        <f t="shared" si="19"/>
        <v>-352485.10220337473</v>
      </c>
      <c r="X53" s="717">
        <f t="shared" si="20"/>
        <v>29074348.897796623</v>
      </c>
      <c r="AA53" s="49"/>
      <c r="AD53"/>
      <c r="AM53"/>
    </row>
    <row r="54" spans="1:39">
      <c r="A54" s="99">
        <v>49</v>
      </c>
      <c r="B54" s="301" t="s">
        <v>139</v>
      </c>
      <c r="C54" s="310">
        <f>'Table 2_State Distrib and Adjs'!AF56</f>
        <v>77362238</v>
      </c>
      <c r="D54" s="356"/>
      <c r="E54" s="356"/>
      <c r="F54" s="356">
        <f>-('Table 5C1A-Madison Prep'!AA56+'Table 5C1A-Madison Prep'!AD56)</f>
        <v>0</v>
      </c>
      <c r="G54" s="356">
        <f>-('Table 5C1B-DArbonne'!AA56+'Table 5C1B-DArbonne'!AD56)</f>
        <v>0</v>
      </c>
      <c r="H54" s="356">
        <f>-('Table 5C1C-Intl_VIBE'!AA56+'Table 5C1C-Intl_VIBE'!AD56)</f>
        <v>0</v>
      </c>
      <c r="I54" s="356">
        <f>-('Table 5C1D-NOMMA'!AA56+'Table 5C1D-NOMMA'!AD56)</f>
        <v>0</v>
      </c>
      <c r="J54" s="356">
        <f>-('Table 5C1E-LFNO'!AC56+'Table 5C1E-LFNO'!AF56)</f>
        <v>0</v>
      </c>
      <c r="K54" s="356">
        <f>-('Table 5C1F-Lake Charles Charter'!AA56+'Table 5C1F-Lake Charles Charter'!AD56)</f>
        <v>0</v>
      </c>
      <c r="L54" s="356">
        <f>-('Table 5C1G-JS Clark Academy'!AA56+'Table 5C1G-JS Clark Academy'!AD56)</f>
        <v>-471936</v>
      </c>
      <c r="M54" s="356">
        <f>-('Table 5C1H-Southwest LA Charter'!AA56+'Table 5C1H-Southwest LA Charter'!AD56)</f>
        <v>0</v>
      </c>
      <c r="N54" s="356">
        <f>-('Table 5C1I-LA Key Academy'!AA56+'Table 5C1I-LA Key Academy'!AD56)</f>
        <v>0</v>
      </c>
      <c r="O54" s="356">
        <f>-('Table 5C1J-Jefferson Chamber'!AA56+'Table 5C1J-Jefferson Chamber'!AD56)</f>
        <v>0</v>
      </c>
      <c r="P54" s="356">
        <f>-('Table 5C1K-Tallulah Charter'!AA56+'Table 5C1K-Tallulah Charter'!AD56)</f>
        <v>0</v>
      </c>
      <c r="Q54" s="356">
        <f>-('Table 5C1L-Northshore Charter'!AA56+'Table 5C1L-Northshore Charter'!AD56)</f>
        <v>0</v>
      </c>
      <c r="R54" s="356">
        <f>-('Table 5C1M-B.R. Charter'!AA56+'Table 5C1M-B.R. Charter'!AD56)</f>
        <v>0</v>
      </c>
      <c r="S54" s="356">
        <f>-('Table 5C1N-Delta Charter'!AA56+'Table 5C1N-Delta Charter'!AD56)</f>
        <v>0</v>
      </c>
      <c r="T54" s="356">
        <f>-('Table 5C2 - LA Virtual Admy'!AB54+'Table 5C2 - LA Virtual Admy'!AE54)</f>
        <v>-150169.95000000001</v>
      </c>
      <c r="U54" s="356">
        <f>-('Table 5C3 - LA Connections EBR'!AB54+'Table 5C3 - LA Connections EBR'!AE54)</f>
        <v>-74582.100000000006</v>
      </c>
      <c r="V54" s="356">
        <f>-'Table 5E_OJJ'!S56</f>
        <v>-19465.306851178986</v>
      </c>
      <c r="W54" s="356">
        <f t="shared" si="19"/>
        <v>-716153.35685117892</v>
      </c>
      <c r="X54" s="717">
        <f t="shared" si="20"/>
        <v>76646084.643148825</v>
      </c>
      <c r="AA54" s="49"/>
      <c r="AD54"/>
      <c r="AM54"/>
    </row>
    <row r="55" spans="1:39">
      <c r="A55" s="100">
        <v>50</v>
      </c>
      <c r="B55" s="302" t="s">
        <v>140</v>
      </c>
      <c r="C55" s="318">
        <f>'Table 2_State Distrib and Adjs'!AF57</f>
        <v>44869343</v>
      </c>
      <c r="D55" s="357"/>
      <c r="E55" s="357"/>
      <c r="F55" s="357">
        <f>-('Table 5C1A-Madison Prep'!AA57+'Table 5C1A-Madison Prep'!AD57)</f>
        <v>0</v>
      </c>
      <c r="G55" s="357">
        <f>-('Table 5C1B-DArbonne'!AA57+'Table 5C1B-DArbonne'!AD57)</f>
        <v>0</v>
      </c>
      <c r="H55" s="357">
        <f>-('Table 5C1C-Intl_VIBE'!AA57+'Table 5C1C-Intl_VIBE'!AD57)</f>
        <v>0</v>
      </c>
      <c r="I55" s="357">
        <f>-('Table 5C1D-NOMMA'!AA57+'Table 5C1D-NOMMA'!AD57)</f>
        <v>0</v>
      </c>
      <c r="J55" s="357">
        <f>-('Table 5C1E-LFNO'!AC57+'Table 5C1E-LFNO'!AF57)</f>
        <v>0</v>
      </c>
      <c r="K55" s="357">
        <f>-('Table 5C1F-Lake Charles Charter'!AA57+'Table 5C1F-Lake Charles Charter'!AD57)</f>
        <v>0</v>
      </c>
      <c r="L55" s="357">
        <f>-('Table 5C1G-JS Clark Academy'!AA57+'Table 5C1G-JS Clark Academy'!AD57)</f>
        <v>0</v>
      </c>
      <c r="M55" s="357">
        <f>-('Table 5C1H-Southwest LA Charter'!AA57+'Table 5C1H-Southwest LA Charter'!AD57)</f>
        <v>0</v>
      </c>
      <c r="N55" s="357">
        <f>-('Table 5C1I-LA Key Academy'!AA57+'Table 5C1I-LA Key Academy'!AD57)</f>
        <v>0</v>
      </c>
      <c r="O55" s="357">
        <f>-('Table 5C1J-Jefferson Chamber'!AA57+'Table 5C1J-Jefferson Chamber'!AD57)</f>
        <v>0</v>
      </c>
      <c r="P55" s="357">
        <f>-('Table 5C1K-Tallulah Charter'!AA57+'Table 5C1K-Tallulah Charter'!AD57)</f>
        <v>0</v>
      </c>
      <c r="Q55" s="357">
        <f>-('Table 5C1L-Northshore Charter'!AA57+'Table 5C1L-Northshore Charter'!AD57)</f>
        <v>0</v>
      </c>
      <c r="R55" s="357">
        <f>-('Table 5C1M-B.R. Charter'!AA57+'Table 5C1M-B.R. Charter'!AD57)</f>
        <v>0</v>
      </c>
      <c r="S55" s="357">
        <f>-('Table 5C1N-Delta Charter'!AA57+'Table 5C1N-Delta Charter'!AD57)</f>
        <v>0</v>
      </c>
      <c r="T55" s="357">
        <f>-('Table 5C2 - LA Virtual Admy'!AB55+'Table 5C2 - LA Virtual Admy'!AE55)</f>
        <v>-60224.850000000013</v>
      </c>
      <c r="U55" s="357">
        <f>-('Table 5C3 - LA Connections EBR'!AB55+'Table 5C3 - LA Connections EBR'!AE55)</f>
        <v>-16972.200000000004</v>
      </c>
      <c r="V55" s="357">
        <f>-'Table 5E_OJJ'!S57</f>
        <v>-12408.441748282896</v>
      </c>
      <c r="W55" s="357">
        <f t="shared" si="19"/>
        <v>-89605.491748282919</v>
      </c>
      <c r="X55" s="718">
        <f t="shared" si="20"/>
        <v>44779737.508251712</v>
      </c>
      <c r="AA55" s="49"/>
      <c r="AD55"/>
      <c r="AM55"/>
    </row>
    <row r="56" spans="1:39">
      <c r="A56" s="99">
        <v>51</v>
      </c>
      <c r="B56" s="301" t="s">
        <v>141</v>
      </c>
      <c r="C56" s="310">
        <f>'Table 2_State Distrib and Adjs'!AF58</f>
        <v>44362700</v>
      </c>
      <c r="D56" s="356"/>
      <c r="E56" s="356"/>
      <c r="F56" s="356">
        <f>-('Table 5C1A-Madison Prep'!AA58+'Table 5C1A-Madison Prep'!AD58)</f>
        <v>0</v>
      </c>
      <c r="G56" s="356">
        <f>-('Table 5C1B-DArbonne'!AA58+'Table 5C1B-DArbonne'!AD58)</f>
        <v>0</v>
      </c>
      <c r="H56" s="356">
        <f>-('Table 5C1C-Intl_VIBE'!AA58+'Table 5C1C-Intl_VIBE'!AD58)</f>
        <v>0</v>
      </c>
      <c r="I56" s="356">
        <f>-('Table 5C1D-NOMMA'!AA58+'Table 5C1D-NOMMA'!AD58)</f>
        <v>0</v>
      </c>
      <c r="J56" s="356">
        <f>-('Table 5C1E-LFNO'!AC58+'Table 5C1E-LFNO'!AF58)</f>
        <v>0</v>
      </c>
      <c r="K56" s="356">
        <f>-('Table 5C1F-Lake Charles Charter'!AA58+'Table 5C1F-Lake Charles Charter'!AD58)</f>
        <v>0</v>
      </c>
      <c r="L56" s="356">
        <f>-('Table 5C1G-JS Clark Academy'!AA58+'Table 5C1G-JS Clark Academy'!AD58)</f>
        <v>0</v>
      </c>
      <c r="M56" s="356">
        <f>-('Table 5C1H-Southwest LA Charter'!AA58+'Table 5C1H-Southwest LA Charter'!AD58)</f>
        <v>0</v>
      </c>
      <c r="N56" s="356">
        <f>-('Table 5C1I-LA Key Academy'!AA58+'Table 5C1I-LA Key Academy'!AD58)</f>
        <v>0</v>
      </c>
      <c r="O56" s="356">
        <f>-('Table 5C1J-Jefferson Chamber'!AA58+'Table 5C1J-Jefferson Chamber'!AD58)</f>
        <v>0</v>
      </c>
      <c r="P56" s="356">
        <f>-('Table 5C1K-Tallulah Charter'!AA58+'Table 5C1K-Tallulah Charter'!AD58)</f>
        <v>0</v>
      </c>
      <c r="Q56" s="356">
        <f>-('Table 5C1L-Northshore Charter'!AA58+'Table 5C1L-Northshore Charter'!AD58)</f>
        <v>0</v>
      </c>
      <c r="R56" s="356">
        <f>-('Table 5C1M-B.R. Charter'!AA58+'Table 5C1M-B.R. Charter'!AD58)</f>
        <v>0</v>
      </c>
      <c r="S56" s="356">
        <f>-('Table 5C1N-Delta Charter'!AA58+'Table 5C1N-Delta Charter'!AD58)</f>
        <v>0</v>
      </c>
      <c r="T56" s="356">
        <f>-('Table 5C2 - LA Virtual Admy'!AB56+'Table 5C2 - LA Virtual Admy'!AE56)</f>
        <v>-57766.5</v>
      </c>
      <c r="U56" s="356">
        <f>-('Table 5C3 - LA Connections EBR'!AB56+'Table 5C3 - LA Connections EBR'!AE56)</f>
        <v>-17698.5</v>
      </c>
      <c r="V56" s="356">
        <f>-'Table 5E_OJJ'!S58</f>
        <v>-16546.110400256519</v>
      </c>
      <c r="W56" s="356">
        <f t="shared" si="19"/>
        <v>-92011.110400256526</v>
      </c>
      <c r="X56" s="717">
        <f t="shared" si="20"/>
        <v>44270688.889599741</v>
      </c>
      <c r="AA56" s="49"/>
      <c r="AD56"/>
      <c r="AM56"/>
    </row>
    <row r="57" spans="1:39">
      <c r="A57" s="99">
        <v>52</v>
      </c>
      <c r="B57" s="301" t="s">
        <v>142</v>
      </c>
      <c r="C57" s="310">
        <f>'Table 2_State Distrib and Adjs'!AF59</f>
        <v>210113291</v>
      </c>
      <c r="D57" s="356"/>
      <c r="E57" s="356"/>
      <c r="F57" s="356">
        <f>-('Table 5C1A-Madison Prep'!AA59+'Table 5C1A-Madison Prep'!AD59)</f>
        <v>0</v>
      </c>
      <c r="G57" s="356">
        <f>-('Table 5C1B-DArbonne'!AA59+'Table 5C1B-DArbonne'!AD59)</f>
        <v>0</v>
      </c>
      <c r="H57" s="356">
        <f>-('Table 5C1C-Intl_VIBE'!AA59+'Table 5C1C-Intl_VIBE'!AD59)</f>
        <v>0</v>
      </c>
      <c r="I57" s="356">
        <f>-('Table 5C1D-NOMMA'!AA59+'Table 5C1D-NOMMA'!AD59)</f>
        <v>0</v>
      </c>
      <c r="J57" s="356">
        <f>-('Table 5C1E-LFNO'!AC59+'Table 5C1E-LFNO'!AF59)</f>
        <v>-5143</v>
      </c>
      <c r="K57" s="356">
        <f>-('Table 5C1F-Lake Charles Charter'!AA59+'Table 5C1F-Lake Charles Charter'!AD59)</f>
        <v>0</v>
      </c>
      <c r="L57" s="356">
        <f>-('Table 5C1G-JS Clark Academy'!AA59+'Table 5C1G-JS Clark Academy'!AD59)</f>
        <v>0</v>
      </c>
      <c r="M57" s="356">
        <f>-('Table 5C1H-Southwest LA Charter'!AA59+'Table 5C1H-Southwest LA Charter'!AD59)</f>
        <v>0</v>
      </c>
      <c r="N57" s="356">
        <f>-('Table 5C1I-LA Key Academy'!AA59+'Table 5C1I-LA Key Academy'!AD59)</f>
        <v>0</v>
      </c>
      <c r="O57" s="356">
        <f>-('Table 5C1J-Jefferson Chamber'!AA59+'Table 5C1J-Jefferson Chamber'!AD59)</f>
        <v>0</v>
      </c>
      <c r="P57" s="356">
        <f>-('Table 5C1K-Tallulah Charter'!AA59+'Table 5C1K-Tallulah Charter'!AD59)</f>
        <v>0</v>
      </c>
      <c r="Q57" s="356">
        <f>-('Table 5C1L-Northshore Charter'!AA59+'Table 5C1L-Northshore Charter'!AD59)</f>
        <v>0</v>
      </c>
      <c r="R57" s="356">
        <f>-('Table 5C1M-B.R. Charter'!AA59+'Table 5C1M-B.R. Charter'!AD59)</f>
        <v>0</v>
      </c>
      <c r="S57" s="356">
        <f>-('Table 5C1N-Delta Charter'!AA59+'Table 5C1N-Delta Charter'!AD59)</f>
        <v>0</v>
      </c>
      <c r="T57" s="356">
        <f>-('Table 5C2 - LA Virtual Admy'!AB57+'Table 5C2 - LA Virtual Admy'!AE57)</f>
        <v>-446091.74999999994</v>
      </c>
      <c r="U57" s="356">
        <f>-('Table 5C3 - LA Connections EBR'!AB57+'Table 5C3 - LA Connections EBR'!AE57)</f>
        <v>-453612.6</v>
      </c>
      <c r="V57" s="356">
        <f>-'Table 5E_OJJ'!S59</f>
        <v>-43259.018854082206</v>
      </c>
      <c r="W57" s="356">
        <f t="shared" si="19"/>
        <v>-948106.36885408207</v>
      </c>
      <c r="X57" s="717">
        <f t="shared" si="20"/>
        <v>209165184.63114592</v>
      </c>
      <c r="AA57" s="49"/>
      <c r="AD57"/>
      <c r="AM57"/>
    </row>
    <row r="58" spans="1:39">
      <c r="A58" s="99">
        <v>53</v>
      </c>
      <c r="B58" s="301" t="s">
        <v>143</v>
      </c>
      <c r="C58" s="310">
        <f>'Table 2_State Distrib and Adjs'!AF60</f>
        <v>105661840</v>
      </c>
      <c r="D58" s="356"/>
      <c r="E58" s="356"/>
      <c r="F58" s="356">
        <f>-('Table 5C1A-Madison Prep'!AA60+'Table 5C1A-Madison Prep'!AD60)</f>
        <v>0</v>
      </c>
      <c r="G58" s="356">
        <f>-('Table 5C1B-DArbonne'!AA60+'Table 5C1B-DArbonne'!AD60)</f>
        <v>0</v>
      </c>
      <c r="H58" s="356">
        <f>-('Table 5C1C-Intl_VIBE'!AA60+'Table 5C1C-Intl_VIBE'!AD60)</f>
        <v>0</v>
      </c>
      <c r="I58" s="356">
        <f>-('Table 5C1D-NOMMA'!AA60+'Table 5C1D-NOMMA'!AD60)</f>
        <v>0</v>
      </c>
      <c r="J58" s="356">
        <f>-('Table 5C1E-LFNO'!AC60+'Table 5C1E-LFNO'!AF60)</f>
        <v>0</v>
      </c>
      <c r="K58" s="356">
        <f>-('Table 5C1F-Lake Charles Charter'!AA60+'Table 5C1F-Lake Charles Charter'!AD60)</f>
        <v>0</v>
      </c>
      <c r="L58" s="356">
        <f>-('Table 5C1G-JS Clark Academy'!AA60+'Table 5C1G-JS Clark Academy'!AD60)</f>
        <v>0</v>
      </c>
      <c r="M58" s="356">
        <f>-('Table 5C1H-Southwest LA Charter'!AA60+'Table 5C1H-Southwest LA Charter'!AD60)</f>
        <v>0</v>
      </c>
      <c r="N58" s="356">
        <f>-('Table 5C1I-LA Key Academy'!AA60+'Table 5C1I-LA Key Academy'!AD60)</f>
        <v>0</v>
      </c>
      <c r="O58" s="356">
        <f>-('Table 5C1J-Jefferson Chamber'!AA60+'Table 5C1J-Jefferson Chamber'!AD60)</f>
        <v>0</v>
      </c>
      <c r="P58" s="356">
        <f>-('Table 5C1K-Tallulah Charter'!AA60+'Table 5C1K-Tallulah Charter'!AD60)</f>
        <v>0</v>
      </c>
      <c r="Q58" s="356">
        <f>-('Table 5C1L-Northshore Charter'!AA60+'Table 5C1L-Northshore Charter'!AD60)</f>
        <v>0</v>
      </c>
      <c r="R58" s="356">
        <f>-('Table 5C1M-B.R. Charter'!AA60+'Table 5C1M-B.R. Charter'!AD60)</f>
        <v>0</v>
      </c>
      <c r="S58" s="356">
        <f>-('Table 5C1N-Delta Charter'!AA60+'Table 5C1N-Delta Charter'!AD60)</f>
        <v>0</v>
      </c>
      <c r="T58" s="356">
        <f>-('Table 5C2 - LA Virtual Admy'!AB58+'Table 5C2 - LA Virtual Admy'!AE58)</f>
        <v>-192399.3</v>
      </c>
      <c r="U58" s="356">
        <f>-('Table 5C3 - LA Connections EBR'!AB58+'Table 5C3 - LA Connections EBR'!AE58)</f>
        <v>-127172.70000000001</v>
      </c>
      <c r="V58" s="356">
        <f>-'Table 5E_OJJ'!S60</f>
        <v>-19907.570150802647</v>
      </c>
      <c r="W58" s="356">
        <f t="shared" si="19"/>
        <v>-339479.57015080267</v>
      </c>
      <c r="X58" s="717">
        <f t="shared" si="20"/>
        <v>105322360.42984919</v>
      </c>
      <c r="AA58" s="49"/>
      <c r="AD58"/>
      <c r="AM58"/>
    </row>
    <row r="59" spans="1:39">
      <c r="A59" s="99">
        <v>54</v>
      </c>
      <c r="B59" s="301" t="s">
        <v>144</v>
      </c>
      <c r="C59" s="310">
        <f>'Table 2_State Distrib and Adjs'!AF61</f>
        <v>4497468</v>
      </c>
      <c r="D59" s="356"/>
      <c r="E59" s="356"/>
      <c r="F59" s="356">
        <f>-('Table 5C1A-Madison Prep'!AA61+'Table 5C1A-Madison Prep'!AD61)</f>
        <v>0</v>
      </c>
      <c r="G59" s="356">
        <f>-('Table 5C1B-DArbonne'!AA61+'Table 5C1B-DArbonne'!AD61)</f>
        <v>0</v>
      </c>
      <c r="H59" s="356">
        <f>-('Table 5C1C-Intl_VIBE'!AA61+'Table 5C1C-Intl_VIBE'!AD61)</f>
        <v>0</v>
      </c>
      <c r="I59" s="356">
        <f>-('Table 5C1D-NOMMA'!AA61+'Table 5C1D-NOMMA'!AD61)</f>
        <v>0</v>
      </c>
      <c r="J59" s="356">
        <f>-('Table 5C1E-LFNO'!AC61+'Table 5C1E-LFNO'!AF61)</f>
        <v>0</v>
      </c>
      <c r="K59" s="356">
        <f>-('Table 5C1F-Lake Charles Charter'!AA61+'Table 5C1F-Lake Charles Charter'!AD61)</f>
        <v>0</v>
      </c>
      <c r="L59" s="356">
        <f>-('Table 5C1G-JS Clark Academy'!AA61+'Table 5C1G-JS Clark Academy'!AD61)</f>
        <v>0</v>
      </c>
      <c r="M59" s="356">
        <f>-('Table 5C1H-Southwest LA Charter'!AA61+'Table 5C1H-Southwest LA Charter'!AD61)</f>
        <v>0</v>
      </c>
      <c r="N59" s="356">
        <f>-('Table 5C1I-LA Key Academy'!AA61+'Table 5C1I-LA Key Academy'!AD61)</f>
        <v>0</v>
      </c>
      <c r="O59" s="356">
        <f>-('Table 5C1J-Jefferson Chamber'!AA61+'Table 5C1J-Jefferson Chamber'!AD61)</f>
        <v>0</v>
      </c>
      <c r="P59" s="356">
        <f>-('Table 5C1K-Tallulah Charter'!AA61+'Table 5C1K-Tallulah Charter'!AD61)</f>
        <v>0</v>
      </c>
      <c r="Q59" s="356">
        <f>-('Table 5C1L-Northshore Charter'!AA61+'Table 5C1L-Northshore Charter'!AD61)</f>
        <v>0</v>
      </c>
      <c r="R59" s="356">
        <f>-('Table 5C1M-B.R. Charter'!AA61+'Table 5C1M-B.R. Charter'!AD61)</f>
        <v>0</v>
      </c>
      <c r="S59" s="356">
        <f>-('Table 5C1N-Delta Charter'!AA61+'Table 5C1N-Delta Charter'!AD61)</f>
        <v>-31960</v>
      </c>
      <c r="T59" s="356">
        <f>-('Table 5C2 - LA Virtual Admy'!AB59+'Table 5C2 - LA Virtual Admy'!AE59)</f>
        <v>0</v>
      </c>
      <c r="U59" s="356">
        <f>-('Table 5C3 - LA Connections EBR'!AB59+'Table 5C3 - LA Connections EBR'!AE59)</f>
        <v>-20304</v>
      </c>
      <c r="V59" s="356">
        <f>-'Table 5E_OJJ'!S61</f>
        <v>-8836.9443703329925</v>
      </c>
      <c r="W59" s="356">
        <f t="shared" si="19"/>
        <v>-61100.944370332989</v>
      </c>
      <c r="X59" s="717">
        <f t="shared" si="20"/>
        <v>4436367.0556296669</v>
      </c>
      <c r="AA59" s="49"/>
      <c r="AD59"/>
      <c r="AM59"/>
    </row>
    <row r="60" spans="1:39">
      <c r="A60" s="100">
        <v>55</v>
      </c>
      <c r="B60" s="302" t="s">
        <v>145</v>
      </c>
      <c r="C60" s="318">
        <f>'Table 2_State Distrib and Adjs'!AF62</f>
        <v>88247438</v>
      </c>
      <c r="D60" s="357"/>
      <c r="E60" s="357"/>
      <c r="F60" s="357">
        <f>-('Table 5C1A-Madison Prep'!AA62+'Table 5C1A-Madison Prep'!AD62)</f>
        <v>0</v>
      </c>
      <c r="G60" s="357">
        <f>-('Table 5C1B-DArbonne'!AA62+'Table 5C1B-DArbonne'!AD62)</f>
        <v>0</v>
      </c>
      <c r="H60" s="357">
        <f>-('Table 5C1C-Intl_VIBE'!AA62+'Table 5C1C-Intl_VIBE'!AD62)</f>
        <v>0</v>
      </c>
      <c r="I60" s="357">
        <f>-('Table 5C1D-NOMMA'!AA62+'Table 5C1D-NOMMA'!AD62)</f>
        <v>0</v>
      </c>
      <c r="J60" s="357">
        <f>-('Table 5C1E-LFNO'!AC62+'Table 5C1E-LFNO'!AF62)</f>
        <v>0</v>
      </c>
      <c r="K60" s="357">
        <f>-('Table 5C1F-Lake Charles Charter'!AA62+'Table 5C1F-Lake Charles Charter'!AD62)</f>
        <v>0</v>
      </c>
      <c r="L60" s="357">
        <f>-('Table 5C1G-JS Clark Academy'!AA62+'Table 5C1G-JS Clark Academy'!AD62)</f>
        <v>0</v>
      </c>
      <c r="M60" s="357">
        <f>-('Table 5C1H-Southwest LA Charter'!AA62+'Table 5C1H-Southwest LA Charter'!AD62)</f>
        <v>0</v>
      </c>
      <c r="N60" s="357">
        <f>-('Table 5C1I-LA Key Academy'!AA62+'Table 5C1I-LA Key Academy'!AD62)</f>
        <v>0</v>
      </c>
      <c r="O60" s="357">
        <f>-('Table 5C1J-Jefferson Chamber'!AA62+'Table 5C1J-Jefferson Chamber'!AD62)</f>
        <v>0</v>
      </c>
      <c r="P60" s="357">
        <f>-('Table 5C1K-Tallulah Charter'!AA62+'Table 5C1K-Tallulah Charter'!AD62)</f>
        <v>0</v>
      </c>
      <c r="Q60" s="357">
        <f>-('Table 5C1L-Northshore Charter'!AA62+'Table 5C1L-Northshore Charter'!AD62)</f>
        <v>0</v>
      </c>
      <c r="R60" s="357">
        <f>-('Table 5C1M-B.R. Charter'!AA62+'Table 5C1M-B.R. Charter'!AD62)</f>
        <v>0</v>
      </c>
      <c r="S60" s="357">
        <f>-('Table 5C1N-Delta Charter'!AA62+'Table 5C1N-Delta Charter'!AD62)</f>
        <v>0</v>
      </c>
      <c r="T60" s="357">
        <f>-('Table 5C2 - LA Virtual Admy'!AB60+'Table 5C2 - LA Virtual Admy'!AE60)</f>
        <v>-109286.55</v>
      </c>
      <c r="U60" s="357">
        <f>-('Table 5C3 - LA Connections EBR'!AB60+'Table 5C3 - LA Connections EBR'!AE60)</f>
        <v>-95227.65</v>
      </c>
      <c r="V60" s="357">
        <f>-'Table 5E_OJJ'!S62</f>
        <v>-48373.123464247605</v>
      </c>
      <c r="W60" s="357">
        <f t="shared" si="19"/>
        <v>-252887.32346424763</v>
      </c>
      <c r="X60" s="718">
        <f t="shared" si="20"/>
        <v>87994550.676535755</v>
      </c>
      <c r="AA60" s="49"/>
      <c r="AD60"/>
      <c r="AM60"/>
    </row>
    <row r="61" spans="1:39">
      <c r="A61" s="99">
        <v>56</v>
      </c>
      <c r="B61" s="301" t="s">
        <v>146</v>
      </c>
      <c r="C61" s="310">
        <f>'Table 2_State Distrib and Adjs'!AF63</f>
        <v>12291532</v>
      </c>
      <c r="D61" s="356"/>
      <c r="E61" s="356"/>
      <c r="F61" s="356">
        <f>-('Table 5C1A-Madison Prep'!AA63+'Table 5C1A-Madison Prep'!AD63)</f>
        <v>0</v>
      </c>
      <c r="G61" s="356">
        <f>-('Table 5C1B-DArbonne'!AA63+'Table 5C1B-DArbonne'!AD63)</f>
        <v>-1977129</v>
      </c>
      <c r="H61" s="356">
        <f>-('Table 5C1C-Intl_VIBE'!AA63+'Table 5C1C-Intl_VIBE'!AD63)</f>
        <v>0</v>
      </c>
      <c r="I61" s="356">
        <f>-('Table 5C1D-NOMMA'!AA63+'Table 5C1D-NOMMA'!AD63)</f>
        <v>0</v>
      </c>
      <c r="J61" s="356">
        <f>-('Table 5C1E-LFNO'!AC63+'Table 5C1E-LFNO'!AF63)</f>
        <v>0</v>
      </c>
      <c r="K61" s="356">
        <f>-('Table 5C1F-Lake Charles Charter'!AA63+'Table 5C1F-Lake Charles Charter'!AD63)</f>
        <v>0</v>
      </c>
      <c r="L61" s="356">
        <f>-('Table 5C1G-JS Clark Academy'!AA63+'Table 5C1G-JS Clark Academy'!AD63)</f>
        <v>0</v>
      </c>
      <c r="M61" s="356">
        <f>-('Table 5C1H-Southwest LA Charter'!AA63+'Table 5C1H-Southwest LA Charter'!AD63)</f>
        <v>0</v>
      </c>
      <c r="N61" s="356">
        <f>-('Table 5C1I-LA Key Academy'!AA63+'Table 5C1I-LA Key Academy'!AD63)</f>
        <v>0</v>
      </c>
      <c r="O61" s="356">
        <f>-('Table 5C1J-Jefferson Chamber'!AA63+'Table 5C1J-Jefferson Chamber'!AD63)</f>
        <v>0</v>
      </c>
      <c r="P61" s="356">
        <f>-('Table 5C1K-Tallulah Charter'!AA63+'Table 5C1K-Tallulah Charter'!AD63)</f>
        <v>0</v>
      </c>
      <c r="Q61" s="356">
        <f>-('Table 5C1L-Northshore Charter'!AA63+'Table 5C1L-Northshore Charter'!AD63)</f>
        <v>0</v>
      </c>
      <c r="R61" s="356">
        <f>-('Table 5C1M-B.R. Charter'!AA63+'Table 5C1M-B.R. Charter'!AD63)</f>
        <v>0</v>
      </c>
      <c r="S61" s="356">
        <f>-('Table 5C1N-Delta Charter'!AA63+'Table 5C1N-Delta Charter'!AD63)</f>
        <v>0</v>
      </c>
      <c r="T61" s="356">
        <f>-('Table 5C2 - LA Virtual Admy'!AB61+'Table 5C2 - LA Virtual Admy'!AE61)</f>
        <v>-14075.550000000003</v>
      </c>
      <c r="U61" s="356">
        <f>-('Table 5C3 - LA Connections EBR'!AB61+'Table 5C3 - LA Connections EBR'!AE61)</f>
        <v>-8986.9500000000007</v>
      </c>
      <c r="V61" s="356">
        <f>-'Table 5E_OJJ'!S63</f>
        <v>0</v>
      </c>
      <c r="W61" s="356">
        <f t="shared" si="19"/>
        <v>-2000191.5</v>
      </c>
      <c r="X61" s="717">
        <f t="shared" si="20"/>
        <v>10291340.5</v>
      </c>
      <c r="AA61" s="49"/>
      <c r="AD61"/>
      <c r="AM61"/>
    </row>
    <row r="62" spans="1:39">
      <c r="A62" s="99">
        <v>57</v>
      </c>
      <c r="B62" s="301" t="s">
        <v>147</v>
      </c>
      <c r="C62" s="310">
        <f>'Table 2_State Distrib and Adjs'!AF64</f>
        <v>47963360</v>
      </c>
      <c r="D62" s="356"/>
      <c r="E62" s="356"/>
      <c r="F62" s="356">
        <f>-('Table 5C1A-Madison Prep'!AA64+'Table 5C1A-Madison Prep'!AD64)</f>
        <v>0</v>
      </c>
      <c r="G62" s="356">
        <f>-('Table 5C1B-DArbonne'!AA64+'Table 5C1B-DArbonne'!AD64)</f>
        <v>0</v>
      </c>
      <c r="H62" s="356">
        <f>-('Table 5C1C-Intl_VIBE'!AA64+'Table 5C1C-Intl_VIBE'!AD64)</f>
        <v>0</v>
      </c>
      <c r="I62" s="356">
        <f>-('Table 5C1D-NOMMA'!AA64+'Table 5C1D-NOMMA'!AD64)</f>
        <v>0</v>
      </c>
      <c r="J62" s="356">
        <f>-('Table 5C1E-LFNO'!AC64+'Table 5C1E-LFNO'!AF64)</f>
        <v>0</v>
      </c>
      <c r="K62" s="356">
        <f>-('Table 5C1F-Lake Charles Charter'!AA64+'Table 5C1F-Lake Charles Charter'!AD64)</f>
        <v>0</v>
      </c>
      <c r="L62" s="356">
        <f>-('Table 5C1G-JS Clark Academy'!AA64+'Table 5C1G-JS Clark Academy'!AD64)</f>
        <v>0</v>
      </c>
      <c r="M62" s="356">
        <f>-('Table 5C1H-Southwest LA Charter'!AA64+'Table 5C1H-Southwest LA Charter'!AD64)</f>
        <v>0</v>
      </c>
      <c r="N62" s="356">
        <f>-('Table 5C1I-LA Key Academy'!AA64+'Table 5C1I-LA Key Academy'!AD64)</f>
        <v>0</v>
      </c>
      <c r="O62" s="356">
        <f>-('Table 5C1J-Jefferson Chamber'!AA64+'Table 5C1J-Jefferson Chamber'!AD64)</f>
        <v>0</v>
      </c>
      <c r="P62" s="356">
        <f>-('Table 5C1K-Tallulah Charter'!AA64+'Table 5C1K-Tallulah Charter'!AD64)</f>
        <v>0</v>
      </c>
      <c r="Q62" s="356">
        <f>-('Table 5C1L-Northshore Charter'!AA64+'Table 5C1L-Northshore Charter'!AD64)</f>
        <v>0</v>
      </c>
      <c r="R62" s="356">
        <f>-('Table 5C1M-B.R. Charter'!AA64+'Table 5C1M-B.R. Charter'!AD64)</f>
        <v>0</v>
      </c>
      <c r="S62" s="356">
        <f>-('Table 5C1N-Delta Charter'!AA64+'Table 5C1N-Delta Charter'!AD64)</f>
        <v>0</v>
      </c>
      <c r="T62" s="356">
        <f>-('Table 5C2 - LA Virtual Admy'!AB62+'Table 5C2 - LA Virtual Admy'!AE62)</f>
        <v>-70139.25</v>
      </c>
      <c r="U62" s="356">
        <f>-('Table 5C3 - LA Connections EBR'!AB62+'Table 5C3 - LA Connections EBR'!AE62)</f>
        <v>-20021.400000000001</v>
      </c>
      <c r="V62" s="356">
        <f>-'Table 5E_OJJ'!S64</f>
        <v>-7415.0341806029246</v>
      </c>
      <c r="W62" s="356">
        <f t="shared" si="19"/>
        <v>-97575.684180602926</v>
      </c>
      <c r="X62" s="717">
        <f t="shared" si="20"/>
        <v>47865784.315819398</v>
      </c>
      <c r="AA62" s="49"/>
      <c r="AD62"/>
      <c r="AM62"/>
    </row>
    <row r="63" spans="1:39">
      <c r="A63" s="99">
        <v>58</v>
      </c>
      <c r="B63" s="301" t="s">
        <v>148</v>
      </c>
      <c r="C63" s="310">
        <f>'Table 2_State Distrib and Adjs'!AF65</f>
        <v>55385940</v>
      </c>
      <c r="D63" s="356"/>
      <c r="E63" s="356"/>
      <c r="F63" s="356">
        <f>-('Table 5C1A-Madison Prep'!AA65+'Table 5C1A-Madison Prep'!AD65)</f>
        <v>0</v>
      </c>
      <c r="G63" s="356">
        <f>-('Table 5C1B-DArbonne'!AA65+'Table 5C1B-DArbonne'!AD65)</f>
        <v>0</v>
      </c>
      <c r="H63" s="356">
        <f>-('Table 5C1C-Intl_VIBE'!AA65+'Table 5C1C-Intl_VIBE'!AD65)</f>
        <v>0</v>
      </c>
      <c r="I63" s="356">
        <f>-('Table 5C1D-NOMMA'!AA65+'Table 5C1D-NOMMA'!AD65)</f>
        <v>0</v>
      </c>
      <c r="J63" s="356">
        <f>-('Table 5C1E-LFNO'!AC65+'Table 5C1E-LFNO'!AF65)</f>
        <v>0</v>
      </c>
      <c r="K63" s="356">
        <f>-('Table 5C1F-Lake Charles Charter'!AA65+'Table 5C1F-Lake Charles Charter'!AD65)</f>
        <v>0</v>
      </c>
      <c r="L63" s="356">
        <f>-('Table 5C1G-JS Clark Academy'!AA65+'Table 5C1G-JS Clark Academy'!AD65)</f>
        <v>0</v>
      </c>
      <c r="M63" s="356">
        <f>-('Table 5C1H-Southwest LA Charter'!AA65+'Table 5C1H-Southwest LA Charter'!AD65)</f>
        <v>0</v>
      </c>
      <c r="N63" s="356">
        <f>-('Table 5C1I-LA Key Academy'!AA65+'Table 5C1I-LA Key Academy'!AD65)</f>
        <v>0</v>
      </c>
      <c r="O63" s="356">
        <f>-('Table 5C1J-Jefferson Chamber'!AA65+'Table 5C1J-Jefferson Chamber'!AD65)</f>
        <v>0</v>
      </c>
      <c r="P63" s="356">
        <f>-('Table 5C1K-Tallulah Charter'!AA65+'Table 5C1K-Tallulah Charter'!AD65)</f>
        <v>0</v>
      </c>
      <c r="Q63" s="356">
        <f>-('Table 5C1L-Northshore Charter'!AA65+'Table 5C1L-Northshore Charter'!AD65)</f>
        <v>0</v>
      </c>
      <c r="R63" s="356">
        <f>-('Table 5C1M-B.R. Charter'!AA65+'Table 5C1M-B.R. Charter'!AD65)</f>
        <v>0</v>
      </c>
      <c r="S63" s="356">
        <f>-('Table 5C1N-Delta Charter'!AA65+'Table 5C1N-Delta Charter'!AD65)</f>
        <v>0</v>
      </c>
      <c r="T63" s="356">
        <f>-('Table 5C2 - LA Virtual Admy'!AB63+'Table 5C2 - LA Virtual Admy'!AE63)</f>
        <v>-95311.349999999991</v>
      </c>
      <c r="U63" s="356">
        <f>-('Table 5C3 - LA Connections EBR'!AB63+'Table 5C3 - LA Connections EBR'!AE63)</f>
        <v>-56471.85</v>
      </c>
      <c r="V63" s="356">
        <f>-'Table 5E_OJJ'!S65</f>
        <v>-1257.9903944522789</v>
      </c>
      <c r="W63" s="356">
        <f t="shared" si="19"/>
        <v>-153041.19039445225</v>
      </c>
      <c r="X63" s="717">
        <f t="shared" si="20"/>
        <v>55232898.809605546</v>
      </c>
      <c r="AA63" s="49"/>
      <c r="AD63"/>
      <c r="AM63"/>
    </row>
    <row r="64" spans="1:39">
      <c r="A64" s="99">
        <v>59</v>
      </c>
      <c r="B64" s="301" t="s">
        <v>149</v>
      </c>
      <c r="C64" s="310">
        <f>'Table 2_State Distrib and Adjs'!AF66</f>
        <v>35637240</v>
      </c>
      <c r="D64" s="356"/>
      <c r="E64" s="356"/>
      <c r="F64" s="356">
        <f>-('Table 5C1A-Madison Prep'!AA66+'Table 5C1A-Madison Prep'!AD66)</f>
        <v>0</v>
      </c>
      <c r="G64" s="356">
        <f>-('Table 5C1B-DArbonne'!AA66+'Table 5C1B-DArbonne'!AD66)</f>
        <v>0</v>
      </c>
      <c r="H64" s="356">
        <f>-('Table 5C1C-Intl_VIBE'!AA66+'Table 5C1C-Intl_VIBE'!AD66)</f>
        <v>0</v>
      </c>
      <c r="I64" s="356">
        <f>-('Table 5C1D-NOMMA'!AA66+'Table 5C1D-NOMMA'!AD66)</f>
        <v>0</v>
      </c>
      <c r="J64" s="356">
        <f>-('Table 5C1E-LFNO'!AC66+'Table 5C1E-LFNO'!AF66)</f>
        <v>0</v>
      </c>
      <c r="K64" s="356">
        <f>-('Table 5C1F-Lake Charles Charter'!AA66+'Table 5C1F-Lake Charles Charter'!AD66)</f>
        <v>0</v>
      </c>
      <c r="L64" s="356">
        <f>-('Table 5C1G-JS Clark Academy'!AA66+'Table 5C1G-JS Clark Academy'!AD66)</f>
        <v>0</v>
      </c>
      <c r="M64" s="356">
        <f>-('Table 5C1H-Southwest LA Charter'!AA66+'Table 5C1H-Southwest LA Charter'!AD66)</f>
        <v>0</v>
      </c>
      <c r="N64" s="356">
        <f>-('Table 5C1I-LA Key Academy'!AA66+'Table 5C1I-LA Key Academy'!AD66)</f>
        <v>0</v>
      </c>
      <c r="O64" s="356">
        <f>-('Table 5C1J-Jefferson Chamber'!AA66+'Table 5C1J-Jefferson Chamber'!AD66)</f>
        <v>0</v>
      </c>
      <c r="P64" s="356">
        <f>-('Table 5C1K-Tallulah Charter'!AA66+'Table 5C1K-Tallulah Charter'!AD66)</f>
        <v>0</v>
      </c>
      <c r="Q64" s="356">
        <f>-('Table 5C1L-Northshore Charter'!AA66+'Table 5C1L-Northshore Charter'!AD66)</f>
        <v>-13832</v>
      </c>
      <c r="R64" s="356">
        <f>-('Table 5C1M-B.R. Charter'!AA66+'Table 5C1M-B.R. Charter'!AD66)</f>
        <v>0</v>
      </c>
      <c r="S64" s="356">
        <f>-('Table 5C1N-Delta Charter'!AA66+'Table 5C1N-Delta Charter'!AD66)</f>
        <v>0</v>
      </c>
      <c r="T64" s="356">
        <f>-('Table 5C2 - LA Virtual Admy'!AB64+'Table 5C2 - LA Virtual Admy'!AE64)</f>
        <v>-45203.400000000009</v>
      </c>
      <c r="U64" s="356">
        <f>-('Table 5C3 - LA Connections EBR'!AB64+'Table 5C3 - LA Connections EBR'!AE64)</f>
        <v>-16492.05</v>
      </c>
      <c r="V64" s="356">
        <f>-'Table 5E_OJJ'!S66</f>
        <v>-5000.0811649797461</v>
      </c>
      <c r="W64" s="356">
        <f t="shared" si="19"/>
        <v>-80527.531164979751</v>
      </c>
      <c r="X64" s="717">
        <f t="shared" si="20"/>
        <v>35556712.468835026</v>
      </c>
      <c r="AA64" s="49"/>
      <c r="AD64"/>
      <c r="AM64"/>
    </row>
    <row r="65" spans="1:39">
      <c r="A65" s="100">
        <v>60</v>
      </c>
      <c r="B65" s="302" t="s">
        <v>150</v>
      </c>
      <c r="C65" s="318">
        <f>'Table 2_State Distrib and Adjs'!AF67</f>
        <v>35607381</v>
      </c>
      <c r="D65" s="357"/>
      <c r="E65" s="357"/>
      <c r="F65" s="357">
        <f>-('Table 5C1A-Madison Prep'!AA67+'Table 5C1A-Madison Prep'!AD67)</f>
        <v>0</v>
      </c>
      <c r="G65" s="357">
        <f>-('Table 5C1B-DArbonne'!AA67+'Table 5C1B-DArbonne'!AD67)</f>
        <v>0</v>
      </c>
      <c r="H65" s="357">
        <f>-('Table 5C1C-Intl_VIBE'!AA67+'Table 5C1C-Intl_VIBE'!AD67)</f>
        <v>0</v>
      </c>
      <c r="I65" s="357">
        <f>-('Table 5C1D-NOMMA'!AA67+'Table 5C1D-NOMMA'!AD67)</f>
        <v>0</v>
      </c>
      <c r="J65" s="357">
        <f>-('Table 5C1E-LFNO'!AC67+'Table 5C1E-LFNO'!AF67)</f>
        <v>0</v>
      </c>
      <c r="K65" s="357">
        <f>-('Table 5C1F-Lake Charles Charter'!AA67+'Table 5C1F-Lake Charles Charter'!AD67)</f>
        <v>0</v>
      </c>
      <c r="L65" s="357">
        <f>-('Table 5C1G-JS Clark Academy'!AA67+'Table 5C1G-JS Clark Academy'!AD67)</f>
        <v>0</v>
      </c>
      <c r="M65" s="357">
        <f>-('Table 5C1H-Southwest LA Charter'!AA67+'Table 5C1H-Southwest LA Charter'!AD67)</f>
        <v>0</v>
      </c>
      <c r="N65" s="357">
        <f>-('Table 5C1I-LA Key Academy'!AA67+'Table 5C1I-LA Key Academy'!AD67)</f>
        <v>0</v>
      </c>
      <c r="O65" s="357">
        <f>-('Table 5C1J-Jefferson Chamber'!AA67+'Table 5C1J-Jefferson Chamber'!AD67)</f>
        <v>0</v>
      </c>
      <c r="P65" s="357">
        <f>-('Table 5C1K-Tallulah Charter'!AA67+'Table 5C1K-Tallulah Charter'!AD67)</f>
        <v>0</v>
      </c>
      <c r="Q65" s="357">
        <f>-('Table 5C1L-Northshore Charter'!AA67+'Table 5C1L-Northshore Charter'!AD67)</f>
        <v>0</v>
      </c>
      <c r="R65" s="357">
        <f>-('Table 5C1M-B.R. Charter'!AA67+'Table 5C1M-B.R. Charter'!AD67)</f>
        <v>0</v>
      </c>
      <c r="S65" s="357">
        <f>-('Table 5C1N-Delta Charter'!AA67+'Table 5C1N-Delta Charter'!AD67)</f>
        <v>0</v>
      </c>
      <c r="T65" s="357">
        <f>-('Table 5C2 - LA Virtual Admy'!AB65+'Table 5C2 - LA Virtual Admy'!AE65)</f>
        <v>-56342.25</v>
      </c>
      <c r="U65" s="357">
        <f>-('Table 5C3 - LA Connections EBR'!AB65+'Table 5C3 - LA Connections EBR'!AE65)</f>
        <v>-63286.650000000009</v>
      </c>
      <c r="V65" s="357">
        <f>-'Table 5E_OJJ'!S67</f>
        <v>-12751.498921293127</v>
      </c>
      <c r="W65" s="357">
        <f t="shared" si="19"/>
        <v>-132380.39892129315</v>
      </c>
      <c r="X65" s="718">
        <f t="shared" si="20"/>
        <v>35475000.601078711</v>
      </c>
      <c r="AA65" s="49"/>
      <c r="AD65"/>
      <c r="AM65"/>
    </row>
    <row r="66" spans="1:39">
      <c r="A66" s="99">
        <v>61</v>
      </c>
      <c r="B66" s="301" t="s">
        <v>151</v>
      </c>
      <c r="C66" s="310">
        <f>'Table 2_State Distrib and Adjs'!AF68</f>
        <v>13509568</v>
      </c>
      <c r="D66" s="356"/>
      <c r="E66" s="356"/>
      <c r="F66" s="356">
        <f>-('Table 5C1A-Madison Prep'!AA68+'Table 5C1A-Madison Prep'!AD68)</f>
        <v>-6597</v>
      </c>
      <c r="G66" s="356">
        <f>-('Table 5C1B-DArbonne'!AA68+'Table 5C1B-DArbonne'!AD68)</f>
        <v>0</v>
      </c>
      <c r="H66" s="356">
        <f>-('Table 5C1C-Intl_VIBE'!AA68+'Table 5C1C-Intl_VIBE'!AD68)</f>
        <v>0</v>
      </c>
      <c r="I66" s="356">
        <f>-('Table 5C1D-NOMMA'!AA68+'Table 5C1D-NOMMA'!AD68)</f>
        <v>0</v>
      </c>
      <c r="J66" s="356">
        <f>-('Table 5C1E-LFNO'!AC68+'Table 5C1E-LFNO'!AF68)</f>
        <v>0</v>
      </c>
      <c r="K66" s="356">
        <f>-('Table 5C1F-Lake Charles Charter'!AA68+'Table 5C1F-Lake Charles Charter'!AD68)</f>
        <v>0</v>
      </c>
      <c r="L66" s="356">
        <f>-('Table 5C1G-JS Clark Academy'!AA68+'Table 5C1G-JS Clark Academy'!AD68)</f>
        <v>0</v>
      </c>
      <c r="M66" s="356">
        <f>-('Table 5C1H-Southwest LA Charter'!AA68+'Table 5C1H-Southwest LA Charter'!AD68)</f>
        <v>0</v>
      </c>
      <c r="N66" s="356">
        <f>-('Table 5C1I-LA Key Academy'!AA68+'Table 5C1I-LA Key Academy'!AD68)</f>
        <v>-3298.5</v>
      </c>
      <c r="O66" s="356">
        <f>-('Table 5C1J-Jefferson Chamber'!AA68+'Table 5C1J-Jefferson Chamber'!AD68)</f>
        <v>0</v>
      </c>
      <c r="P66" s="356">
        <f>-('Table 5C1K-Tallulah Charter'!AA68+'Table 5C1K-Tallulah Charter'!AD68)</f>
        <v>0</v>
      </c>
      <c r="Q66" s="356">
        <f>-('Table 5C1L-Northshore Charter'!AA68+'Table 5C1L-Northshore Charter'!AD68)</f>
        <v>0</v>
      </c>
      <c r="R66" s="356">
        <f>-('Table 5C1M-B.R. Charter'!AA68+'Table 5C1M-B.R. Charter'!AD68)</f>
        <v>0</v>
      </c>
      <c r="S66" s="356">
        <f>-('Table 5C1N-Delta Charter'!AA68+'Table 5C1N-Delta Charter'!AD68)</f>
        <v>0</v>
      </c>
      <c r="T66" s="356">
        <f>-('Table 5C2 - LA Virtual Admy'!AB66+'Table 5C2 - LA Virtual Admy'!AE66)</f>
        <v>-44032.950000000004</v>
      </c>
      <c r="U66" s="356">
        <f>-('Table 5C3 - LA Connections EBR'!AB66+'Table 5C3 - LA Connections EBR'!AE66)</f>
        <v>-56404.350000000006</v>
      </c>
      <c r="V66" s="356">
        <f>-'Table 5E_OJJ'!S68</f>
        <v>-14582.430739477642</v>
      </c>
      <c r="W66" s="356">
        <f t="shared" si="19"/>
        <v>-124915.23073947766</v>
      </c>
      <c r="X66" s="717">
        <f t="shared" si="20"/>
        <v>13384652.769260524</v>
      </c>
      <c r="AA66" s="49"/>
      <c r="AD66"/>
      <c r="AM66"/>
    </row>
    <row r="67" spans="1:39">
      <c r="A67" s="99">
        <v>62</v>
      </c>
      <c r="B67" s="301" t="s">
        <v>152</v>
      </c>
      <c r="C67" s="310">
        <f>'Table 2_State Distrib and Adjs'!AF69</f>
        <v>13018098</v>
      </c>
      <c r="D67" s="356"/>
      <c r="E67" s="356"/>
      <c r="F67" s="356">
        <f>-('Table 5C1A-Madison Prep'!AA69+'Table 5C1A-Madison Prep'!AD69)</f>
        <v>0</v>
      </c>
      <c r="G67" s="356">
        <f>-('Table 5C1B-DArbonne'!AA69+'Table 5C1B-DArbonne'!AD69)</f>
        <v>0</v>
      </c>
      <c r="H67" s="356">
        <f>-('Table 5C1C-Intl_VIBE'!AA69+'Table 5C1C-Intl_VIBE'!AD69)</f>
        <v>0</v>
      </c>
      <c r="I67" s="356">
        <f>-('Table 5C1D-NOMMA'!AA69+'Table 5C1D-NOMMA'!AD69)</f>
        <v>0</v>
      </c>
      <c r="J67" s="356">
        <f>-('Table 5C1E-LFNO'!AC69+'Table 5C1E-LFNO'!AF69)</f>
        <v>0</v>
      </c>
      <c r="K67" s="356">
        <f>-('Table 5C1F-Lake Charles Charter'!AA69+'Table 5C1F-Lake Charles Charter'!AD69)</f>
        <v>0</v>
      </c>
      <c r="L67" s="356">
        <f>-('Table 5C1G-JS Clark Academy'!AA69+'Table 5C1G-JS Clark Academy'!AD69)</f>
        <v>0</v>
      </c>
      <c r="M67" s="356">
        <f>-('Table 5C1H-Southwest LA Charter'!AA69+'Table 5C1H-Southwest LA Charter'!AD69)</f>
        <v>0</v>
      </c>
      <c r="N67" s="356">
        <f>-('Table 5C1I-LA Key Academy'!AA69+'Table 5C1I-LA Key Academy'!AD69)</f>
        <v>0</v>
      </c>
      <c r="O67" s="356">
        <f>-('Table 5C1J-Jefferson Chamber'!AA69+'Table 5C1J-Jefferson Chamber'!AD69)</f>
        <v>0</v>
      </c>
      <c r="P67" s="356">
        <f>-('Table 5C1K-Tallulah Charter'!AA69+'Table 5C1K-Tallulah Charter'!AD69)</f>
        <v>0</v>
      </c>
      <c r="Q67" s="356">
        <f>-('Table 5C1L-Northshore Charter'!AA69+'Table 5C1L-Northshore Charter'!AD69)</f>
        <v>0</v>
      </c>
      <c r="R67" s="356">
        <f>-('Table 5C1M-B.R. Charter'!AA69+'Table 5C1M-B.R. Charter'!AD69)</f>
        <v>0</v>
      </c>
      <c r="S67" s="356">
        <f>-('Table 5C1N-Delta Charter'!AA69+'Table 5C1N-Delta Charter'!AD69)</f>
        <v>0</v>
      </c>
      <c r="T67" s="356">
        <f>-('Table 5C2 - LA Virtual Admy'!AB67+'Table 5C2 - LA Virtual Admy'!AE67)</f>
        <v>-13629.15</v>
      </c>
      <c r="U67" s="356">
        <f>-('Table 5C3 - LA Connections EBR'!AB67+'Table 5C3 - LA Connections EBR'!AE67)</f>
        <v>-1798.2</v>
      </c>
      <c r="V67" s="356">
        <f>-'Table 5E_OJJ'!S69</f>
        <v>-150.32325997973834</v>
      </c>
      <c r="W67" s="356">
        <f t="shared" si="19"/>
        <v>-15577.673259979738</v>
      </c>
      <c r="X67" s="717">
        <f t="shared" si="20"/>
        <v>13002520.326740021</v>
      </c>
      <c r="AA67" s="49"/>
      <c r="AD67"/>
      <c r="AM67"/>
    </row>
    <row r="68" spans="1:39">
      <c r="A68" s="99">
        <v>63</v>
      </c>
      <c r="B68" s="301" t="s">
        <v>153</v>
      </c>
      <c r="C68" s="310">
        <f>'Table 2_State Distrib and Adjs'!AF70</f>
        <v>10437826</v>
      </c>
      <c r="D68" s="356"/>
      <c r="E68" s="356"/>
      <c r="F68" s="356">
        <f>-('Table 5C1A-Madison Prep'!AA70+'Table 5C1A-Madison Prep'!AD70)</f>
        <v>0</v>
      </c>
      <c r="G68" s="356">
        <f>-('Table 5C1B-DArbonne'!AA70+'Table 5C1B-DArbonne'!AD70)</f>
        <v>0</v>
      </c>
      <c r="H68" s="356">
        <f>-('Table 5C1C-Intl_VIBE'!AA70+'Table 5C1C-Intl_VIBE'!AD70)</f>
        <v>0</v>
      </c>
      <c r="I68" s="356">
        <f>-('Table 5C1D-NOMMA'!AA70+'Table 5C1D-NOMMA'!AD70)</f>
        <v>0</v>
      </c>
      <c r="J68" s="356">
        <f>-('Table 5C1E-LFNO'!AC70+'Table 5C1E-LFNO'!AF70)</f>
        <v>0</v>
      </c>
      <c r="K68" s="356">
        <f>-('Table 5C1F-Lake Charles Charter'!AA70+'Table 5C1F-Lake Charles Charter'!AD70)</f>
        <v>0</v>
      </c>
      <c r="L68" s="356">
        <f>-('Table 5C1G-JS Clark Academy'!AA70+'Table 5C1G-JS Clark Academy'!AD70)</f>
        <v>0</v>
      </c>
      <c r="M68" s="356">
        <f>-('Table 5C1H-Southwest LA Charter'!AA70+'Table 5C1H-Southwest LA Charter'!AD70)</f>
        <v>0</v>
      </c>
      <c r="N68" s="356">
        <f>-('Table 5C1I-LA Key Academy'!AA70+'Table 5C1I-LA Key Academy'!AD70)</f>
        <v>0</v>
      </c>
      <c r="O68" s="356">
        <f>-('Table 5C1J-Jefferson Chamber'!AA70+'Table 5C1J-Jefferson Chamber'!AD70)</f>
        <v>0</v>
      </c>
      <c r="P68" s="356">
        <f>-('Table 5C1K-Tallulah Charter'!AA70+'Table 5C1K-Tallulah Charter'!AD70)</f>
        <v>0</v>
      </c>
      <c r="Q68" s="356">
        <f>-('Table 5C1L-Northshore Charter'!AA70+'Table 5C1L-Northshore Charter'!AD70)</f>
        <v>0</v>
      </c>
      <c r="R68" s="356">
        <f>-('Table 5C1M-B.R. Charter'!AA70+'Table 5C1M-B.R. Charter'!AD70)</f>
        <v>0</v>
      </c>
      <c r="S68" s="356">
        <f>-('Table 5C1N-Delta Charter'!AA70+'Table 5C1N-Delta Charter'!AD70)</f>
        <v>0</v>
      </c>
      <c r="T68" s="356">
        <f>-('Table 5C2 - LA Virtual Admy'!AB68+'Table 5C2 - LA Virtual Admy'!AE68)</f>
        <v>-1107</v>
      </c>
      <c r="U68" s="356">
        <f>-('Table 5C3 - LA Connections EBR'!AB68+'Table 5C3 - LA Connections EBR'!AE68)</f>
        <v>0</v>
      </c>
      <c r="V68" s="356">
        <f>-'Table 5E_OJJ'!S70</f>
        <v>0</v>
      </c>
      <c r="W68" s="356">
        <f t="shared" si="19"/>
        <v>-1107</v>
      </c>
      <c r="X68" s="717">
        <f t="shared" si="20"/>
        <v>10436719</v>
      </c>
      <c r="AA68" s="49"/>
      <c r="AD68"/>
      <c r="AM68"/>
    </row>
    <row r="69" spans="1:39">
      <c r="A69" s="99">
        <v>64</v>
      </c>
      <c r="B69" s="301" t="s">
        <v>154</v>
      </c>
      <c r="C69" s="310">
        <f>'Table 2_State Distrib and Adjs'!AF71</f>
        <v>15523491</v>
      </c>
      <c r="D69" s="356"/>
      <c r="E69" s="356"/>
      <c r="F69" s="356">
        <f>-('Table 5C1A-Madison Prep'!AA71+'Table 5C1A-Madison Prep'!AD71)</f>
        <v>0</v>
      </c>
      <c r="G69" s="356">
        <f>-('Table 5C1B-DArbonne'!AA71+'Table 5C1B-DArbonne'!AD71)</f>
        <v>0</v>
      </c>
      <c r="H69" s="356">
        <f>-('Table 5C1C-Intl_VIBE'!AA71+'Table 5C1C-Intl_VIBE'!AD71)</f>
        <v>0</v>
      </c>
      <c r="I69" s="356">
        <f>-('Table 5C1D-NOMMA'!AA71+'Table 5C1D-NOMMA'!AD71)</f>
        <v>0</v>
      </c>
      <c r="J69" s="356">
        <f>-('Table 5C1E-LFNO'!AC71+'Table 5C1E-LFNO'!AF71)</f>
        <v>0</v>
      </c>
      <c r="K69" s="356">
        <f>-('Table 5C1F-Lake Charles Charter'!AA71+'Table 5C1F-Lake Charles Charter'!AD71)</f>
        <v>0</v>
      </c>
      <c r="L69" s="356">
        <f>-('Table 5C1G-JS Clark Academy'!AA71+'Table 5C1G-JS Clark Academy'!AD71)</f>
        <v>0</v>
      </c>
      <c r="M69" s="356">
        <f>-('Table 5C1H-Southwest LA Charter'!AA71+'Table 5C1H-Southwest LA Charter'!AD71)</f>
        <v>0</v>
      </c>
      <c r="N69" s="356">
        <f>-('Table 5C1I-LA Key Academy'!AA71+'Table 5C1I-LA Key Academy'!AD71)</f>
        <v>0</v>
      </c>
      <c r="O69" s="356">
        <f>-('Table 5C1J-Jefferson Chamber'!AA71+'Table 5C1J-Jefferson Chamber'!AD71)</f>
        <v>0</v>
      </c>
      <c r="P69" s="356">
        <f>-('Table 5C1K-Tallulah Charter'!AA71+'Table 5C1K-Tallulah Charter'!AD71)</f>
        <v>0</v>
      </c>
      <c r="Q69" s="356">
        <f>-('Table 5C1L-Northshore Charter'!AA71+'Table 5C1L-Northshore Charter'!AD71)</f>
        <v>0</v>
      </c>
      <c r="R69" s="356">
        <f>-('Table 5C1M-B.R. Charter'!AA71+'Table 5C1M-B.R. Charter'!AD71)</f>
        <v>0</v>
      </c>
      <c r="S69" s="356">
        <f>-('Table 5C1N-Delta Charter'!AA71+'Table 5C1N-Delta Charter'!AD71)</f>
        <v>0</v>
      </c>
      <c r="T69" s="356">
        <f>-('Table 5C2 - LA Virtual Admy'!AB69+'Table 5C2 - LA Virtual Admy'!AE69)</f>
        <v>-11753.100000000002</v>
      </c>
      <c r="U69" s="356">
        <f>-('Table 5C3 - LA Connections EBR'!AB69+'Table 5C3 - LA Connections EBR'!AE69)</f>
        <v>-10447.200000000001</v>
      </c>
      <c r="V69" s="356">
        <f>-'Table 5E_OJJ'!S71</f>
        <v>-1529.9509674813439</v>
      </c>
      <c r="W69" s="356">
        <f t="shared" si="19"/>
        <v>-23730.250967481348</v>
      </c>
      <c r="X69" s="717">
        <f t="shared" si="20"/>
        <v>15499760.74903252</v>
      </c>
      <c r="AA69" s="49"/>
      <c r="AD69"/>
      <c r="AM69"/>
    </row>
    <row r="70" spans="1:39">
      <c r="A70" s="100">
        <v>65</v>
      </c>
      <c r="B70" s="302" t="s">
        <v>155</v>
      </c>
      <c r="C70" s="318">
        <f>'Table 2_State Distrib and Adjs'!AF72</f>
        <v>44064776</v>
      </c>
      <c r="D70" s="357"/>
      <c r="E70" s="357"/>
      <c r="F70" s="357">
        <f>-('Table 5C1A-Madison Prep'!AA72+'Table 5C1A-Madison Prep'!AD72)</f>
        <v>0</v>
      </c>
      <c r="G70" s="357">
        <f>-('Table 5C1B-DArbonne'!AA72+'Table 5C1B-DArbonne'!AD72)</f>
        <v>-14469</v>
      </c>
      <c r="H70" s="357">
        <f>-('Table 5C1C-Intl_VIBE'!AA72+'Table 5C1C-Intl_VIBE'!AD72)</f>
        <v>0</v>
      </c>
      <c r="I70" s="357">
        <f>-('Table 5C1D-NOMMA'!AA72+'Table 5C1D-NOMMA'!AD72)</f>
        <v>0</v>
      </c>
      <c r="J70" s="357">
        <f>-('Table 5C1E-LFNO'!AC72+'Table 5C1E-LFNO'!AF72)</f>
        <v>0</v>
      </c>
      <c r="K70" s="357">
        <f>-('Table 5C1F-Lake Charles Charter'!AA72+'Table 5C1F-Lake Charles Charter'!AD72)</f>
        <v>0</v>
      </c>
      <c r="L70" s="357">
        <f>-('Table 5C1G-JS Clark Academy'!AA72+'Table 5C1G-JS Clark Academy'!AD72)</f>
        <v>0</v>
      </c>
      <c r="M70" s="357">
        <f>-('Table 5C1H-Southwest LA Charter'!AA72+'Table 5C1H-Southwest LA Charter'!AD72)</f>
        <v>0</v>
      </c>
      <c r="N70" s="357">
        <f>-('Table 5C1I-LA Key Academy'!AA72+'Table 5C1I-LA Key Academy'!AD72)</f>
        <v>0</v>
      </c>
      <c r="O70" s="357">
        <f>-('Table 5C1J-Jefferson Chamber'!AA72+'Table 5C1J-Jefferson Chamber'!AD72)</f>
        <v>0</v>
      </c>
      <c r="P70" s="357">
        <f>-('Table 5C1K-Tallulah Charter'!AA72+'Table 5C1K-Tallulah Charter'!AD72)</f>
        <v>0</v>
      </c>
      <c r="Q70" s="357">
        <f>-('Table 5C1L-Northshore Charter'!AA72+'Table 5C1L-Northshore Charter'!AD72)</f>
        <v>0</v>
      </c>
      <c r="R70" s="357">
        <f>-('Table 5C1M-B.R. Charter'!AA72+'Table 5C1M-B.R. Charter'!AD72)</f>
        <v>0</v>
      </c>
      <c r="S70" s="357">
        <f>-('Table 5C1N-Delta Charter'!AA72+'Table 5C1N-Delta Charter'!AD72)</f>
        <v>0</v>
      </c>
      <c r="T70" s="357">
        <f>-('Table 5C2 - LA Virtual Admy'!AB70+'Table 5C2 - LA Virtual Admy'!AE70)</f>
        <v>8415</v>
      </c>
      <c r="U70" s="357">
        <f>-('Table 5C3 - LA Connections EBR'!AB70+'Table 5C3 - LA Connections EBR'!AE70)</f>
        <v>0</v>
      </c>
      <c r="V70" s="357">
        <f>-'Table 5E_OJJ'!S72</f>
        <v>-3332.7191769170477</v>
      </c>
      <c r="W70" s="357">
        <f t="shared" ref="W70:W74" si="21">SUM(D70:V70)</f>
        <v>-9386.7191769170477</v>
      </c>
      <c r="X70" s="718">
        <f t="shared" si="20"/>
        <v>44055389.280823082</v>
      </c>
      <c r="AA70" s="49"/>
      <c r="AD70"/>
      <c r="AM70"/>
    </row>
    <row r="71" spans="1:39">
      <c r="A71" s="134">
        <v>66</v>
      </c>
      <c r="B71" s="303" t="s">
        <v>156</v>
      </c>
      <c r="C71" s="312">
        <f>'Table 2_State Distrib and Adjs'!AF73</f>
        <v>13131415</v>
      </c>
      <c r="D71" s="358"/>
      <c r="E71" s="358"/>
      <c r="F71" s="358">
        <f>-('Table 5C1A-Madison Prep'!AA73+'Table 5C1A-Madison Prep'!AD73)</f>
        <v>0</v>
      </c>
      <c r="G71" s="358">
        <f>-('Table 5C1B-DArbonne'!AA73+'Table 5C1B-DArbonne'!AD73)</f>
        <v>0</v>
      </c>
      <c r="H71" s="358">
        <f>-('Table 5C1C-Intl_VIBE'!AA73+'Table 5C1C-Intl_VIBE'!AD73)</f>
        <v>0</v>
      </c>
      <c r="I71" s="358">
        <f>-('Table 5C1D-NOMMA'!AA73+'Table 5C1D-NOMMA'!AD73)</f>
        <v>0</v>
      </c>
      <c r="J71" s="358">
        <f>-('Table 5C1E-LFNO'!AC73+'Table 5C1E-LFNO'!AF73)</f>
        <v>0</v>
      </c>
      <c r="K71" s="358">
        <f>-('Table 5C1F-Lake Charles Charter'!AA73+'Table 5C1F-Lake Charles Charter'!AD73)</f>
        <v>0</v>
      </c>
      <c r="L71" s="358">
        <f>-('Table 5C1G-JS Clark Academy'!AA73+'Table 5C1G-JS Clark Academy'!AD73)</f>
        <v>0</v>
      </c>
      <c r="M71" s="358">
        <f>-('Table 5C1H-Southwest LA Charter'!AA73+'Table 5C1H-Southwest LA Charter'!AD73)</f>
        <v>0</v>
      </c>
      <c r="N71" s="358">
        <f>-('Table 5C1I-LA Key Academy'!AA73+'Table 5C1I-LA Key Academy'!AD73)</f>
        <v>0</v>
      </c>
      <c r="O71" s="358">
        <f>-('Table 5C1J-Jefferson Chamber'!AA73+'Table 5C1J-Jefferson Chamber'!AD73)</f>
        <v>0</v>
      </c>
      <c r="P71" s="358">
        <f>-('Table 5C1K-Tallulah Charter'!AA73+'Table 5C1K-Tallulah Charter'!AD73)</f>
        <v>0</v>
      </c>
      <c r="Q71" s="358">
        <f>-('Table 5C1L-Northshore Charter'!AA73+'Table 5C1L-Northshore Charter'!AD73)</f>
        <v>-556792</v>
      </c>
      <c r="R71" s="358">
        <f>-('Table 5C1M-B.R. Charter'!AA73+'Table 5C1M-B.R. Charter'!AD73)</f>
        <v>0</v>
      </c>
      <c r="S71" s="358">
        <f>-('Table 5C1N-Delta Charter'!AA73+'Table 5C1N-Delta Charter'!AD73)</f>
        <v>0</v>
      </c>
      <c r="T71" s="358">
        <f>-('Table 5C2 - LA Virtual Admy'!AB71+'Table 5C2 - LA Virtual Admy'!AE71)</f>
        <v>-28587.599999999999</v>
      </c>
      <c r="U71" s="358">
        <f>-('Table 5C3 - LA Connections EBR'!AB71+'Table 5C3 - LA Connections EBR'!AE71)</f>
        <v>-14099.400000000001</v>
      </c>
      <c r="V71" s="358">
        <f>-'Table 5E_OJJ'!S73</f>
        <v>-2632.385708559344</v>
      </c>
      <c r="W71" s="358">
        <f t="shared" si="21"/>
        <v>-602111.3857085593</v>
      </c>
      <c r="X71" s="720">
        <f t="shared" si="20"/>
        <v>12529303.614291441</v>
      </c>
      <c r="AA71" s="49"/>
      <c r="AD71"/>
      <c r="AM71"/>
    </row>
    <row r="72" spans="1:39">
      <c r="A72" s="351">
        <v>67</v>
      </c>
      <c r="B72" s="304" t="s">
        <v>32</v>
      </c>
      <c r="C72" s="310">
        <f>'Table 2_State Distrib and Adjs'!AF74</f>
        <v>29911540</v>
      </c>
      <c r="D72" s="356"/>
      <c r="E72" s="356"/>
      <c r="F72" s="356">
        <f>-('Table 5C1A-Madison Prep'!AA74+'Table 5C1A-Madison Prep'!AD74)</f>
        <v>-15021</v>
      </c>
      <c r="G72" s="356">
        <f>-('Table 5C1B-DArbonne'!AA74+'Table 5C1B-DArbonne'!AD74)</f>
        <v>0</v>
      </c>
      <c r="H72" s="356">
        <f>-('Table 5C1C-Intl_VIBE'!AA74+'Table 5C1C-Intl_VIBE'!AD74)</f>
        <v>0</v>
      </c>
      <c r="I72" s="356">
        <f>-('Table 5C1D-NOMMA'!AA74+'Table 5C1D-NOMMA'!AD74)</f>
        <v>0</v>
      </c>
      <c r="J72" s="356">
        <f>-('Table 5C1E-LFNO'!AC74+'Table 5C1E-LFNO'!AF74)</f>
        <v>0</v>
      </c>
      <c r="K72" s="356">
        <f>-('Table 5C1F-Lake Charles Charter'!AA74+'Table 5C1F-Lake Charles Charter'!AD74)</f>
        <v>0</v>
      </c>
      <c r="L72" s="356">
        <f>-('Table 5C1G-JS Clark Academy'!AA74+'Table 5C1G-JS Clark Academy'!AD74)</f>
        <v>0</v>
      </c>
      <c r="M72" s="356">
        <f>-('Table 5C1H-Southwest LA Charter'!AA74+'Table 5C1H-Southwest LA Charter'!AD74)</f>
        <v>0</v>
      </c>
      <c r="N72" s="356">
        <f>-('Table 5C1I-LA Key Academy'!AA74+'Table 5C1I-LA Key Academy'!AD74)</f>
        <v>0</v>
      </c>
      <c r="O72" s="356">
        <f>-('Table 5C1J-Jefferson Chamber'!AA74+'Table 5C1J-Jefferson Chamber'!AD74)</f>
        <v>0</v>
      </c>
      <c r="P72" s="356">
        <f>-('Table 5C1K-Tallulah Charter'!AA74+'Table 5C1K-Tallulah Charter'!AD74)</f>
        <v>0</v>
      </c>
      <c r="Q72" s="356">
        <f>-('Table 5C1L-Northshore Charter'!AA74+'Table 5C1L-Northshore Charter'!AD74)</f>
        <v>0</v>
      </c>
      <c r="R72" s="356">
        <f>-('Table 5C1M-B.R. Charter'!AA74+'Table 5C1M-B.R. Charter'!AD74)</f>
        <v>0</v>
      </c>
      <c r="S72" s="356">
        <f>-('Table 5C1N-Delta Charter'!AA74+'Table 5C1N-Delta Charter'!AD74)</f>
        <v>0</v>
      </c>
      <c r="T72" s="356">
        <f>-('Table 5C2 - LA Virtual Admy'!AB72+'Table 5C2 - LA Virtual Admy'!AE72)</f>
        <v>-9596.7000000000007</v>
      </c>
      <c r="U72" s="356">
        <f>-('Table 5C3 - LA Connections EBR'!AB72+'Table 5C3 - LA Connections EBR'!AE72)</f>
        <v>0</v>
      </c>
      <c r="V72" s="356">
        <f>-'Table 5E_OJJ'!S74</f>
        <v>0</v>
      </c>
      <c r="W72" s="356">
        <f t="shared" si="21"/>
        <v>-24617.7</v>
      </c>
      <c r="X72" s="717">
        <f t="shared" si="20"/>
        <v>29886922.300000001</v>
      </c>
      <c r="AA72" s="49"/>
      <c r="AD72"/>
      <c r="AM72"/>
    </row>
    <row r="73" spans="1:39">
      <c r="A73" s="99">
        <v>68</v>
      </c>
      <c r="B73" s="301" t="s">
        <v>30</v>
      </c>
      <c r="C73" s="310">
        <f>'Table 2_State Distrib and Adjs'!AF75</f>
        <v>11070797</v>
      </c>
      <c r="D73" s="356"/>
      <c r="E73" s="356"/>
      <c r="F73" s="356">
        <f>-('Table 5C1A-Madison Prep'!AA75+'Table 5C1A-Madison Prep'!AD75)</f>
        <v>-20489</v>
      </c>
      <c r="G73" s="356">
        <f>-('Table 5C1B-DArbonne'!AA75+'Table 5C1B-DArbonne'!AD75)</f>
        <v>0</v>
      </c>
      <c r="H73" s="356">
        <f>-('Table 5C1C-Intl_VIBE'!AA75+'Table 5C1C-Intl_VIBE'!AD75)</f>
        <v>0</v>
      </c>
      <c r="I73" s="356">
        <f>-('Table 5C1D-NOMMA'!AA75+'Table 5C1D-NOMMA'!AD75)</f>
        <v>0</v>
      </c>
      <c r="J73" s="356">
        <f>-('Table 5C1E-LFNO'!AC75+'Table 5C1E-LFNO'!AF75)</f>
        <v>0</v>
      </c>
      <c r="K73" s="356">
        <f>-('Table 5C1F-Lake Charles Charter'!AA75+'Table 5C1F-Lake Charles Charter'!AD75)</f>
        <v>0</v>
      </c>
      <c r="L73" s="356">
        <f>-('Table 5C1G-JS Clark Academy'!AA75+'Table 5C1G-JS Clark Academy'!AD75)</f>
        <v>0</v>
      </c>
      <c r="M73" s="356">
        <f>-('Table 5C1H-Southwest LA Charter'!AA75+'Table 5C1H-Southwest LA Charter'!AD75)</f>
        <v>0</v>
      </c>
      <c r="N73" s="356">
        <f>-('Table 5C1I-LA Key Academy'!AA75+'Table 5C1I-LA Key Academy'!AD75)</f>
        <v>0</v>
      </c>
      <c r="O73" s="356">
        <f>-('Table 5C1J-Jefferson Chamber'!AA75+'Table 5C1J-Jefferson Chamber'!AD75)</f>
        <v>0</v>
      </c>
      <c r="P73" s="356">
        <f>-('Table 5C1K-Tallulah Charter'!AA75+'Table 5C1K-Tallulah Charter'!AD75)</f>
        <v>0</v>
      </c>
      <c r="Q73" s="356">
        <f>-('Table 5C1L-Northshore Charter'!AA75+'Table 5C1L-Northshore Charter'!AD75)</f>
        <v>0</v>
      </c>
      <c r="R73" s="356">
        <f>-('Table 5C1M-B.R. Charter'!AA75+'Table 5C1M-B.R. Charter'!AD75)</f>
        <v>0</v>
      </c>
      <c r="S73" s="356">
        <f>-('Table 5C1N-Delta Charter'!AA75+'Table 5C1N-Delta Charter'!AD75)</f>
        <v>0</v>
      </c>
      <c r="T73" s="356">
        <f>-('Table 5C2 - LA Virtual Admy'!AB73+'Table 5C2 - LA Virtual Admy'!AE73)</f>
        <v>-10549.35</v>
      </c>
      <c r="U73" s="356">
        <f>-('Table 5C3 - LA Connections EBR'!AB73+'Table 5C3 - LA Connections EBR'!AE73)</f>
        <v>0</v>
      </c>
      <c r="V73" s="356">
        <f>-'Table 5E_OJJ'!S75</f>
        <v>0</v>
      </c>
      <c r="W73" s="356">
        <f t="shared" si="21"/>
        <v>-31038.35</v>
      </c>
      <c r="X73" s="717">
        <f t="shared" si="20"/>
        <v>11039758.65</v>
      </c>
      <c r="AA73" s="49"/>
      <c r="AD73"/>
      <c r="AM73"/>
    </row>
    <row r="74" spans="1:39">
      <c r="A74" s="100">
        <v>69</v>
      </c>
      <c r="B74" s="302" t="s">
        <v>205</v>
      </c>
      <c r="C74" s="318">
        <f>'Table 2_State Distrib and Adjs'!AF76</f>
        <v>27025469</v>
      </c>
      <c r="D74" s="357"/>
      <c r="E74" s="357"/>
      <c r="F74" s="357">
        <f>-('Table 5C1A-Madison Prep'!AA76+'Table 5C1A-Madison Prep'!AD76)</f>
        <v>-3404</v>
      </c>
      <c r="G74" s="357">
        <f>-('Table 5C1B-DArbonne'!AA76+'Table 5C1B-DArbonne'!AD76)</f>
        <v>0</v>
      </c>
      <c r="H74" s="357">
        <f>-('Table 5C1C-Intl_VIBE'!AA76+'Table 5C1C-Intl_VIBE'!AD76)</f>
        <v>0</v>
      </c>
      <c r="I74" s="357">
        <f>-('Table 5C1D-NOMMA'!AA76+'Table 5C1D-NOMMA'!AD76)</f>
        <v>0</v>
      </c>
      <c r="J74" s="357">
        <f>-('Table 5C1E-LFNO'!AC76+'Table 5C1E-LFNO'!AF76)</f>
        <v>0</v>
      </c>
      <c r="K74" s="357">
        <f>-('Table 5C1F-Lake Charles Charter'!AA76+'Table 5C1F-Lake Charles Charter'!AD76)</f>
        <v>0</v>
      </c>
      <c r="L74" s="357">
        <f>-('Table 5C1G-JS Clark Academy'!AA76+'Table 5C1G-JS Clark Academy'!AD76)</f>
        <v>0</v>
      </c>
      <c r="M74" s="357">
        <f>-('Table 5C1H-Southwest LA Charter'!AA76+'Table 5C1H-Southwest LA Charter'!AD76)</f>
        <v>0</v>
      </c>
      <c r="N74" s="357">
        <f>-('Table 5C1I-LA Key Academy'!AA76+'Table 5C1I-LA Key Academy'!AD76)</f>
        <v>-1702</v>
      </c>
      <c r="O74" s="357">
        <f>-('Table 5C1J-Jefferson Chamber'!AA76+'Table 5C1J-Jefferson Chamber'!AD76)</f>
        <v>0</v>
      </c>
      <c r="P74" s="357">
        <f>-('Table 5C1K-Tallulah Charter'!AA76+'Table 5C1K-Tallulah Charter'!AD76)</f>
        <v>0</v>
      </c>
      <c r="Q74" s="357">
        <f>-('Table 5C1L-Northshore Charter'!AA76+'Table 5C1L-Northshore Charter'!AD76)</f>
        <v>0</v>
      </c>
      <c r="R74" s="357">
        <f>-('Table 5C1M-B.R. Charter'!AA76+'Table 5C1M-B.R. Charter'!AD76)</f>
        <v>0</v>
      </c>
      <c r="S74" s="357">
        <f>-('Table 5C1N-Delta Charter'!AA76+'Table 5C1N-Delta Charter'!AD76)</f>
        <v>0</v>
      </c>
      <c r="T74" s="357">
        <f>-('Table 5C2 - LA Virtual Admy'!AB74+'Table 5C2 - LA Virtual Admy'!AE74)</f>
        <v>-44215.199999999997</v>
      </c>
      <c r="U74" s="357">
        <f>-('Table 5C3 - LA Connections EBR'!AB74+'Table 5C3 - LA Connections EBR'!AE74)</f>
        <v>0</v>
      </c>
      <c r="V74" s="357">
        <f>-'Table 5E_OJJ'!S76</f>
        <v>0</v>
      </c>
      <c r="W74" s="357">
        <f t="shared" si="21"/>
        <v>-49321.2</v>
      </c>
      <c r="X74" s="718">
        <f t="shared" si="20"/>
        <v>26976147.800000001</v>
      </c>
      <c r="AA74" s="49"/>
      <c r="AD74"/>
      <c r="AM74"/>
    </row>
    <row r="75" spans="1:39" ht="13.5" thickBot="1">
      <c r="A75" s="411"/>
      <c r="B75" s="412" t="s">
        <v>157</v>
      </c>
      <c r="C75" s="721">
        <f t="shared" ref="C75:X75" si="22">SUM(C6:C74)</f>
        <v>3256452294</v>
      </c>
      <c r="D75" s="721">
        <f t="shared" si="22"/>
        <v>-16731132.5</v>
      </c>
      <c r="E75" s="721">
        <f t="shared" si="22"/>
        <v>-136790073.5</v>
      </c>
      <c r="F75" s="721">
        <f t="shared" si="22"/>
        <v>-1858743</v>
      </c>
      <c r="G75" s="721">
        <f t="shared" si="22"/>
        <v>-2069218</v>
      </c>
      <c r="H75" s="721">
        <f t="shared" si="22"/>
        <v>-2230662</v>
      </c>
      <c r="I75" s="721">
        <f t="shared" si="22"/>
        <v>-2001561</v>
      </c>
      <c r="J75" s="721">
        <f t="shared" si="22"/>
        <v>-1696673</v>
      </c>
      <c r="K75" s="721">
        <f t="shared" si="22"/>
        <v>-3909987</v>
      </c>
      <c r="L75" s="721">
        <f t="shared" si="22"/>
        <v>-474759.5</v>
      </c>
      <c r="M75" s="721">
        <f t="shared" si="22"/>
        <v>-3038850</v>
      </c>
      <c r="N75" s="721">
        <f t="shared" si="22"/>
        <v>-844622</v>
      </c>
      <c r="O75" s="721">
        <f t="shared" si="22"/>
        <v>-500128</v>
      </c>
      <c r="P75" s="721">
        <f t="shared" si="22"/>
        <v>-1038046.5</v>
      </c>
      <c r="Q75" s="721">
        <f t="shared" si="22"/>
        <v>-570624</v>
      </c>
      <c r="R75" s="721">
        <f t="shared" si="22"/>
        <v>-3242757</v>
      </c>
      <c r="S75" s="721">
        <f t="shared" si="22"/>
        <v>-915299</v>
      </c>
      <c r="T75" s="721">
        <f>SUM(T6:T74)</f>
        <v>-6965721.9000000004</v>
      </c>
      <c r="U75" s="721">
        <f>SUM(U6:U74)</f>
        <v>-4729412.700000003</v>
      </c>
      <c r="V75" s="721">
        <f t="shared" si="22"/>
        <v>-1239861.4966246891</v>
      </c>
      <c r="W75" s="721">
        <f>SUM(W6:W74)</f>
        <v>-190848132.09662464</v>
      </c>
      <c r="X75" s="722">
        <f t="shared" si="22"/>
        <v>3065604161.9033756</v>
      </c>
      <c r="AA75" s="49"/>
      <c r="AD75"/>
      <c r="AM75"/>
    </row>
    <row r="76" spans="1:39" ht="12.75" customHeight="1" thickTop="1">
      <c r="Z76" s="97"/>
      <c r="AA76" s="97"/>
      <c r="AB76" s="97"/>
      <c r="AC76" s="97"/>
      <c r="AD76" s="97"/>
      <c r="AE76" s="97"/>
      <c r="AF76" s="97"/>
      <c r="AG76" s="97"/>
      <c r="AH76" s="97"/>
      <c r="AK76" s="97"/>
    </row>
    <row r="77" spans="1:39" hidden="1">
      <c r="X77" s="49">
        <f>SUM(C75:V75)</f>
        <v>3065604161.9033756</v>
      </c>
    </row>
    <row r="78" spans="1:39" ht="9.75" hidden="1" customHeight="1">
      <c r="Z78" s="49"/>
      <c r="AA78" s="49"/>
      <c r="AB78" s="49"/>
      <c r="AC78" s="49"/>
      <c r="AE78" s="49"/>
      <c r="AF78" s="49"/>
      <c r="AG78" s="49"/>
      <c r="AH78" s="49"/>
      <c r="AK78" s="49"/>
    </row>
    <row r="79" spans="1:39" ht="9.75" hidden="1" customHeight="1">
      <c r="D79" s="2172"/>
      <c r="E79" s="2172"/>
      <c r="F79" s="2172"/>
      <c r="G79" s="2172"/>
      <c r="H79" s="2172"/>
      <c r="I79" s="2172"/>
    </row>
    <row r="80" spans="1:39" ht="70.5" hidden="1" customHeight="1" thickBot="1">
      <c r="C80" s="1533"/>
      <c r="D80" s="2172"/>
      <c r="E80" s="2172"/>
      <c r="F80" s="2172"/>
      <c r="G80" s="2172"/>
      <c r="H80" s="2172"/>
      <c r="I80" s="2172"/>
    </row>
    <row r="81" spans="4:9" hidden="1">
      <c r="D81" s="2172"/>
      <c r="E81" s="2172"/>
      <c r="F81" s="2172"/>
      <c r="G81" s="2172"/>
      <c r="H81" s="2172"/>
      <c r="I81" s="2172"/>
    </row>
    <row r="82" spans="4:9" hidden="1"/>
  </sheetData>
  <mergeCells count="25">
    <mergeCell ref="X1:X3"/>
    <mergeCell ref="W1:W3"/>
    <mergeCell ref="L1:L3"/>
    <mergeCell ref="M1:M3"/>
    <mergeCell ref="N1:N3"/>
    <mergeCell ref="T1:T3"/>
    <mergeCell ref="U1:U3"/>
    <mergeCell ref="V1:V3"/>
    <mergeCell ref="O1:O3"/>
    <mergeCell ref="P1:P3"/>
    <mergeCell ref="Q1:Q3"/>
    <mergeCell ref="R1:R3"/>
    <mergeCell ref="S1:S3"/>
    <mergeCell ref="J1:J3"/>
    <mergeCell ref="K1:K3"/>
    <mergeCell ref="A1:A3"/>
    <mergeCell ref="D79:I81"/>
    <mergeCell ref="B1:B3"/>
    <mergeCell ref="C1:C3"/>
    <mergeCell ref="D1:D3"/>
    <mergeCell ref="E1:E3"/>
    <mergeCell ref="F1:F3"/>
    <mergeCell ref="G1:G3"/>
    <mergeCell ref="H1:H3"/>
    <mergeCell ref="I1:I3"/>
  </mergeCells>
  <printOptions horizontalCentered="1"/>
  <pageMargins left="0.25" right="0.25" top="1.01" bottom="0.75" header="0.3" footer="0.3"/>
  <pageSetup paperSize="5" scale="70" firstPageNumber="7" orientation="portrait" useFirstPageNumber="1" r:id="rId1"/>
  <headerFooter>
    <oddHeader xml:space="preserve">&amp;L&amp;"Arial,Bold"&amp;14Table 2A-1:  FY2013-14 Budget Letter (March 2014) 
MFP Transfer Amount (Annual) 
</oddHeader>
    <oddFooter>&amp;R&amp;P</oddFooter>
  </headerFooter>
  <colBreaks count="3" manualBreakCount="3">
    <brk id="5" max="81" man="1"/>
    <brk id="13" max="81" man="1"/>
    <brk id="21" max="81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86"/>
  <sheetViews>
    <sheetView view="pageBreakPreview" topLeftCell="A3" zoomScaleNormal="85" zoomScaleSheetLayoutView="100" workbookViewId="0">
      <pane xSplit="2" ySplit="4" topLeftCell="C7" activePane="bottomRight" state="frozen"/>
      <selection activeCell="J97" sqref="J97"/>
      <selection pane="topRight" activeCell="J97" sqref="J97"/>
      <selection pane="bottomLeft" activeCell="J97" sqref="J97"/>
      <selection pane="bottomRight" activeCell="A3" sqref="A3:A5"/>
    </sheetView>
  </sheetViews>
  <sheetFormatPr defaultRowHeight="12.75"/>
  <cols>
    <col min="1" max="1" width="4.7109375" customWidth="1"/>
    <col min="2" max="2" width="18.5703125" customWidth="1"/>
    <col min="3" max="3" width="16" customWidth="1"/>
    <col min="4" max="4" width="14.85546875" customWidth="1"/>
    <col min="5" max="5" width="15.7109375" customWidth="1"/>
    <col min="6" max="6" width="15.28515625" customWidth="1"/>
    <col min="7" max="7" width="9" customWidth="1"/>
    <col min="8" max="8" width="15.85546875" customWidth="1"/>
    <col min="9" max="9" width="10.42578125" bestFit="1" customWidth="1"/>
    <col min="10" max="10" width="13.140625" bestFit="1" customWidth="1"/>
    <col min="11" max="11" width="10.42578125" bestFit="1" customWidth="1"/>
    <col min="12" max="12" width="13" customWidth="1"/>
    <col min="13" max="15" width="8.28515625" bestFit="1" customWidth="1"/>
    <col min="16" max="16" width="11.7109375" bestFit="1" customWidth="1"/>
    <col min="17" max="17" width="15.42578125" customWidth="1"/>
    <col min="18" max="18" width="7.85546875" customWidth="1"/>
    <col min="19" max="19" width="17.140625" bestFit="1" customWidth="1"/>
    <col min="20" max="21" width="10.7109375" customWidth="1"/>
    <col min="22" max="22" width="9.140625" customWidth="1"/>
    <col min="23" max="23" width="16.5703125" bestFit="1" customWidth="1"/>
    <col min="24" max="24" width="13" bestFit="1" customWidth="1"/>
    <col min="25" max="25" width="12.85546875" customWidth="1"/>
    <col min="26" max="26" width="14.42578125" customWidth="1"/>
    <col min="27" max="27" width="12.85546875" customWidth="1"/>
    <col min="28" max="30" width="10.7109375" customWidth="1"/>
    <col min="31" max="31" width="16.140625" customWidth="1"/>
    <col min="32" max="32" width="10.5703125" customWidth="1"/>
    <col min="33" max="33" width="16.42578125" bestFit="1" customWidth="1"/>
    <col min="34" max="34" width="15.42578125" bestFit="1" customWidth="1"/>
    <col min="35" max="35" width="18.42578125" customWidth="1"/>
    <col min="36" max="36" width="16.85546875" bestFit="1" customWidth="1"/>
    <col min="37" max="37" width="17.42578125" bestFit="1" customWidth="1"/>
    <col min="38" max="38" width="12.28515625" bestFit="1" customWidth="1"/>
    <col min="39" max="39" width="20.140625" bestFit="1" customWidth="1"/>
    <col min="40" max="41" width="13.42578125" bestFit="1" customWidth="1"/>
    <col min="42" max="42" width="23.85546875" customWidth="1"/>
    <col min="43" max="43" width="19.140625" bestFit="1" customWidth="1"/>
    <col min="44" max="44" width="14.42578125" bestFit="1" customWidth="1"/>
    <col min="45" max="45" width="10.42578125" bestFit="1" customWidth="1"/>
  </cols>
  <sheetData>
    <row r="1" spans="1:44" ht="20.25" hidden="1">
      <c r="A1" s="48" t="s">
        <v>196</v>
      </c>
      <c r="B1" s="151"/>
      <c r="C1" s="152"/>
      <c r="D1" s="153"/>
      <c r="E1" s="153"/>
      <c r="F1" s="153"/>
      <c r="G1" s="153"/>
      <c r="H1" s="153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142"/>
      <c r="AF1" s="143"/>
      <c r="AG1" s="2"/>
      <c r="AH1" s="2"/>
      <c r="AI1" s="2"/>
      <c r="AJ1" s="2"/>
      <c r="AK1" s="2"/>
      <c r="AL1" s="2"/>
      <c r="AM1" s="2"/>
      <c r="AN1" s="2"/>
      <c r="AO1" s="2"/>
      <c r="AP1" s="144"/>
      <c r="AQ1" s="2"/>
    </row>
    <row r="2" spans="1:44" ht="40.5" hidden="1">
      <c r="A2" s="48"/>
      <c r="C2" s="2510" t="s">
        <v>25</v>
      </c>
      <c r="D2" s="2511"/>
      <c r="E2" s="126"/>
      <c r="F2" s="126"/>
      <c r="G2" s="126"/>
      <c r="H2" s="126"/>
      <c r="I2" s="151" t="s">
        <v>39</v>
      </c>
      <c r="J2" s="151" t="s">
        <v>40</v>
      </c>
      <c r="K2" s="151" t="s">
        <v>41</v>
      </c>
      <c r="L2" s="151" t="s">
        <v>42</v>
      </c>
      <c r="M2" s="151" t="s">
        <v>43</v>
      </c>
      <c r="N2" s="151" t="s">
        <v>44</v>
      </c>
      <c r="O2" s="151" t="s">
        <v>45</v>
      </c>
      <c r="P2" s="151" t="s">
        <v>46</v>
      </c>
      <c r="Q2" s="126" t="s">
        <v>23</v>
      </c>
      <c r="R2" s="151" t="s">
        <v>47</v>
      </c>
      <c r="S2" s="151" t="s">
        <v>48</v>
      </c>
      <c r="T2" s="151" t="s">
        <v>49</v>
      </c>
      <c r="U2" s="151" t="s">
        <v>50</v>
      </c>
      <c r="V2" s="151" t="s">
        <v>51</v>
      </c>
      <c r="W2" s="151" t="s">
        <v>52</v>
      </c>
      <c r="X2" s="126" t="s">
        <v>24</v>
      </c>
      <c r="Y2" s="126" t="s">
        <v>33</v>
      </c>
      <c r="Z2" s="126" t="s">
        <v>34</v>
      </c>
      <c r="AA2" s="126" t="s">
        <v>35</v>
      </c>
      <c r="AB2" s="126" t="s">
        <v>36</v>
      </c>
      <c r="AC2" s="126" t="s">
        <v>37</v>
      </c>
      <c r="AD2" s="126" t="s">
        <v>26</v>
      </c>
      <c r="AE2" s="288"/>
      <c r="AF2" s="119" t="s">
        <v>68</v>
      </c>
      <c r="AG2" s="119" t="s">
        <v>69</v>
      </c>
      <c r="AH2" s="118" t="s">
        <v>185</v>
      </c>
      <c r="AI2" s="118"/>
      <c r="AJ2" s="120"/>
      <c r="AK2" s="120" t="s">
        <v>27</v>
      </c>
      <c r="AL2" s="179"/>
      <c r="AM2" s="179"/>
      <c r="AN2" s="126" t="s">
        <v>28</v>
      </c>
      <c r="AO2" s="126" t="s">
        <v>29</v>
      </c>
      <c r="AP2" s="131" t="s">
        <v>75</v>
      </c>
      <c r="AQ2" s="165" t="s">
        <v>21</v>
      </c>
      <c r="AR2" s="131" t="s">
        <v>76</v>
      </c>
    </row>
    <row r="3" spans="1:44" ht="39.75" customHeight="1">
      <c r="A3" s="2207" t="s">
        <v>183</v>
      </c>
      <c r="B3" s="2207" t="s">
        <v>2</v>
      </c>
      <c r="C3" s="2512" t="s">
        <v>474</v>
      </c>
      <c r="D3" s="2513"/>
      <c r="E3" s="2514"/>
      <c r="F3" s="2514"/>
      <c r="G3" s="2514"/>
      <c r="H3" s="2515"/>
      <c r="I3" s="2497" t="s">
        <v>3</v>
      </c>
      <c r="J3" s="2499"/>
      <c r="K3" s="2504" t="s">
        <v>53</v>
      </c>
      <c r="L3" s="2505"/>
      <c r="M3" s="2505"/>
      <c r="N3" s="2505"/>
      <c r="O3" s="2505"/>
      <c r="P3" s="2506"/>
      <c r="Q3" s="2501" t="s">
        <v>216</v>
      </c>
      <c r="R3" s="2504" t="s">
        <v>54</v>
      </c>
      <c r="S3" s="2505"/>
      <c r="T3" s="2505"/>
      <c r="U3" s="2505"/>
      <c r="V3" s="2505"/>
      <c r="W3" s="2506"/>
      <c r="X3" s="2501" t="s">
        <v>55</v>
      </c>
      <c r="Y3" s="2504" t="s">
        <v>38</v>
      </c>
      <c r="Z3" s="2505"/>
      <c r="AA3" s="2505"/>
      <c r="AB3" s="2505"/>
      <c r="AC3" s="2505"/>
      <c r="AD3" s="2505"/>
      <c r="AE3" s="2501" t="s">
        <v>477</v>
      </c>
      <c r="AF3" s="2504" t="s">
        <v>71</v>
      </c>
      <c r="AG3" s="2505"/>
      <c r="AH3" s="2505"/>
      <c r="AI3" s="2501" t="s">
        <v>478</v>
      </c>
      <c r="AJ3" s="2504" t="s">
        <v>89</v>
      </c>
      <c r="AK3" s="2505"/>
      <c r="AL3" s="2505"/>
      <c r="AM3" s="2505"/>
      <c r="AN3" s="2505"/>
      <c r="AO3" s="2506"/>
      <c r="AP3" s="2520" t="s">
        <v>470</v>
      </c>
      <c r="AQ3" s="2519" t="s">
        <v>235</v>
      </c>
      <c r="AR3" s="2516" t="s">
        <v>246</v>
      </c>
    </row>
    <row r="4" spans="1:44" ht="71.25" customHeight="1">
      <c r="A4" s="2495"/>
      <c r="B4" s="2495"/>
      <c r="C4" s="2500" t="s">
        <v>471</v>
      </c>
      <c r="D4" s="2500" t="s">
        <v>472</v>
      </c>
      <c r="E4" s="2207" t="s">
        <v>473</v>
      </c>
      <c r="F4" s="2500" t="s">
        <v>475</v>
      </c>
      <c r="G4" s="2500" t="s">
        <v>206</v>
      </c>
      <c r="H4" s="1100" t="s">
        <v>476</v>
      </c>
      <c r="I4" s="2507" t="s">
        <v>7</v>
      </c>
      <c r="J4" s="2507" t="s">
        <v>56</v>
      </c>
      <c r="K4" s="2507" t="s">
        <v>7</v>
      </c>
      <c r="L4" s="2507" t="s">
        <v>56</v>
      </c>
      <c r="M4" s="2507" t="s">
        <v>57</v>
      </c>
      <c r="N4" s="2507" t="s">
        <v>58</v>
      </c>
      <c r="O4" s="2507" t="s">
        <v>59</v>
      </c>
      <c r="P4" s="2507" t="s">
        <v>228</v>
      </c>
      <c r="Q4" s="2502"/>
      <c r="R4" s="2507" t="s">
        <v>7</v>
      </c>
      <c r="S4" s="2507" t="s">
        <v>12</v>
      </c>
      <c r="T4" s="2507" t="s">
        <v>8</v>
      </c>
      <c r="U4" s="2507" t="s">
        <v>9</v>
      </c>
      <c r="V4" s="2507" t="s">
        <v>10</v>
      </c>
      <c r="W4" s="2507" t="s">
        <v>11</v>
      </c>
      <c r="X4" s="2502"/>
      <c r="Y4" s="2507" t="s">
        <v>17</v>
      </c>
      <c r="Z4" s="2507" t="s">
        <v>16</v>
      </c>
      <c r="AA4" s="2507" t="s">
        <v>15</v>
      </c>
      <c r="AB4" s="2507" t="s">
        <v>14</v>
      </c>
      <c r="AC4" s="2507" t="s">
        <v>13</v>
      </c>
      <c r="AD4" s="2507" t="s">
        <v>18</v>
      </c>
      <c r="AE4" s="2502"/>
      <c r="AF4" s="2509" t="s">
        <v>4</v>
      </c>
      <c r="AG4" s="2509" t="s">
        <v>5</v>
      </c>
      <c r="AH4" s="2509" t="s">
        <v>6</v>
      </c>
      <c r="AI4" s="2502"/>
      <c r="AJ4" s="2508" t="s">
        <v>468</v>
      </c>
      <c r="AK4" s="2508" t="s">
        <v>469</v>
      </c>
      <c r="AL4" s="2508" t="s">
        <v>200</v>
      </c>
      <c r="AM4" s="372" t="s">
        <v>87</v>
      </c>
      <c r="AN4" s="2509" t="s">
        <v>90</v>
      </c>
      <c r="AO4" s="2509" t="s">
        <v>19</v>
      </c>
      <c r="AP4" s="2521"/>
      <c r="AQ4" s="2517"/>
      <c r="AR4" s="2517"/>
    </row>
    <row r="5" spans="1:44" s="423" customFormat="1" ht="16.5" customHeight="1">
      <c r="A5" s="2496"/>
      <c r="B5" s="2496"/>
      <c r="C5" s="2500"/>
      <c r="D5" s="2500"/>
      <c r="E5" s="2153"/>
      <c r="F5" s="2500"/>
      <c r="G5" s="2500"/>
      <c r="H5" s="575">
        <v>0.1</v>
      </c>
      <c r="I5" s="2507"/>
      <c r="J5" s="2507"/>
      <c r="K5" s="2507"/>
      <c r="L5" s="2507"/>
      <c r="M5" s="2507"/>
      <c r="N5" s="2507"/>
      <c r="O5" s="2507"/>
      <c r="P5" s="2507"/>
      <c r="Q5" s="2503"/>
      <c r="R5" s="2507"/>
      <c r="S5" s="2507"/>
      <c r="T5" s="2507"/>
      <c r="U5" s="2507"/>
      <c r="V5" s="2507"/>
      <c r="W5" s="2507"/>
      <c r="X5" s="2503"/>
      <c r="Y5" s="2507"/>
      <c r="Z5" s="2507"/>
      <c r="AA5" s="2507"/>
      <c r="AB5" s="2507"/>
      <c r="AC5" s="2507"/>
      <c r="AD5" s="2507"/>
      <c r="AE5" s="2503"/>
      <c r="AF5" s="2509"/>
      <c r="AG5" s="2509"/>
      <c r="AH5" s="2509"/>
      <c r="AI5" s="2503"/>
      <c r="AJ5" s="2508"/>
      <c r="AK5" s="2508"/>
      <c r="AL5" s="2508"/>
      <c r="AM5" s="575">
        <v>0.15</v>
      </c>
      <c r="AN5" s="2509"/>
      <c r="AO5" s="2509"/>
      <c r="AP5" s="2522"/>
      <c r="AQ5" s="2518"/>
      <c r="AR5" s="2518"/>
    </row>
    <row r="6" spans="1:44">
      <c r="A6" s="63"/>
      <c r="B6" s="71"/>
      <c r="C6" s="226">
        <v>1</v>
      </c>
      <c r="D6" s="225">
        <f>C6+1</f>
        <v>2</v>
      </c>
      <c r="E6" s="225">
        <v>3</v>
      </c>
      <c r="F6" s="266" t="s">
        <v>212</v>
      </c>
      <c r="G6" s="266" t="s">
        <v>213</v>
      </c>
      <c r="H6" s="213" t="s">
        <v>214</v>
      </c>
      <c r="I6" s="212">
        <f>E6+1</f>
        <v>4</v>
      </c>
      <c r="J6" s="225">
        <f t="shared" ref="J6:AR6" si="0">I6+1</f>
        <v>5</v>
      </c>
      <c r="K6" s="225">
        <f t="shared" si="0"/>
        <v>6</v>
      </c>
      <c r="L6" s="225">
        <f t="shared" si="0"/>
        <v>7</v>
      </c>
      <c r="M6" s="225">
        <f t="shared" si="0"/>
        <v>8</v>
      </c>
      <c r="N6" s="225">
        <f t="shared" si="0"/>
        <v>9</v>
      </c>
      <c r="O6" s="225">
        <f t="shared" si="0"/>
        <v>10</v>
      </c>
      <c r="P6" s="225">
        <f t="shared" si="0"/>
        <v>11</v>
      </c>
      <c r="Q6" s="225">
        <f t="shared" si="0"/>
        <v>12</v>
      </c>
      <c r="R6" s="225">
        <f t="shared" si="0"/>
        <v>13</v>
      </c>
      <c r="S6" s="225">
        <f t="shared" si="0"/>
        <v>14</v>
      </c>
      <c r="T6" s="225">
        <f t="shared" si="0"/>
        <v>15</v>
      </c>
      <c r="U6" s="225">
        <f t="shared" si="0"/>
        <v>16</v>
      </c>
      <c r="V6" s="225">
        <f t="shared" si="0"/>
        <v>17</v>
      </c>
      <c r="W6" s="225">
        <f t="shared" si="0"/>
        <v>18</v>
      </c>
      <c r="X6" s="225">
        <f t="shared" si="0"/>
        <v>19</v>
      </c>
      <c r="Y6" s="225">
        <f t="shared" si="0"/>
        <v>20</v>
      </c>
      <c r="Z6" s="225">
        <f t="shared" si="0"/>
        <v>21</v>
      </c>
      <c r="AA6" s="225">
        <f t="shared" si="0"/>
        <v>22</v>
      </c>
      <c r="AB6" s="225">
        <f t="shared" si="0"/>
        <v>23</v>
      </c>
      <c r="AC6" s="225">
        <f t="shared" si="0"/>
        <v>24</v>
      </c>
      <c r="AD6" s="225">
        <f t="shared" si="0"/>
        <v>25</v>
      </c>
      <c r="AE6" s="225">
        <f t="shared" si="0"/>
        <v>26</v>
      </c>
      <c r="AF6" s="225">
        <f t="shared" si="0"/>
        <v>27</v>
      </c>
      <c r="AG6" s="225">
        <f t="shared" si="0"/>
        <v>28</v>
      </c>
      <c r="AH6" s="225">
        <f t="shared" si="0"/>
        <v>29</v>
      </c>
      <c r="AI6" s="225">
        <f t="shared" si="0"/>
        <v>30</v>
      </c>
      <c r="AJ6" s="225">
        <f t="shared" si="0"/>
        <v>31</v>
      </c>
      <c r="AK6" s="225">
        <f t="shared" si="0"/>
        <v>32</v>
      </c>
      <c r="AL6" s="225">
        <f t="shared" si="0"/>
        <v>33</v>
      </c>
      <c r="AM6" s="225">
        <f t="shared" si="0"/>
        <v>34</v>
      </c>
      <c r="AN6" s="225">
        <f t="shared" si="0"/>
        <v>35</v>
      </c>
      <c r="AO6" s="225">
        <f t="shared" si="0"/>
        <v>36</v>
      </c>
      <c r="AP6" s="225">
        <f t="shared" si="0"/>
        <v>37</v>
      </c>
      <c r="AQ6" s="225">
        <f t="shared" si="0"/>
        <v>38</v>
      </c>
      <c r="AR6" s="212">
        <f t="shared" si="0"/>
        <v>39</v>
      </c>
    </row>
    <row r="7" spans="1:44" ht="0.75" customHeight="1">
      <c r="A7" s="9"/>
      <c r="B7" s="269"/>
      <c r="C7" s="274"/>
      <c r="D7" s="275"/>
      <c r="E7" s="275"/>
      <c r="F7" s="132"/>
      <c r="G7" s="132"/>
      <c r="H7" s="132"/>
      <c r="I7" s="354"/>
      <c r="J7" s="284"/>
      <c r="K7" s="274"/>
      <c r="L7" s="284"/>
      <c r="M7" s="274"/>
      <c r="N7" s="274"/>
      <c r="O7" s="274"/>
      <c r="P7" s="284"/>
      <c r="Q7" s="274"/>
      <c r="R7" s="274"/>
      <c r="S7" s="284"/>
      <c r="T7" s="274"/>
      <c r="U7" s="274"/>
      <c r="V7" s="274"/>
      <c r="W7" s="284"/>
      <c r="X7" s="274"/>
      <c r="Y7" s="274"/>
      <c r="Z7" s="274"/>
      <c r="AA7" s="274"/>
      <c r="AB7" s="274"/>
      <c r="AC7" s="274"/>
      <c r="AD7" s="275"/>
      <c r="AE7" s="289"/>
      <c r="AF7" s="345"/>
      <c r="AG7" s="276"/>
      <c r="AH7" s="277"/>
      <c r="AI7" s="278"/>
      <c r="AJ7" s="10"/>
      <c r="AK7" s="10"/>
      <c r="AL7" s="11"/>
      <c r="AM7" s="11"/>
      <c r="AN7" s="11"/>
      <c r="AO7" s="11"/>
      <c r="AP7" s="68"/>
      <c r="AQ7" s="133"/>
      <c r="AR7" s="133"/>
    </row>
    <row r="8" spans="1:44">
      <c r="A8" s="12">
        <v>1</v>
      </c>
      <c r="B8" s="69" t="s">
        <v>92</v>
      </c>
      <c r="C8" s="14">
        <v>374034513</v>
      </c>
      <c r="D8" s="14">
        <v>83521715</v>
      </c>
      <c r="E8" s="14">
        <f>C8-D8</f>
        <v>290512798</v>
      </c>
      <c r="F8" s="14">
        <v>285142017</v>
      </c>
      <c r="G8" s="562">
        <f>(E8-F8)/F8</f>
        <v>1.8835459805280119E-2</v>
      </c>
      <c r="H8" s="563">
        <f t="shared" ref="H8:H39" si="1">IF((E8-F8)/F8&gt;$H$5,F8*(1+$H$5),E8)</f>
        <v>290512798</v>
      </c>
      <c r="I8" s="481">
        <v>5.14</v>
      </c>
      <c r="J8" s="465">
        <v>1466082</v>
      </c>
      <c r="K8" s="481">
        <v>20.03</v>
      </c>
      <c r="L8" s="465">
        <v>5530430</v>
      </c>
      <c r="M8" s="464">
        <v>10</v>
      </c>
      <c r="N8" s="464">
        <v>13.45</v>
      </c>
      <c r="O8" s="464">
        <v>2</v>
      </c>
      <c r="P8" s="465">
        <v>981434</v>
      </c>
      <c r="Q8" s="14">
        <f>J8+L8+P8</f>
        <v>7977946</v>
      </c>
      <c r="R8" s="568">
        <v>0</v>
      </c>
      <c r="S8" s="465">
        <v>0</v>
      </c>
      <c r="T8" s="464">
        <v>13.2</v>
      </c>
      <c r="U8" s="464">
        <v>14</v>
      </c>
      <c r="V8" s="464">
        <v>2</v>
      </c>
      <c r="W8" s="465">
        <v>700961</v>
      </c>
      <c r="X8" s="14">
        <f>S8+W8</f>
        <v>700961</v>
      </c>
      <c r="Y8" s="145">
        <f>I8+K8+R8</f>
        <v>25.17</v>
      </c>
      <c r="Z8" s="14">
        <f>J8+L8+S8</f>
        <v>6996512</v>
      </c>
      <c r="AA8" s="14">
        <f>P8+W8</f>
        <v>1682395</v>
      </c>
      <c r="AB8" s="146">
        <f t="shared" ref="AB8:AB39" si="2">ROUND((X8/E8)*1000,2)</f>
        <v>2.41</v>
      </c>
      <c r="AC8" s="147">
        <f t="shared" ref="AC8:AC39" si="3">ROUND((Q8/E8)*1000,2)</f>
        <v>27.46</v>
      </c>
      <c r="AD8" s="127">
        <f t="shared" ref="AD8:AD39" si="4">ROUND((AE8/E8)*1000,2)</f>
        <v>29.87</v>
      </c>
      <c r="AE8" s="77">
        <f>X8+Q8</f>
        <v>8678907</v>
      </c>
      <c r="AF8" s="155">
        <v>1.4999999999999999E-2</v>
      </c>
      <c r="AG8" s="281">
        <v>11369692</v>
      </c>
      <c r="AH8" s="281">
        <v>0</v>
      </c>
      <c r="AI8" s="475">
        <f>AG8+AH8</f>
        <v>11369692</v>
      </c>
      <c r="AJ8" s="77">
        <v>672433267</v>
      </c>
      <c r="AK8" s="77">
        <f t="shared" ref="AK8:AK18" si="5">ROUND(AI8/AF8,0)</f>
        <v>757979467</v>
      </c>
      <c r="AL8" s="569">
        <f>(AK8-AJ8)/AJ8</f>
        <v>0.12721886943764191</v>
      </c>
      <c r="AM8" s="572">
        <f>IF((AK8-AJ8)/AJ8&gt;$AM$5,AJ8*(1+$AM$5),AK8)</f>
        <v>757979467</v>
      </c>
      <c r="AN8" s="129">
        <f t="shared" ref="AN8:AN39" si="6">AG8/AK8</f>
        <v>1.4999999993403516E-2</v>
      </c>
      <c r="AO8" s="129">
        <f t="shared" ref="AO8:AO39" si="7">AH8/AK8</f>
        <v>0</v>
      </c>
      <c r="AP8" s="77">
        <v>526511</v>
      </c>
      <c r="AQ8" s="77">
        <f t="shared" ref="AQ8:AQ39" si="8">AP8+AE8+AI8</f>
        <v>20575110</v>
      </c>
      <c r="AR8" s="77">
        <f>ROUND(AQ8/'Table 3 Levels 1&amp;2'!C8,2)</f>
        <v>2146.37</v>
      </c>
    </row>
    <row r="9" spans="1:44">
      <c r="A9" s="12">
        <v>2</v>
      </c>
      <c r="B9" s="69" t="s">
        <v>93</v>
      </c>
      <c r="C9" s="14">
        <v>103232695</v>
      </c>
      <c r="D9" s="14">
        <v>25750923</v>
      </c>
      <c r="E9" s="14">
        <f t="shared" ref="E9:E72" si="9">C9-D9</f>
        <v>77481772</v>
      </c>
      <c r="F9" s="14">
        <v>74892050</v>
      </c>
      <c r="G9" s="562">
        <f t="shared" ref="G9:G72" si="10">(E9-F9)/F9</f>
        <v>3.4579397946778063E-2</v>
      </c>
      <c r="H9" s="563">
        <f t="shared" si="1"/>
        <v>77481772</v>
      </c>
      <c r="I9" s="481">
        <v>4.28</v>
      </c>
      <c r="J9" s="465">
        <v>317971</v>
      </c>
      <c r="K9" s="481">
        <v>5.15</v>
      </c>
      <c r="L9" s="465">
        <v>383910</v>
      </c>
      <c r="M9" s="464">
        <v>12.89</v>
      </c>
      <c r="N9" s="464">
        <v>89.78</v>
      </c>
      <c r="O9" s="464">
        <v>12</v>
      </c>
      <c r="P9" s="465">
        <v>1474378</v>
      </c>
      <c r="Q9" s="14">
        <f t="shared" ref="Q9:Q72" si="11">J9+L9+P9</f>
        <v>2176259</v>
      </c>
      <c r="R9" s="464">
        <v>0</v>
      </c>
      <c r="S9" s="465">
        <v>0</v>
      </c>
      <c r="T9" s="464">
        <v>21.8</v>
      </c>
      <c r="U9" s="464">
        <v>39</v>
      </c>
      <c r="V9" s="464">
        <v>6</v>
      </c>
      <c r="W9" s="465">
        <v>1294550</v>
      </c>
      <c r="X9" s="14">
        <f t="shared" ref="X9:X72" si="12">S9+W9</f>
        <v>1294550</v>
      </c>
      <c r="Y9" s="145">
        <f t="shared" ref="Y9:Y72" si="13">I9+K9+R9</f>
        <v>9.43</v>
      </c>
      <c r="Z9" s="14">
        <f t="shared" ref="Z9:Z72" si="14">J9+L9+S9</f>
        <v>701881</v>
      </c>
      <c r="AA9" s="14">
        <f t="shared" ref="AA9:AA72" si="15">P9+W9</f>
        <v>2768928</v>
      </c>
      <c r="AB9" s="146">
        <f t="shared" si="2"/>
        <v>16.71</v>
      </c>
      <c r="AC9" s="147">
        <f t="shared" si="3"/>
        <v>28.09</v>
      </c>
      <c r="AD9" s="127">
        <f t="shared" si="4"/>
        <v>44.8</v>
      </c>
      <c r="AE9" s="77">
        <f t="shared" ref="AE9:AE72" si="16">X9+Q9</f>
        <v>3470809</v>
      </c>
      <c r="AF9" s="155">
        <v>0.03</v>
      </c>
      <c r="AG9" s="281">
        <v>7172089</v>
      </c>
      <c r="AH9" s="281">
        <v>0</v>
      </c>
      <c r="AI9" s="475">
        <f t="shared" ref="AI9:AI72" si="17">AG9+AH9</f>
        <v>7172089</v>
      </c>
      <c r="AJ9" s="77">
        <v>224247300</v>
      </c>
      <c r="AK9" s="77">
        <f t="shared" si="5"/>
        <v>239069633</v>
      </c>
      <c r="AL9" s="569">
        <f t="shared" ref="AL9:AL72" si="18">(AK9-AJ9)/AJ9</f>
        <v>6.6098155919826013E-2</v>
      </c>
      <c r="AM9" s="572">
        <f t="shared" ref="AM9:AM72" si="19">IF((AK9-AJ9)/AJ9&gt;$AM$5,AJ9*(1+$AM$5),AK9)</f>
        <v>239069633</v>
      </c>
      <c r="AN9" s="129">
        <f t="shared" si="6"/>
        <v>3.0000000041828817E-2</v>
      </c>
      <c r="AO9" s="129">
        <f t="shared" si="7"/>
        <v>0</v>
      </c>
      <c r="AP9" s="77">
        <v>101838</v>
      </c>
      <c r="AQ9" s="77">
        <f t="shared" si="8"/>
        <v>10744736</v>
      </c>
      <c r="AR9" s="77">
        <f>ROUND(AQ9/'Table 3 Levels 1&amp;2'!C9,2)</f>
        <v>2631.58</v>
      </c>
    </row>
    <row r="10" spans="1:44">
      <c r="A10" s="12">
        <v>3</v>
      </c>
      <c r="B10" s="69" t="s">
        <v>94</v>
      </c>
      <c r="C10" s="14">
        <v>1071508950</v>
      </c>
      <c r="D10" s="14">
        <v>196396390</v>
      </c>
      <c r="E10" s="14">
        <f t="shared" si="9"/>
        <v>875112560</v>
      </c>
      <c r="F10" s="14">
        <v>813576870</v>
      </c>
      <c r="G10" s="562">
        <f t="shared" si="10"/>
        <v>7.5635987537354649E-2</v>
      </c>
      <c r="H10" s="563">
        <f t="shared" si="1"/>
        <v>875112560</v>
      </c>
      <c r="I10" s="481">
        <v>3.61</v>
      </c>
      <c r="J10" s="465">
        <v>2491518</v>
      </c>
      <c r="K10" s="481">
        <v>42.9</v>
      </c>
      <c r="L10" s="465">
        <v>36713985</v>
      </c>
      <c r="M10" s="464">
        <v>0</v>
      </c>
      <c r="N10" s="464">
        <v>0</v>
      </c>
      <c r="O10" s="464">
        <v>0</v>
      </c>
      <c r="P10" s="465">
        <v>0</v>
      </c>
      <c r="Q10" s="14">
        <f t="shared" si="11"/>
        <v>39205503</v>
      </c>
      <c r="R10" s="464">
        <v>15.08</v>
      </c>
      <c r="S10" s="465">
        <v>14656576</v>
      </c>
      <c r="T10" s="464">
        <v>0</v>
      </c>
      <c r="U10" s="464">
        <v>0</v>
      </c>
      <c r="V10" s="464">
        <v>0</v>
      </c>
      <c r="W10" s="465">
        <v>0</v>
      </c>
      <c r="X10" s="14">
        <f t="shared" si="12"/>
        <v>14656576</v>
      </c>
      <c r="Y10" s="145">
        <f t="shared" si="13"/>
        <v>61.589999999999996</v>
      </c>
      <c r="Z10" s="14">
        <f t="shared" si="14"/>
        <v>53862079</v>
      </c>
      <c r="AA10" s="14">
        <f t="shared" si="15"/>
        <v>0</v>
      </c>
      <c r="AB10" s="146">
        <f t="shared" si="2"/>
        <v>16.75</v>
      </c>
      <c r="AC10" s="147">
        <f t="shared" si="3"/>
        <v>44.8</v>
      </c>
      <c r="AD10" s="127">
        <f t="shared" si="4"/>
        <v>61.55</v>
      </c>
      <c r="AE10" s="77">
        <f t="shared" si="16"/>
        <v>53862079</v>
      </c>
      <c r="AF10" s="155">
        <v>0.02</v>
      </c>
      <c r="AG10" s="281">
        <v>49823946</v>
      </c>
      <c r="AH10" s="281">
        <v>0</v>
      </c>
      <c r="AI10" s="475">
        <f t="shared" si="17"/>
        <v>49823946</v>
      </c>
      <c r="AJ10" s="77">
        <v>2191462900</v>
      </c>
      <c r="AK10" s="77">
        <f t="shared" si="5"/>
        <v>2491197300</v>
      </c>
      <c r="AL10" s="569">
        <f t="shared" si="18"/>
        <v>0.13677365927572854</v>
      </c>
      <c r="AM10" s="572">
        <f t="shared" si="19"/>
        <v>2491197300</v>
      </c>
      <c r="AN10" s="129">
        <f t="shared" si="6"/>
        <v>0.02</v>
      </c>
      <c r="AO10" s="129">
        <f t="shared" si="7"/>
        <v>0</v>
      </c>
      <c r="AP10" s="77">
        <v>197634</v>
      </c>
      <c r="AQ10" s="77">
        <f t="shared" si="8"/>
        <v>103883659</v>
      </c>
      <c r="AR10" s="77">
        <f>ROUND(AQ10/'Table 3 Levels 1&amp;2'!C10,2)</f>
        <v>5044.8599999999997</v>
      </c>
    </row>
    <row r="11" spans="1:44">
      <c r="A11" s="12">
        <v>4</v>
      </c>
      <c r="B11" s="69" t="s">
        <v>95</v>
      </c>
      <c r="C11" s="14">
        <v>175788630</v>
      </c>
      <c r="D11" s="14">
        <v>35540831</v>
      </c>
      <c r="E11" s="14">
        <f t="shared" si="9"/>
        <v>140247799</v>
      </c>
      <c r="F11" s="14">
        <v>134415214</v>
      </c>
      <c r="G11" s="562">
        <f t="shared" si="10"/>
        <v>4.3392297839141926E-2</v>
      </c>
      <c r="H11" s="563">
        <f t="shared" si="1"/>
        <v>140247799</v>
      </c>
      <c r="I11" s="481">
        <v>5.49</v>
      </c>
      <c r="J11" s="465">
        <v>763421</v>
      </c>
      <c r="K11" s="481">
        <v>33.880000000000003</v>
      </c>
      <c r="L11" s="465">
        <v>4711238</v>
      </c>
      <c r="M11" s="464">
        <v>0</v>
      </c>
      <c r="N11" s="464">
        <v>0</v>
      </c>
      <c r="O11" s="464">
        <v>0</v>
      </c>
      <c r="P11" s="465">
        <v>0</v>
      </c>
      <c r="Q11" s="14">
        <f t="shared" si="11"/>
        <v>5474659</v>
      </c>
      <c r="R11" s="464">
        <v>0</v>
      </c>
      <c r="S11" s="465">
        <v>823</v>
      </c>
      <c r="T11" s="464">
        <v>0</v>
      </c>
      <c r="U11" s="464">
        <v>0</v>
      </c>
      <c r="V11" s="464">
        <v>0</v>
      </c>
      <c r="W11" s="465">
        <v>0</v>
      </c>
      <c r="X11" s="14">
        <f t="shared" si="12"/>
        <v>823</v>
      </c>
      <c r="Y11" s="145">
        <f t="shared" si="13"/>
        <v>39.370000000000005</v>
      </c>
      <c r="Z11" s="14">
        <f t="shared" si="14"/>
        <v>5475482</v>
      </c>
      <c r="AA11" s="14">
        <f t="shared" si="15"/>
        <v>0</v>
      </c>
      <c r="AB11" s="146">
        <f t="shared" si="2"/>
        <v>0.01</v>
      </c>
      <c r="AC11" s="147">
        <f t="shared" si="3"/>
        <v>39.04</v>
      </c>
      <c r="AD11" s="127">
        <f t="shared" si="4"/>
        <v>39.04</v>
      </c>
      <c r="AE11" s="77">
        <f t="shared" si="16"/>
        <v>5475482</v>
      </c>
      <c r="AF11" s="155">
        <v>0.03</v>
      </c>
      <c r="AG11" s="281">
        <v>6784459</v>
      </c>
      <c r="AH11" s="281">
        <v>0</v>
      </c>
      <c r="AI11" s="475">
        <f t="shared" si="17"/>
        <v>6784459</v>
      </c>
      <c r="AJ11" s="77">
        <v>209023300</v>
      </c>
      <c r="AK11" s="77">
        <f t="shared" si="5"/>
        <v>226148633</v>
      </c>
      <c r="AL11" s="155">
        <f t="shared" si="18"/>
        <v>8.1930258492713487E-2</v>
      </c>
      <c r="AM11" s="77">
        <f t="shared" si="19"/>
        <v>226148633</v>
      </c>
      <c r="AN11" s="129">
        <f t="shared" si="6"/>
        <v>3.0000000044218707E-2</v>
      </c>
      <c r="AO11" s="129">
        <f t="shared" si="7"/>
        <v>0</v>
      </c>
      <c r="AP11" s="77">
        <v>153274</v>
      </c>
      <c r="AQ11" s="77">
        <f t="shared" si="8"/>
        <v>12413215</v>
      </c>
      <c r="AR11" s="77">
        <f>ROUND(AQ11/'Table 3 Levels 1&amp;2'!C11,2)</f>
        <v>3495.7</v>
      </c>
    </row>
    <row r="12" spans="1:44">
      <c r="A12" s="18">
        <v>5</v>
      </c>
      <c r="B12" s="70" t="s">
        <v>96</v>
      </c>
      <c r="C12" s="20">
        <v>158764194</v>
      </c>
      <c r="D12" s="20">
        <v>57903414</v>
      </c>
      <c r="E12" s="20">
        <f t="shared" si="9"/>
        <v>100860780</v>
      </c>
      <c r="F12" s="20">
        <v>98562757</v>
      </c>
      <c r="G12" s="729">
        <f t="shared" si="10"/>
        <v>2.3315327918434749E-2</v>
      </c>
      <c r="H12" s="730">
        <f t="shared" si="1"/>
        <v>100860780</v>
      </c>
      <c r="I12" s="482">
        <v>3.62</v>
      </c>
      <c r="J12" s="467">
        <v>379209</v>
      </c>
      <c r="K12" s="482">
        <v>10</v>
      </c>
      <c r="L12" s="467">
        <v>1047518</v>
      </c>
      <c r="M12" s="466">
        <v>0</v>
      </c>
      <c r="N12" s="466">
        <v>0</v>
      </c>
      <c r="O12" s="466">
        <v>0</v>
      </c>
      <c r="P12" s="467">
        <v>0</v>
      </c>
      <c r="Q12" s="20">
        <f t="shared" si="11"/>
        <v>1426727</v>
      </c>
      <c r="R12" s="466">
        <v>0</v>
      </c>
      <c r="S12" s="467">
        <v>0</v>
      </c>
      <c r="T12" s="466">
        <v>0</v>
      </c>
      <c r="U12" s="466">
        <v>0</v>
      </c>
      <c r="V12" s="466">
        <v>1</v>
      </c>
      <c r="W12" s="467">
        <v>193</v>
      </c>
      <c r="X12" s="20">
        <f t="shared" si="12"/>
        <v>193</v>
      </c>
      <c r="Y12" s="148">
        <f t="shared" si="13"/>
        <v>13.620000000000001</v>
      </c>
      <c r="Z12" s="20">
        <f t="shared" si="14"/>
        <v>1426727</v>
      </c>
      <c r="AA12" s="20">
        <f t="shared" si="15"/>
        <v>193</v>
      </c>
      <c r="AB12" s="149">
        <f t="shared" si="2"/>
        <v>0</v>
      </c>
      <c r="AC12" s="150">
        <f t="shared" si="3"/>
        <v>14.15</v>
      </c>
      <c r="AD12" s="128">
        <f t="shared" si="4"/>
        <v>14.15</v>
      </c>
      <c r="AE12" s="78">
        <f t="shared" si="16"/>
        <v>1426920</v>
      </c>
      <c r="AF12" s="156">
        <v>1.6299999999999999E-2</v>
      </c>
      <c r="AG12" s="282">
        <v>7262732</v>
      </c>
      <c r="AH12" s="282">
        <v>0</v>
      </c>
      <c r="AI12" s="476">
        <f t="shared" si="17"/>
        <v>7262732</v>
      </c>
      <c r="AJ12" s="78">
        <v>400714933</v>
      </c>
      <c r="AK12" s="78">
        <f t="shared" si="5"/>
        <v>445566380</v>
      </c>
      <c r="AL12" s="570">
        <f t="shared" si="18"/>
        <v>0.11192856393999172</v>
      </c>
      <c r="AM12" s="573">
        <f t="shared" si="19"/>
        <v>445566380</v>
      </c>
      <c r="AN12" s="130">
        <f t="shared" si="6"/>
        <v>1.6300000013466008E-2</v>
      </c>
      <c r="AO12" s="130">
        <f t="shared" si="7"/>
        <v>0</v>
      </c>
      <c r="AP12" s="78">
        <v>221441.5</v>
      </c>
      <c r="AQ12" s="78">
        <f t="shared" si="8"/>
        <v>8911093.5</v>
      </c>
      <c r="AR12" s="78">
        <f>ROUND(AQ12/'Table 3 Levels 1&amp;2'!C12,2)</f>
        <v>1547.87</v>
      </c>
    </row>
    <row r="13" spans="1:44">
      <c r="A13" s="12">
        <v>6</v>
      </c>
      <c r="B13" s="69" t="s">
        <v>97</v>
      </c>
      <c r="C13" s="14">
        <v>256836558</v>
      </c>
      <c r="D13" s="14">
        <v>51184070</v>
      </c>
      <c r="E13" s="14">
        <f t="shared" si="9"/>
        <v>205652488</v>
      </c>
      <c r="F13" s="14">
        <v>194386918</v>
      </c>
      <c r="G13" s="562">
        <f t="shared" si="10"/>
        <v>5.795436295769657E-2</v>
      </c>
      <c r="H13" s="563">
        <f t="shared" si="1"/>
        <v>205652488</v>
      </c>
      <c r="I13" s="481">
        <v>4.5</v>
      </c>
      <c r="J13" s="465">
        <v>978302</v>
      </c>
      <c r="K13" s="481">
        <v>28.02</v>
      </c>
      <c r="L13" s="465">
        <v>6097923</v>
      </c>
      <c r="M13" s="464">
        <v>0</v>
      </c>
      <c r="N13" s="464">
        <v>0</v>
      </c>
      <c r="O13" s="464">
        <v>0</v>
      </c>
      <c r="P13" s="465">
        <v>0</v>
      </c>
      <c r="Q13" s="14">
        <f t="shared" si="11"/>
        <v>7076225</v>
      </c>
      <c r="R13" s="464">
        <v>17.8</v>
      </c>
      <c r="S13" s="465">
        <v>3659176</v>
      </c>
      <c r="T13" s="464">
        <v>0</v>
      </c>
      <c r="U13" s="464">
        <v>0</v>
      </c>
      <c r="V13" s="464">
        <v>0</v>
      </c>
      <c r="W13" s="465">
        <v>0</v>
      </c>
      <c r="X13" s="14">
        <f t="shared" si="12"/>
        <v>3659176</v>
      </c>
      <c r="Y13" s="145">
        <f t="shared" si="13"/>
        <v>50.319999999999993</v>
      </c>
      <c r="Z13" s="14">
        <f t="shared" si="14"/>
        <v>10735401</v>
      </c>
      <c r="AA13" s="14">
        <f t="shared" si="15"/>
        <v>0</v>
      </c>
      <c r="AB13" s="146">
        <f t="shared" si="2"/>
        <v>17.79</v>
      </c>
      <c r="AC13" s="147">
        <f t="shared" si="3"/>
        <v>34.409999999999997</v>
      </c>
      <c r="AD13" s="127">
        <f t="shared" si="4"/>
        <v>52.2</v>
      </c>
      <c r="AE13" s="77">
        <f t="shared" si="16"/>
        <v>10735401</v>
      </c>
      <c r="AF13" s="155">
        <v>0.02</v>
      </c>
      <c r="AG13" s="281">
        <v>11237688</v>
      </c>
      <c r="AH13" s="281">
        <v>0</v>
      </c>
      <c r="AI13" s="475">
        <f t="shared" si="17"/>
        <v>11237688</v>
      </c>
      <c r="AJ13" s="77">
        <v>434126050</v>
      </c>
      <c r="AK13" s="77">
        <f t="shared" si="5"/>
        <v>561884400</v>
      </c>
      <c r="AL13" s="571">
        <f t="shared" si="18"/>
        <v>0.29428860580930355</v>
      </c>
      <c r="AM13" s="574">
        <f t="shared" si="19"/>
        <v>499244957.49999994</v>
      </c>
      <c r="AN13" s="129">
        <f t="shared" si="6"/>
        <v>0.02</v>
      </c>
      <c r="AO13" s="129">
        <f t="shared" si="7"/>
        <v>0</v>
      </c>
      <c r="AP13" s="77">
        <v>326455.5</v>
      </c>
      <c r="AQ13" s="77">
        <f t="shared" si="8"/>
        <v>22299544.5</v>
      </c>
      <c r="AR13" s="77">
        <f>ROUND(AQ13/'Table 3 Levels 1&amp;2'!C13,2)</f>
        <v>3681.62</v>
      </c>
    </row>
    <row r="14" spans="1:44">
      <c r="A14" s="12">
        <v>7</v>
      </c>
      <c r="B14" s="69" t="s">
        <v>98</v>
      </c>
      <c r="C14" s="14">
        <v>378467040</v>
      </c>
      <c r="D14" s="14">
        <v>15722613</v>
      </c>
      <c r="E14" s="14">
        <f t="shared" si="9"/>
        <v>362744427</v>
      </c>
      <c r="F14" s="14">
        <v>299529157</v>
      </c>
      <c r="G14" s="564">
        <f t="shared" si="10"/>
        <v>0.21104880283824923</v>
      </c>
      <c r="H14" s="565">
        <f t="shared" si="1"/>
        <v>329482072.70000005</v>
      </c>
      <c r="I14" s="481">
        <v>5.74</v>
      </c>
      <c r="J14" s="465">
        <v>2069010</v>
      </c>
      <c r="K14" s="481">
        <v>47.05</v>
      </c>
      <c r="L14" s="465">
        <v>16959397</v>
      </c>
      <c r="M14" s="464">
        <v>0</v>
      </c>
      <c r="N14" s="464">
        <v>0</v>
      </c>
      <c r="O14" s="464">
        <v>0</v>
      </c>
      <c r="P14" s="465">
        <v>0</v>
      </c>
      <c r="Q14" s="14">
        <f t="shared" si="11"/>
        <v>19028407</v>
      </c>
      <c r="R14" s="464">
        <v>0</v>
      </c>
      <c r="S14" s="465">
        <v>0</v>
      </c>
      <c r="T14" s="464">
        <v>4.5999999999999996</v>
      </c>
      <c r="U14" s="464">
        <v>70</v>
      </c>
      <c r="V14" s="464">
        <v>7</v>
      </c>
      <c r="W14" s="465">
        <v>1612683</v>
      </c>
      <c r="X14" s="14">
        <f t="shared" si="12"/>
        <v>1612683</v>
      </c>
      <c r="Y14" s="145">
        <f t="shared" si="13"/>
        <v>52.79</v>
      </c>
      <c r="Z14" s="14">
        <f t="shared" si="14"/>
        <v>19028407</v>
      </c>
      <c r="AA14" s="14">
        <f t="shared" si="15"/>
        <v>1612683</v>
      </c>
      <c r="AB14" s="146">
        <f t="shared" si="2"/>
        <v>4.45</v>
      </c>
      <c r="AC14" s="147">
        <f t="shared" si="3"/>
        <v>52.46</v>
      </c>
      <c r="AD14" s="127">
        <f t="shared" si="4"/>
        <v>56.9</v>
      </c>
      <c r="AE14" s="77">
        <f t="shared" si="16"/>
        <v>20641090</v>
      </c>
      <c r="AF14" s="155">
        <v>0.02</v>
      </c>
      <c r="AG14" s="281">
        <v>7821796</v>
      </c>
      <c r="AH14" s="281">
        <v>0</v>
      </c>
      <c r="AI14" s="475">
        <f t="shared" si="17"/>
        <v>7821796</v>
      </c>
      <c r="AJ14" s="77">
        <v>572251700</v>
      </c>
      <c r="AK14" s="77">
        <f t="shared" si="5"/>
        <v>391089800</v>
      </c>
      <c r="AL14" s="569">
        <f t="shared" si="18"/>
        <v>-0.31657730330901596</v>
      </c>
      <c r="AM14" s="572">
        <f t="shared" si="19"/>
        <v>391089800</v>
      </c>
      <c r="AN14" s="129">
        <f t="shared" si="6"/>
        <v>0.02</v>
      </c>
      <c r="AO14" s="129">
        <f t="shared" si="7"/>
        <v>0</v>
      </c>
      <c r="AP14" s="77">
        <v>227363.5</v>
      </c>
      <c r="AQ14" s="77">
        <f t="shared" si="8"/>
        <v>28690249.5</v>
      </c>
      <c r="AR14" s="77">
        <f>ROUND(AQ14/'Table 3 Levels 1&amp;2'!C14,2)</f>
        <v>13023.26</v>
      </c>
    </row>
    <row r="15" spans="1:44">
      <c r="A15" s="12">
        <v>8</v>
      </c>
      <c r="B15" s="69" t="s">
        <v>99</v>
      </c>
      <c r="C15" s="14">
        <v>1064263600</v>
      </c>
      <c r="D15" s="14">
        <v>181740944</v>
      </c>
      <c r="E15" s="14">
        <f t="shared" si="9"/>
        <v>882522656</v>
      </c>
      <c r="F15" s="14">
        <v>859428608</v>
      </c>
      <c r="G15" s="562">
        <f t="shared" si="10"/>
        <v>2.6871397792706479E-2</v>
      </c>
      <c r="H15" s="563">
        <f t="shared" si="1"/>
        <v>882522656</v>
      </c>
      <c r="I15" s="481">
        <v>3.27</v>
      </c>
      <c r="J15" s="465">
        <v>2854393</v>
      </c>
      <c r="K15" s="481">
        <v>35.44</v>
      </c>
      <c r="L15" s="465">
        <v>30935683</v>
      </c>
      <c r="M15" s="464">
        <v>0</v>
      </c>
      <c r="N15" s="464">
        <v>0</v>
      </c>
      <c r="O15" s="464">
        <v>0</v>
      </c>
      <c r="P15" s="465">
        <v>0</v>
      </c>
      <c r="Q15" s="14">
        <f t="shared" si="11"/>
        <v>33790076</v>
      </c>
      <c r="R15" s="464">
        <v>0</v>
      </c>
      <c r="S15" s="465">
        <v>0</v>
      </c>
      <c r="T15" s="464">
        <v>13.55</v>
      </c>
      <c r="U15" s="464">
        <v>13.55</v>
      </c>
      <c r="V15" s="464">
        <v>1</v>
      </c>
      <c r="W15" s="465">
        <v>11859354</v>
      </c>
      <c r="X15" s="14">
        <f t="shared" si="12"/>
        <v>11859354</v>
      </c>
      <c r="Y15" s="145">
        <f t="shared" si="13"/>
        <v>38.71</v>
      </c>
      <c r="Z15" s="14">
        <f t="shared" si="14"/>
        <v>33790076</v>
      </c>
      <c r="AA15" s="14">
        <f t="shared" si="15"/>
        <v>11859354</v>
      </c>
      <c r="AB15" s="146">
        <f t="shared" si="2"/>
        <v>13.44</v>
      </c>
      <c r="AC15" s="147">
        <f t="shared" si="3"/>
        <v>38.29</v>
      </c>
      <c r="AD15" s="127">
        <f t="shared" si="4"/>
        <v>51.73</v>
      </c>
      <c r="AE15" s="77">
        <f t="shared" si="16"/>
        <v>45649430</v>
      </c>
      <c r="AF15" s="155">
        <v>1.7500000000000002E-2</v>
      </c>
      <c r="AG15" s="281">
        <v>44601904</v>
      </c>
      <c r="AH15" s="281">
        <v>0</v>
      </c>
      <c r="AI15" s="475">
        <f t="shared" si="17"/>
        <v>44601904</v>
      </c>
      <c r="AJ15" s="77">
        <v>2633373714</v>
      </c>
      <c r="AK15" s="77">
        <f t="shared" si="5"/>
        <v>2548680229</v>
      </c>
      <c r="AL15" s="569">
        <f t="shared" si="18"/>
        <v>-3.2161589731733761E-2</v>
      </c>
      <c r="AM15" s="572">
        <f t="shared" si="19"/>
        <v>2548680229</v>
      </c>
      <c r="AN15" s="129">
        <f t="shared" si="6"/>
        <v>1.74999999970573E-2</v>
      </c>
      <c r="AO15" s="129">
        <f t="shared" si="7"/>
        <v>0</v>
      </c>
      <c r="AP15" s="77">
        <v>612181</v>
      </c>
      <c r="AQ15" s="77">
        <f t="shared" si="8"/>
        <v>90863515</v>
      </c>
      <c r="AR15" s="77">
        <f>ROUND(AQ15/'Table 3 Levels 1&amp;2'!C15,2)</f>
        <v>4288.04</v>
      </c>
    </row>
    <row r="16" spans="1:44">
      <c r="A16" s="12">
        <v>9</v>
      </c>
      <c r="B16" s="69" t="s">
        <v>100</v>
      </c>
      <c r="C16" s="14">
        <v>1881756400</v>
      </c>
      <c r="D16" s="14">
        <v>340067180</v>
      </c>
      <c r="E16" s="14">
        <f t="shared" si="9"/>
        <v>1541689220</v>
      </c>
      <c r="F16" s="14">
        <v>1483115510</v>
      </c>
      <c r="G16" s="562">
        <f t="shared" si="10"/>
        <v>3.9493693920037286E-2</v>
      </c>
      <c r="H16" s="563">
        <f t="shared" si="1"/>
        <v>1541689220</v>
      </c>
      <c r="I16" s="481">
        <v>7.96</v>
      </c>
      <c r="J16" s="465">
        <v>12077196</v>
      </c>
      <c r="K16" s="481">
        <v>62.64</v>
      </c>
      <c r="L16" s="465">
        <v>95039557</v>
      </c>
      <c r="M16" s="464">
        <v>0</v>
      </c>
      <c r="N16" s="464">
        <v>0</v>
      </c>
      <c r="O16" s="464">
        <v>0</v>
      </c>
      <c r="P16" s="465">
        <v>0</v>
      </c>
      <c r="Q16" s="14">
        <f t="shared" si="11"/>
        <v>107116753</v>
      </c>
      <c r="R16" s="464">
        <v>7.6</v>
      </c>
      <c r="S16" s="465">
        <v>11530901</v>
      </c>
      <c r="T16" s="464">
        <v>0</v>
      </c>
      <c r="U16" s="464">
        <v>0</v>
      </c>
      <c r="V16" s="464">
        <v>0</v>
      </c>
      <c r="W16" s="465">
        <v>0</v>
      </c>
      <c r="X16" s="14">
        <f t="shared" si="12"/>
        <v>11530901</v>
      </c>
      <c r="Y16" s="145">
        <f t="shared" si="13"/>
        <v>78.199999999999989</v>
      </c>
      <c r="Z16" s="14">
        <f t="shared" si="14"/>
        <v>118647654</v>
      </c>
      <c r="AA16" s="14">
        <f t="shared" si="15"/>
        <v>0</v>
      </c>
      <c r="AB16" s="146">
        <f t="shared" si="2"/>
        <v>7.48</v>
      </c>
      <c r="AC16" s="147">
        <f t="shared" si="3"/>
        <v>69.48</v>
      </c>
      <c r="AD16" s="127">
        <f t="shared" si="4"/>
        <v>76.959999999999994</v>
      </c>
      <c r="AE16" s="77">
        <f t="shared" si="16"/>
        <v>118647654</v>
      </c>
      <c r="AF16" s="155">
        <v>1.4999999999999999E-2</v>
      </c>
      <c r="AG16" s="281">
        <v>74472829</v>
      </c>
      <c r="AH16" s="281">
        <v>0</v>
      </c>
      <c r="AI16" s="475">
        <f t="shared" si="17"/>
        <v>74472829</v>
      </c>
      <c r="AJ16" s="77">
        <v>5218130067</v>
      </c>
      <c r="AK16" s="77">
        <f t="shared" si="5"/>
        <v>4964855267</v>
      </c>
      <c r="AL16" s="569">
        <f t="shared" si="18"/>
        <v>-4.8537463947427507E-2</v>
      </c>
      <c r="AM16" s="572">
        <f t="shared" si="19"/>
        <v>4964855267</v>
      </c>
      <c r="AN16" s="129">
        <f t="shared" si="6"/>
        <v>1.4999999998992921E-2</v>
      </c>
      <c r="AO16" s="129">
        <f t="shared" si="7"/>
        <v>0</v>
      </c>
      <c r="AP16" s="77">
        <v>2536532</v>
      </c>
      <c r="AQ16" s="77">
        <f t="shared" si="8"/>
        <v>195657015</v>
      </c>
      <c r="AR16" s="77">
        <f>ROUND(AQ16/'Table 3 Levels 1&amp;2'!C16,2)</f>
        <v>4786.6000000000004</v>
      </c>
    </row>
    <row r="17" spans="1:44">
      <c r="A17" s="18">
        <v>10</v>
      </c>
      <c r="B17" s="70" t="s">
        <v>101</v>
      </c>
      <c r="C17" s="20">
        <v>1780317660</v>
      </c>
      <c r="D17" s="20">
        <v>273152136</v>
      </c>
      <c r="E17" s="20">
        <f t="shared" si="9"/>
        <v>1507165524</v>
      </c>
      <c r="F17" s="20">
        <v>1478624782</v>
      </c>
      <c r="G17" s="729">
        <f t="shared" si="10"/>
        <v>1.9302220784772429E-2</v>
      </c>
      <c r="H17" s="730">
        <f t="shared" si="1"/>
        <v>1507165524</v>
      </c>
      <c r="I17" s="482">
        <v>5.57</v>
      </c>
      <c r="J17" s="467">
        <v>8357723</v>
      </c>
      <c r="K17" s="482">
        <v>13.15</v>
      </c>
      <c r="L17" s="467">
        <v>19780890</v>
      </c>
      <c r="M17" s="466">
        <v>9.8699999999999992</v>
      </c>
      <c r="N17" s="466">
        <v>9.8699999999999992</v>
      </c>
      <c r="O17" s="466">
        <v>1</v>
      </c>
      <c r="P17" s="467">
        <v>192619</v>
      </c>
      <c r="Q17" s="20">
        <f t="shared" si="11"/>
        <v>28331232</v>
      </c>
      <c r="R17" s="466">
        <v>0</v>
      </c>
      <c r="S17" s="467">
        <v>0</v>
      </c>
      <c r="T17" s="466">
        <v>4</v>
      </c>
      <c r="U17" s="466">
        <v>27</v>
      </c>
      <c r="V17" s="466">
        <v>13</v>
      </c>
      <c r="W17" s="467">
        <v>21199732</v>
      </c>
      <c r="X17" s="20">
        <f t="shared" si="12"/>
        <v>21199732</v>
      </c>
      <c r="Y17" s="148">
        <f t="shared" si="13"/>
        <v>18.72</v>
      </c>
      <c r="Z17" s="20">
        <f t="shared" si="14"/>
        <v>28138613</v>
      </c>
      <c r="AA17" s="20">
        <f t="shared" si="15"/>
        <v>21392351</v>
      </c>
      <c r="AB17" s="149">
        <f t="shared" si="2"/>
        <v>14.07</v>
      </c>
      <c r="AC17" s="150">
        <f t="shared" si="3"/>
        <v>18.8</v>
      </c>
      <c r="AD17" s="128">
        <f t="shared" si="4"/>
        <v>32.86</v>
      </c>
      <c r="AE17" s="78">
        <f t="shared" si="16"/>
        <v>49530964</v>
      </c>
      <c r="AF17" s="156">
        <v>0.02</v>
      </c>
      <c r="AG17" s="282">
        <v>91977507</v>
      </c>
      <c r="AH17" s="282">
        <v>0</v>
      </c>
      <c r="AI17" s="476">
        <f t="shared" si="17"/>
        <v>91977507</v>
      </c>
      <c r="AJ17" s="78">
        <v>4161058500</v>
      </c>
      <c r="AK17" s="78">
        <f t="shared" si="5"/>
        <v>4598875350</v>
      </c>
      <c r="AL17" s="570">
        <f t="shared" si="18"/>
        <v>0.10521766276537568</v>
      </c>
      <c r="AM17" s="573">
        <f t="shared" si="19"/>
        <v>4598875350</v>
      </c>
      <c r="AN17" s="130">
        <f t="shared" si="6"/>
        <v>0.02</v>
      </c>
      <c r="AO17" s="130">
        <f t="shared" si="7"/>
        <v>0</v>
      </c>
      <c r="AP17" s="78">
        <v>1014170</v>
      </c>
      <c r="AQ17" s="78">
        <f t="shared" si="8"/>
        <v>142522641</v>
      </c>
      <c r="AR17" s="78">
        <f>ROUND(AQ17/'Table 3 Levels 1&amp;2'!C17,2)</f>
        <v>4447.4399999999996</v>
      </c>
    </row>
    <row r="18" spans="1:44">
      <c r="A18" s="12">
        <v>11</v>
      </c>
      <c r="B18" s="69" t="s">
        <v>102</v>
      </c>
      <c r="C18" s="14">
        <v>64692370</v>
      </c>
      <c r="D18" s="14">
        <v>13707140</v>
      </c>
      <c r="E18" s="14">
        <f t="shared" si="9"/>
        <v>50985230</v>
      </c>
      <c r="F18" s="14">
        <v>43967580</v>
      </c>
      <c r="G18" s="564">
        <f t="shared" si="10"/>
        <v>0.15960964874573494</v>
      </c>
      <c r="H18" s="565">
        <f t="shared" si="1"/>
        <v>48364338.000000007</v>
      </c>
      <c r="I18" s="481">
        <v>5.42</v>
      </c>
      <c r="J18" s="465">
        <v>276602</v>
      </c>
      <c r="K18" s="481">
        <v>32.85</v>
      </c>
      <c r="L18" s="465">
        <v>1659608</v>
      </c>
      <c r="M18" s="464">
        <v>0</v>
      </c>
      <c r="N18" s="464">
        <v>0</v>
      </c>
      <c r="O18" s="464">
        <v>0</v>
      </c>
      <c r="P18" s="465">
        <v>0</v>
      </c>
      <c r="Q18" s="14">
        <f t="shared" si="11"/>
        <v>1936210</v>
      </c>
      <c r="R18" s="464">
        <v>30</v>
      </c>
      <c r="S18" s="465">
        <v>1541413</v>
      </c>
      <c r="T18" s="464">
        <v>0</v>
      </c>
      <c r="U18" s="464">
        <v>0</v>
      </c>
      <c r="V18" s="464">
        <v>0</v>
      </c>
      <c r="W18" s="465">
        <v>0</v>
      </c>
      <c r="X18" s="14">
        <f t="shared" si="12"/>
        <v>1541413</v>
      </c>
      <c r="Y18" s="145">
        <f t="shared" si="13"/>
        <v>68.27000000000001</v>
      </c>
      <c r="Z18" s="14">
        <f t="shared" si="14"/>
        <v>3477623</v>
      </c>
      <c r="AA18" s="14">
        <f t="shared" si="15"/>
        <v>0</v>
      </c>
      <c r="AB18" s="146">
        <f t="shared" si="2"/>
        <v>30.23</v>
      </c>
      <c r="AC18" s="147">
        <f t="shared" si="3"/>
        <v>37.979999999999997</v>
      </c>
      <c r="AD18" s="127">
        <f t="shared" si="4"/>
        <v>68.209999999999994</v>
      </c>
      <c r="AE18" s="77">
        <f t="shared" si="16"/>
        <v>3477623</v>
      </c>
      <c r="AF18" s="155">
        <v>0.02</v>
      </c>
      <c r="AG18" s="281">
        <v>1965585</v>
      </c>
      <c r="AH18" s="281">
        <v>0</v>
      </c>
      <c r="AI18" s="475">
        <f t="shared" si="17"/>
        <v>1965585</v>
      </c>
      <c r="AJ18" s="77">
        <v>110491850</v>
      </c>
      <c r="AK18" s="77">
        <f t="shared" si="5"/>
        <v>98279250</v>
      </c>
      <c r="AL18" s="569">
        <f t="shared" si="18"/>
        <v>-0.11052941913815363</v>
      </c>
      <c r="AM18" s="572">
        <f t="shared" si="19"/>
        <v>98279250</v>
      </c>
      <c r="AN18" s="129">
        <f t="shared" si="6"/>
        <v>0.02</v>
      </c>
      <c r="AO18" s="129">
        <f t="shared" si="7"/>
        <v>0</v>
      </c>
      <c r="AP18" s="77">
        <v>85967.5</v>
      </c>
      <c r="AQ18" s="77">
        <f t="shared" si="8"/>
        <v>5529175.5</v>
      </c>
      <c r="AR18" s="77">
        <f>ROUND(AQ18/'Table 3 Levels 1&amp;2'!C18,2)</f>
        <v>3562.61</v>
      </c>
    </row>
    <row r="19" spans="1:44">
      <c r="A19" s="12">
        <v>12</v>
      </c>
      <c r="B19" s="69" t="s">
        <v>103</v>
      </c>
      <c r="C19" s="14">
        <v>279628799</v>
      </c>
      <c r="D19" s="14">
        <v>11178668</v>
      </c>
      <c r="E19" s="14">
        <f t="shared" si="9"/>
        <v>268450131</v>
      </c>
      <c r="F19" s="14">
        <v>237191774</v>
      </c>
      <c r="G19" s="564">
        <f t="shared" si="10"/>
        <v>0.13178516469125107</v>
      </c>
      <c r="H19" s="565">
        <f t="shared" si="1"/>
        <v>260910951.40000004</v>
      </c>
      <c r="I19" s="481">
        <v>4.4000000000000004</v>
      </c>
      <c r="J19" s="465">
        <v>1257312</v>
      </c>
      <c r="K19" s="481">
        <v>42.49</v>
      </c>
      <c r="L19" s="465">
        <v>12096178</v>
      </c>
      <c r="M19" s="464">
        <v>0</v>
      </c>
      <c r="N19" s="464">
        <v>0</v>
      </c>
      <c r="O19" s="464">
        <v>0</v>
      </c>
      <c r="P19" s="465">
        <v>0</v>
      </c>
      <c r="Q19" s="14">
        <f t="shared" si="11"/>
        <v>13353490</v>
      </c>
      <c r="R19" s="464">
        <v>0</v>
      </c>
      <c r="S19" s="465">
        <v>807947</v>
      </c>
      <c r="T19" s="464">
        <v>2.75</v>
      </c>
      <c r="U19" s="464">
        <v>18</v>
      </c>
      <c r="V19" s="464">
        <v>3</v>
      </c>
      <c r="W19" s="465">
        <v>0</v>
      </c>
      <c r="X19" s="14">
        <f t="shared" si="12"/>
        <v>807947</v>
      </c>
      <c r="Y19" s="145">
        <f t="shared" si="13"/>
        <v>46.89</v>
      </c>
      <c r="Z19" s="14">
        <f t="shared" si="14"/>
        <v>14161437</v>
      </c>
      <c r="AA19" s="14">
        <f t="shared" si="15"/>
        <v>0</v>
      </c>
      <c r="AB19" s="146">
        <f t="shared" si="2"/>
        <v>3.01</v>
      </c>
      <c r="AC19" s="147">
        <f t="shared" si="3"/>
        <v>49.74</v>
      </c>
      <c r="AD19" s="127">
        <f t="shared" si="4"/>
        <v>52.75</v>
      </c>
      <c r="AE19" s="77">
        <f t="shared" si="16"/>
        <v>14161437</v>
      </c>
      <c r="AF19" s="155">
        <v>0</v>
      </c>
      <c r="AG19" s="281">
        <v>0</v>
      </c>
      <c r="AH19" s="281">
        <v>0</v>
      </c>
      <c r="AI19" s="475">
        <f t="shared" si="17"/>
        <v>0</v>
      </c>
      <c r="AJ19" s="77">
        <v>26707332.5</v>
      </c>
      <c r="AK19" s="1106">
        <v>31303034</v>
      </c>
      <c r="AL19" s="571">
        <f t="shared" si="18"/>
        <v>0.17207639512482201</v>
      </c>
      <c r="AM19" s="574">
        <f t="shared" si="19"/>
        <v>30713432.374999996</v>
      </c>
      <c r="AN19" s="129">
        <f t="shared" si="6"/>
        <v>0</v>
      </c>
      <c r="AO19" s="129">
        <f t="shared" si="7"/>
        <v>0</v>
      </c>
      <c r="AP19" s="77">
        <v>647659.5</v>
      </c>
      <c r="AQ19" s="77">
        <f t="shared" si="8"/>
        <v>14809096.5</v>
      </c>
      <c r="AR19" s="77">
        <f>ROUND(AQ19/'Table 3 Levels 1&amp;2'!C19,2)</f>
        <v>12208.65</v>
      </c>
    </row>
    <row r="20" spans="1:44">
      <c r="A20" s="12">
        <v>13</v>
      </c>
      <c r="B20" s="69" t="s">
        <v>104</v>
      </c>
      <c r="C20" s="14">
        <v>50122660</v>
      </c>
      <c r="D20" s="14">
        <v>14802551</v>
      </c>
      <c r="E20" s="14">
        <f t="shared" si="9"/>
        <v>35320109</v>
      </c>
      <c r="F20" s="14">
        <v>35513879</v>
      </c>
      <c r="G20" s="562">
        <f t="shared" si="10"/>
        <v>-5.4561767245982903E-3</v>
      </c>
      <c r="H20" s="563">
        <f t="shared" si="1"/>
        <v>35320109</v>
      </c>
      <c r="I20" s="481">
        <v>4.12</v>
      </c>
      <c r="J20" s="465">
        <f>146594-899</f>
        <v>145695</v>
      </c>
      <c r="K20" s="481">
        <v>13.13</v>
      </c>
      <c r="L20" s="465">
        <v>408250</v>
      </c>
      <c r="M20" s="464">
        <v>4.01</v>
      </c>
      <c r="N20" s="464">
        <v>5.18</v>
      </c>
      <c r="O20" s="464">
        <v>4</v>
      </c>
      <c r="P20" s="465">
        <f>202563+899</f>
        <v>203462</v>
      </c>
      <c r="Q20" s="14">
        <f t="shared" si="11"/>
        <v>757407</v>
      </c>
      <c r="R20" s="464">
        <v>0</v>
      </c>
      <c r="S20" s="465">
        <v>0</v>
      </c>
      <c r="T20" s="464">
        <v>19.7</v>
      </c>
      <c r="U20" s="464">
        <v>25</v>
      </c>
      <c r="V20" s="464">
        <v>2</v>
      </c>
      <c r="W20" s="465">
        <v>198304</v>
      </c>
      <c r="X20" s="14">
        <f t="shared" si="12"/>
        <v>198304</v>
      </c>
      <c r="Y20" s="145">
        <f t="shared" si="13"/>
        <v>17.25</v>
      </c>
      <c r="Z20" s="14">
        <f t="shared" si="14"/>
        <v>553945</v>
      </c>
      <c r="AA20" s="14">
        <f t="shared" si="15"/>
        <v>401766</v>
      </c>
      <c r="AB20" s="146">
        <f t="shared" si="2"/>
        <v>5.61</v>
      </c>
      <c r="AC20" s="147">
        <f t="shared" si="3"/>
        <v>21.44</v>
      </c>
      <c r="AD20" s="127">
        <f t="shared" si="4"/>
        <v>27.06</v>
      </c>
      <c r="AE20" s="77">
        <f t="shared" si="16"/>
        <v>955711</v>
      </c>
      <c r="AF20" s="155">
        <v>0.03</v>
      </c>
      <c r="AG20" s="281">
        <v>2772041</v>
      </c>
      <c r="AH20" s="281">
        <v>0</v>
      </c>
      <c r="AI20" s="475">
        <f t="shared" si="17"/>
        <v>2772041</v>
      </c>
      <c r="AJ20" s="77">
        <v>90056500</v>
      </c>
      <c r="AK20" s="77">
        <f t="shared" ref="AK20:AK51" si="20">ROUND(AI20/AF20,0)</f>
        <v>92401367</v>
      </c>
      <c r="AL20" s="569">
        <f t="shared" si="18"/>
        <v>2.6037731868327106E-2</v>
      </c>
      <c r="AM20" s="572">
        <f t="shared" si="19"/>
        <v>92401367</v>
      </c>
      <c r="AN20" s="129">
        <f t="shared" si="6"/>
        <v>2.9999999891776492E-2</v>
      </c>
      <c r="AO20" s="129">
        <f t="shared" si="7"/>
        <v>0</v>
      </c>
      <c r="AP20" s="77">
        <v>107042.5</v>
      </c>
      <c r="AQ20" s="77">
        <f t="shared" si="8"/>
        <v>3834794.5</v>
      </c>
      <c r="AR20" s="77">
        <f>ROUND(AQ20/'Table 3 Levels 1&amp;2'!C20,2)</f>
        <v>2529.5500000000002</v>
      </c>
    </row>
    <row r="21" spans="1:44">
      <c r="A21" s="12">
        <v>14</v>
      </c>
      <c r="B21" s="69" t="s">
        <v>105</v>
      </c>
      <c r="C21" s="14">
        <v>159949403</v>
      </c>
      <c r="D21" s="14">
        <v>19797469</v>
      </c>
      <c r="E21" s="14">
        <f t="shared" si="9"/>
        <v>140151934</v>
      </c>
      <c r="F21" s="14">
        <v>136823013</v>
      </c>
      <c r="G21" s="562">
        <f t="shared" si="10"/>
        <v>2.4330124933003777E-2</v>
      </c>
      <c r="H21" s="563">
        <f t="shared" si="1"/>
        <v>140151934</v>
      </c>
      <c r="I21" s="481">
        <v>5.16</v>
      </c>
      <c r="J21" s="465">
        <v>723126</v>
      </c>
      <c r="K21" s="481">
        <v>10.039999999999999</v>
      </c>
      <c r="L21" s="465">
        <v>1407012</v>
      </c>
      <c r="M21" s="464">
        <v>3.16</v>
      </c>
      <c r="N21" s="464">
        <v>11.96</v>
      </c>
      <c r="O21" s="464">
        <v>4</v>
      </c>
      <c r="P21" s="465">
        <v>626576</v>
      </c>
      <c r="Q21" s="14">
        <f t="shared" si="11"/>
        <v>2756714</v>
      </c>
      <c r="R21" s="464">
        <v>0</v>
      </c>
      <c r="S21" s="465">
        <v>0</v>
      </c>
      <c r="T21" s="464">
        <v>13</v>
      </c>
      <c r="U21" s="464">
        <v>16.5</v>
      </c>
      <c r="V21" s="464">
        <v>2</v>
      </c>
      <c r="W21" s="465">
        <v>1098644</v>
      </c>
      <c r="X21" s="14">
        <f t="shared" si="12"/>
        <v>1098644</v>
      </c>
      <c r="Y21" s="145">
        <f t="shared" si="13"/>
        <v>15.2</v>
      </c>
      <c r="Z21" s="14">
        <f t="shared" si="14"/>
        <v>2130138</v>
      </c>
      <c r="AA21" s="14">
        <f t="shared" si="15"/>
        <v>1725220</v>
      </c>
      <c r="AB21" s="146">
        <f t="shared" si="2"/>
        <v>7.84</v>
      </c>
      <c r="AC21" s="147">
        <f t="shared" si="3"/>
        <v>19.670000000000002</v>
      </c>
      <c r="AD21" s="127">
        <f t="shared" si="4"/>
        <v>27.51</v>
      </c>
      <c r="AE21" s="77">
        <f t="shared" si="16"/>
        <v>3855358</v>
      </c>
      <c r="AF21" s="155">
        <v>0.02</v>
      </c>
      <c r="AG21" s="281">
        <v>3549236</v>
      </c>
      <c r="AH21" s="281">
        <v>0</v>
      </c>
      <c r="AI21" s="475">
        <f t="shared" si="17"/>
        <v>3549236</v>
      </c>
      <c r="AJ21" s="77">
        <v>141284300</v>
      </c>
      <c r="AK21" s="77">
        <f t="shared" si="20"/>
        <v>177461800</v>
      </c>
      <c r="AL21" s="571">
        <f t="shared" si="18"/>
        <v>0.25606171386346538</v>
      </c>
      <c r="AM21" s="574">
        <f t="shared" si="19"/>
        <v>162476945</v>
      </c>
      <c r="AN21" s="129">
        <f t="shared" si="6"/>
        <v>0.02</v>
      </c>
      <c r="AO21" s="129">
        <f t="shared" si="7"/>
        <v>0</v>
      </c>
      <c r="AP21" s="77">
        <v>165584</v>
      </c>
      <c r="AQ21" s="77">
        <f t="shared" si="8"/>
        <v>7570178</v>
      </c>
      <c r="AR21" s="77">
        <f>ROUND(AQ21/'Table 3 Levels 1&amp;2'!C21,2)</f>
        <v>4048.22</v>
      </c>
    </row>
    <row r="22" spans="1:44">
      <c r="A22" s="18">
        <v>15</v>
      </c>
      <c r="B22" s="70" t="s">
        <v>106</v>
      </c>
      <c r="C22" s="20">
        <v>160375500</v>
      </c>
      <c r="D22" s="20">
        <v>28357690</v>
      </c>
      <c r="E22" s="20">
        <f t="shared" si="9"/>
        <v>132017810</v>
      </c>
      <c r="F22" s="20">
        <v>129931580</v>
      </c>
      <c r="G22" s="729">
        <f t="shared" si="10"/>
        <v>1.605637366989611E-2</v>
      </c>
      <c r="H22" s="730">
        <f t="shared" si="1"/>
        <v>132017810</v>
      </c>
      <c r="I22" s="482">
        <v>2.84</v>
      </c>
      <c r="J22" s="467">
        <v>378678</v>
      </c>
      <c r="K22" s="482">
        <v>35.08</v>
      </c>
      <c r="L22" s="467">
        <v>4678605</v>
      </c>
      <c r="M22" s="466">
        <v>0</v>
      </c>
      <c r="N22" s="466">
        <v>0</v>
      </c>
      <c r="O22" s="466">
        <v>0</v>
      </c>
      <c r="P22" s="467">
        <v>0</v>
      </c>
      <c r="Q22" s="20">
        <f t="shared" si="11"/>
        <v>5057283</v>
      </c>
      <c r="R22" s="466">
        <v>0</v>
      </c>
      <c r="S22" s="467">
        <v>0</v>
      </c>
      <c r="T22" s="466">
        <v>0</v>
      </c>
      <c r="U22" s="466">
        <v>0</v>
      </c>
      <c r="V22" s="466">
        <v>0</v>
      </c>
      <c r="W22" s="467"/>
      <c r="X22" s="20">
        <f t="shared" si="12"/>
        <v>0</v>
      </c>
      <c r="Y22" s="148">
        <f t="shared" si="13"/>
        <v>37.92</v>
      </c>
      <c r="Z22" s="20">
        <f t="shared" si="14"/>
        <v>5057283</v>
      </c>
      <c r="AA22" s="20">
        <f t="shared" si="15"/>
        <v>0</v>
      </c>
      <c r="AB22" s="149">
        <f t="shared" si="2"/>
        <v>0</v>
      </c>
      <c r="AC22" s="150">
        <f t="shared" si="3"/>
        <v>38.31</v>
      </c>
      <c r="AD22" s="128">
        <f t="shared" si="4"/>
        <v>38.31</v>
      </c>
      <c r="AE22" s="78">
        <f t="shared" si="16"/>
        <v>5057283</v>
      </c>
      <c r="AF22" s="156">
        <v>0.02</v>
      </c>
      <c r="AG22" s="282">
        <v>4977915</v>
      </c>
      <c r="AH22" s="282">
        <v>0</v>
      </c>
      <c r="AI22" s="476">
        <f t="shared" si="17"/>
        <v>4977915</v>
      </c>
      <c r="AJ22" s="78">
        <v>229830000</v>
      </c>
      <c r="AK22" s="78">
        <f t="shared" si="20"/>
        <v>248895750</v>
      </c>
      <c r="AL22" s="570">
        <f t="shared" si="18"/>
        <v>8.2955880433363785E-2</v>
      </c>
      <c r="AM22" s="573">
        <f t="shared" si="19"/>
        <v>248895750</v>
      </c>
      <c r="AN22" s="130">
        <f t="shared" si="6"/>
        <v>0.02</v>
      </c>
      <c r="AO22" s="130">
        <f t="shared" si="7"/>
        <v>0</v>
      </c>
      <c r="AP22" s="78">
        <v>163134</v>
      </c>
      <c r="AQ22" s="78">
        <f t="shared" si="8"/>
        <v>10198332</v>
      </c>
      <c r="AR22" s="78">
        <f>ROUND(AQ22/'Table 3 Levels 1&amp;2'!C22,2)</f>
        <v>2811.78</v>
      </c>
    </row>
    <row r="23" spans="1:44">
      <c r="A23" s="12">
        <v>16</v>
      </c>
      <c r="B23" s="69" t="s">
        <v>107</v>
      </c>
      <c r="C23" s="14">
        <v>635089965</v>
      </c>
      <c r="D23" s="14">
        <v>39328962</v>
      </c>
      <c r="E23" s="14">
        <f t="shared" si="9"/>
        <v>595761003</v>
      </c>
      <c r="F23" s="14">
        <v>432685952</v>
      </c>
      <c r="G23" s="564">
        <f t="shared" si="10"/>
        <v>0.37689009834088627</v>
      </c>
      <c r="H23" s="565">
        <f t="shared" si="1"/>
        <v>475954547.20000005</v>
      </c>
      <c r="I23" s="481">
        <v>4.5599999999999996</v>
      </c>
      <c r="J23" s="465">
        <v>2713496</v>
      </c>
      <c r="K23" s="481">
        <v>39</v>
      </c>
      <c r="L23" s="465">
        <v>23211568</v>
      </c>
      <c r="M23" s="464">
        <v>0</v>
      </c>
      <c r="N23" s="464">
        <v>0</v>
      </c>
      <c r="O23" s="464">
        <v>0</v>
      </c>
      <c r="P23" s="465">
        <v>0</v>
      </c>
      <c r="Q23" s="14">
        <f t="shared" si="11"/>
        <v>25925064</v>
      </c>
      <c r="R23" s="464">
        <v>0</v>
      </c>
      <c r="S23" s="465">
        <v>0</v>
      </c>
      <c r="T23" s="464">
        <v>0</v>
      </c>
      <c r="U23" s="464">
        <v>3</v>
      </c>
      <c r="V23" s="464">
        <v>5</v>
      </c>
      <c r="W23" s="465">
        <v>1240864</v>
      </c>
      <c r="X23" s="14">
        <f t="shared" si="12"/>
        <v>1240864</v>
      </c>
      <c r="Y23" s="145">
        <f t="shared" si="13"/>
        <v>43.56</v>
      </c>
      <c r="Z23" s="14">
        <f t="shared" si="14"/>
        <v>25925064</v>
      </c>
      <c r="AA23" s="14">
        <f t="shared" si="15"/>
        <v>1240864</v>
      </c>
      <c r="AB23" s="146">
        <f t="shared" si="2"/>
        <v>2.08</v>
      </c>
      <c r="AC23" s="147">
        <f t="shared" si="3"/>
        <v>43.52</v>
      </c>
      <c r="AD23" s="127">
        <f t="shared" si="4"/>
        <v>45.6</v>
      </c>
      <c r="AE23" s="77">
        <f t="shared" si="16"/>
        <v>27165928</v>
      </c>
      <c r="AF23" s="155">
        <v>2.5000000000000001E-2</v>
      </c>
      <c r="AG23" s="281">
        <v>46429788</v>
      </c>
      <c r="AH23" s="281">
        <v>1729397</v>
      </c>
      <c r="AI23" s="475">
        <f t="shared" si="17"/>
        <v>48159185</v>
      </c>
      <c r="AJ23" s="77">
        <v>2923471120</v>
      </c>
      <c r="AK23" s="77">
        <f t="shared" si="20"/>
        <v>1926367400</v>
      </c>
      <c r="AL23" s="155">
        <f t="shared" si="18"/>
        <v>-0.34106843511421453</v>
      </c>
      <c r="AM23" s="77">
        <f t="shared" si="19"/>
        <v>1926367400</v>
      </c>
      <c r="AN23" s="129">
        <f t="shared" si="6"/>
        <v>2.4102249653934135E-2</v>
      </c>
      <c r="AO23" s="129">
        <f t="shared" si="7"/>
        <v>8.9775034606586466E-4</v>
      </c>
      <c r="AP23" s="77">
        <v>826429.5</v>
      </c>
      <c r="AQ23" s="77">
        <f t="shared" si="8"/>
        <v>76151542.5</v>
      </c>
      <c r="AR23" s="77">
        <f>ROUND(AQ23/'Table 3 Levels 1&amp;2'!C23,2)</f>
        <v>15371.73</v>
      </c>
    </row>
    <row r="24" spans="1:44" s="75" customFormat="1">
      <c r="A24" s="101">
        <v>17</v>
      </c>
      <c r="B24" s="158" t="s">
        <v>108</v>
      </c>
      <c r="C24" s="77">
        <v>3596222330</v>
      </c>
      <c r="D24" s="77">
        <v>545639350</v>
      </c>
      <c r="E24" s="77">
        <f>C24-D24</f>
        <v>3050582980</v>
      </c>
      <c r="F24" s="77">
        <v>3002326940</v>
      </c>
      <c r="G24" s="562">
        <f t="shared" si="10"/>
        <v>1.6072879791033019E-2</v>
      </c>
      <c r="H24" s="563">
        <f t="shared" si="1"/>
        <v>3050582980</v>
      </c>
      <c r="I24" s="481">
        <v>5.25</v>
      </c>
      <c r="J24" s="465">
        <v>15893272</v>
      </c>
      <c r="K24" s="481">
        <v>38.200000000000003</v>
      </c>
      <c r="L24" s="465">
        <v>115639518</v>
      </c>
      <c r="M24" s="464">
        <v>0</v>
      </c>
      <c r="N24" s="464">
        <v>0</v>
      </c>
      <c r="O24" s="464">
        <v>0</v>
      </c>
      <c r="P24" s="465">
        <v>0</v>
      </c>
      <c r="Q24" s="77">
        <f>J24+L24+P24</f>
        <v>131532790</v>
      </c>
      <c r="R24" s="464">
        <v>0</v>
      </c>
      <c r="S24" s="465">
        <v>0</v>
      </c>
      <c r="T24" s="464">
        <v>0</v>
      </c>
      <c r="U24" s="464">
        <v>0</v>
      </c>
      <c r="V24" s="464">
        <v>0</v>
      </c>
      <c r="W24" s="465">
        <v>0</v>
      </c>
      <c r="X24" s="77">
        <f t="shared" si="12"/>
        <v>0</v>
      </c>
      <c r="Y24" s="159">
        <f t="shared" si="13"/>
        <v>43.45</v>
      </c>
      <c r="Z24" s="77">
        <f t="shared" si="14"/>
        <v>131532790</v>
      </c>
      <c r="AA24" s="77">
        <f t="shared" si="15"/>
        <v>0</v>
      </c>
      <c r="AB24" s="160">
        <f t="shared" si="2"/>
        <v>0</v>
      </c>
      <c r="AC24" s="161">
        <f t="shared" si="3"/>
        <v>43.12</v>
      </c>
      <c r="AD24" s="127">
        <f t="shared" si="4"/>
        <v>43.12</v>
      </c>
      <c r="AE24" s="341">
        <f t="shared" si="16"/>
        <v>131532790</v>
      </c>
      <c r="AF24" s="155">
        <v>0.02</v>
      </c>
      <c r="AG24" s="281">
        <v>157956316</v>
      </c>
      <c r="AH24" s="281">
        <v>0</v>
      </c>
      <c r="AI24" s="475">
        <f t="shared" si="17"/>
        <v>157956316</v>
      </c>
      <c r="AJ24" s="77">
        <v>7404466950</v>
      </c>
      <c r="AK24" s="77">
        <f t="shared" si="20"/>
        <v>7897815800</v>
      </c>
      <c r="AL24" s="569">
        <f t="shared" si="18"/>
        <v>6.6628543733320333E-2</v>
      </c>
      <c r="AM24" s="572">
        <f t="shared" si="19"/>
        <v>7897815800</v>
      </c>
      <c r="AN24" s="129">
        <f t="shared" si="6"/>
        <v>0.02</v>
      </c>
      <c r="AO24" s="129">
        <f t="shared" si="7"/>
        <v>0</v>
      </c>
      <c r="AP24" s="77">
        <v>4087419.5</v>
      </c>
      <c r="AQ24" s="77">
        <f t="shared" si="8"/>
        <v>293576525.5</v>
      </c>
      <c r="AR24" s="77">
        <f>ROUND(AQ24/'Table 3 Levels 1&amp;2'!C24,2)</f>
        <v>6823.24</v>
      </c>
    </row>
    <row r="25" spans="1:44">
      <c r="A25" s="12">
        <v>18</v>
      </c>
      <c r="B25" s="69" t="s">
        <v>109</v>
      </c>
      <c r="C25" s="14">
        <v>42267234</v>
      </c>
      <c r="D25" s="14">
        <v>5681675</v>
      </c>
      <c r="E25" s="14">
        <f t="shared" si="9"/>
        <v>36585559</v>
      </c>
      <c r="F25" s="14">
        <v>36375791</v>
      </c>
      <c r="G25" s="562">
        <f t="shared" si="10"/>
        <v>5.7666924686256308E-3</v>
      </c>
      <c r="H25" s="563">
        <f t="shared" si="1"/>
        <v>36585559</v>
      </c>
      <c r="I25" s="481">
        <v>8.1999999999999993</v>
      </c>
      <c r="J25" s="465">
        <v>290856</v>
      </c>
      <c r="K25" s="481">
        <v>7.99</v>
      </c>
      <c r="L25" s="465">
        <v>289446</v>
      </c>
      <c r="M25" s="464">
        <v>0</v>
      </c>
      <c r="N25" s="464">
        <v>0</v>
      </c>
      <c r="O25" s="464">
        <v>0</v>
      </c>
      <c r="P25" s="465">
        <v>0</v>
      </c>
      <c r="Q25" s="77">
        <f t="shared" si="11"/>
        <v>580302</v>
      </c>
      <c r="R25" s="464">
        <v>0</v>
      </c>
      <c r="S25" s="465">
        <v>0</v>
      </c>
      <c r="T25" s="464">
        <v>0</v>
      </c>
      <c r="U25" s="464">
        <v>0</v>
      </c>
      <c r="V25" s="464">
        <v>0</v>
      </c>
      <c r="W25" s="465"/>
      <c r="X25" s="14">
        <f t="shared" si="12"/>
        <v>0</v>
      </c>
      <c r="Y25" s="145">
        <f t="shared" si="13"/>
        <v>16.189999999999998</v>
      </c>
      <c r="Z25" s="14">
        <f t="shared" si="14"/>
        <v>580302</v>
      </c>
      <c r="AA25" s="14">
        <f t="shared" si="15"/>
        <v>0</v>
      </c>
      <c r="AB25" s="146">
        <f t="shared" si="2"/>
        <v>0</v>
      </c>
      <c r="AC25" s="147">
        <f t="shared" si="3"/>
        <v>15.86</v>
      </c>
      <c r="AD25" s="127">
        <f t="shared" si="4"/>
        <v>15.86</v>
      </c>
      <c r="AE25" s="77">
        <f t="shared" si="16"/>
        <v>580302</v>
      </c>
      <c r="AF25" s="155">
        <v>0.03</v>
      </c>
      <c r="AG25" s="281">
        <v>1835065</v>
      </c>
      <c r="AH25" s="281">
        <v>0</v>
      </c>
      <c r="AI25" s="475">
        <f t="shared" si="17"/>
        <v>1835065</v>
      </c>
      <c r="AJ25" s="77">
        <v>46597767</v>
      </c>
      <c r="AK25" s="77">
        <f t="shared" si="20"/>
        <v>61168833</v>
      </c>
      <c r="AL25" s="571">
        <f t="shared" si="18"/>
        <v>0.31269880378602694</v>
      </c>
      <c r="AM25" s="574">
        <f t="shared" si="19"/>
        <v>53587432.049999997</v>
      </c>
      <c r="AN25" s="129">
        <f t="shared" si="6"/>
        <v>3.0000000163481949E-2</v>
      </c>
      <c r="AO25" s="129">
        <f t="shared" si="7"/>
        <v>0</v>
      </c>
      <c r="AP25" s="77">
        <v>131381.5</v>
      </c>
      <c r="AQ25" s="77">
        <f t="shared" si="8"/>
        <v>2546748.5</v>
      </c>
      <c r="AR25" s="77">
        <f>ROUND(AQ25/'Table 3 Levels 1&amp;2'!C25,2)</f>
        <v>2286.13</v>
      </c>
    </row>
    <row r="26" spans="1:44">
      <c r="A26" s="12">
        <v>19</v>
      </c>
      <c r="B26" s="69" t="s">
        <v>110</v>
      </c>
      <c r="C26" s="14">
        <v>143432690</v>
      </c>
      <c r="D26" s="14">
        <v>35429090</v>
      </c>
      <c r="E26" s="14">
        <f t="shared" si="9"/>
        <v>108003600</v>
      </c>
      <c r="F26" s="14">
        <v>103771869</v>
      </c>
      <c r="G26" s="562">
        <f t="shared" si="10"/>
        <v>4.0779173014605721E-2</v>
      </c>
      <c r="H26" s="563">
        <f t="shared" si="1"/>
        <v>108003600</v>
      </c>
      <c r="I26" s="481">
        <v>3.34</v>
      </c>
      <c r="J26" s="465">
        <v>352031</v>
      </c>
      <c r="K26" s="481">
        <v>17</v>
      </c>
      <c r="L26" s="465">
        <v>1791604</v>
      </c>
      <c r="M26" s="464">
        <v>0</v>
      </c>
      <c r="N26" s="464">
        <v>0</v>
      </c>
      <c r="O26" s="464">
        <v>0</v>
      </c>
      <c r="P26" s="465">
        <v>0</v>
      </c>
      <c r="Q26" s="77">
        <f t="shared" si="11"/>
        <v>2143635</v>
      </c>
      <c r="R26" s="464">
        <v>0</v>
      </c>
      <c r="S26" s="465">
        <v>0</v>
      </c>
      <c r="T26" s="464">
        <v>0</v>
      </c>
      <c r="U26" s="464">
        <v>0</v>
      </c>
      <c r="V26" s="464">
        <v>0</v>
      </c>
      <c r="W26" s="465"/>
      <c r="X26" s="14">
        <f t="shared" si="12"/>
        <v>0</v>
      </c>
      <c r="Y26" s="145">
        <f t="shared" si="13"/>
        <v>20.34</v>
      </c>
      <c r="Z26" s="14">
        <f t="shared" si="14"/>
        <v>2143635</v>
      </c>
      <c r="AA26" s="14">
        <f t="shared" si="15"/>
        <v>0</v>
      </c>
      <c r="AB26" s="146">
        <f t="shared" si="2"/>
        <v>0</v>
      </c>
      <c r="AC26" s="147">
        <f t="shared" si="3"/>
        <v>19.850000000000001</v>
      </c>
      <c r="AD26" s="127">
        <f t="shared" si="4"/>
        <v>19.850000000000001</v>
      </c>
      <c r="AE26" s="77">
        <f t="shared" si="16"/>
        <v>2143635</v>
      </c>
      <c r="AF26" s="155">
        <v>0.02</v>
      </c>
      <c r="AG26" s="281">
        <v>3050354</v>
      </c>
      <c r="AH26" s="281">
        <v>0</v>
      </c>
      <c r="AI26" s="475">
        <f t="shared" si="17"/>
        <v>3050354</v>
      </c>
      <c r="AJ26" s="77">
        <v>115682500</v>
      </c>
      <c r="AK26" s="77">
        <f t="shared" si="20"/>
        <v>152517700</v>
      </c>
      <c r="AL26" s="571">
        <f t="shared" si="18"/>
        <v>0.3184163551098913</v>
      </c>
      <c r="AM26" s="574">
        <f t="shared" si="19"/>
        <v>133034874.99999999</v>
      </c>
      <c r="AN26" s="129">
        <f t="shared" si="6"/>
        <v>0.02</v>
      </c>
      <c r="AO26" s="129">
        <f t="shared" si="7"/>
        <v>0</v>
      </c>
      <c r="AP26" s="77">
        <v>103649.5</v>
      </c>
      <c r="AQ26" s="77">
        <f t="shared" si="8"/>
        <v>5297638.5</v>
      </c>
      <c r="AR26" s="77">
        <f>ROUND(AQ26/'Table 3 Levels 1&amp;2'!C26,2)</f>
        <v>2762.06</v>
      </c>
    </row>
    <row r="27" spans="1:44">
      <c r="A27" s="18">
        <v>20</v>
      </c>
      <c r="B27" s="70" t="s">
        <v>111</v>
      </c>
      <c r="C27" s="20">
        <v>269543700</v>
      </c>
      <c r="D27" s="20">
        <v>48409060</v>
      </c>
      <c r="E27" s="20">
        <f t="shared" si="9"/>
        <v>221134640</v>
      </c>
      <c r="F27" s="20">
        <v>177767810</v>
      </c>
      <c r="G27" s="566">
        <f t="shared" si="10"/>
        <v>0.24395209683912966</v>
      </c>
      <c r="H27" s="567">
        <f t="shared" si="1"/>
        <v>195544591.00000003</v>
      </c>
      <c r="I27" s="482">
        <v>4.67</v>
      </c>
      <c r="J27" s="467">
        <v>968236</v>
      </c>
      <c r="K27" s="482">
        <v>10.35</v>
      </c>
      <c r="L27" s="467">
        <v>2070835</v>
      </c>
      <c r="M27" s="466">
        <v>2.02</v>
      </c>
      <c r="N27" s="466">
        <v>12.32</v>
      </c>
      <c r="O27" s="466">
        <v>3</v>
      </c>
      <c r="P27" s="467">
        <v>2973872</v>
      </c>
      <c r="Q27" s="78">
        <f t="shared" si="11"/>
        <v>6012943</v>
      </c>
      <c r="R27" s="466">
        <v>0</v>
      </c>
      <c r="S27" s="467">
        <v>0</v>
      </c>
      <c r="T27" s="466">
        <v>14</v>
      </c>
      <c r="U27" s="466">
        <v>14</v>
      </c>
      <c r="V27" s="466">
        <v>1</v>
      </c>
      <c r="W27" s="467">
        <v>435410</v>
      </c>
      <c r="X27" s="20">
        <f t="shared" si="12"/>
        <v>435410</v>
      </c>
      <c r="Y27" s="148">
        <f t="shared" si="13"/>
        <v>15.02</v>
      </c>
      <c r="Z27" s="20">
        <f t="shared" si="14"/>
        <v>3039071</v>
      </c>
      <c r="AA27" s="20">
        <f t="shared" si="15"/>
        <v>3409282</v>
      </c>
      <c r="AB27" s="149">
        <f t="shared" si="2"/>
        <v>1.97</v>
      </c>
      <c r="AC27" s="150">
        <f t="shared" si="3"/>
        <v>27.19</v>
      </c>
      <c r="AD27" s="128">
        <f t="shared" si="4"/>
        <v>29.16</v>
      </c>
      <c r="AE27" s="78">
        <f t="shared" si="16"/>
        <v>6448353</v>
      </c>
      <c r="AF27" s="156">
        <v>0.02</v>
      </c>
      <c r="AG27" s="282">
        <v>7729294</v>
      </c>
      <c r="AH27" s="282">
        <v>0</v>
      </c>
      <c r="AI27" s="476">
        <f t="shared" si="17"/>
        <v>7729294</v>
      </c>
      <c r="AJ27" s="78">
        <v>365605550</v>
      </c>
      <c r="AK27" s="78">
        <f t="shared" si="20"/>
        <v>386464700</v>
      </c>
      <c r="AL27" s="570">
        <f t="shared" si="18"/>
        <v>5.7053701728543238E-2</v>
      </c>
      <c r="AM27" s="573">
        <f t="shared" si="19"/>
        <v>386464700</v>
      </c>
      <c r="AN27" s="130">
        <f t="shared" si="6"/>
        <v>0.02</v>
      </c>
      <c r="AO27" s="130">
        <f t="shared" si="7"/>
        <v>0</v>
      </c>
      <c r="AP27" s="78">
        <v>217794</v>
      </c>
      <c r="AQ27" s="78">
        <f t="shared" si="8"/>
        <v>14395441</v>
      </c>
      <c r="AR27" s="78">
        <f>ROUND(AQ27/'Table 3 Levels 1&amp;2'!C27,2)</f>
        <v>2442.8000000000002</v>
      </c>
    </row>
    <row r="28" spans="1:44">
      <c r="A28" s="12">
        <v>21</v>
      </c>
      <c r="B28" s="69" t="s">
        <v>112</v>
      </c>
      <c r="C28" s="14">
        <v>96917108</v>
      </c>
      <c r="D28" s="14">
        <v>27652652</v>
      </c>
      <c r="E28" s="14">
        <f t="shared" si="9"/>
        <v>69264456</v>
      </c>
      <c r="F28" s="14">
        <v>59307949</v>
      </c>
      <c r="G28" s="564">
        <f t="shared" si="10"/>
        <v>0.16787812035111854</v>
      </c>
      <c r="H28" s="565">
        <f t="shared" si="1"/>
        <v>65238743.900000006</v>
      </c>
      <c r="I28" s="481">
        <v>4.45</v>
      </c>
      <c r="J28" s="465">
        <v>304185</v>
      </c>
      <c r="K28" s="481">
        <v>19.93</v>
      </c>
      <c r="L28" s="465">
        <v>1329651</v>
      </c>
      <c r="M28" s="464">
        <v>19.93</v>
      </c>
      <c r="N28" s="464">
        <v>19.93</v>
      </c>
      <c r="O28" s="464">
        <v>0</v>
      </c>
      <c r="P28" s="465">
        <v>0</v>
      </c>
      <c r="Q28" s="77">
        <f t="shared" si="11"/>
        <v>1633836</v>
      </c>
      <c r="R28" s="464">
        <v>0</v>
      </c>
      <c r="S28" s="465">
        <v>0</v>
      </c>
      <c r="T28" s="464">
        <v>0</v>
      </c>
      <c r="U28" s="464">
        <v>0</v>
      </c>
      <c r="V28" s="464">
        <v>0</v>
      </c>
      <c r="W28" s="465"/>
      <c r="X28" s="14">
        <f t="shared" si="12"/>
        <v>0</v>
      </c>
      <c r="Y28" s="145">
        <f t="shared" si="13"/>
        <v>24.38</v>
      </c>
      <c r="Z28" s="14">
        <f t="shared" si="14"/>
        <v>1633836</v>
      </c>
      <c r="AA28" s="14">
        <f t="shared" si="15"/>
        <v>0</v>
      </c>
      <c r="AB28" s="146">
        <f t="shared" si="2"/>
        <v>0</v>
      </c>
      <c r="AC28" s="147">
        <f t="shared" si="3"/>
        <v>23.59</v>
      </c>
      <c r="AD28" s="127">
        <f t="shared" si="4"/>
        <v>23.59</v>
      </c>
      <c r="AE28" s="77">
        <f t="shared" si="16"/>
        <v>1633836</v>
      </c>
      <c r="AF28" s="155">
        <v>0.02</v>
      </c>
      <c r="AG28" s="281">
        <v>4813265</v>
      </c>
      <c r="AH28" s="281">
        <v>0</v>
      </c>
      <c r="AI28" s="475">
        <f t="shared" si="17"/>
        <v>4813265</v>
      </c>
      <c r="AJ28" s="77">
        <v>233452200</v>
      </c>
      <c r="AK28" s="77">
        <f t="shared" si="20"/>
        <v>240663250</v>
      </c>
      <c r="AL28" s="569">
        <f t="shared" si="18"/>
        <v>3.0888764380888251E-2</v>
      </c>
      <c r="AM28" s="572">
        <f t="shared" si="19"/>
        <v>240663250</v>
      </c>
      <c r="AN28" s="129">
        <f t="shared" si="6"/>
        <v>0.02</v>
      </c>
      <c r="AO28" s="129">
        <f t="shared" si="7"/>
        <v>0</v>
      </c>
      <c r="AP28" s="77">
        <v>302697.5</v>
      </c>
      <c r="AQ28" s="77">
        <f t="shared" si="8"/>
        <v>6749798.5</v>
      </c>
      <c r="AR28" s="77">
        <f>ROUND(AQ28/'Table 3 Levels 1&amp;2'!C28,2)</f>
        <v>2274.96</v>
      </c>
    </row>
    <row r="29" spans="1:44">
      <c r="A29" s="12">
        <v>22</v>
      </c>
      <c r="B29" s="69" t="s">
        <v>113</v>
      </c>
      <c r="C29" s="14">
        <v>66086000</v>
      </c>
      <c r="D29" s="14">
        <v>28655333</v>
      </c>
      <c r="E29" s="14">
        <f t="shared" si="9"/>
        <v>37430667</v>
      </c>
      <c r="F29" s="14">
        <v>38647278</v>
      </c>
      <c r="G29" s="562">
        <f t="shared" si="10"/>
        <v>-3.147986256625887E-2</v>
      </c>
      <c r="H29" s="563">
        <f t="shared" si="1"/>
        <v>37430667</v>
      </c>
      <c r="I29" s="481">
        <v>5.82</v>
      </c>
      <c r="J29" s="465">
        <v>216997</v>
      </c>
      <c r="K29" s="481">
        <v>24.12</v>
      </c>
      <c r="L29" s="465">
        <v>705796</v>
      </c>
      <c r="M29" s="464">
        <v>1.98</v>
      </c>
      <c r="N29" s="464">
        <v>16.12</v>
      </c>
      <c r="O29" s="464">
        <v>8</v>
      </c>
      <c r="P29" s="465">
        <v>568867</v>
      </c>
      <c r="Q29" s="77">
        <f t="shared" si="11"/>
        <v>1491660</v>
      </c>
      <c r="R29" s="464">
        <v>0</v>
      </c>
      <c r="S29" s="465">
        <v>0</v>
      </c>
      <c r="T29" s="464">
        <v>0</v>
      </c>
      <c r="U29" s="464">
        <v>38</v>
      </c>
      <c r="V29" s="464">
        <v>1</v>
      </c>
      <c r="W29" s="465">
        <v>1139430</v>
      </c>
      <c r="X29" s="14">
        <f t="shared" si="12"/>
        <v>1139430</v>
      </c>
      <c r="Y29" s="145">
        <f t="shared" si="13"/>
        <v>29.94</v>
      </c>
      <c r="Z29" s="14">
        <f t="shared" si="14"/>
        <v>922793</v>
      </c>
      <c r="AA29" s="14">
        <f t="shared" si="15"/>
        <v>1708297</v>
      </c>
      <c r="AB29" s="146">
        <f t="shared" si="2"/>
        <v>30.44</v>
      </c>
      <c r="AC29" s="147">
        <f t="shared" si="3"/>
        <v>39.85</v>
      </c>
      <c r="AD29" s="127">
        <f t="shared" si="4"/>
        <v>70.290000000000006</v>
      </c>
      <c r="AE29" s="77">
        <f t="shared" si="16"/>
        <v>2631090</v>
      </c>
      <c r="AF29" s="155">
        <v>0.02</v>
      </c>
      <c r="AG29" s="281">
        <v>2048816</v>
      </c>
      <c r="AH29" s="281">
        <v>0</v>
      </c>
      <c r="AI29" s="475">
        <f t="shared" si="17"/>
        <v>2048816</v>
      </c>
      <c r="AJ29" s="77">
        <v>101703500</v>
      </c>
      <c r="AK29" s="77">
        <f t="shared" si="20"/>
        <v>102440800</v>
      </c>
      <c r="AL29" s="569">
        <f t="shared" si="18"/>
        <v>7.249504687645951E-3</v>
      </c>
      <c r="AM29" s="572">
        <f t="shared" si="19"/>
        <v>102440800</v>
      </c>
      <c r="AN29" s="129">
        <f t="shared" si="6"/>
        <v>0.02</v>
      </c>
      <c r="AO29" s="129">
        <f t="shared" si="7"/>
        <v>0</v>
      </c>
      <c r="AP29" s="77">
        <v>500783</v>
      </c>
      <c r="AQ29" s="77">
        <f t="shared" si="8"/>
        <v>5180689</v>
      </c>
      <c r="AR29" s="77">
        <f>ROUND(AQ29/'Table 3 Levels 1&amp;2'!C29,2)</f>
        <v>1613.92</v>
      </c>
    </row>
    <row r="30" spans="1:44">
      <c r="A30" s="12">
        <v>23</v>
      </c>
      <c r="B30" s="69" t="s">
        <v>114</v>
      </c>
      <c r="C30" s="14">
        <v>606873200</v>
      </c>
      <c r="D30" s="14">
        <v>109883187</v>
      </c>
      <c r="E30" s="14">
        <f t="shared" si="9"/>
        <v>496990013</v>
      </c>
      <c r="F30" s="14">
        <v>507692565</v>
      </c>
      <c r="G30" s="562">
        <f t="shared" si="10"/>
        <v>-2.1080773558304917E-2</v>
      </c>
      <c r="H30" s="563">
        <f t="shared" si="1"/>
        <v>496990013</v>
      </c>
      <c r="I30" s="481">
        <v>4.47</v>
      </c>
      <c r="J30" s="465">
        <v>2187831</v>
      </c>
      <c r="K30" s="481">
        <v>6.23</v>
      </c>
      <c r="L30" s="465">
        <v>3051208</v>
      </c>
      <c r="M30" s="464">
        <v>0</v>
      </c>
      <c r="N30" s="464">
        <v>0</v>
      </c>
      <c r="O30" s="464">
        <v>0</v>
      </c>
      <c r="P30" s="465">
        <v>0</v>
      </c>
      <c r="Q30" s="77">
        <f t="shared" si="11"/>
        <v>5239039</v>
      </c>
      <c r="R30" s="464">
        <v>21.9</v>
      </c>
      <c r="S30" s="465">
        <v>10738053</v>
      </c>
      <c r="T30" s="464">
        <v>0</v>
      </c>
      <c r="U30" s="464">
        <v>0</v>
      </c>
      <c r="V30" s="464">
        <v>0</v>
      </c>
      <c r="W30" s="465">
        <v>0</v>
      </c>
      <c r="X30" s="14">
        <f t="shared" si="12"/>
        <v>10738053</v>
      </c>
      <c r="Y30" s="145">
        <f t="shared" si="13"/>
        <v>32.599999999999994</v>
      </c>
      <c r="Z30" s="14">
        <f t="shared" si="14"/>
        <v>15977092</v>
      </c>
      <c r="AA30" s="14">
        <f t="shared" si="15"/>
        <v>0</v>
      </c>
      <c r="AB30" s="146">
        <f t="shared" si="2"/>
        <v>21.61</v>
      </c>
      <c r="AC30" s="147">
        <f t="shared" si="3"/>
        <v>10.54</v>
      </c>
      <c r="AD30" s="127">
        <f t="shared" si="4"/>
        <v>32.15</v>
      </c>
      <c r="AE30" s="77">
        <f t="shared" si="16"/>
        <v>15977092</v>
      </c>
      <c r="AF30" s="155">
        <v>0.02</v>
      </c>
      <c r="AG30" s="281">
        <v>28486445</v>
      </c>
      <c r="AH30" s="281">
        <v>0</v>
      </c>
      <c r="AI30" s="475">
        <f t="shared" si="17"/>
        <v>28486445</v>
      </c>
      <c r="AJ30" s="77">
        <v>1259993000</v>
      </c>
      <c r="AK30" s="77">
        <f t="shared" si="20"/>
        <v>1424322250</v>
      </c>
      <c r="AL30" s="569">
        <f t="shared" si="18"/>
        <v>0.13042076424234103</v>
      </c>
      <c r="AM30" s="572">
        <f t="shared" si="19"/>
        <v>1424322250</v>
      </c>
      <c r="AN30" s="129">
        <f t="shared" si="6"/>
        <v>0.02</v>
      </c>
      <c r="AO30" s="129">
        <f t="shared" si="7"/>
        <v>0</v>
      </c>
      <c r="AP30" s="77">
        <v>566332</v>
      </c>
      <c r="AQ30" s="77">
        <f t="shared" si="8"/>
        <v>45029869</v>
      </c>
      <c r="AR30" s="77">
        <f>ROUND(AQ30/'Table 3 Levels 1&amp;2'!C30,2)</f>
        <v>3353.43</v>
      </c>
    </row>
    <row r="31" spans="1:44">
      <c r="A31" s="12">
        <v>24</v>
      </c>
      <c r="B31" s="69" t="s">
        <v>115</v>
      </c>
      <c r="C31" s="14">
        <v>469332572</v>
      </c>
      <c r="D31" s="14">
        <v>44984992</v>
      </c>
      <c r="E31" s="14">
        <f t="shared" si="9"/>
        <v>424347580</v>
      </c>
      <c r="F31" s="14">
        <v>412190548</v>
      </c>
      <c r="G31" s="562">
        <f t="shared" si="10"/>
        <v>2.9493718521658094E-2</v>
      </c>
      <c r="H31" s="563">
        <f t="shared" si="1"/>
        <v>424347580</v>
      </c>
      <c r="I31" s="481">
        <v>3.49</v>
      </c>
      <c r="J31" s="465">
        <v>1464679</v>
      </c>
      <c r="K31" s="481">
        <v>53.17</v>
      </c>
      <c r="L31" s="465">
        <v>19214327</v>
      </c>
      <c r="M31" s="464">
        <v>0</v>
      </c>
      <c r="N31" s="464">
        <v>0</v>
      </c>
      <c r="O31" s="464">
        <v>0</v>
      </c>
      <c r="P31" s="465">
        <v>0</v>
      </c>
      <c r="Q31" s="77">
        <f t="shared" si="11"/>
        <v>20679006</v>
      </c>
      <c r="R31" s="464">
        <v>0</v>
      </c>
      <c r="S31" s="465">
        <v>3100000</v>
      </c>
      <c r="T31" s="464">
        <v>0</v>
      </c>
      <c r="U31" s="464">
        <v>0</v>
      </c>
      <c r="V31" s="464">
        <v>0</v>
      </c>
      <c r="W31" s="465">
        <v>0</v>
      </c>
      <c r="X31" s="14">
        <f t="shared" si="12"/>
        <v>3100000</v>
      </c>
      <c r="Y31" s="145">
        <f t="shared" si="13"/>
        <v>56.660000000000004</v>
      </c>
      <c r="Z31" s="14">
        <f t="shared" si="14"/>
        <v>23779006</v>
      </c>
      <c r="AA31" s="14">
        <f t="shared" si="15"/>
        <v>0</v>
      </c>
      <c r="AB31" s="146">
        <f t="shared" si="2"/>
        <v>7.31</v>
      </c>
      <c r="AC31" s="147">
        <f t="shared" si="3"/>
        <v>48.73</v>
      </c>
      <c r="AD31" s="127">
        <f t="shared" si="4"/>
        <v>56.04</v>
      </c>
      <c r="AE31" s="77">
        <f t="shared" si="16"/>
        <v>23779006</v>
      </c>
      <c r="AF31" s="155">
        <v>0.02</v>
      </c>
      <c r="AG31" s="281">
        <v>18663520</v>
      </c>
      <c r="AH31" s="281">
        <v>0</v>
      </c>
      <c r="AI31" s="475">
        <f t="shared" si="17"/>
        <v>18663520</v>
      </c>
      <c r="AJ31" s="77">
        <v>962971950</v>
      </c>
      <c r="AK31" s="77">
        <f t="shared" si="20"/>
        <v>933176000</v>
      </c>
      <c r="AL31" s="569">
        <f t="shared" si="18"/>
        <v>-3.0941659307937266E-2</v>
      </c>
      <c r="AM31" s="572">
        <f t="shared" si="19"/>
        <v>933176000</v>
      </c>
      <c r="AN31" s="129">
        <f t="shared" si="6"/>
        <v>0.02</v>
      </c>
      <c r="AO31" s="129">
        <f t="shared" si="7"/>
        <v>0</v>
      </c>
      <c r="AP31" s="77">
        <v>144561</v>
      </c>
      <c r="AQ31" s="77">
        <f t="shared" si="8"/>
        <v>42587087</v>
      </c>
      <c r="AR31" s="77">
        <f>ROUND(AQ31/'Table 3 Levels 1&amp;2'!C31,2)</f>
        <v>9438.6299999999992</v>
      </c>
    </row>
    <row r="32" spans="1:44">
      <c r="A32" s="18">
        <v>25</v>
      </c>
      <c r="B32" s="70" t="s">
        <v>116</v>
      </c>
      <c r="C32" s="20">
        <v>254041840</v>
      </c>
      <c r="D32" s="20">
        <v>19432690</v>
      </c>
      <c r="E32" s="20">
        <f t="shared" si="9"/>
        <v>234609150</v>
      </c>
      <c r="F32" s="20">
        <v>205225430</v>
      </c>
      <c r="G32" s="566">
        <f t="shared" si="10"/>
        <v>0.14317777285202909</v>
      </c>
      <c r="H32" s="567">
        <f t="shared" si="1"/>
        <v>225747973.00000003</v>
      </c>
      <c r="I32" s="482">
        <v>4.4000000000000004</v>
      </c>
      <c r="J32" s="467">
        <v>1028220</v>
      </c>
      <c r="K32" s="482">
        <v>19.079999999999998</v>
      </c>
      <c r="L32" s="467">
        <v>4459643</v>
      </c>
      <c r="M32" s="466">
        <v>0</v>
      </c>
      <c r="N32" s="466">
        <v>0</v>
      </c>
      <c r="O32" s="466">
        <v>0</v>
      </c>
      <c r="P32" s="467">
        <v>0</v>
      </c>
      <c r="Q32" s="78">
        <f t="shared" si="11"/>
        <v>5487863</v>
      </c>
      <c r="R32" s="466">
        <v>0</v>
      </c>
      <c r="S32" s="467">
        <v>370523</v>
      </c>
      <c r="T32" s="466">
        <v>1</v>
      </c>
      <c r="U32" s="466">
        <v>10</v>
      </c>
      <c r="V32" s="466">
        <v>3</v>
      </c>
      <c r="W32" s="467">
        <v>0</v>
      </c>
      <c r="X32" s="20">
        <f t="shared" si="12"/>
        <v>370523</v>
      </c>
      <c r="Y32" s="148">
        <f t="shared" si="13"/>
        <v>23.479999999999997</v>
      </c>
      <c r="Z32" s="20">
        <f t="shared" si="14"/>
        <v>5858386</v>
      </c>
      <c r="AA32" s="20">
        <f t="shared" si="15"/>
        <v>0</v>
      </c>
      <c r="AB32" s="149">
        <f t="shared" si="2"/>
        <v>1.58</v>
      </c>
      <c r="AC32" s="150">
        <f t="shared" si="3"/>
        <v>23.39</v>
      </c>
      <c r="AD32" s="128">
        <f t="shared" si="4"/>
        <v>24.97</v>
      </c>
      <c r="AE32" s="78">
        <f t="shared" si="16"/>
        <v>5858386</v>
      </c>
      <c r="AF32" s="156">
        <v>0.03</v>
      </c>
      <c r="AG32" s="282">
        <v>6066114</v>
      </c>
      <c r="AH32" s="282">
        <v>0</v>
      </c>
      <c r="AI32" s="476">
        <f t="shared" si="17"/>
        <v>6066114</v>
      </c>
      <c r="AJ32" s="78">
        <v>208921633</v>
      </c>
      <c r="AK32" s="78">
        <f t="shared" si="20"/>
        <v>202203800</v>
      </c>
      <c r="AL32" s="570">
        <f t="shared" si="18"/>
        <v>-3.2154798445405607E-2</v>
      </c>
      <c r="AM32" s="573">
        <f t="shared" si="19"/>
        <v>202203800</v>
      </c>
      <c r="AN32" s="130">
        <f t="shared" si="6"/>
        <v>0.03</v>
      </c>
      <c r="AO32" s="130">
        <f t="shared" si="7"/>
        <v>0</v>
      </c>
      <c r="AP32" s="78">
        <v>111624</v>
      </c>
      <c r="AQ32" s="78">
        <f t="shared" si="8"/>
        <v>12036124</v>
      </c>
      <c r="AR32" s="78">
        <f>ROUND(AQ32/'Table 3 Levels 1&amp;2'!C32,2)</f>
        <v>5414.36</v>
      </c>
    </row>
    <row r="33" spans="1:44" s="75" customFormat="1">
      <c r="A33" s="101">
        <v>26</v>
      </c>
      <c r="B33" s="158" t="s">
        <v>117</v>
      </c>
      <c r="C33" s="77">
        <v>4004920022</v>
      </c>
      <c r="D33" s="77">
        <v>757359030</v>
      </c>
      <c r="E33" s="14">
        <f t="shared" si="9"/>
        <v>3247560992</v>
      </c>
      <c r="F33" s="77">
        <v>3234560195</v>
      </c>
      <c r="G33" s="562">
        <f t="shared" si="10"/>
        <v>4.019339946153019E-3</v>
      </c>
      <c r="H33" s="563">
        <f t="shared" si="1"/>
        <v>3247560992</v>
      </c>
      <c r="I33" s="481">
        <v>2.91</v>
      </c>
      <c r="J33" s="465">
        <v>9427855</v>
      </c>
      <c r="K33" s="481">
        <v>20</v>
      </c>
      <c r="L33" s="465">
        <v>64715549</v>
      </c>
      <c r="M33" s="464">
        <v>0</v>
      </c>
      <c r="N33" s="464">
        <v>0</v>
      </c>
      <c r="O33" s="464">
        <v>0</v>
      </c>
      <c r="P33" s="465">
        <v>0</v>
      </c>
      <c r="Q33" s="77">
        <f t="shared" si="11"/>
        <v>74143404</v>
      </c>
      <c r="R33" s="464">
        <v>0</v>
      </c>
      <c r="S33" s="465">
        <v>0</v>
      </c>
      <c r="T33" s="464">
        <v>0</v>
      </c>
      <c r="U33" s="464">
        <v>0</v>
      </c>
      <c r="V33" s="464">
        <v>0</v>
      </c>
      <c r="W33" s="465">
        <v>0</v>
      </c>
      <c r="X33" s="77">
        <f t="shared" si="12"/>
        <v>0</v>
      </c>
      <c r="Y33" s="159">
        <f t="shared" si="13"/>
        <v>22.91</v>
      </c>
      <c r="Z33" s="77">
        <f t="shared" si="14"/>
        <v>74143404</v>
      </c>
      <c r="AA33" s="77">
        <f t="shared" si="15"/>
        <v>0</v>
      </c>
      <c r="AB33" s="160">
        <f t="shared" si="2"/>
        <v>0</v>
      </c>
      <c r="AC33" s="161">
        <f t="shared" si="3"/>
        <v>22.83</v>
      </c>
      <c r="AD33" s="127">
        <f t="shared" si="4"/>
        <v>22.83</v>
      </c>
      <c r="AE33" s="77">
        <f t="shared" si="16"/>
        <v>74143404</v>
      </c>
      <c r="AF33" s="155">
        <v>0.02</v>
      </c>
      <c r="AG33" s="281">
        <v>170801950</v>
      </c>
      <c r="AH33" s="281">
        <v>0</v>
      </c>
      <c r="AI33" s="475">
        <f t="shared" si="17"/>
        <v>170801950</v>
      </c>
      <c r="AJ33" s="77">
        <v>8672961650</v>
      </c>
      <c r="AK33" s="77">
        <f t="shared" si="20"/>
        <v>8540097500</v>
      </c>
      <c r="AL33" s="569">
        <f t="shared" si="18"/>
        <v>-1.5319351723410422E-2</v>
      </c>
      <c r="AM33" s="572">
        <f t="shared" si="19"/>
        <v>8540097500</v>
      </c>
      <c r="AN33" s="129">
        <f t="shared" si="6"/>
        <v>0.02</v>
      </c>
      <c r="AO33" s="129">
        <f t="shared" si="7"/>
        <v>0</v>
      </c>
      <c r="AP33" s="77">
        <v>2145651</v>
      </c>
      <c r="AQ33" s="77">
        <f t="shared" si="8"/>
        <v>247091005</v>
      </c>
      <c r="AR33" s="77">
        <f>ROUND(AQ33/'Table 3 Levels 1&amp;2'!C33,2)</f>
        <v>5616.47</v>
      </c>
    </row>
    <row r="34" spans="1:44">
      <c r="A34" s="12">
        <v>27</v>
      </c>
      <c r="B34" s="69" t="s">
        <v>118</v>
      </c>
      <c r="C34" s="14">
        <v>223782762</v>
      </c>
      <c r="D34" s="14">
        <v>46005700</v>
      </c>
      <c r="E34" s="14">
        <f t="shared" si="9"/>
        <v>177777062</v>
      </c>
      <c r="F34" s="14">
        <v>174156213</v>
      </c>
      <c r="G34" s="562">
        <f t="shared" si="10"/>
        <v>2.0790811522756296E-2</v>
      </c>
      <c r="H34" s="563">
        <f t="shared" si="1"/>
        <v>177777062</v>
      </c>
      <c r="I34" s="481">
        <v>6.48</v>
      </c>
      <c r="J34" s="465">
        <v>1142639</v>
      </c>
      <c r="K34" s="481">
        <v>10.77</v>
      </c>
      <c r="L34" s="465">
        <v>1899105</v>
      </c>
      <c r="M34" s="464">
        <v>4.0199999999999996</v>
      </c>
      <c r="N34" s="464">
        <v>17.3</v>
      </c>
      <c r="O34" s="464">
        <v>7</v>
      </c>
      <c r="P34" s="465">
        <v>2061866</v>
      </c>
      <c r="Q34" s="77">
        <f t="shared" si="11"/>
        <v>5103610</v>
      </c>
      <c r="R34" s="464">
        <v>0</v>
      </c>
      <c r="S34" s="465">
        <v>0</v>
      </c>
      <c r="T34" s="464">
        <v>3.3</v>
      </c>
      <c r="U34" s="464">
        <v>17.55</v>
      </c>
      <c r="V34" s="464">
        <v>7</v>
      </c>
      <c r="W34" s="465">
        <v>2015863</v>
      </c>
      <c r="X34" s="14">
        <f t="shared" si="12"/>
        <v>2015863</v>
      </c>
      <c r="Y34" s="145">
        <f t="shared" si="13"/>
        <v>17.25</v>
      </c>
      <c r="Z34" s="14">
        <f t="shared" si="14"/>
        <v>3041744</v>
      </c>
      <c r="AA34" s="14">
        <f t="shared" si="15"/>
        <v>4077729</v>
      </c>
      <c r="AB34" s="146">
        <f t="shared" si="2"/>
        <v>11.34</v>
      </c>
      <c r="AC34" s="147">
        <f t="shared" si="3"/>
        <v>28.71</v>
      </c>
      <c r="AD34" s="127">
        <f t="shared" si="4"/>
        <v>40.049999999999997</v>
      </c>
      <c r="AE34" s="77">
        <f t="shared" si="16"/>
        <v>7119473</v>
      </c>
      <c r="AF34" s="155">
        <v>2.5000000000000001E-2</v>
      </c>
      <c r="AG34" s="281">
        <v>9126451</v>
      </c>
      <c r="AH34" s="281">
        <v>1325624</v>
      </c>
      <c r="AI34" s="475">
        <f t="shared" si="17"/>
        <v>10452075</v>
      </c>
      <c r="AJ34" s="77">
        <v>398446080</v>
      </c>
      <c r="AK34" s="77">
        <f t="shared" si="20"/>
        <v>418083000</v>
      </c>
      <c r="AL34" s="569">
        <f t="shared" si="18"/>
        <v>4.9283757541296429E-2</v>
      </c>
      <c r="AM34" s="572">
        <f t="shared" si="19"/>
        <v>418083000</v>
      </c>
      <c r="AN34" s="129">
        <f t="shared" si="6"/>
        <v>2.1829280310368994E-2</v>
      </c>
      <c r="AO34" s="129">
        <f t="shared" si="7"/>
        <v>3.1707196896310062E-3</v>
      </c>
      <c r="AP34" s="77">
        <v>317110.5</v>
      </c>
      <c r="AQ34" s="77">
        <f t="shared" si="8"/>
        <v>17888658.5</v>
      </c>
      <c r="AR34" s="77">
        <f>ROUND(AQ34/'Table 3 Levels 1&amp;2'!C34,2)</f>
        <v>3186.44</v>
      </c>
    </row>
    <row r="35" spans="1:44">
      <c r="A35" s="12">
        <v>28</v>
      </c>
      <c r="B35" s="69" t="s">
        <v>119</v>
      </c>
      <c r="C35" s="14">
        <v>1994635544</v>
      </c>
      <c r="D35" s="14">
        <v>350895141</v>
      </c>
      <c r="E35" s="14">
        <f t="shared" si="9"/>
        <v>1643740403</v>
      </c>
      <c r="F35" s="14">
        <v>1629435454</v>
      </c>
      <c r="G35" s="562">
        <f t="shared" si="10"/>
        <v>8.7790829424287224E-3</v>
      </c>
      <c r="H35" s="563">
        <f t="shared" si="1"/>
        <v>1643740403</v>
      </c>
      <c r="I35" s="481">
        <v>4.59</v>
      </c>
      <c r="J35" s="465">
        <v>7284798</v>
      </c>
      <c r="K35" s="481">
        <v>28.97</v>
      </c>
      <c r="L35" s="465">
        <v>46048026</v>
      </c>
      <c r="M35" s="464">
        <v>0</v>
      </c>
      <c r="N35" s="464">
        <v>0</v>
      </c>
      <c r="O35" s="464">
        <v>0</v>
      </c>
      <c r="P35" s="465">
        <v>0</v>
      </c>
      <c r="Q35" s="77">
        <f t="shared" si="11"/>
        <v>53332824</v>
      </c>
      <c r="R35" s="464">
        <v>0</v>
      </c>
      <c r="S35" s="465">
        <v>0</v>
      </c>
      <c r="T35" s="464">
        <v>0</v>
      </c>
      <c r="U35" s="464">
        <v>0</v>
      </c>
      <c r="V35" s="464">
        <v>0</v>
      </c>
      <c r="W35" s="465">
        <v>0</v>
      </c>
      <c r="X35" s="14">
        <f t="shared" si="12"/>
        <v>0</v>
      </c>
      <c r="Y35" s="145">
        <f t="shared" si="13"/>
        <v>33.56</v>
      </c>
      <c r="Z35" s="14">
        <f t="shared" si="14"/>
        <v>53332824</v>
      </c>
      <c r="AA35" s="14">
        <f t="shared" si="15"/>
        <v>0</v>
      </c>
      <c r="AB35" s="146">
        <f t="shared" si="2"/>
        <v>0</v>
      </c>
      <c r="AC35" s="147">
        <f t="shared" si="3"/>
        <v>32.450000000000003</v>
      </c>
      <c r="AD35" s="127">
        <f t="shared" si="4"/>
        <v>32.450000000000003</v>
      </c>
      <c r="AE35" s="77">
        <f t="shared" si="16"/>
        <v>53332824</v>
      </c>
      <c r="AF35" s="155">
        <v>0.02</v>
      </c>
      <c r="AG35" s="281">
        <v>98896195</v>
      </c>
      <c r="AH35" s="281">
        <v>7482679</v>
      </c>
      <c r="AI35" s="475">
        <f t="shared" si="17"/>
        <v>106378874</v>
      </c>
      <c r="AJ35" s="77">
        <v>4904815000</v>
      </c>
      <c r="AK35" s="77">
        <f t="shared" si="20"/>
        <v>5318943700</v>
      </c>
      <c r="AL35" s="569">
        <f t="shared" si="18"/>
        <v>8.443309278739361E-2</v>
      </c>
      <c r="AM35" s="572">
        <f t="shared" si="19"/>
        <v>5318943700</v>
      </c>
      <c r="AN35" s="129">
        <f t="shared" si="6"/>
        <v>1.8593202067545854E-2</v>
      </c>
      <c r="AO35" s="129">
        <f t="shared" si="7"/>
        <v>1.4067979324541449E-3</v>
      </c>
      <c r="AP35" s="77">
        <v>2195963.5</v>
      </c>
      <c r="AQ35" s="77">
        <f t="shared" si="8"/>
        <v>161907661.5</v>
      </c>
      <c r="AR35" s="77">
        <f>ROUND(AQ35/'Table 3 Levels 1&amp;2'!C35,2)</f>
        <v>5394.94</v>
      </c>
    </row>
    <row r="36" spans="1:44">
      <c r="A36" s="12">
        <v>29</v>
      </c>
      <c r="B36" s="69" t="s">
        <v>120</v>
      </c>
      <c r="C36" s="14">
        <v>914751460</v>
      </c>
      <c r="D36" s="14">
        <v>165590279</v>
      </c>
      <c r="E36" s="14">
        <f t="shared" si="9"/>
        <v>749161181</v>
      </c>
      <c r="F36" s="14">
        <v>733980871</v>
      </c>
      <c r="G36" s="129">
        <f t="shared" si="10"/>
        <v>2.0682160257552543E-2</v>
      </c>
      <c r="H36" s="1101">
        <f t="shared" si="1"/>
        <v>749161181</v>
      </c>
      <c r="I36" s="481">
        <v>3.63</v>
      </c>
      <c r="J36" s="465">
        <v>2662284</v>
      </c>
      <c r="K36" s="481">
        <v>22.47</v>
      </c>
      <c r="L36" s="465">
        <v>16479756</v>
      </c>
      <c r="M36" s="464">
        <v>0</v>
      </c>
      <c r="N36" s="464">
        <v>0</v>
      </c>
      <c r="O36" s="464">
        <v>0</v>
      </c>
      <c r="P36" s="465">
        <v>0</v>
      </c>
      <c r="Q36" s="77">
        <f t="shared" si="11"/>
        <v>19142040</v>
      </c>
      <c r="R36" s="464">
        <v>17.2</v>
      </c>
      <c r="S36" s="465">
        <v>12614677</v>
      </c>
      <c r="T36" s="464">
        <v>0</v>
      </c>
      <c r="U36" s="464">
        <v>0</v>
      </c>
      <c r="V36" s="464">
        <v>0</v>
      </c>
      <c r="W36" s="465">
        <v>0</v>
      </c>
      <c r="X36" s="14">
        <f t="shared" si="12"/>
        <v>12614677</v>
      </c>
      <c r="Y36" s="145">
        <f t="shared" si="13"/>
        <v>43.3</v>
      </c>
      <c r="Z36" s="14">
        <f t="shared" si="14"/>
        <v>31756717</v>
      </c>
      <c r="AA36" s="14">
        <f t="shared" si="15"/>
        <v>0</v>
      </c>
      <c r="AB36" s="146">
        <f t="shared" si="2"/>
        <v>16.84</v>
      </c>
      <c r="AC36" s="147">
        <f t="shared" si="3"/>
        <v>25.55</v>
      </c>
      <c r="AD36" s="127">
        <f t="shared" si="4"/>
        <v>42.39</v>
      </c>
      <c r="AE36" s="77">
        <f t="shared" si="16"/>
        <v>31756717</v>
      </c>
      <c r="AF36" s="155">
        <v>0.02</v>
      </c>
      <c r="AG36" s="281">
        <v>28382070</v>
      </c>
      <c r="AH36" s="281">
        <v>0</v>
      </c>
      <c r="AI36" s="475">
        <f t="shared" si="17"/>
        <v>28382070</v>
      </c>
      <c r="AJ36" s="77">
        <v>1437947300</v>
      </c>
      <c r="AK36" s="77">
        <f t="shared" si="20"/>
        <v>1419103500</v>
      </c>
      <c r="AL36" s="569">
        <f t="shared" si="18"/>
        <v>-1.3104652722669322E-2</v>
      </c>
      <c r="AM36" s="572">
        <f t="shared" si="19"/>
        <v>1419103500</v>
      </c>
      <c r="AN36" s="129">
        <f t="shared" si="6"/>
        <v>0.02</v>
      </c>
      <c r="AO36" s="129">
        <f t="shared" si="7"/>
        <v>0</v>
      </c>
      <c r="AP36" s="77">
        <v>982660</v>
      </c>
      <c r="AQ36" s="77">
        <f t="shared" si="8"/>
        <v>61121447</v>
      </c>
      <c r="AR36" s="77">
        <f>ROUND(AQ36/'Table 3 Levels 1&amp;2'!C36,2)</f>
        <v>4468.2700000000004</v>
      </c>
    </row>
    <row r="37" spans="1:44">
      <c r="A37" s="18">
        <v>30</v>
      </c>
      <c r="B37" s="70" t="s">
        <v>121</v>
      </c>
      <c r="C37" s="20">
        <v>87212385</v>
      </c>
      <c r="D37" s="20">
        <v>20103678</v>
      </c>
      <c r="E37" s="20">
        <f t="shared" si="9"/>
        <v>67108707</v>
      </c>
      <c r="F37" s="20">
        <v>62448120</v>
      </c>
      <c r="G37" s="729">
        <f t="shared" si="10"/>
        <v>7.463134198435438E-2</v>
      </c>
      <c r="H37" s="730">
        <f t="shared" si="1"/>
        <v>67108707</v>
      </c>
      <c r="I37" s="482">
        <v>5.14</v>
      </c>
      <c r="J37" s="467">
        <v>319657</v>
      </c>
      <c r="K37" s="482">
        <v>44.96</v>
      </c>
      <c r="L37" s="467">
        <v>2796064</v>
      </c>
      <c r="M37" s="466">
        <v>0</v>
      </c>
      <c r="N37" s="466">
        <v>0</v>
      </c>
      <c r="O37" s="466">
        <v>0</v>
      </c>
      <c r="P37" s="467">
        <v>0</v>
      </c>
      <c r="Q37" s="78">
        <f t="shared" si="11"/>
        <v>3115721</v>
      </c>
      <c r="R37" s="466">
        <v>0</v>
      </c>
      <c r="S37" s="467">
        <v>0</v>
      </c>
      <c r="T37" s="466">
        <v>0</v>
      </c>
      <c r="U37" s="466">
        <v>0</v>
      </c>
      <c r="V37" s="466">
        <v>0</v>
      </c>
      <c r="W37" s="467">
        <v>0</v>
      </c>
      <c r="X37" s="20">
        <f t="shared" si="12"/>
        <v>0</v>
      </c>
      <c r="Y37" s="148">
        <f t="shared" si="13"/>
        <v>50.1</v>
      </c>
      <c r="Z37" s="20">
        <f t="shared" si="14"/>
        <v>3115721</v>
      </c>
      <c r="AA37" s="20">
        <f t="shared" si="15"/>
        <v>0</v>
      </c>
      <c r="AB37" s="149">
        <f t="shared" si="2"/>
        <v>0</v>
      </c>
      <c r="AC37" s="150">
        <f t="shared" si="3"/>
        <v>46.43</v>
      </c>
      <c r="AD37" s="128">
        <f t="shared" si="4"/>
        <v>46.43</v>
      </c>
      <c r="AE37" s="78">
        <f t="shared" si="16"/>
        <v>3115721</v>
      </c>
      <c r="AF37" s="156">
        <v>0.03</v>
      </c>
      <c r="AG37" s="282">
        <v>5409911</v>
      </c>
      <c r="AH37" s="282">
        <v>825000</v>
      </c>
      <c r="AI37" s="476">
        <f t="shared" si="17"/>
        <v>6234911</v>
      </c>
      <c r="AJ37" s="78">
        <v>191570267</v>
      </c>
      <c r="AK37" s="78">
        <f t="shared" si="20"/>
        <v>207830367</v>
      </c>
      <c r="AL37" s="570">
        <f t="shared" si="18"/>
        <v>8.4877994140917498E-2</v>
      </c>
      <c r="AM37" s="573">
        <f t="shared" si="19"/>
        <v>207830367</v>
      </c>
      <c r="AN37" s="130">
        <f t="shared" si="6"/>
        <v>2.6030416430915509E-2</v>
      </c>
      <c r="AO37" s="130">
        <f t="shared" si="7"/>
        <v>3.9695835209683289E-3</v>
      </c>
      <c r="AP37" s="78">
        <v>86133.5</v>
      </c>
      <c r="AQ37" s="78">
        <f t="shared" si="8"/>
        <v>9436765.5</v>
      </c>
      <c r="AR37" s="78">
        <f>ROUND(AQ37/'Table 3 Levels 1&amp;2'!C37,2)</f>
        <v>3811.29</v>
      </c>
    </row>
    <row r="38" spans="1:44">
      <c r="A38" s="12">
        <v>31</v>
      </c>
      <c r="B38" s="69" t="s">
        <v>122</v>
      </c>
      <c r="C38" s="14">
        <v>412009020</v>
      </c>
      <c r="D38" s="14">
        <v>57082309</v>
      </c>
      <c r="E38" s="14">
        <f t="shared" si="9"/>
        <v>354926711</v>
      </c>
      <c r="F38" s="14">
        <v>353245346</v>
      </c>
      <c r="G38" s="562">
        <f t="shared" si="10"/>
        <v>4.7597654690686286E-3</v>
      </c>
      <c r="H38" s="563">
        <f t="shared" si="1"/>
        <v>354926711</v>
      </c>
      <c r="I38" s="481">
        <v>4.2300000000000004</v>
      </c>
      <c r="J38" s="465">
        <v>1503842</v>
      </c>
      <c r="K38" s="481">
        <v>28.62</v>
      </c>
      <c r="L38" s="465">
        <v>10176658</v>
      </c>
      <c r="M38" s="464">
        <v>4.9400000000000004</v>
      </c>
      <c r="N38" s="464">
        <v>11.85</v>
      </c>
      <c r="O38" s="464">
        <v>4</v>
      </c>
      <c r="P38" s="465">
        <v>989258</v>
      </c>
      <c r="Q38" s="77">
        <f t="shared" si="11"/>
        <v>12669758</v>
      </c>
      <c r="R38" s="464">
        <v>0</v>
      </c>
      <c r="S38" s="465">
        <v>0</v>
      </c>
      <c r="T38" s="464">
        <v>16.95</v>
      </c>
      <c r="U38" s="464">
        <v>40</v>
      </c>
      <c r="V38" s="464">
        <v>4</v>
      </c>
      <c r="W38" s="465">
        <v>3626315</v>
      </c>
      <c r="X38" s="14">
        <f t="shared" si="12"/>
        <v>3626315</v>
      </c>
      <c r="Y38" s="145">
        <f t="shared" si="13"/>
        <v>32.85</v>
      </c>
      <c r="Z38" s="14">
        <f t="shared" si="14"/>
        <v>11680500</v>
      </c>
      <c r="AA38" s="14">
        <f t="shared" si="15"/>
        <v>4615573</v>
      </c>
      <c r="AB38" s="146">
        <f t="shared" si="2"/>
        <v>10.220000000000001</v>
      </c>
      <c r="AC38" s="147">
        <f t="shared" si="3"/>
        <v>35.700000000000003</v>
      </c>
      <c r="AD38" s="127">
        <f t="shared" si="4"/>
        <v>45.91</v>
      </c>
      <c r="AE38" s="77">
        <f t="shared" si="16"/>
        <v>16296073</v>
      </c>
      <c r="AF38" s="155">
        <v>0.02</v>
      </c>
      <c r="AG38" s="281">
        <v>14341049</v>
      </c>
      <c r="AH38" s="281">
        <v>0</v>
      </c>
      <c r="AI38" s="475">
        <f t="shared" si="17"/>
        <v>14341049</v>
      </c>
      <c r="AJ38" s="77">
        <v>725188000</v>
      </c>
      <c r="AK38" s="77">
        <f t="shared" si="20"/>
        <v>717052450</v>
      </c>
      <c r="AL38" s="569">
        <f t="shared" si="18"/>
        <v>-1.1218539192595574E-2</v>
      </c>
      <c r="AM38" s="572">
        <f t="shared" si="19"/>
        <v>717052450</v>
      </c>
      <c r="AN38" s="129">
        <f t="shared" si="6"/>
        <v>0.02</v>
      </c>
      <c r="AO38" s="129">
        <f t="shared" si="7"/>
        <v>0</v>
      </c>
      <c r="AP38" s="77">
        <v>306872</v>
      </c>
      <c r="AQ38" s="77">
        <f t="shared" si="8"/>
        <v>30943994</v>
      </c>
      <c r="AR38" s="77">
        <f>ROUND(AQ38/'Table 3 Levels 1&amp;2'!C38,2)</f>
        <v>4831.22</v>
      </c>
    </row>
    <row r="39" spans="1:44">
      <c r="A39" s="12">
        <v>32</v>
      </c>
      <c r="B39" s="69" t="s">
        <v>123</v>
      </c>
      <c r="C39" s="14">
        <v>647856900</v>
      </c>
      <c r="D39" s="14">
        <v>225468750</v>
      </c>
      <c r="E39" s="14">
        <f t="shared" si="9"/>
        <v>422388150</v>
      </c>
      <c r="F39" s="14">
        <v>408916490</v>
      </c>
      <c r="G39" s="562">
        <f t="shared" si="10"/>
        <v>3.2944770703671057E-2</v>
      </c>
      <c r="H39" s="563">
        <f t="shared" si="1"/>
        <v>422388150</v>
      </c>
      <c r="I39" s="481">
        <v>3.29</v>
      </c>
      <c r="J39" s="465">
        <v>1355053</v>
      </c>
      <c r="K39" s="481">
        <v>19.18</v>
      </c>
      <c r="L39" s="465">
        <v>7899583</v>
      </c>
      <c r="M39" s="464">
        <v>0</v>
      </c>
      <c r="N39" s="464">
        <v>0</v>
      </c>
      <c r="O39" s="464">
        <v>0</v>
      </c>
      <c r="P39" s="465">
        <v>0</v>
      </c>
      <c r="Q39" s="77">
        <f t="shared" si="11"/>
        <v>9254636</v>
      </c>
      <c r="R39" s="464">
        <v>0</v>
      </c>
      <c r="S39" s="465">
        <v>0</v>
      </c>
      <c r="T39" s="464">
        <v>8.7899999999999991</v>
      </c>
      <c r="U39" s="464">
        <v>46.87</v>
      </c>
      <c r="V39" s="464">
        <v>10</v>
      </c>
      <c r="W39" s="465">
        <v>5631056</v>
      </c>
      <c r="X39" s="14">
        <f t="shared" si="12"/>
        <v>5631056</v>
      </c>
      <c r="Y39" s="145">
        <f t="shared" si="13"/>
        <v>22.47</v>
      </c>
      <c r="Z39" s="14">
        <f t="shared" si="14"/>
        <v>9254636</v>
      </c>
      <c r="AA39" s="14">
        <f t="shared" si="15"/>
        <v>5631056</v>
      </c>
      <c r="AB39" s="146">
        <f t="shared" si="2"/>
        <v>13.33</v>
      </c>
      <c r="AC39" s="147">
        <f t="shared" si="3"/>
        <v>21.91</v>
      </c>
      <c r="AD39" s="127">
        <f t="shared" si="4"/>
        <v>35.24</v>
      </c>
      <c r="AE39" s="77">
        <f t="shared" si="16"/>
        <v>14885692</v>
      </c>
      <c r="AF39" s="155">
        <v>2.5000000000000001E-2</v>
      </c>
      <c r="AG39" s="281">
        <v>33545396</v>
      </c>
      <c r="AH39" s="281">
        <v>1155206</v>
      </c>
      <c r="AI39" s="479">
        <f>AG39+AH39</f>
        <v>34700602</v>
      </c>
      <c r="AJ39" s="77">
        <v>1265542400</v>
      </c>
      <c r="AK39" s="77">
        <f t="shared" si="20"/>
        <v>1388024080</v>
      </c>
      <c r="AL39" s="569">
        <f t="shared" si="18"/>
        <v>9.6781964792329367E-2</v>
      </c>
      <c r="AM39" s="572">
        <f t="shared" si="19"/>
        <v>1388024080</v>
      </c>
      <c r="AN39" s="129">
        <f t="shared" si="6"/>
        <v>2.4167733458918091E-2</v>
      </c>
      <c r="AO39" s="129">
        <f t="shared" si="7"/>
        <v>8.3226654108190976E-4</v>
      </c>
      <c r="AP39" s="77">
        <v>938971.5</v>
      </c>
      <c r="AQ39" s="77">
        <f t="shared" si="8"/>
        <v>50525265.5</v>
      </c>
      <c r="AR39" s="77">
        <f>ROUND(AQ39/'Table 3 Levels 1&amp;2'!C39,2)</f>
        <v>2036.08</v>
      </c>
    </row>
    <row r="40" spans="1:44">
      <c r="A40" s="12">
        <v>33</v>
      </c>
      <c r="B40" s="69" t="s">
        <v>124</v>
      </c>
      <c r="C40" s="14">
        <v>116032191</v>
      </c>
      <c r="D40" s="14">
        <v>10202648</v>
      </c>
      <c r="E40" s="14">
        <f t="shared" si="9"/>
        <v>105829543</v>
      </c>
      <c r="F40" s="14">
        <v>103343170</v>
      </c>
      <c r="G40" s="129">
        <f t="shared" si="10"/>
        <v>2.4059383895423374E-2</v>
      </c>
      <c r="H40" s="1101">
        <f t="shared" ref="H40:H76" si="21">IF((E40-F40)/F40&gt;$H$5,F40*(1+$H$5),E40)</f>
        <v>105829543</v>
      </c>
      <c r="I40" s="481">
        <v>4.76</v>
      </c>
      <c r="J40" s="465">
        <v>486166</v>
      </c>
      <c r="K40" s="481">
        <v>5.27</v>
      </c>
      <c r="L40" s="465">
        <v>538249</v>
      </c>
      <c r="M40" s="464">
        <v>0</v>
      </c>
      <c r="N40" s="464">
        <v>0</v>
      </c>
      <c r="O40" s="464">
        <v>0</v>
      </c>
      <c r="P40" s="465">
        <v>0</v>
      </c>
      <c r="Q40" s="77">
        <f t="shared" si="11"/>
        <v>1024415</v>
      </c>
      <c r="R40" s="464">
        <v>13.65</v>
      </c>
      <c r="S40" s="465">
        <v>1394053</v>
      </c>
      <c r="T40" s="464">
        <v>0</v>
      </c>
      <c r="U40" s="464">
        <v>0</v>
      </c>
      <c r="V40" s="464">
        <v>0</v>
      </c>
      <c r="W40" s="465">
        <v>0</v>
      </c>
      <c r="X40" s="14">
        <f t="shared" si="12"/>
        <v>1394053</v>
      </c>
      <c r="Y40" s="145">
        <f t="shared" si="13"/>
        <v>23.68</v>
      </c>
      <c r="Z40" s="14">
        <f t="shared" si="14"/>
        <v>2418468</v>
      </c>
      <c r="AA40" s="14">
        <f t="shared" si="15"/>
        <v>0</v>
      </c>
      <c r="AB40" s="146">
        <f t="shared" ref="AB40:AB71" si="22">ROUND((X40/E40)*1000,2)</f>
        <v>13.17</v>
      </c>
      <c r="AC40" s="147">
        <f t="shared" ref="AC40:AC71" si="23">ROUND((Q40/E40)*1000,2)</f>
        <v>9.68</v>
      </c>
      <c r="AD40" s="127">
        <f t="shared" ref="AD40:AD71" si="24">ROUND((AE40/E40)*1000,2)</f>
        <v>22.85</v>
      </c>
      <c r="AE40" s="77">
        <f t="shared" si="16"/>
        <v>2418468</v>
      </c>
      <c r="AF40" s="155">
        <v>2.5000000000000001E-2</v>
      </c>
      <c r="AG40" s="281">
        <v>1682849</v>
      </c>
      <c r="AH40" s="281">
        <v>1121863</v>
      </c>
      <c r="AI40" s="475">
        <f t="shared" si="17"/>
        <v>2804712</v>
      </c>
      <c r="AJ40" s="77">
        <v>124717280</v>
      </c>
      <c r="AK40" s="77">
        <f t="shared" si="20"/>
        <v>112188480</v>
      </c>
      <c r="AL40" s="569">
        <f t="shared" si="18"/>
        <v>-0.10045761100626954</v>
      </c>
      <c r="AM40" s="572">
        <f t="shared" si="19"/>
        <v>112188480</v>
      </c>
      <c r="AN40" s="129">
        <f t="shared" ref="AN40:AN76" si="25">AG40/AK40</f>
        <v>1.5000194315851324E-2</v>
      </c>
      <c r="AO40" s="129">
        <f t="shared" ref="AO40:AO76" si="26">AH40/AK40</f>
        <v>9.9998056841486757E-3</v>
      </c>
      <c r="AP40" s="77">
        <v>97126</v>
      </c>
      <c r="AQ40" s="77">
        <f t="shared" ref="AQ40:AQ71" si="27">AP40+AE40+AI40</f>
        <v>5320306</v>
      </c>
      <c r="AR40" s="77">
        <f>ROUND(AQ40/'Table 3 Levels 1&amp;2'!C40,2)</f>
        <v>2968.92</v>
      </c>
    </row>
    <row r="41" spans="1:44">
      <c r="A41" s="12">
        <v>34</v>
      </c>
      <c r="B41" s="69" t="s">
        <v>125</v>
      </c>
      <c r="C41" s="14">
        <v>188798960</v>
      </c>
      <c r="D41" s="14">
        <v>36509244</v>
      </c>
      <c r="E41" s="14">
        <f t="shared" si="9"/>
        <v>152289716</v>
      </c>
      <c r="F41" s="14">
        <v>151746769</v>
      </c>
      <c r="G41" s="562">
        <f t="shared" si="10"/>
        <v>3.5779806290307243E-3</v>
      </c>
      <c r="H41" s="563">
        <f t="shared" si="21"/>
        <v>152289716</v>
      </c>
      <c r="I41" s="481">
        <v>5.22</v>
      </c>
      <c r="J41" s="465">
        <v>787195</v>
      </c>
      <c r="K41" s="481">
        <v>22.46</v>
      </c>
      <c r="L41" s="465">
        <v>3387030</v>
      </c>
      <c r="M41" s="464">
        <v>5</v>
      </c>
      <c r="N41" s="464">
        <v>9.9499999999999993</v>
      </c>
      <c r="O41" s="464">
        <v>2</v>
      </c>
      <c r="P41" s="465">
        <v>468550</v>
      </c>
      <c r="Q41" s="77">
        <f t="shared" si="11"/>
        <v>4642775</v>
      </c>
      <c r="R41" s="464">
        <v>10</v>
      </c>
      <c r="S41" s="465">
        <v>1507778</v>
      </c>
      <c r="T41" s="464">
        <v>0</v>
      </c>
      <c r="U41" s="464">
        <v>0</v>
      </c>
      <c r="V41" s="464">
        <v>0</v>
      </c>
      <c r="W41" s="465">
        <v>0</v>
      </c>
      <c r="X41" s="14">
        <f t="shared" si="12"/>
        <v>1507778</v>
      </c>
      <c r="Y41" s="145">
        <f t="shared" si="13"/>
        <v>37.68</v>
      </c>
      <c r="Z41" s="14">
        <f t="shared" si="14"/>
        <v>5682003</v>
      </c>
      <c r="AA41" s="14">
        <f t="shared" si="15"/>
        <v>468550</v>
      </c>
      <c r="AB41" s="146">
        <f t="shared" si="22"/>
        <v>9.9</v>
      </c>
      <c r="AC41" s="147">
        <f t="shared" si="23"/>
        <v>30.49</v>
      </c>
      <c r="AD41" s="127">
        <f t="shared" si="24"/>
        <v>40.39</v>
      </c>
      <c r="AE41" s="77">
        <f t="shared" si="16"/>
        <v>6150553</v>
      </c>
      <c r="AF41" s="155">
        <v>0.02</v>
      </c>
      <c r="AG41" s="281">
        <v>5912154</v>
      </c>
      <c r="AH41" s="281">
        <v>0</v>
      </c>
      <c r="AI41" s="475">
        <f t="shared" si="17"/>
        <v>5912154</v>
      </c>
      <c r="AJ41" s="77">
        <v>289578450</v>
      </c>
      <c r="AK41" s="77">
        <f t="shared" si="20"/>
        <v>295607700</v>
      </c>
      <c r="AL41" s="569">
        <f t="shared" si="18"/>
        <v>2.0820782761976936E-2</v>
      </c>
      <c r="AM41" s="572">
        <f t="shared" si="19"/>
        <v>295607700</v>
      </c>
      <c r="AN41" s="129">
        <f t="shared" si="25"/>
        <v>0.02</v>
      </c>
      <c r="AO41" s="129">
        <f t="shared" si="26"/>
        <v>0</v>
      </c>
      <c r="AP41" s="77">
        <v>246493.5</v>
      </c>
      <c r="AQ41" s="77">
        <f t="shared" si="27"/>
        <v>12309200.5</v>
      </c>
      <c r="AR41" s="77">
        <f>ROUND(AQ41/'Table 3 Levels 1&amp;2'!C41,2)</f>
        <v>2881.37</v>
      </c>
    </row>
    <row r="42" spans="1:44">
      <c r="A42" s="18">
        <v>35</v>
      </c>
      <c r="B42" s="70" t="s">
        <v>126</v>
      </c>
      <c r="C42" s="20">
        <v>292734730</v>
      </c>
      <c r="D42" s="20">
        <v>50880086</v>
      </c>
      <c r="E42" s="20">
        <f t="shared" si="9"/>
        <v>241854644</v>
      </c>
      <c r="F42" s="20">
        <v>224573114</v>
      </c>
      <c r="G42" s="729">
        <f t="shared" si="10"/>
        <v>7.6952800324975673E-2</v>
      </c>
      <c r="H42" s="730">
        <f t="shared" si="21"/>
        <v>241854644</v>
      </c>
      <c r="I42" s="482">
        <v>4.6500000000000004</v>
      </c>
      <c r="J42" s="467">
        <v>1066853</v>
      </c>
      <c r="K42" s="482">
        <v>7</v>
      </c>
      <c r="L42" s="467">
        <v>1606015</v>
      </c>
      <c r="M42" s="466">
        <v>7</v>
      </c>
      <c r="N42" s="466">
        <v>20</v>
      </c>
      <c r="O42" s="466">
        <v>5</v>
      </c>
      <c r="P42" s="467">
        <v>1751002</v>
      </c>
      <c r="Q42" s="78">
        <f t="shared" si="11"/>
        <v>4423870</v>
      </c>
      <c r="R42" s="466">
        <v>0</v>
      </c>
      <c r="S42" s="467">
        <v>0</v>
      </c>
      <c r="T42" s="466">
        <v>10</v>
      </c>
      <c r="U42" s="466">
        <v>14</v>
      </c>
      <c r="V42" s="466">
        <v>3</v>
      </c>
      <c r="W42" s="467">
        <v>2576445</v>
      </c>
      <c r="X42" s="20">
        <f t="shared" si="12"/>
        <v>2576445</v>
      </c>
      <c r="Y42" s="148">
        <f t="shared" si="13"/>
        <v>11.65</v>
      </c>
      <c r="Z42" s="20">
        <f t="shared" si="14"/>
        <v>2672868</v>
      </c>
      <c r="AA42" s="20">
        <f t="shared" si="15"/>
        <v>4327447</v>
      </c>
      <c r="AB42" s="149">
        <f t="shared" si="22"/>
        <v>10.65</v>
      </c>
      <c r="AC42" s="150">
        <f t="shared" si="23"/>
        <v>18.29</v>
      </c>
      <c r="AD42" s="128">
        <f t="shared" si="24"/>
        <v>28.94</v>
      </c>
      <c r="AE42" s="78">
        <f t="shared" si="16"/>
        <v>7000315</v>
      </c>
      <c r="AF42" s="156">
        <v>0.02</v>
      </c>
      <c r="AG42" s="282">
        <v>15482135</v>
      </c>
      <c r="AH42" s="282">
        <v>0</v>
      </c>
      <c r="AI42" s="476">
        <f t="shared" si="17"/>
        <v>15482135</v>
      </c>
      <c r="AJ42" s="78">
        <v>665957400</v>
      </c>
      <c r="AK42" s="78">
        <f t="shared" si="20"/>
        <v>774106750</v>
      </c>
      <c r="AL42" s="727">
        <f t="shared" si="18"/>
        <v>0.16239679895440759</v>
      </c>
      <c r="AM42" s="728">
        <f t="shared" si="19"/>
        <v>765851010</v>
      </c>
      <c r="AN42" s="130">
        <f t="shared" si="25"/>
        <v>0.02</v>
      </c>
      <c r="AO42" s="130">
        <f t="shared" si="26"/>
        <v>0</v>
      </c>
      <c r="AP42" s="78">
        <v>1089831</v>
      </c>
      <c r="AQ42" s="78">
        <f t="shared" si="27"/>
        <v>23572281</v>
      </c>
      <c r="AR42" s="78">
        <f>ROUND(AQ42/'Table 3 Levels 1&amp;2'!C42,2)</f>
        <v>3632.09</v>
      </c>
    </row>
    <row r="43" spans="1:44">
      <c r="A43" s="12">
        <v>36</v>
      </c>
      <c r="B43" s="69" t="s">
        <v>127</v>
      </c>
      <c r="C43" s="14">
        <v>3334929042</v>
      </c>
      <c r="D43" s="14">
        <v>385256805</v>
      </c>
      <c r="E43" s="14">
        <f t="shared" si="9"/>
        <v>2949672237</v>
      </c>
      <c r="F43" s="14">
        <v>2766725610</v>
      </c>
      <c r="G43" s="562">
        <f t="shared" si="10"/>
        <v>6.6123878110196835E-2</v>
      </c>
      <c r="H43" s="563">
        <f t="shared" si="21"/>
        <v>2949672237</v>
      </c>
      <c r="I43" s="481">
        <v>27.65</v>
      </c>
      <c r="J43" s="465">
        <v>77046246</v>
      </c>
      <c r="K43" s="481">
        <v>11.5</v>
      </c>
      <c r="L43" s="465">
        <v>29877503</v>
      </c>
      <c r="M43" s="464">
        <v>0</v>
      </c>
      <c r="N43" s="464">
        <v>0</v>
      </c>
      <c r="O43" s="464">
        <v>0</v>
      </c>
      <c r="P43" s="465">
        <v>0</v>
      </c>
      <c r="Q43" s="77">
        <f t="shared" si="11"/>
        <v>106923749</v>
      </c>
      <c r="R43" s="464">
        <v>4.97</v>
      </c>
      <c r="S43" s="465">
        <v>13523787</v>
      </c>
      <c r="T43" s="464">
        <v>0</v>
      </c>
      <c r="U43" s="464">
        <v>0</v>
      </c>
      <c r="V43" s="464">
        <v>0</v>
      </c>
      <c r="W43" s="465">
        <v>0</v>
      </c>
      <c r="X43" s="14">
        <f t="shared" si="12"/>
        <v>13523787</v>
      </c>
      <c r="Y43" s="145">
        <f t="shared" si="13"/>
        <v>44.12</v>
      </c>
      <c r="Z43" s="14">
        <f t="shared" si="14"/>
        <v>120447536</v>
      </c>
      <c r="AA43" s="14">
        <f t="shared" si="15"/>
        <v>0</v>
      </c>
      <c r="AB43" s="146">
        <f t="shared" si="22"/>
        <v>4.58</v>
      </c>
      <c r="AC43" s="147">
        <f t="shared" si="23"/>
        <v>36.25</v>
      </c>
      <c r="AD43" s="127">
        <f t="shared" si="24"/>
        <v>40.83</v>
      </c>
      <c r="AE43" s="77">
        <f t="shared" si="16"/>
        <v>120447536</v>
      </c>
      <c r="AF43" s="155">
        <v>1.4999999999999999E-2</v>
      </c>
      <c r="AG43" s="281">
        <v>75558162</v>
      </c>
      <c r="AH43" s="281">
        <v>15262624</v>
      </c>
      <c r="AI43" s="475">
        <f t="shared" si="17"/>
        <v>90820786</v>
      </c>
      <c r="AJ43" s="77">
        <v>6340641067</v>
      </c>
      <c r="AK43" s="77">
        <f t="shared" si="20"/>
        <v>6054719067</v>
      </c>
      <c r="AL43" s="569">
        <f t="shared" si="18"/>
        <v>-4.50935476363876E-2</v>
      </c>
      <c r="AM43" s="572">
        <f t="shared" si="19"/>
        <v>6054719067</v>
      </c>
      <c r="AN43" s="129">
        <f t="shared" si="25"/>
        <v>1.2479218468089496E-2</v>
      </c>
      <c r="AO43" s="129">
        <f t="shared" si="26"/>
        <v>2.5207815310847024E-3</v>
      </c>
      <c r="AP43" s="77">
        <v>2253417</v>
      </c>
      <c r="AQ43" s="77">
        <f t="shared" si="27"/>
        <v>213521739</v>
      </c>
      <c r="AR43" s="77">
        <f>ROUND(AQ43/'Table 3 Levels 1&amp;2'!C43,2)</f>
        <v>5245.72</v>
      </c>
    </row>
    <row r="44" spans="1:44">
      <c r="A44" s="12">
        <v>37</v>
      </c>
      <c r="B44" s="69" t="s">
        <v>128</v>
      </c>
      <c r="C44" s="14">
        <v>714480356</v>
      </c>
      <c r="D44" s="14">
        <v>158255332</v>
      </c>
      <c r="E44" s="14">
        <f t="shared" si="9"/>
        <v>556225024</v>
      </c>
      <c r="F44" s="14">
        <v>536837311</v>
      </c>
      <c r="G44" s="562">
        <f t="shared" si="10"/>
        <v>3.6114689874825037E-2</v>
      </c>
      <c r="H44" s="563">
        <f t="shared" si="21"/>
        <v>556225024</v>
      </c>
      <c r="I44" s="481">
        <v>5.18</v>
      </c>
      <c r="J44" s="465">
        <v>3089029</v>
      </c>
      <c r="K44" s="481">
        <v>24.15</v>
      </c>
      <c r="L44" s="465">
        <v>13091567</v>
      </c>
      <c r="M44" s="464">
        <v>0</v>
      </c>
      <c r="N44" s="464">
        <v>0</v>
      </c>
      <c r="O44" s="464">
        <v>1</v>
      </c>
      <c r="P44" s="465">
        <v>0</v>
      </c>
      <c r="Q44" s="77">
        <f t="shared" si="11"/>
        <v>16180596</v>
      </c>
      <c r="R44" s="464">
        <v>0</v>
      </c>
      <c r="S44" s="465">
        <v>6195095</v>
      </c>
      <c r="T44" s="464">
        <v>30</v>
      </c>
      <c r="U44" s="464">
        <v>30</v>
      </c>
      <c r="V44" s="464">
        <v>1</v>
      </c>
      <c r="W44" s="465">
        <v>0</v>
      </c>
      <c r="X44" s="14">
        <f t="shared" si="12"/>
        <v>6195095</v>
      </c>
      <c r="Y44" s="145">
        <f t="shared" si="13"/>
        <v>29.33</v>
      </c>
      <c r="Z44" s="14">
        <f t="shared" si="14"/>
        <v>22375691</v>
      </c>
      <c r="AA44" s="14">
        <f t="shared" si="15"/>
        <v>0</v>
      </c>
      <c r="AB44" s="146">
        <f t="shared" si="22"/>
        <v>11.14</v>
      </c>
      <c r="AC44" s="147">
        <f t="shared" si="23"/>
        <v>29.09</v>
      </c>
      <c r="AD44" s="127">
        <f t="shared" si="24"/>
        <v>40.229999999999997</v>
      </c>
      <c r="AE44" s="77">
        <f t="shared" si="16"/>
        <v>22375691</v>
      </c>
      <c r="AF44" s="155">
        <v>0.03</v>
      </c>
      <c r="AG44" s="281">
        <v>30683327</v>
      </c>
      <c r="AH44" s="281">
        <v>8719438</v>
      </c>
      <c r="AI44" s="475">
        <f t="shared" si="17"/>
        <v>39402765</v>
      </c>
      <c r="AJ44" s="77">
        <v>1254249833</v>
      </c>
      <c r="AK44" s="77">
        <f t="shared" si="20"/>
        <v>1313425500</v>
      </c>
      <c r="AL44" s="569">
        <f t="shared" si="18"/>
        <v>4.7180127469867481E-2</v>
      </c>
      <c r="AM44" s="572">
        <f t="shared" si="19"/>
        <v>1313425500</v>
      </c>
      <c r="AN44" s="129">
        <f t="shared" si="25"/>
        <v>2.3361299898623865E-2</v>
      </c>
      <c r="AO44" s="129">
        <f t="shared" si="26"/>
        <v>6.638700101376134E-3</v>
      </c>
      <c r="AP44" s="77">
        <v>848543.5</v>
      </c>
      <c r="AQ44" s="77">
        <f t="shared" si="27"/>
        <v>62626999.5</v>
      </c>
      <c r="AR44" s="77">
        <f>ROUND(AQ44/'Table 3 Levels 1&amp;2'!C44,2)</f>
        <v>3191.67</v>
      </c>
    </row>
    <row r="45" spans="1:44">
      <c r="A45" s="12">
        <v>38</v>
      </c>
      <c r="B45" s="69" t="s">
        <v>129</v>
      </c>
      <c r="C45" s="14">
        <v>970621492</v>
      </c>
      <c r="D45" s="14">
        <v>30293195</v>
      </c>
      <c r="E45" s="14">
        <f t="shared" si="9"/>
        <v>940328297</v>
      </c>
      <c r="F45" s="14">
        <v>901760599</v>
      </c>
      <c r="G45" s="562">
        <f t="shared" si="10"/>
        <v>4.2769331508572601E-2</v>
      </c>
      <c r="H45" s="563">
        <f t="shared" si="21"/>
        <v>940328297</v>
      </c>
      <c r="I45" s="481">
        <v>6.03</v>
      </c>
      <c r="J45" s="465">
        <v>5370147</v>
      </c>
      <c r="K45" s="481">
        <v>18.38</v>
      </c>
      <c r="L45" s="465">
        <v>16092173</v>
      </c>
      <c r="M45" s="464">
        <v>0</v>
      </c>
      <c r="N45" s="464">
        <v>0</v>
      </c>
      <c r="O45" s="464">
        <v>0</v>
      </c>
      <c r="P45" s="465">
        <v>0</v>
      </c>
      <c r="Q45" s="77">
        <f t="shared" si="11"/>
        <v>21462320</v>
      </c>
      <c r="R45" s="464">
        <v>0</v>
      </c>
      <c r="S45" s="465">
        <v>0</v>
      </c>
      <c r="T45" s="464">
        <v>0</v>
      </c>
      <c r="U45" s="464">
        <v>0</v>
      </c>
      <c r="V45" s="464">
        <v>0</v>
      </c>
      <c r="W45" s="465">
        <v>0</v>
      </c>
      <c r="X45" s="14">
        <f t="shared" si="12"/>
        <v>0</v>
      </c>
      <c r="Y45" s="145">
        <f t="shared" si="13"/>
        <v>24.41</v>
      </c>
      <c r="Z45" s="14">
        <f t="shared" si="14"/>
        <v>21462320</v>
      </c>
      <c r="AA45" s="14">
        <f t="shared" si="15"/>
        <v>0</v>
      </c>
      <c r="AB45" s="146">
        <f t="shared" si="22"/>
        <v>0</v>
      </c>
      <c r="AC45" s="147">
        <f t="shared" si="23"/>
        <v>22.82</v>
      </c>
      <c r="AD45" s="127">
        <f t="shared" si="24"/>
        <v>22.82</v>
      </c>
      <c r="AE45" s="77">
        <f t="shared" si="16"/>
        <v>21462320</v>
      </c>
      <c r="AF45" s="155">
        <v>0.02</v>
      </c>
      <c r="AG45" s="281">
        <v>20498792</v>
      </c>
      <c r="AH45" s="281">
        <v>0</v>
      </c>
      <c r="AI45" s="475">
        <f t="shared" si="17"/>
        <v>20498792</v>
      </c>
      <c r="AJ45" s="77">
        <v>1145616450</v>
      </c>
      <c r="AK45" s="77">
        <f t="shared" si="20"/>
        <v>1024939600</v>
      </c>
      <c r="AL45" s="155">
        <f t="shared" si="18"/>
        <v>-0.10533791654266138</v>
      </c>
      <c r="AM45" s="77">
        <f t="shared" si="19"/>
        <v>1024939600</v>
      </c>
      <c r="AN45" s="129">
        <f t="shared" si="25"/>
        <v>0.02</v>
      </c>
      <c r="AO45" s="129">
        <f t="shared" si="26"/>
        <v>0</v>
      </c>
      <c r="AP45" s="77">
        <v>126930.5</v>
      </c>
      <c r="AQ45" s="77">
        <f t="shared" si="27"/>
        <v>42088042.5</v>
      </c>
      <c r="AR45" s="77">
        <f>ROUND(AQ45/'Table 3 Levels 1&amp;2'!C45,2)</f>
        <v>11046.73</v>
      </c>
    </row>
    <row r="46" spans="1:44">
      <c r="A46" s="12">
        <v>39</v>
      </c>
      <c r="B46" s="69" t="s">
        <v>130</v>
      </c>
      <c r="C46" s="14">
        <v>374483692</v>
      </c>
      <c r="D46" s="14">
        <v>38728901</v>
      </c>
      <c r="E46" s="14">
        <f t="shared" si="9"/>
        <v>335754791</v>
      </c>
      <c r="F46" s="14">
        <v>340208064</v>
      </c>
      <c r="G46" s="562">
        <f t="shared" si="10"/>
        <v>-1.30898513916472E-2</v>
      </c>
      <c r="H46" s="563">
        <f t="shared" si="21"/>
        <v>335754791</v>
      </c>
      <c r="I46" s="481">
        <v>4.54</v>
      </c>
      <c r="J46" s="465">
        <v>1517547</v>
      </c>
      <c r="K46" s="481">
        <v>11.96</v>
      </c>
      <c r="L46" s="465">
        <v>3997758</v>
      </c>
      <c r="M46" s="464">
        <v>0</v>
      </c>
      <c r="N46" s="464">
        <v>0</v>
      </c>
      <c r="O46" s="464">
        <v>0</v>
      </c>
      <c r="P46" s="465">
        <v>0</v>
      </c>
      <c r="Q46" s="77">
        <f t="shared" si="11"/>
        <v>5515305</v>
      </c>
      <c r="R46" s="464">
        <v>0</v>
      </c>
      <c r="S46" s="465">
        <v>0</v>
      </c>
      <c r="T46" s="464">
        <v>0</v>
      </c>
      <c r="U46" s="464">
        <v>10</v>
      </c>
      <c r="V46" s="464">
        <v>1</v>
      </c>
      <c r="W46" s="465">
        <v>378190</v>
      </c>
      <c r="X46" s="14">
        <f t="shared" si="12"/>
        <v>378190</v>
      </c>
      <c r="Y46" s="145">
        <f t="shared" si="13"/>
        <v>16.5</v>
      </c>
      <c r="Z46" s="14">
        <f t="shared" si="14"/>
        <v>5515305</v>
      </c>
      <c r="AA46" s="14">
        <f t="shared" si="15"/>
        <v>378190</v>
      </c>
      <c r="AB46" s="146">
        <f t="shared" si="22"/>
        <v>1.1299999999999999</v>
      </c>
      <c r="AC46" s="147">
        <f t="shared" si="23"/>
        <v>16.43</v>
      </c>
      <c r="AD46" s="127">
        <f t="shared" si="24"/>
        <v>17.55</v>
      </c>
      <c r="AE46" s="77">
        <f t="shared" si="16"/>
        <v>5893495</v>
      </c>
      <c r="AF46" s="155">
        <v>0.02</v>
      </c>
      <c r="AG46" s="281">
        <v>6689700</v>
      </c>
      <c r="AH46" s="281">
        <v>0</v>
      </c>
      <c r="AI46" s="475">
        <f t="shared" si="17"/>
        <v>6689700</v>
      </c>
      <c r="AJ46" s="77">
        <v>288483000</v>
      </c>
      <c r="AK46" s="77">
        <f t="shared" si="20"/>
        <v>334485000</v>
      </c>
      <c r="AL46" s="571">
        <f t="shared" si="18"/>
        <v>0.15946173604683811</v>
      </c>
      <c r="AM46" s="574">
        <f t="shared" si="19"/>
        <v>331755450</v>
      </c>
      <c r="AN46" s="129">
        <f t="shared" si="25"/>
        <v>0.02</v>
      </c>
      <c r="AO46" s="129">
        <f t="shared" si="26"/>
        <v>0</v>
      </c>
      <c r="AP46" s="77">
        <v>156094</v>
      </c>
      <c r="AQ46" s="77">
        <f t="shared" si="27"/>
        <v>12739289</v>
      </c>
      <c r="AR46" s="77">
        <f>ROUND(AQ46/'Table 3 Levels 1&amp;2'!C46,2)</f>
        <v>4487.25</v>
      </c>
    </row>
    <row r="47" spans="1:44">
      <c r="A47" s="18">
        <v>40</v>
      </c>
      <c r="B47" s="70" t="s">
        <v>131</v>
      </c>
      <c r="C47" s="20">
        <v>825408687</v>
      </c>
      <c r="D47" s="20">
        <v>175594887</v>
      </c>
      <c r="E47" s="20">
        <f t="shared" si="9"/>
        <v>649813800</v>
      </c>
      <c r="F47" s="20">
        <v>625394815</v>
      </c>
      <c r="G47" s="729">
        <f t="shared" si="10"/>
        <v>3.904571066838794E-2</v>
      </c>
      <c r="H47" s="730">
        <f t="shared" si="21"/>
        <v>649813800</v>
      </c>
      <c r="I47" s="482">
        <v>4.79</v>
      </c>
      <c r="J47" s="467">
        <v>3081398</v>
      </c>
      <c r="K47" s="482">
        <v>21.03</v>
      </c>
      <c r="L47" s="467">
        <v>13574800</v>
      </c>
      <c r="M47" s="466">
        <v>9.56</v>
      </c>
      <c r="N47" s="466">
        <v>48.3</v>
      </c>
      <c r="O47" s="466">
        <v>26</v>
      </c>
      <c r="P47" s="467">
        <v>6899293</v>
      </c>
      <c r="Q47" s="78">
        <f t="shared" si="11"/>
        <v>23555491</v>
      </c>
      <c r="R47" s="466">
        <v>0</v>
      </c>
      <c r="S47" s="467">
        <v>0</v>
      </c>
      <c r="T47" s="466">
        <v>10.5</v>
      </c>
      <c r="U47" s="466">
        <v>52</v>
      </c>
      <c r="V47" s="466">
        <v>13</v>
      </c>
      <c r="W47" s="467">
        <v>8724924</v>
      </c>
      <c r="X47" s="20">
        <f t="shared" si="12"/>
        <v>8724924</v>
      </c>
      <c r="Y47" s="148">
        <f t="shared" si="13"/>
        <v>25.82</v>
      </c>
      <c r="Z47" s="20">
        <f t="shared" si="14"/>
        <v>16656198</v>
      </c>
      <c r="AA47" s="20">
        <f t="shared" si="15"/>
        <v>15624217</v>
      </c>
      <c r="AB47" s="149">
        <f t="shared" si="22"/>
        <v>13.43</v>
      </c>
      <c r="AC47" s="150">
        <f t="shared" si="23"/>
        <v>36.25</v>
      </c>
      <c r="AD47" s="128">
        <f t="shared" si="24"/>
        <v>49.68</v>
      </c>
      <c r="AE47" s="78">
        <f t="shared" si="16"/>
        <v>32280415</v>
      </c>
      <c r="AF47" s="156">
        <v>1.4999999999999999E-2</v>
      </c>
      <c r="AG47" s="282">
        <v>35861372</v>
      </c>
      <c r="AH47" s="282">
        <v>0</v>
      </c>
      <c r="AI47" s="476">
        <f t="shared" si="17"/>
        <v>35861372</v>
      </c>
      <c r="AJ47" s="78">
        <v>2304667800</v>
      </c>
      <c r="AK47" s="78">
        <f t="shared" si="20"/>
        <v>2390758133</v>
      </c>
      <c r="AL47" s="570">
        <f t="shared" si="18"/>
        <v>3.7354768873848108E-2</v>
      </c>
      <c r="AM47" s="573">
        <f t="shared" si="19"/>
        <v>2390758133</v>
      </c>
      <c r="AN47" s="130">
        <f t="shared" si="25"/>
        <v>1.5000000002091387E-2</v>
      </c>
      <c r="AO47" s="130">
        <f t="shared" si="26"/>
        <v>0</v>
      </c>
      <c r="AP47" s="78">
        <v>1136698</v>
      </c>
      <c r="AQ47" s="78">
        <f t="shared" si="27"/>
        <v>69278485</v>
      </c>
      <c r="AR47" s="78">
        <f>ROUND(AQ47/'Table 3 Levels 1&amp;2'!C47,2)</f>
        <v>3015.39</v>
      </c>
    </row>
    <row r="48" spans="1:44">
      <c r="A48" s="12">
        <v>41</v>
      </c>
      <c r="B48" s="69" t="s">
        <v>132</v>
      </c>
      <c r="C48" s="14">
        <v>163855040</v>
      </c>
      <c r="D48" s="14">
        <v>10407090</v>
      </c>
      <c r="E48" s="14">
        <f t="shared" si="9"/>
        <v>153447950</v>
      </c>
      <c r="F48" s="14">
        <v>114814510</v>
      </c>
      <c r="G48" s="564">
        <f t="shared" si="10"/>
        <v>0.33648569331524386</v>
      </c>
      <c r="H48" s="565">
        <f t="shared" si="21"/>
        <v>126295961.00000001</v>
      </c>
      <c r="I48" s="481">
        <v>4.41</v>
      </c>
      <c r="J48" s="465">
        <v>676705</v>
      </c>
      <c r="K48" s="481">
        <v>35.36</v>
      </c>
      <c r="L48" s="465">
        <v>5425920</v>
      </c>
      <c r="M48" s="464">
        <v>0</v>
      </c>
      <c r="N48" s="464">
        <v>0</v>
      </c>
      <c r="O48" s="464">
        <v>0</v>
      </c>
      <c r="P48" s="465">
        <v>0</v>
      </c>
      <c r="Q48" s="77">
        <f t="shared" si="11"/>
        <v>6102625</v>
      </c>
      <c r="R48" s="464">
        <v>5.5</v>
      </c>
      <c r="S48" s="465">
        <v>843972</v>
      </c>
      <c r="T48" s="464">
        <v>0</v>
      </c>
      <c r="U48" s="464">
        <v>0</v>
      </c>
      <c r="V48" s="464">
        <v>0</v>
      </c>
      <c r="W48" s="465">
        <v>0</v>
      </c>
      <c r="X48" s="14">
        <f t="shared" si="12"/>
        <v>843972</v>
      </c>
      <c r="Y48" s="145">
        <f t="shared" si="13"/>
        <v>45.269999999999996</v>
      </c>
      <c r="Z48" s="14">
        <f t="shared" si="14"/>
        <v>6946597</v>
      </c>
      <c r="AA48" s="14">
        <f t="shared" si="15"/>
        <v>0</v>
      </c>
      <c r="AB48" s="146">
        <f t="shared" si="22"/>
        <v>5.5</v>
      </c>
      <c r="AC48" s="147">
        <f t="shared" si="23"/>
        <v>39.770000000000003</v>
      </c>
      <c r="AD48" s="127">
        <f t="shared" si="24"/>
        <v>45.27</v>
      </c>
      <c r="AE48" s="77">
        <f t="shared" si="16"/>
        <v>6946597</v>
      </c>
      <c r="AF48" s="155">
        <v>0.02</v>
      </c>
      <c r="AG48" s="281">
        <v>9322096</v>
      </c>
      <c r="AH48" s="281">
        <v>0</v>
      </c>
      <c r="AI48" s="475">
        <f t="shared" si="17"/>
        <v>9322096</v>
      </c>
      <c r="AJ48" s="77">
        <v>966010200</v>
      </c>
      <c r="AK48" s="77">
        <f t="shared" si="20"/>
        <v>466104800</v>
      </c>
      <c r="AL48" s="155">
        <f t="shared" si="18"/>
        <v>-0.5174949498462853</v>
      </c>
      <c r="AM48" s="77">
        <f t="shared" si="19"/>
        <v>466104800</v>
      </c>
      <c r="AN48" s="129">
        <f t="shared" si="25"/>
        <v>0.02</v>
      </c>
      <c r="AO48" s="129">
        <f t="shared" si="26"/>
        <v>0</v>
      </c>
      <c r="AP48" s="77">
        <v>354096.5</v>
      </c>
      <c r="AQ48" s="77">
        <f t="shared" si="27"/>
        <v>16622789.5</v>
      </c>
      <c r="AR48" s="77">
        <f>ROUND(AQ48/'Table 3 Levels 1&amp;2'!C48,2)</f>
        <v>11780.86</v>
      </c>
    </row>
    <row r="49" spans="1:44">
      <c r="A49" s="12">
        <v>42</v>
      </c>
      <c r="B49" s="69" t="s">
        <v>133</v>
      </c>
      <c r="C49" s="14">
        <v>207357810</v>
      </c>
      <c r="D49" s="14">
        <v>27794944</v>
      </c>
      <c r="E49" s="14">
        <f t="shared" si="9"/>
        <v>179562866</v>
      </c>
      <c r="F49" s="14">
        <v>148814434</v>
      </c>
      <c r="G49" s="564">
        <f t="shared" si="10"/>
        <v>0.20662264522001944</v>
      </c>
      <c r="H49" s="565">
        <f t="shared" si="21"/>
        <v>163695877.40000001</v>
      </c>
      <c r="I49" s="481">
        <v>8.14</v>
      </c>
      <c r="J49" s="465">
        <v>1456455</v>
      </c>
      <c r="K49" s="481">
        <v>8</v>
      </c>
      <c r="L49" s="465">
        <v>1438559</v>
      </c>
      <c r="M49" s="464">
        <v>0</v>
      </c>
      <c r="N49" s="464">
        <v>0</v>
      </c>
      <c r="O49" s="464">
        <v>4</v>
      </c>
      <c r="P49" s="465">
        <v>0</v>
      </c>
      <c r="Q49" s="77">
        <f t="shared" si="11"/>
        <v>2895014</v>
      </c>
      <c r="R49" s="464">
        <v>0</v>
      </c>
      <c r="S49" s="465">
        <v>0</v>
      </c>
      <c r="T49" s="464">
        <v>1</v>
      </c>
      <c r="U49" s="464">
        <v>20</v>
      </c>
      <c r="V49" s="464">
        <v>4</v>
      </c>
      <c r="W49" s="465">
        <v>1303471</v>
      </c>
      <c r="X49" s="14">
        <f t="shared" si="12"/>
        <v>1303471</v>
      </c>
      <c r="Y49" s="145">
        <f t="shared" si="13"/>
        <v>16.14</v>
      </c>
      <c r="Z49" s="14">
        <f t="shared" si="14"/>
        <v>2895014</v>
      </c>
      <c r="AA49" s="14">
        <f t="shared" si="15"/>
        <v>1303471</v>
      </c>
      <c r="AB49" s="146">
        <f t="shared" si="22"/>
        <v>7.26</v>
      </c>
      <c r="AC49" s="147">
        <f t="shared" si="23"/>
        <v>16.12</v>
      </c>
      <c r="AD49" s="127">
        <f t="shared" si="24"/>
        <v>23.38</v>
      </c>
      <c r="AE49" s="77">
        <f t="shared" si="16"/>
        <v>4198485</v>
      </c>
      <c r="AF49" s="155">
        <v>0.02</v>
      </c>
      <c r="AG49" s="281">
        <v>5712221</v>
      </c>
      <c r="AH49" s="281">
        <v>0</v>
      </c>
      <c r="AI49" s="475">
        <f t="shared" si="17"/>
        <v>5712221</v>
      </c>
      <c r="AJ49" s="77">
        <v>293332250</v>
      </c>
      <c r="AK49" s="77">
        <f t="shared" si="20"/>
        <v>285611050</v>
      </c>
      <c r="AL49" s="569">
        <f t="shared" si="18"/>
        <v>-2.6322369940570804E-2</v>
      </c>
      <c r="AM49" s="572">
        <f t="shared" si="19"/>
        <v>285611050</v>
      </c>
      <c r="AN49" s="129">
        <f t="shared" si="25"/>
        <v>0.02</v>
      </c>
      <c r="AO49" s="129">
        <f t="shared" si="26"/>
        <v>0</v>
      </c>
      <c r="AP49" s="77">
        <v>220912</v>
      </c>
      <c r="AQ49" s="77">
        <f t="shared" si="27"/>
        <v>10131618</v>
      </c>
      <c r="AR49" s="77">
        <f>ROUND(AQ49/'Table 3 Levels 1&amp;2'!C49,2)</f>
        <v>2943.53</v>
      </c>
    </row>
    <row r="50" spans="1:44">
      <c r="A50" s="12">
        <v>43</v>
      </c>
      <c r="B50" s="69" t="s">
        <v>134</v>
      </c>
      <c r="C50" s="14">
        <v>162146335</v>
      </c>
      <c r="D50" s="14">
        <v>32645912</v>
      </c>
      <c r="E50" s="14">
        <f t="shared" si="9"/>
        <v>129500423</v>
      </c>
      <c r="F50" s="14">
        <v>103405221</v>
      </c>
      <c r="G50" s="564">
        <f t="shared" si="10"/>
        <v>0.25235865024648996</v>
      </c>
      <c r="H50" s="565">
        <f t="shared" si="21"/>
        <v>113745743.10000001</v>
      </c>
      <c r="I50" s="481">
        <v>4.8</v>
      </c>
      <c r="J50" s="465">
        <v>616575</v>
      </c>
      <c r="K50" s="481">
        <v>8.1</v>
      </c>
      <c r="L50" s="465">
        <v>1045112</v>
      </c>
      <c r="M50" s="464">
        <v>6.63</v>
      </c>
      <c r="N50" s="464">
        <v>11.24</v>
      </c>
      <c r="O50" s="464">
        <v>7</v>
      </c>
      <c r="P50" s="465">
        <v>1082759</v>
      </c>
      <c r="Q50" s="77">
        <f t="shared" si="11"/>
        <v>2744446</v>
      </c>
      <c r="R50" s="464">
        <v>0</v>
      </c>
      <c r="S50" s="465">
        <v>0</v>
      </c>
      <c r="T50" s="464">
        <v>3.6</v>
      </c>
      <c r="U50" s="464">
        <v>22</v>
      </c>
      <c r="V50" s="464">
        <v>7</v>
      </c>
      <c r="W50" s="465">
        <v>1276113</v>
      </c>
      <c r="X50" s="14">
        <f t="shared" si="12"/>
        <v>1276113</v>
      </c>
      <c r="Y50" s="145">
        <f t="shared" si="13"/>
        <v>12.899999999999999</v>
      </c>
      <c r="Z50" s="14">
        <f t="shared" si="14"/>
        <v>1661687</v>
      </c>
      <c r="AA50" s="14">
        <f t="shared" si="15"/>
        <v>2358872</v>
      </c>
      <c r="AB50" s="146">
        <f t="shared" si="22"/>
        <v>9.85</v>
      </c>
      <c r="AC50" s="147">
        <f t="shared" si="23"/>
        <v>21.19</v>
      </c>
      <c r="AD50" s="127">
        <f t="shared" si="24"/>
        <v>31.05</v>
      </c>
      <c r="AE50" s="77">
        <f t="shared" si="16"/>
        <v>4020559</v>
      </c>
      <c r="AF50" s="155">
        <v>2.5000000000000001E-2</v>
      </c>
      <c r="AG50" s="281">
        <v>16025360</v>
      </c>
      <c r="AH50" s="281">
        <v>896297</v>
      </c>
      <c r="AI50" s="475">
        <f t="shared" si="17"/>
        <v>16921657</v>
      </c>
      <c r="AJ50" s="77">
        <v>703169680</v>
      </c>
      <c r="AK50" s="77">
        <f t="shared" si="20"/>
        <v>676866280</v>
      </c>
      <c r="AL50" s="155">
        <f t="shared" si="18"/>
        <v>-3.7406902982506297E-2</v>
      </c>
      <c r="AM50" s="77">
        <f t="shared" si="19"/>
        <v>676866280</v>
      </c>
      <c r="AN50" s="129">
        <f t="shared" si="25"/>
        <v>2.3675813781120846E-2</v>
      </c>
      <c r="AO50" s="129">
        <f t="shared" si="26"/>
        <v>1.3241862188791559E-3</v>
      </c>
      <c r="AP50" s="77">
        <v>400406.5</v>
      </c>
      <c r="AQ50" s="77">
        <f t="shared" si="27"/>
        <v>21342622.5</v>
      </c>
      <c r="AR50" s="77">
        <f>ROUND(AQ50/'Table 3 Levels 1&amp;2'!C50,2)</f>
        <v>5305.15</v>
      </c>
    </row>
    <row r="51" spans="1:44">
      <c r="A51" s="12">
        <v>44</v>
      </c>
      <c r="B51" s="69" t="s">
        <v>135</v>
      </c>
      <c r="C51" s="14">
        <v>357678133</v>
      </c>
      <c r="D51" s="14">
        <v>57776586</v>
      </c>
      <c r="E51" s="14">
        <f t="shared" si="9"/>
        <v>299901547</v>
      </c>
      <c r="F51" s="14">
        <v>292917443</v>
      </c>
      <c r="G51" s="562">
        <f t="shared" si="10"/>
        <v>2.3843250604915323E-2</v>
      </c>
      <c r="H51" s="563">
        <f t="shared" si="21"/>
        <v>299901547</v>
      </c>
      <c r="I51" s="481">
        <v>3.75</v>
      </c>
      <c r="J51" s="465">
        <v>1098048</v>
      </c>
      <c r="K51" s="481">
        <v>31.25</v>
      </c>
      <c r="L51" s="465">
        <v>9150396</v>
      </c>
      <c r="M51" s="464">
        <v>0</v>
      </c>
      <c r="N51" s="464">
        <v>0</v>
      </c>
      <c r="O51" s="464">
        <v>0</v>
      </c>
      <c r="P51" s="465">
        <v>0</v>
      </c>
      <c r="Q51" s="77">
        <f t="shared" si="11"/>
        <v>10248444</v>
      </c>
      <c r="R51" s="464">
        <v>10</v>
      </c>
      <c r="S51" s="465">
        <v>2928164</v>
      </c>
      <c r="T51" s="464">
        <v>0</v>
      </c>
      <c r="U51" s="464">
        <v>0</v>
      </c>
      <c r="V51" s="464">
        <v>0</v>
      </c>
      <c r="W51" s="465">
        <v>0</v>
      </c>
      <c r="X51" s="14">
        <f t="shared" si="12"/>
        <v>2928164</v>
      </c>
      <c r="Y51" s="145">
        <f t="shared" si="13"/>
        <v>45</v>
      </c>
      <c r="Z51" s="14">
        <f t="shared" si="14"/>
        <v>13176608</v>
      </c>
      <c r="AA51" s="14">
        <f t="shared" si="15"/>
        <v>0</v>
      </c>
      <c r="AB51" s="146">
        <f t="shared" si="22"/>
        <v>9.76</v>
      </c>
      <c r="AC51" s="147">
        <f t="shared" si="23"/>
        <v>34.17</v>
      </c>
      <c r="AD51" s="127">
        <f t="shared" si="24"/>
        <v>43.94</v>
      </c>
      <c r="AE51" s="77">
        <f t="shared" si="16"/>
        <v>13176608</v>
      </c>
      <c r="AF51" s="155">
        <v>0.02</v>
      </c>
      <c r="AG51" s="281">
        <v>13783159</v>
      </c>
      <c r="AH51" s="281">
        <v>0</v>
      </c>
      <c r="AI51" s="475">
        <f t="shared" si="17"/>
        <v>13783159</v>
      </c>
      <c r="AJ51" s="77">
        <v>925152950</v>
      </c>
      <c r="AK51" s="77">
        <f t="shared" si="20"/>
        <v>689157950</v>
      </c>
      <c r="AL51" s="155">
        <f t="shared" si="18"/>
        <v>-0.25508755065851546</v>
      </c>
      <c r="AM51" s="77">
        <f t="shared" si="19"/>
        <v>689157950</v>
      </c>
      <c r="AN51" s="129">
        <f t="shared" si="25"/>
        <v>0.02</v>
      </c>
      <c r="AO51" s="129">
        <f t="shared" si="26"/>
        <v>0</v>
      </c>
      <c r="AP51" s="77">
        <v>9218</v>
      </c>
      <c r="AQ51" s="77">
        <f t="shared" si="27"/>
        <v>26968985</v>
      </c>
      <c r="AR51" s="77">
        <f>ROUND(AQ51/'Table 3 Levels 1&amp;2'!C51,2)</f>
        <v>4227.1099999999997</v>
      </c>
    </row>
    <row r="52" spans="1:44">
      <c r="A52" s="18">
        <v>45</v>
      </c>
      <c r="B52" s="70" t="s">
        <v>136</v>
      </c>
      <c r="C52" s="20">
        <v>1197427196</v>
      </c>
      <c r="D52" s="20">
        <v>99009811</v>
      </c>
      <c r="E52" s="20">
        <f t="shared" si="9"/>
        <v>1098417385</v>
      </c>
      <c r="F52" s="20">
        <v>1019833123</v>
      </c>
      <c r="G52" s="729">
        <f t="shared" si="10"/>
        <v>7.7056000857112783E-2</v>
      </c>
      <c r="H52" s="730">
        <f t="shared" si="21"/>
        <v>1098417385</v>
      </c>
      <c r="I52" s="482">
        <v>4.0999999999999996</v>
      </c>
      <c r="J52" s="467">
        <v>4472585</v>
      </c>
      <c r="K52" s="482">
        <v>46.41</v>
      </c>
      <c r="L52" s="467">
        <v>49361595</v>
      </c>
      <c r="M52" s="466">
        <v>0</v>
      </c>
      <c r="N52" s="466">
        <v>0</v>
      </c>
      <c r="O52" s="466">
        <v>0</v>
      </c>
      <c r="P52" s="467">
        <v>0</v>
      </c>
      <c r="Q52" s="78">
        <f t="shared" si="11"/>
        <v>53834180</v>
      </c>
      <c r="R52" s="466">
        <v>5.86</v>
      </c>
      <c r="S52" s="467">
        <v>6392492</v>
      </c>
      <c r="T52" s="466">
        <v>0</v>
      </c>
      <c r="U52" s="466">
        <v>0</v>
      </c>
      <c r="V52" s="466">
        <v>0</v>
      </c>
      <c r="W52" s="467">
        <v>0</v>
      </c>
      <c r="X52" s="20">
        <f t="shared" si="12"/>
        <v>6392492</v>
      </c>
      <c r="Y52" s="148">
        <f t="shared" si="13"/>
        <v>56.37</v>
      </c>
      <c r="Z52" s="20">
        <f t="shared" si="14"/>
        <v>60226672</v>
      </c>
      <c r="AA52" s="20">
        <f t="shared" si="15"/>
        <v>0</v>
      </c>
      <c r="AB52" s="149">
        <f t="shared" si="22"/>
        <v>5.82</v>
      </c>
      <c r="AC52" s="150">
        <f t="shared" si="23"/>
        <v>49.01</v>
      </c>
      <c r="AD52" s="128">
        <f t="shared" si="24"/>
        <v>54.83</v>
      </c>
      <c r="AE52" s="78">
        <f t="shared" si="16"/>
        <v>60226672</v>
      </c>
      <c r="AF52" s="156">
        <v>0.03</v>
      </c>
      <c r="AG52" s="282">
        <v>56561380</v>
      </c>
      <c r="AH52" s="282">
        <v>1045015</v>
      </c>
      <c r="AI52" s="476">
        <f t="shared" si="17"/>
        <v>57606395</v>
      </c>
      <c r="AJ52" s="78">
        <v>1525807967</v>
      </c>
      <c r="AK52" s="78">
        <f t="shared" ref="AK52:AK76" si="28">ROUND(AI52/AF52,0)</f>
        <v>1920213167</v>
      </c>
      <c r="AL52" s="727">
        <f t="shared" si="18"/>
        <v>0.25848940923769603</v>
      </c>
      <c r="AM52" s="728">
        <f t="shared" si="19"/>
        <v>1754679162.05</v>
      </c>
      <c r="AN52" s="130">
        <f t="shared" si="25"/>
        <v>2.9455781770503817E-2</v>
      </c>
      <c r="AO52" s="130">
        <f t="shared" si="26"/>
        <v>5.4421822428842872E-4</v>
      </c>
      <c r="AP52" s="78">
        <v>284373</v>
      </c>
      <c r="AQ52" s="78">
        <f t="shared" si="27"/>
        <v>118117440</v>
      </c>
      <c r="AR52" s="78">
        <f>ROUND(AQ52/'Table 3 Levels 1&amp;2'!C52,2)</f>
        <v>12462.27</v>
      </c>
    </row>
    <row r="53" spans="1:44" s="75" customFormat="1">
      <c r="A53" s="101">
        <v>46</v>
      </c>
      <c r="B53" s="158" t="s">
        <v>137</v>
      </c>
      <c r="C53" s="77">
        <v>59322840</v>
      </c>
      <c r="D53" s="77">
        <v>16822100</v>
      </c>
      <c r="E53" s="77">
        <f t="shared" si="9"/>
        <v>42500740</v>
      </c>
      <c r="F53" s="77">
        <v>40445540</v>
      </c>
      <c r="G53" s="562">
        <f t="shared" si="10"/>
        <v>5.0814008169998474E-2</v>
      </c>
      <c r="H53" s="563">
        <f t="shared" si="21"/>
        <v>42500740</v>
      </c>
      <c r="I53" s="483">
        <v>3.38</v>
      </c>
      <c r="J53" s="469">
        <v>143296</v>
      </c>
      <c r="K53" s="483">
        <v>14.48</v>
      </c>
      <c r="L53" s="469">
        <v>613884</v>
      </c>
      <c r="M53" s="468">
        <v>0</v>
      </c>
      <c r="N53" s="468">
        <v>0</v>
      </c>
      <c r="O53" s="468">
        <v>6</v>
      </c>
      <c r="P53" s="469">
        <v>0</v>
      </c>
      <c r="Q53" s="77">
        <f t="shared" si="11"/>
        <v>757180</v>
      </c>
      <c r="R53" s="468">
        <v>0</v>
      </c>
      <c r="S53" s="469">
        <v>0</v>
      </c>
      <c r="T53" s="468">
        <v>0</v>
      </c>
      <c r="U53" s="468">
        <v>0</v>
      </c>
      <c r="V53" s="468">
        <v>0</v>
      </c>
      <c r="W53" s="469">
        <v>0</v>
      </c>
      <c r="X53" s="77">
        <f t="shared" si="12"/>
        <v>0</v>
      </c>
      <c r="Y53" s="159">
        <f t="shared" si="13"/>
        <v>17.86</v>
      </c>
      <c r="Z53" s="77">
        <f t="shared" si="14"/>
        <v>757180</v>
      </c>
      <c r="AA53" s="77">
        <f t="shared" si="15"/>
        <v>0</v>
      </c>
      <c r="AB53" s="160">
        <f t="shared" si="22"/>
        <v>0</v>
      </c>
      <c r="AC53" s="161">
        <f t="shared" si="23"/>
        <v>17.82</v>
      </c>
      <c r="AD53" s="127">
        <f t="shared" si="24"/>
        <v>17.82</v>
      </c>
      <c r="AE53" s="77">
        <f t="shared" si="16"/>
        <v>757180</v>
      </c>
      <c r="AF53" s="155">
        <v>0.02</v>
      </c>
      <c r="AG53" s="281">
        <v>1366900</v>
      </c>
      <c r="AH53" s="281">
        <v>0</v>
      </c>
      <c r="AI53" s="475">
        <f t="shared" si="17"/>
        <v>1366900</v>
      </c>
      <c r="AJ53" s="77">
        <v>62201850</v>
      </c>
      <c r="AK53" s="77">
        <f t="shared" si="28"/>
        <v>68345000</v>
      </c>
      <c r="AL53" s="155">
        <f t="shared" si="18"/>
        <v>9.8761532012311526E-2</v>
      </c>
      <c r="AM53" s="77">
        <f t="shared" si="19"/>
        <v>68345000</v>
      </c>
      <c r="AN53" s="129">
        <f t="shared" si="25"/>
        <v>0.02</v>
      </c>
      <c r="AO53" s="129">
        <f t="shared" si="26"/>
        <v>0</v>
      </c>
      <c r="AP53" s="77">
        <v>33026</v>
      </c>
      <c r="AQ53" s="77">
        <f t="shared" si="27"/>
        <v>2157106</v>
      </c>
      <c r="AR53" s="77">
        <f>ROUND(AQ53/'Table 3 Levels 1&amp;2'!C53,2)</f>
        <v>2004.75</v>
      </c>
    </row>
    <row r="54" spans="1:44">
      <c r="A54" s="12">
        <v>47</v>
      </c>
      <c r="B54" s="69" t="s">
        <v>138</v>
      </c>
      <c r="C54" s="14">
        <v>449158779</v>
      </c>
      <c r="D54" s="14">
        <v>39386484</v>
      </c>
      <c r="E54" s="14">
        <f t="shared" si="9"/>
        <v>409772295</v>
      </c>
      <c r="F54" s="14">
        <v>379469007</v>
      </c>
      <c r="G54" s="562">
        <f t="shared" si="10"/>
        <v>7.9857083031816614E-2</v>
      </c>
      <c r="H54" s="563">
        <f t="shared" si="21"/>
        <v>409772295</v>
      </c>
      <c r="I54" s="481">
        <v>3.89</v>
      </c>
      <c r="J54" s="465">
        <v>1641831</v>
      </c>
      <c r="K54" s="481">
        <v>30.07</v>
      </c>
      <c r="L54" s="465">
        <v>12809609</v>
      </c>
      <c r="M54" s="464">
        <v>0</v>
      </c>
      <c r="N54" s="464">
        <v>0</v>
      </c>
      <c r="O54" s="464">
        <v>0</v>
      </c>
      <c r="P54" s="465">
        <v>0</v>
      </c>
      <c r="Q54" s="77">
        <f t="shared" si="11"/>
        <v>14451440</v>
      </c>
      <c r="R54" s="464">
        <v>10</v>
      </c>
      <c r="S54" s="465">
        <v>4102246</v>
      </c>
      <c r="T54" s="464">
        <v>0</v>
      </c>
      <c r="U54" s="464">
        <v>0</v>
      </c>
      <c r="V54" s="464">
        <v>0</v>
      </c>
      <c r="W54" s="465">
        <v>0</v>
      </c>
      <c r="X54" s="14">
        <f t="shared" si="12"/>
        <v>4102246</v>
      </c>
      <c r="Y54" s="145">
        <f t="shared" si="13"/>
        <v>43.96</v>
      </c>
      <c r="Z54" s="14">
        <f t="shared" si="14"/>
        <v>18553686</v>
      </c>
      <c r="AA54" s="14">
        <f t="shared" si="15"/>
        <v>0</v>
      </c>
      <c r="AB54" s="146">
        <f t="shared" si="22"/>
        <v>10.01</v>
      </c>
      <c r="AC54" s="147">
        <f t="shared" si="23"/>
        <v>35.270000000000003</v>
      </c>
      <c r="AD54" s="127">
        <f t="shared" si="24"/>
        <v>45.28</v>
      </c>
      <c r="AE54" s="77">
        <f t="shared" si="16"/>
        <v>18553686</v>
      </c>
      <c r="AF54" s="155">
        <v>2.5000000000000001E-2</v>
      </c>
      <c r="AG54" s="281">
        <v>18100976</v>
      </c>
      <c r="AH54" s="281">
        <v>0</v>
      </c>
      <c r="AI54" s="475">
        <f t="shared" si="17"/>
        <v>18100976</v>
      </c>
      <c r="AJ54" s="77">
        <v>749761480</v>
      </c>
      <c r="AK54" s="77">
        <f t="shared" si="28"/>
        <v>724039040</v>
      </c>
      <c r="AL54" s="155">
        <f t="shared" si="18"/>
        <v>-3.4307497365695556E-2</v>
      </c>
      <c r="AM54" s="77">
        <f t="shared" si="19"/>
        <v>724039040</v>
      </c>
      <c r="AN54" s="129">
        <f t="shared" si="25"/>
        <v>2.5000000000000001E-2</v>
      </c>
      <c r="AO54" s="129">
        <f t="shared" si="26"/>
        <v>0</v>
      </c>
      <c r="AP54" s="77">
        <v>89424</v>
      </c>
      <c r="AQ54" s="77">
        <f t="shared" si="27"/>
        <v>36744086</v>
      </c>
      <c r="AR54" s="77">
        <f>ROUND(AQ54/'Table 3 Levels 1&amp;2'!C54,2)</f>
        <v>10147.5</v>
      </c>
    </row>
    <row r="55" spans="1:44">
      <c r="A55" s="12">
        <v>48</v>
      </c>
      <c r="B55" s="69" t="s">
        <v>195</v>
      </c>
      <c r="C55" s="14">
        <v>455487725</v>
      </c>
      <c r="D55" s="14">
        <v>86298781</v>
      </c>
      <c r="E55" s="14">
        <f t="shared" si="9"/>
        <v>369188944</v>
      </c>
      <c r="F55" s="14">
        <v>348795451</v>
      </c>
      <c r="G55" s="562">
        <f t="shared" si="10"/>
        <v>5.8468345678051863E-2</v>
      </c>
      <c r="H55" s="563">
        <f t="shared" si="21"/>
        <v>369188944</v>
      </c>
      <c r="I55" s="481">
        <v>3.67</v>
      </c>
      <c r="J55" s="465">
        <v>1346253</v>
      </c>
      <c r="K55" s="481">
        <v>25.82</v>
      </c>
      <c r="L55" s="465">
        <v>9079336</v>
      </c>
      <c r="M55" s="464">
        <v>0</v>
      </c>
      <c r="N55" s="464">
        <v>0</v>
      </c>
      <c r="O55" s="464">
        <v>0</v>
      </c>
      <c r="P55" s="465">
        <v>0</v>
      </c>
      <c r="Q55" s="77">
        <f t="shared" si="11"/>
        <v>10425589</v>
      </c>
      <c r="R55" s="464">
        <v>10</v>
      </c>
      <c r="S55" s="465">
        <v>3538702</v>
      </c>
      <c r="T55" s="464">
        <v>0</v>
      </c>
      <c r="U55" s="464">
        <v>0</v>
      </c>
      <c r="V55" s="464">
        <v>0</v>
      </c>
      <c r="W55" s="465">
        <v>0</v>
      </c>
      <c r="X55" s="14">
        <f t="shared" si="12"/>
        <v>3538702</v>
      </c>
      <c r="Y55" s="145">
        <f t="shared" si="13"/>
        <v>39.49</v>
      </c>
      <c r="Z55" s="14">
        <f t="shared" si="14"/>
        <v>13964291</v>
      </c>
      <c r="AA55" s="14">
        <f t="shared" si="15"/>
        <v>0</v>
      </c>
      <c r="AB55" s="146">
        <f t="shared" si="22"/>
        <v>9.59</v>
      </c>
      <c r="AC55" s="147">
        <f t="shared" si="23"/>
        <v>28.24</v>
      </c>
      <c r="AD55" s="127">
        <f t="shared" si="24"/>
        <v>37.82</v>
      </c>
      <c r="AE55" s="77">
        <f t="shared" si="16"/>
        <v>13964291</v>
      </c>
      <c r="AF55" s="155">
        <v>2.2499999999999999E-2</v>
      </c>
      <c r="AG55" s="281">
        <v>19928446</v>
      </c>
      <c r="AH55" s="281">
        <v>0</v>
      </c>
      <c r="AI55" s="475">
        <f t="shared" si="17"/>
        <v>19928446</v>
      </c>
      <c r="AJ55" s="77">
        <v>824979378</v>
      </c>
      <c r="AK55" s="77">
        <f t="shared" si="28"/>
        <v>885708711</v>
      </c>
      <c r="AL55" s="569">
        <f t="shared" si="18"/>
        <v>7.3613152788408243E-2</v>
      </c>
      <c r="AM55" s="572">
        <f t="shared" si="19"/>
        <v>885708711</v>
      </c>
      <c r="AN55" s="129">
        <f t="shared" si="25"/>
        <v>2.2500000002822599E-2</v>
      </c>
      <c r="AO55" s="129">
        <f t="shared" si="26"/>
        <v>0</v>
      </c>
      <c r="AP55" s="77">
        <v>199965.5</v>
      </c>
      <c r="AQ55" s="77">
        <f t="shared" si="27"/>
        <v>34092702.5</v>
      </c>
      <c r="AR55" s="77">
        <f>ROUND(AQ55/'Table 3 Levels 1&amp;2'!C55,2)</f>
        <v>5874</v>
      </c>
    </row>
    <row r="56" spans="1:44">
      <c r="A56" s="12">
        <v>49</v>
      </c>
      <c r="B56" s="69" t="s">
        <v>139</v>
      </c>
      <c r="C56" s="14">
        <v>660740200</v>
      </c>
      <c r="D56" s="14">
        <v>124238454</v>
      </c>
      <c r="E56" s="14">
        <f t="shared" si="9"/>
        <v>536501746</v>
      </c>
      <c r="F56" s="14">
        <v>495657100</v>
      </c>
      <c r="G56" s="562">
        <f t="shared" si="10"/>
        <v>8.2405045746343594E-2</v>
      </c>
      <c r="H56" s="563">
        <f t="shared" si="21"/>
        <v>536501746</v>
      </c>
      <c r="I56" s="481">
        <v>4.37</v>
      </c>
      <c r="J56" s="465">
        <v>2299617</v>
      </c>
      <c r="K56" s="481">
        <v>15.86</v>
      </c>
      <c r="L56" s="465">
        <v>8345978</v>
      </c>
      <c r="M56" s="464">
        <v>0</v>
      </c>
      <c r="N56" s="464">
        <v>0</v>
      </c>
      <c r="O56" s="464">
        <v>0</v>
      </c>
      <c r="P56" s="465">
        <v>0</v>
      </c>
      <c r="Q56" s="77">
        <f t="shared" si="11"/>
        <v>10645595</v>
      </c>
      <c r="R56" s="464">
        <v>0</v>
      </c>
      <c r="S56" s="465">
        <v>0</v>
      </c>
      <c r="T56" s="464">
        <v>0</v>
      </c>
      <c r="U56" s="464">
        <v>0</v>
      </c>
      <c r="V56" s="464">
        <v>0</v>
      </c>
      <c r="W56" s="465"/>
      <c r="X56" s="14">
        <f t="shared" si="12"/>
        <v>0</v>
      </c>
      <c r="Y56" s="145">
        <f t="shared" si="13"/>
        <v>20.23</v>
      </c>
      <c r="Z56" s="14">
        <f t="shared" si="14"/>
        <v>10645595</v>
      </c>
      <c r="AA56" s="14">
        <f t="shared" si="15"/>
        <v>0</v>
      </c>
      <c r="AB56" s="146">
        <f t="shared" si="22"/>
        <v>0</v>
      </c>
      <c r="AC56" s="147">
        <f t="shared" si="23"/>
        <v>19.84</v>
      </c>
      <c r="AD56" s="127">
        <f t="shared" si="24"/>
        <v>19.84</v>
      </c>
      <c r="AE56" s="77">
        <f t="shared" si="16"/>
        <v>10645595</v>
      </c>
      <c r="AF56" s="155">
        <v>0.02</v>
      </c>
      <c r="AG56" s="281">
        <v>23493736</v>
      </c>
      <c r="AH56" s="281">
        <v>0</v>
      </c>
      <c r="AI56" s="475">
        <f t="shared" si="17"/>
        <v>23493736</v>
      </c>
      <c r="AJ56" s="77">
        <v>1115120200</v>
      </c>
      <c r="AK56" s="77">
        <f t="shared" si="28"/>
        <v>1174686800</v>
      </c>
      <c r="AL56" s="569">
        <f t="shared" si="18"/>
        <v>5.3417201123251108E-2</v>
      </c>
      <c r="AM56" s="572">
        <f t="shared" si="19"/>
        <v>1174686800</v>
      </c>
      <c r="AN56" s="129">
        <f t="shared" si="25"/>
        <v>0.02</v>
      </c>
      <c r="AO56" s="129">
        <f t="shared" si="26"/>
        <v>0</v>
      </c>
      <c r="AP56" s="77">
        <v>610728</v>
      </c>
      <c r="AQ56" s="77">
        <f t="shared" si="27"/>
        <v>34750059</v>
      </c>
      <c r="AR56" s="77">
        <f>ROUND(AQ56/'Table 3 Levels 1&amp;2'!C56,2)</f>
        <v>2397.5500000000002</v>
      </c>
    </row>
    <row r="57" spans="1:44">
      <c r="A57" s="18">
        <v>50</v>
      </c>
      <c r="B57" s="70" t="s">
        <v>140</v>
      </c>
      <c r="C57" s="20">
        <v>346292086</v>
      </c>
      <c r="D57" s="20">
        <v>84084889</v>
      </c>
      <c r="E57" s="20">
        <f t="shared" si="9"/>
        <v>262207197</v>
      </c>
      <c r="F57" s="20">
        <v>259648176</v>
      </c>
      <c r="G57" s="130">
        <f t="shared" si="10"/>
        <v>9.855724925254241E-3</v>
      </c>
      <c r="H57" s="1102">
        <f t="shared" si="21"/>
        <v>262207197</v>
      </c>
      <c r="I57" s="482">
        <v>2.61</v>
      </c>
      <c r="J57" s="467">
        <v>677196</v>
      </c>
      <c r="K57" s="482">
        <v>9.9700000000000006</v>
      </c>
      <c r="L57" s="467">
        <v>2586847</v>
      </c>
      <c r="M57" s="466">
        <v>0</v>
      </c>
      <c r="N57" s="466">
        <v>0</v>
      </c>
      <c r="O57" s="466">
        <v>0</v>
      </c>
      <c r="P57" s="467">
        <v>0</v>
      </c>
      <c r="Q57" s="78">
        <f t="shared" si="11"/>
        <v>3264043</v>
      </c>
      <c r="R57" s="466">
        <v>21.5</v>
      </c>
      <c r="S57" s="467">
        <v>5578476</v>
      </c>
      <c r="T57" s="466">
        <v>0</v>
      </c>
      <c r="U57" s="466">
        <v>0</v>
      </c>
      <c r="V57" s="466">
        <v>0</v>
      </c>
      <c r="W57" s="467">
        <v>0</v>
      </c>
      <c r="X57" s="20">
        <f t="shared" si="12"/>
        <v>5578476</v>
      </c>
      <c r="Y57" s="148">
        <f t="shared" si="13"/>
        <v>34.08</v>
      </c>
      <c r="Z57" s="20">
        <f t="shared" si="14"/>
        <v>8842519</v>
      </c>
      <c r="AA57" s="20">
        <f t="shared" si="15"/>
        <v>0</v>
      </c>
      <c r="AB57" s="149">
        <f t="shared" si="22"/>
        <v>21.28</v>
      </c>
      <c r="AC57" s="150">
        <f t="shared" si="23"/>
        <v>12.45</v>
      </c>
      <c r="AD57" s="128">
        <f t="shared" si="24"/>
        <v>33.72</v>
      </c>
      <c r="AE57" s="78">
        <f t="shared" si="16"/>
        <v>8842519</v>
      </c>
      <c r="AF57" s="156">
        <v>0.02</v>
      </c>
      <c r="AG57" s="282">
        <v>13320229</v>
      </c>
      <c r="AH57" s="282">
        <v>0</v>
      </c>
      <c r="AI57" s="476">
        <f t="shared" si="17"/>
        <v>13320229</v>
      </c>
      <c r="AJ57" s="78">
        <v>588283300</v>
      </c>
      <c r="AK57" s="78">
        <f t="shared" si="28"/>
        <v>666011450</v>
      </c>
      <c r="AL57" s="570">
        <f t="shared" si="18"/>
        <v>0.13212707210964514</v>
      </c>
      <c r="AM57" s="573">
        <f t="shared" si="19"/>
        <v>666011450</v>
      </c>
      <c r="AN57" s="130">
        <f t="shared" si="25"/>
        <v>0.02</v>
      </c>
      <c r="AO57" s="130">
        <f t="shared" si="26"/>
        <v>0</v>
      </c>
      <c r="AP57" s="78">
        <v>581751.5</v>
      </c>
      <c r="AQ57" s="78">
        <f t="shared" si="27"/>
        <v>22744499.5</v>
      </c>
      <c r="AR57" s="78">
        <f>ROUND(AQ57/'Table 3 Levels 1&amp;2'!C57,2)</f>
        <v>2883.8</v>
      </c>
    </row>
    <row r="58" spans="1:44">
      <c r="A58" s="12">
        <v>51</v>
      </c>
      <c r="B58" s="69" t="s">
        <v>141</v>
      </c>
      <c r="C58" s="14">
        <v>721754110</v>
      </c>
      <c r="D58" s="14">
        <v>72982661</v>
      </c>
      <c r="E58" s="14">
        <f t="shared" si="9"/>
        <v>648771449</v>
      </c>
      <c r="F58" s="14">
        <v>566288486</v>
      </c>
      <c r="G58" s="564">
        <f t="shared" si="10"/>
        <v>0.14565537714287907</v>
      </c>
      <c r="H58" s="565">
        <f t="shared" si="21"/>
        <v>622917334.60000002</v>
      </c>
      <c r="I58" s="481">
        <v>8.4</v>
      </c>
      <c r="J58" s="465">
        <v>5066955</v>
      </c>
      <c r="K58" s="481">
        <v>11.18</v>
      </c>
      <c r="L58" s="465">
        <v>6743817</v>
      </c>
      <c r="M58" s="464">
        <v>11.58</v>
      </c>
      <c r="N58" s="464">
        <v>12.25</v>
      </c>
      <c r="O58" s="464">
        <v>3</v>
      </c>
      <c r="P58" s="465">
        <v>7102032</v>
      </c>
      <c r="Q58" s="77">
        <f t="shared" si="11"/>
        <v>18912804</v>
      </c>
      <c r="R58" s="464">
        <v>0</v>
      </c>
      <c r="S58" s="465">
        <v>0</v>
      </c>
      <c r="T58" s="464">
        <v>7</v>
      </c>
      <c r="U58" s="464">
        <v>14</v>
      </c>
      <c r="V58" s="464">
        <v>2</v>
      </c>
      <c r="W58" s="465">
        <v>1973301</v>
      </c>
      <c r="X58" s="14">
        <f t="shared" si="12"/>
        <v>1973301</v>
      </c>
      <c r="Y58" s="145">
        <f t="shared" si="13"/>
        <v>19.579999999999998</v>
      </c>
      <c r="Z58" s="14">
        <f t="shared" si="14"/>
        <v>11810772</v>
      </c>
      <c r="AA58" s="14">
        <f t="shared" si="15"/>
        <v>9075333</v>
      </c>
      <c r="AB58" s="146">
        <f t="shared" si="22"/>
        <v>3.04</v>
      </c>
      <c r="AC58" s="147">
        <f t="shared" si="23"/>
        <v>29.15</v>
      </c>
      <c r="AD58" s="127">
        <f t="shared" si="24"/>
        <v>32.19</v>
      </c>
      <c r="AE58" s="77">
        <f t="shared" si="16"/>
        <v>20886105</v>
      </c>
      <c r="AF58" s="155">
        <v>1.7500000000000002E-2</v>
      </c>
      <c r="AG58" s="281">
        <v>17160175</v>
      </c>
      <c r="AH58" s="281">
        <v>0</v>
      </c>
      <c r="AI58" s="475">
        <f t="shared" si="17"/>
        <v>17160175</v>
      </c>
      <c r="AJ58" s="77">
        <v>1010581943</v>
      </c>
      <c r="AK58" s="77">
        <f t="shared" si="28"/>
        <v>980581429</v>
      </c>
      <c r="AL58" s="155">
        <f t="shared" si="18"/>
        <v>-2.9686374477403462E-2</v>
      </c>
      <c r="AM58" s="77">
        <f t="shared" si="19"/>
        <v>980581429</v>
      </c>
      <c r="AN58" s="129">
        <f t="shared" si="25"/>
        <v>1.7499999992351477E-2</v>
      </c>
      <c r="AO58" s="129">
        <f t="shared" si="26"/>
        <v>0</v>
      </c>
      <c r="AP58" s="77">
        <v>492769.5</v>
      </c>
      <c r="AQ58" s="77">
        <f t="shared" si="27"/>
        <v>38539049.5</v>
      </c>
      <c r="AR58" s="77">
        <f>ROUND(AQ58/'Table 3 Levels 1&amp;2'!C58,2)</f>
        <v>4283.54</v>
      </c>
    </row>
    <row r="59" spans="1:44">
      <c r="A59" s="12">
        <v>52</v>
      </c>
      <c r="B59" s="69" t="s">
        <v>142</v>
      </c>
      <c r="C59" s="14">
        <v>2077286488</v>
      </c>
      <c r="D59" s="14">
        <v>496593299</v>
      </c>
      <c r="E59" s="14">
        <f t="shared" si="9"/>
        <v>1580693189</v>
      </c>
      <c r="F59" s="14">
        <v>1573739407</v>
      </c>
      <c r="G59" s="562">
        <f t="shared" si="10"/>
        <v>4.4186362551954577E-3</v>
      </c>
      <c r="H59" s="563">
        <f t="shared" si="21"/>
        <v>1580693189</v>
      </c>
      <c r="I59" s="481">
        <v>3.8</v>
      </c>
      <c r="J59" s="465">
        <v>5907887</v>
      </c>
      <c r="K59" s="481">
        <v>43.75</v>
      </c>
      <c r="L59" s="465">
        <v>68014618</v>
      </c>
      <c r="M59" s="464">
        <v>43.75</v>
      </c>
      <c r="N59" s="464">
        <v>43.75</v>
      </c>
      <c r="O59" s="464">
        <v>0</v>
      </c>
      <c r="P59" s="465">
        <v>0</v>
      </c>
      <c r="Q59" s="77">
        <f t="shared" si="11"/>
        <v>73922505</v>
      </c>
      <c r="R59" s="464">
        <v>20.9</v>
      </c>
      <c r="S59" s="465">
        <v>32492415</v>
      </c>
      <c r="T59" s="464">
        <v>20.9</v>
      </c>
      <c r="U59" s="464">
        <v>20.9</v>
      </c>
      <c r="V59" s="464">
        <v>0</v>
      </c>
      <c r="W59" s="465">
        <v>0</v>
      </c>
      <c r="X59" s="14">
        <f t="shared" si="12"/>
        <v>32492415</v>
      </c>
      <c r="Y59" s="145">
        <f t="shared" si="13"/>
        <v>68.449999999999989</v>
      </c>
      <c r="Z59" s="14">
        <f t="shared" si="14"/>
        <v>106414920</v>
      </c>
      <c r="AA59" s="14">
        <f t="shared" si="15"/>
        <v>0</v>
      </c>
      <c r="AB59" s="146">
        <f t="shared" si="22"/>
        <v>20.56</v>
      </c>
      <c r="AC59" s="147">
        <f t="shared" si="23"/>
        <v>46.77</v>
      </c>
      <c r="AD59" s="127">
        <f t="shared" si="24"/>
        <v>67.319999999999993</v>
      </c>
      <c r="AE59" s="77">
        <f t="shared" si="16"/>
        <v>106414920</v>
      </c>
      <c r="AF59" s="155">
        <v>0.02</v>
      </c>
      <c r="AG59" s="281">
        <v>77922516</v>
      </c>
      <c r="AH59" s="281">
        <v>0</v>
      </c>
      <c r="AI59" s="475">
        <f t="shared" si="17"/>
        <v>77922516</v>
      </c>
      <c r="AJ59" s="77">
        <v>3761763150</v>
      </c>
      <c r="AK59" s="77">
        <f t="shared" si="28"/>
        <v>3896125800</v>
      </c>
      <c r="AL59" s="155">
        <f t="shared" si="18"/>
        <v>3.5717998354043101E-2</v>
      </c>
      <c r="AM59" s="77">
        <f t="shared" si="19"/>
        <v>3896125800</v>
      </c>
      <c r="AN59" s="129">
        <f t="shared" si="25"/>
        <v>0.02</v>
      </c>
      <c r="AO59" s="129">
        <f t="shared" si="26"/>
        <v>0</v>
      </c>
      <c r="AP59" s="77">
        <v>1906476</v>
      </c>
      <c r="AQ59" s="77">
        <f t="shared" si="27"/>
        <v>186243912</v>
      </c>
      <c r="AR59" s="77">
        <f>ROUND(AQ59/'Table 3 Levels 1&amp;2'!C59,2)</f>
        <v>5023.03</v>
      </c>
    </row>
    <row r="60" spans="1:44">
      <c r="A60" s="12">
        <v>53</v>
      </c>
      <c r="B60" s="69" t="s">
        <v>143</v>
      </c>
      <c r="C60" s="14">
        <v>682232314</v>
      </c>
      <c r="D60" s="14">
        <v>182984728</v>
      </c>
      <c r="E60" s="14">
        <f t="shared" si="9"/>
        <v>499247586</v>
      </c>
      <c r="F60" s="14">
        <v>490813260</v>
      </c>
      <c r="G60" s="562">
        <f t="shared" si="10"/>
        <v>1.7184389028120389E-2</v>
      </c>
      <c r="H60" s="563">
        <f t="shared" si="21"/>
        <v>499247586</v>
      </c>
      <c r="I60" s="481">
        <v>4.0599999999999996</v>
      </c>
      <c r="J60" s="465">
        <v>2022466</v>
      </c>
      <c r="K60" s="481">
        <v>0</v>
      </c>
      <c r="L60" s="465">
        <v>9089</v>
      </c>
      <c r="M60" s="464">
        <v>0</v>
      </c>
      <c r="N60" s="464">
        <v>0</v>
      </c>
      <c r="O60" s="464">
        <v>0</v>
      </c>
      <c r="P60" s="465">
        <v>0</v>
      </c>
      <c r="Q60" s="77">
        <f t="shared" si="11"/>
        <v>2031555</v>
      </c>
      <c r="R60" s="464">
        <v>0</v>
      </c>
      <c r="S60" s="465">
        <v>4141</v>
      </c>
      <c r="T60" s="464">
        <v>1.75</v>
      </c>
      <c r="U60" s="464">
        <v>17</v>
      </c>
      <c r="V60" s="464">
        <v>6</v>
      </c>
      <c r="W60" s="465">
        <v>1611580</v>
      </c>
      <c r="X60" s="14">
        <f t="shared" si="12"/>
        <v>1615721</v>
      </c>
      <c r="Y60" s="145">
        <f t="shared" si="13"/>
        <v>4.0599999999999996</v>
      </c>
      <c r="Z60" s="14">
        <f t="shared" si="14"/>
        <v>2035696</v>
      </c>
      <c r="AA60" s="14">
        <f t="shared" si="15"/>
        <v>1611580</v>
      </c>
      <c r="AB60" s="146">
        <f t="shared" si="22"/>
        <v>3.24</v>
      </c>
      <c r="AC60" s="147">
        <f t="shared" si="23"/>
        <v>4.07</v>
      </c>
      <c r="AD60" s="127">
        <f t="shared" si="24"/>
        <v>7.31</v>
      </c>
      <c r="AE60" s="77">
        <f t="shared" si="16"/>
        <v>3647276</v>
      </c>
      <c r="AF60" s="155">
        <v>0.02</v>
      </c>
      <c r="AG60" s="281">
        <v>32329148</v>
      </c>
      <c r="AH60" s="281">
        <v>1139718</v>
      </c>
      <c r="AI60" s="475">
        <f t="shared" si="17"/>
        <v>33468866</v>
      </c>
      <c r="AJ60" s="77">
        <v>1566120700</v>
      </c>
      <c r="AK60" s="77">
        <f t="shared" si="28"/>
        <v>1673443300</v>
      </c>
      <c r="AL60" s="155">
        <f t="shared" si="18"/>
        <v>6.8527668397461314E-2</v>
      </c>
      <c r="AM60" s="77">
        <f t="shared" si="19"/>
        <v>1673443300</v>
      </c>
      <c r="AN60" s="129">
        <f t="shared" si="25"/>
        <v>1.931893838291384E-2</v>
      </c>
      <c r="AO60" s="129">
        <f t="shared" si="26"/>
        <v>6.8106161708616001E-4</v>
      </c>
      <c r="AP60" s="77">
        <v>182091</v>
      </c>
      <c r="AQ60" s="77">
        <f t="shared" si="27"/>
        <v>37298233</v>
      </c>
      <c r="AR60" s="77">
        <f>ROUND(AQ60/'Table 3 Levels 1&amp;2'!C60,2)</f>
        <v>1948.2</v>
      </c>
    </row>
    <row r="61" spans="1:44">
      <c r="A61" s="12">
        <v>54</v>
      </c>
      <c r="B61" s="69" t="s">
        <v>144</v>
      </c>
      <c r="C61" s="14">
        <v>50623216</v>
      </c>
      <c r="D61" s="14">
        <v>5994201</v>
      </c>
      <c r="E61" s="14">
        <f t="shared" si="9"/>
        <v>44629015</v>
      </c>
      <c r="F61" s="14">
        <v>40713583</v>
      </c>
      <c r="G61" s="562">
        <f t="shared" si="10"/>
        <v>9.6170165126464063E-2</v>
      </c>
      <c r="H61" s="563">
        <f t="shared" si="21"/>
        <v>44629015</v>
      </c>
      <c r="I61" s="481">
        <v>5.08</v>
      </c>
      <c r="J61" s="465">
        <v>226722</v>
      </c>
      <c r="K61" s="481">
        <v>31.82</v>
      </c>
      <c r="L61" s="465">
        <v>1350516</v>
      </c>
      <c r="M61" s="464">
        <v>0</v>
      </c>
      <c r="N61" s="464">
        <v>0</v>
      </c>
      <c r="O61" s="464">
        <v>0</v>
      </c>
      <c r="P61" s="465">
        <v>0</v>
      </c>
      <c r="Q61" s="77">
        <f t="shared" si="11"/>
        <v>1577238</v>
      </c>
      <c r="R61" s="464">
        <v>0</v>
      </c>
      <c r="S61" s="465">
        <v>0</v>
      </c>
      <c r="T61" s="464">
        <v>0</v>
      </c>
      <c r="U61" s="464">
        <v>0</v>
      </c>
      <c r="V61" s="464">
        <v>0</v>
      </c>
      <c r="W61" s="465">
        <v>0</v>
      </c>
      <c r="X61" s="14">
        <f t="shared" si="12"/>
        <v>0</v>
      </c>
      <c r="Y61" s="145">
        <f t="shared" si="13"/>
        <v>36.9</v>
      </c>
      <c r="Z61" s="14">
        <f t="shared" si="14"/>
        <v>1577238</v>
      </c>
      <c r="AA61" s="14">
        <f t="shared" si="15"/>
        <v>0</v>
      </c>
      <c r="AB61" s="146">
        <f t="shared" si="22"/>
        <v>0</v>
      </c>
      <c r="AC61" s="147">
        <f t="shared" si="23"/>
        <v>35.340000000000003</v>
      </c>
      <c r="AD61" s="127">
        <f t="shared" si="24"/>
        <v>35.340000000000003</v>
      </c>
      <c r="AE61" s="77">
        <f t="shared" si="16"/>
        <v>1577238</v>
      </c>
      <c r="AF61" s="155">
        <v>1.4999999999999999E-2</v>
      </c>
      <c r="AG61" s="281">
        <v>767244</v>
      </c>
      <c r="AH61" s="281">
        <v>0</v>
      </c>
      <c r="AI61" s="475">
        <f t="shared" si="17"/>
        <v>767244</v>
      </c>
      <c r="AJ61" s="77">
        <v>39645267</v>
      </c>
      <c r="AK61" s="77">
        <f t="shared" si="28"/>
        <v>51149600</v>
      </c>
      <c r="AL61" s="571">
        <f t="shared" si="18"/>
        <v>0.2901817510776255</v>
      </c>
      <c r="AM61" s="574">
        <f t="shared" si="19"/>
        <v>45592057.049999997</v>
      </c>
      <c r="AN61" s="129">
        <f t="shared" si="25"/>
        <v>1.4999999999999999E-2</v>
      </c>
      <c r="AO61" s="129">
        <f t="shared" si="26"/>
        <v>0</v>
      </c>
      <c r="AP61" s="77">
        <v>51592.5</v>
      </c>
      <c r="AQ61" s="77">
        <f t="shared" si="27"/>
        <v>2396074.5</v>
      </c>
      <c r="AR61" s="77">
        <f>ROUND(AQ61/'Table 3 Levels 1&amp;2'!C61,2)</f>
        <v>3513.31</v>
      </c>
    </row>
    <row r="62" spans="1:44">
      <c r="A62" s="18">
        <v>55</v>
      </c>
      <c r="B62" s="70" t="s">
        <v>145</v>
      </c>
      <c r="C62" s="20">
        <v>945712650</v>
      </c>
      <c r="D62" s="20">
        <v>175348725</v>
      </c>
      <c r="E62" s="20">
        <f t="shared" si="9"/>
        <v>770363925</v>
      </c>
      <c r="F62" s="20">
        <v>741791975</v>
      </c>
      <c r="G62" s="729">
        <f t="shared" si="10"/>
        <v>3.8517469806814773E-2</v>
      </c>
      <c r="H62" s="730">
        <f t="shared" si="21"/>
        <v>770363925</v>
      </c>
      <c r="I62" s="482">
        <v>3.86</v>
      </c>
      <c r="J62" s="467">
        <v>2908147</v>
      </c>
      <c r="K62" s="482">
        <v>5.41</v>
      </c>
      <c r="L62" s="467">
        <v>4075936</v>
      </c>
      <c r="M62" s="466">
        <v>0</v>
      </c>
      <c r="N62" s="466">
        <v>0</v>
      </c>
      <c r="O62" s="466">
        <v>0</v>
      </c>
      <c r="P62" s="467">
        <v>0</v>
      </c>
      <c r="Q62" s="78">
        <f t="shared" si="11"/>
        <v>6984083</v>
      </c>
      <c r="R62" s="466">
        <v>0</v>
      </c>
      <c r="S62" s="467">
        <v>129</v>
      </c>
      <c r="T62" s="466">
        <v>0</v>
      </c>
      <c r="U62" s="466">
        <v>0</v>
      </c>
      <c r="V62" s="466">
        <v>0</v>
      </c>
      <c r="W62" s="467">
        <v>0</v>
      </c>
      <c r="X62" s="20">
        <f t="shared" si="12"/>
        <v>129</v>
      </c>
      <c r="Y62" s="148">
        <f t="shared" si="13"/>
        <v>9.27</v>
      </c>
      <c r="Z62" s="20">
        <f t="shared" si="14"/>
        <v>6984212</v>
      </c>
      <c r="AA62" s="20">
        <f t="shared" si="15"/>
        <v>0</v>
      </c>
      <c r="AB62" s="149">
        <f t="shared" si="22"/>
        <v>0</v>
      </c>
      <c r="AC62" s="150">
        <f t="shared" si="23"/>
        <v>9.07</v>
      </c>
      <c r="AD62" s="128">
        <f t="shared" si="24"/>
        <v>9.07</v>
      </c>
      <c r="AE62" s="78">
        <f t="shared" si="16"/>
        <v>6984212</v>
      </c>
      <c r="AF62" s="156">
        <v>2.0799999999999999E-2</v>
      </c>
      <c r="AG62" s="282">
        <v>48824395</v>
      </c>
      <c r="AH62" s="282">
        <v>0</v>
      </c>
      <c r="AI62" s="476">
        <f t="shared" si="17"/>
        <v>48824395</v>
      </c>
      <c r="AJ62" s="78">
        <v>2254068317</v>
      </c>
      <c r="AK62" s="78">
        <f t="shared" si="28"/>
        <v>2347326683</v>
      </c>
      <c r="AL62" s="156">
        <f t="shared" si="18"/>
        <v>4.1373353813925241E-2</v>
      </c>
      <c r="AM62" s="78">
        <f t="shared" si="19"/>
        <v>2347326683</v>
      </c>
      <c r="AN62" s="130">
        <f t="shared" si="25"/>
        <v>2.0799999997273493E-2</v>
      </c>
      <c r="AO62" s="130">
        <f t="shared" si="26"/>
        <v>0</v>
      </c>
      <c r="AP62" s="78">
        <v>307581.5</v>
      </c>
      <c r="AQ62" s="78">
        <f t="shared" si="27"/>
        <v>56116188.5</v>
      </c>
      <c r="AR62" s="78">
        <f>ROUND(AQ62/'Table 3 Levels 1&amp;2'!C62,2)</f>
        <v>3160.41</v>
      </c>
    </row>
    <row r="63" spans="1:44">
      <c r="A63" s="12">
        <v>56</v>
      </c>
      <c r="B63" s="69" t="s">
        <v>146</v>
      </c>
      <c r="C63" s="14">
        <v>193594260</v>
      </c>
      <c r="D63" s="14">
        <v>34746574</v>
      </c>
      <c r="E63" s="14">
        <f t="shared" si="9"/>
        <v>158847686</v>
      </c>
      <c r="F63" s="14">
        <v>157721958</v>
      </c>
      <c r="G63" s="129">
        <f t="shared" si="10"/>
        <v>7.1374209036892634E-3</v>
      </c>
      <c r="H63" s="1101">
        <f t="shared" si="21"/>
        <v>158847686</v>
      </c>
      <c r="I63" s="481">
        <v>3.55</v>
      </c>
      <c r="J63" s="465">
        <v>544655</v>
      </c>
      <c r="K63" s="481">
        <v>17.98</v>
      </c>
      <c r="L63" s="465">
        <v>2756275</v>
      </c>
      <c r="M63" s="464">
        <v>1.64</v>
      </c>
      <c r="N63" s="464">
        <v>1.64</v>
      </c>
      <c r="O63" s="464">
        <v>9</v>
      </c>
      <c r="P63" s="465">
        <v>251656</v>
      </c>
      <c r="Q63" s="77">
        <f t="shared" si="11"/>
        <v>3552586</v>
      </c>
      <c r="R63" s="464">
        <v>0</v>
      </c>
      <c r="S63" s="465">
        <v>0</v>
      </c>
      <c r="T63" s="464">
        <v>0</v>
      </c>
      <c r="U63" s="464">
        <v>0</v>
      </c>
      <c r="V63" s="464">
        <v>0</v>
      </c>
      <c r="W63" s="465"/>
      <c r="X63" s="14">
        <f t="shared" si="12"/>
        <v>0</v>
      </c>
      <c r="Y63" s="145">
        <f t="shared" si="13"/>
        <v>21.53</v>
      </c>
      <c r="Z63" s="14">
        <f t="shared" si="14"/>
        <v>3300930</v>
      </c>
      <c r="AA63" s="14">
        <f t="shared" si="15"/>
        <v>251656</v>
      </c>
      <c r="AB63" s="146">
        <f t="shared" si="22"/>
        <v>0</v>
      </c>
      <c r="AC63" s="147">
        <f t="shared" si="23"/>
        <v>22.36</v>
      </c>
      <c r="AD63" s="127">
        <f t="shared" si="24"/>
        <v>22.36</v>
      </c>
      <c r="AE63" s="77">
        <f t="shared" si="16"/>
        <v>3552586</v>
      </c>
      <c r="AF63" s="155">
        <v>0.02</v>
      </c>
      <c r="AG63" s="281">
        <v>4471356</v>
      </c>
      <c r="AH63" s="281">
        <v>0</v>
      </c>
      <c r="AI63" s="475">
        <f t="shared" si="17"/>
        <v>4471356</v>
      </c>
      <c r="AJ63" s="77">
        <v>239373550</v>
      </c>
      <c r="AK63" s="77">
        <f t="shared" si="28"/>
        <v>223567800</v>
      </c>
      <c r="AL63" s="155">
        <f t="shared" si="18"/>
        <v>-6.602964279052552E-2</v>
      </c>
      <c r="AM63" s="77">
        <f t="shared" si="19"/>
        <v>223567800</v>
      </c>
      <c r="AN63" s="129">
        <f t="shared" si="25"/>
        <v>0.02</v>
      </c>
      <c r="AO63" s="129">
        <f t="shared" si="26"/>
        <v>0</v>
      </c>
      <c r="AP63" s="77">
        <v>151652</v>
      </c>
      <c r="AQ63" s="77">
        <f t="shared" si="27"/>
        <v>8175594</v>
      </c>
      <c r="AR63" s="77">
        <f>ROUND(AQ63/'Table 3 Levels 1&amp;2'!C63,2)</f>
        <v>2858.6</v>
      </c>
    </row>
    <row r="64" spans="1:44">
      <c r="A64" s="12">
        <v>57</v>
      </c>
      <c r="B64" s="69" t="s">
        <v>147</v>
      </c>
      <c r="C64" s="14">
        <v>400700850</v>
      </c>
      <c r="D64" s="14">
        <v>90178270</v>
      </c>
      <c r="E64" s="14">
        <f t="shared" si="9"/>
        <v>310522580</v>
      </c>
      <c r="F64" s="14">
        <v>309620720</v>
      </c>
      <c r="G64" s="562">
        <f t="shared" si="10"/>
        <v>2.9127895574947308E-3</v>
      </c>
      <c r="H64" s="563">
        <f t="shared" si="21"/>
        <v>310522580</v>
      </c>
      <c r="I64" s="481">
        <v>4.6500000000000004</v>
      </c>
      <c r="J64" s="465">
        <v>1425372</v>
      </c>
      <c r="K64" s="481">
        <v>35</v>
      </c>
      <c r="L64" s="465">
        <v>10718733</v>
      </c>
      <c r="M64" s="464">
        <v>0</v>
      </c>
      <c r="N64" s="464">
        <v>0</v>
      </c>
      <c r="O64" s="464">
        <v>0</v>
      </c>
      <c r="P64" s="465">
        <v>0</v>
      </c>
      <c r="Q64" s="77">
        <f t="shared" si="11"/>
        <v>12144105</v>
      </c>
      <c r="R64" s="464">
        <v>0</v>
      </c>
      <c r="S64" s="465">
        <v>0</v>
      </c>
      <c r="T64" s="464">
        <v>0</v>
      </c>
      <c r="U64" s="464">
        <v>0</v>
      </c>
      <c r="V64" s="464">
        <v>0</v>
      </c>
      <c r="W64" s="465">
        <v>0</v>
      </c>
      <c r="X64" s="14">
        <f t="shared" si="12"/>
        <v>0</v>
      </c>
      <c r="Y64" s="145">
        <f t="shared" si="13"/>
        <v>39.65</v>
      </c>
      <c r="Z64" s="14">
        <f t="shared" si="14"/>
        <v>12144105</v>
      </c>
      <c r="AA64" s="14">
        <f t="shared" si="15"/>
        <v>0</v>
      </c>
      <c r="AB64" s="146">
        <f t="shared" si="22"/>
        <v>0</v>
      </c>
      <c r="AC64" s="147">
        <f t="shared" si="23"/>
        <v>39.11</v>
      </c>
      <c r="AD64" s="127">
        <f t="shared" si="24"/>
        <v>39.11</v>
      </c>
      <c r="AE64" s="77">
        <f t="shared" si="16"/>
        <v>12144105</v>
      </c>
      <c r="AF64" s="155">
        <v>1.4999999999999999E-2</v>
      </c>
      <c r="AG64" s="281">
        <v>11290503</v>
      </c>
      <c r="AH64" s="281">
        <v>0</v>
      </c>
      <c r="AI64" s="475">
        <f t="shared" si="17"/>
        <v>11290503</v>
      </c>
      <c r="AJ64" s="77">
        <v>734873800</v>
      </c>
      <c r="AK64" s="77">
        <f t="shared" si="28"/>
        <v>752700200</v>
      </c>
      <c r="AL64" s="155">
        <f t="shared" si="18"/>
        <v>2.4257770517876674E-2</v>
      </c>
      <c r="AM64" s="77">
        <f t="shared" si="19"/>
        <v>752700200</v>
      </c>
      <c r="AN64" s="129">
        <f t="shared" si="25"/>
        <v>1.4999999999999999E-2</v>
      </c>
      <c r="AO64" s="129">
        <f t="shared" si="26"/>
        <v>0</v>
      </c>
      <c r="AP64" s="77">
        <v>2326234</v>
      </c>
      <c r="AQ64" s="77">
        <f t="shared" si="27"/>
        <v>25760842</v>
      </c>
      <c r="AR64" s="77">
        <f>ROUND(AQ64/'Table 3 Levels 1&amp;2'!C64,2)</f>
        <v>2847.45</v>
      </c>
    </row>
    <row r="65" spans="1:44">
      <c r="A65" s="12">
        <v>58</v>
      </c>
      <c r="B65" s="69" t="s">
        <v>148</v>
      </c>
      <c r="C65" s="14">
        <v>168097320</v>
      </c>
      <c r="D65" s="14">
        <v>47441907</v>
      </c>
      <c r="E65" s="14">
        <f t="shared" si="9"/>
        <v>120655413</v>
      </c>
      <c r="F65" s="14">
        <v>117095033</v>
      </c>
      <c r="G65" s="562">
        <f t="shared" si="10"/>
        <v>3.0405901162349046E-2</v>
      </c>
      <c r="H65" s="563">
        <f t="shared" si="21"/>
        <v>120655413</v>
      </c>
      <c r="I65" s="481">
        <v>4.18</v>
      </c>
      <c r="J65" s="465">
        <v>492458</v>
      </c>
      <c r="K65" s="481">
        <v>8.1199999999999992</v>
      </c>
      <c r="L65" s="465">
        <v>956641</v>
      </c>
      <c r="M65" s="464">
        <v>10</v>
      </c>
      <c r="N65" s="464">
        <v>18.77</v>
      </c>
      <c r="O65" s="464">
        <v>9</v>
      </c>
      <c r="P65" s="465">
        <v>1795516</v>
      </c>
      <c r="Q65" s="77">
        <f t="shared" si="11"/>
        <v>3244615</v>
      </c>
      <c r="R65" s="464">
        <v>0</v>
      </c>
      <c r="S65" s="465">
        <v>0</v>
      </c>
      <c r="T65" s="464">
        <v>9.93</v>
      </c>
      <c r="U65" s="464">
        <v>40.79</v>
      </c>
      <c r="V65" s="464">
        <v>9</v>
      </c>
      <c r="W65" s="465">
        <v>3805548</v>
      </c>
      <c r="X65" s="14">
        <f t="shared" si="12"/>
        <v>3805548</v>
      </c>
      <c r="Y65" s="145">
        <f t="shared" si="13"/>
        <v>12.299999999999999</v>
      </c>
      <c r="Z65" s="14">
        <f t="shared" si="14"/>
        <v>1449099</v>
      </c>
      <c r="AA65" s="14">
        <f t="shared" si="15"/>
        <v>5601064</v>
      </c>
      <c r="AB65" s="146">
        <f t="shared" si="22"/>
        <v>31.54</v>
      </c>
      <c r="AC65" s="147">
        <f t="shared" si="23"/>
        <v>26.89</v>
      </c>
      <c r="AD65" s="127">
        <f t="shared" si="24"/>
        <v>58.43</v>
      </c>
      <c r="AE65" s="77">
        <f t="shared" si="16"/>
        <v>7050163</v>
      </c>
      <c r="AF65" s="155">
        <v>0.02</v>
      </c>
      <c r="AG65" s="281">
        <v>12246187</v>
      </c>
      <c r="AH65" s="281">
        <v>0</v>
      </c>
      <c r="AI65" s="475">
        <f t="shared" si="17"/>
        <v>12246187</v>
      </c>
      <c r="AJ65" s="77">
        <v>540589950</v>
      </c>
      <c r="AK65" s="77">
        <f t="shared" si="28"/>
        <v>612309350</v>
      </c>
      <c r="AL65" s="569">
        <f t="shared" si="18"/>
        <v>0.13266876308003875</v>
      </c>
      <c r="AM65" s="572">
        <f t="shared" si="19"/>
        <v>612309350</v>
      </c>
      <c r="AN65" s="129">
        <f t="shared" si="25"/>
        <v>0.02</v>
      </c>
      <c r="AO65" s="129">
        <f t="shared" si="26"/>
        <v>0</v>
      </c>
      <c r="AP65" s="77">
        <v>420654</v>
      </c>
      <c r="AQ65" s="77">
        <f t="shared" si="27"/>
        <v>19717004</v>
      </c>
      <c r="AR65" s="77">
        <f>ROUND(AQ65/'Table 3 Levels 1&amp;2'!C65,2)</f>
        <v>2169.09</v>
      </c>
    </row>
    <row r="66" spans="1:44">
      <c r="A66" s="12">
        <v>59</v>
      </c>
      <c r="B66" s="69" t="s">
        <v>149</v>
      </c>
      <c r="C66" s="14">
        <v>124631650</v>
      </c>
      <c r="D66" s="14">
        <v>42343385</v>
      </c>
      <c r="E66" s="14">
        <f t="shared" si="9"/>
        <v>82288265</v>
      </c>
      <c r="F66" s="14">
        <v>82193101</v>
      </c>
      <c r="G66" s="562">
        <f t="shared" si="10"/>
        <v>1.1578100697283583E-3</v>
      </c>
      <c r="H66" s="563">
        <f t="shared" si="21"/>
        <v>82288265</v>
      </c>
      <c r="I66" s="481">
        <v>3.91</v>
      </c>
      <c r="J66" s="465">
        <v>333330</v>
      </c>
      <c r="K66" s="481">
        <v>15.07</v>
      </c>
      <c r="L66" s="465">
        <v>1284728</v>
      </c>
      <c r="M66" s="464">
        <v>5.19</v>
      </c>
      <c r="N66" s="464">
        <v>5.19</v>
      </c>
      <c r="O66" s="464">
        <v>1</v>
      </c>
      <c r="P66" s="465">
        <v>22511</v>
      </c>
      <c r="Q66" s="77">
        <f t="shared" si="11"/>
        <v>1640569</v>
      </c>
      <c r="R66" s="464">
        <v>0</v>
      </c>
      <c r="S66" s="465">
        <v>0</v>
      </c>
      <c r="T66" s="464">
        <v>16</v>
      </c>
      <c r="U66" s="464">
        <v>30.5</v>
      </c>
      <c r="V66" s="464">
        <v>3</v>
      </c>
      <c r="W66" s="465">
        <v>2284106</v>
      </c>
      <c r="X66" s="14">
        <f t="shared" si="12"/>
        <v>2284106</v>
      </c>
      <c r="Y66" s="145">
        <f t="shared" si="13"/>
        <v>18.98</v>
      </c>
      <c r="Z66" s="14">
        <f t="shared" si="14"/>
        <v>1618058</v>
      </c>
      <c r="AA66" s="14">
        <f t="shared" si="15"/>
        <v>2306617</v>
      </c>
      <c r="AB66" s="146">
        <f t="shared" si="22"/>
        <v>27.76</v>
      </c>
      <c r="AC66" s="147">
        <f t="shared" si="23"/>
        <v>19.940000000000001</v>
      </c>
      <c r="AD66" s="127">
        <f t="shared" si="24"/>
        <v>47.69</v>
      </c>
      <c r="AE66" s="77">
        <f t="shared" si="16"/>
        <v>3924675</v>
      </c>
      <c r="AF66" s="155">
        <v>0.02</v>
      </c>
      <c r="AG66" s="281">
        <v>4135359</v>
      </c>
      <c r="AH66" s="281">
        <v>0</v>
      </c>
      <c r="AI66" s="475">
        <f t="shared" si="17"/>
        <v>4135359</v>
      </c>
      <c r="AJ66" s="77">
        <v>197900500</v>
      </c>
      <c r="AK66" s="77">
        <f t="shared" si="28"/>
        <v>206767950</v>
      </c>
      <c r="AL66" s="569">
        <f t="shared" si="18"/>
        <v>4.4807617969636254E-2</v>
      </c>
      <c r="AM66" s="572">
        <f t="shared" si="19"/>
        <v>206767950</v>
      </c>
      <c r="AN66" s="129">
        <f t="shared" si="25"/>
        <v>0.02</v>
      </c>
      <c r="AO66" s="129">
        <f t="shared" si="26"/>
        <v>0</v>
      </c>
      <c r="AP66" s="77">
        <v>165555</v>
      </c>
      <c r="AQ66" s="77">
        <f t="shared" si="27"/>
        <v>8225589</v>
      </c>
      <c r="AR66" s="77">
        <f>ROUND(AQ66/'Table 3 Levels 1&amp;2'!C66,2)</f>
        <v>1567.67</v>
      </c>
    </row>
    <row r="67" spans="1:44">
      <c r="A67" s="18">
        <v>60</v>
      </c>
      <c r="B67" s="70" t="s">
        <v>150</v>
      </c>
      <c r="C67" s="20">
        <v>286941170</v>
      </c>
      <c r="D67" s="20">
        <v>52467769</v>
      </c>
      <c r="E67" s="20">
        <f t="shared" si="9"/>
        <v>234473401</v>
      </c>
      <c r="F67" s="20">
        <v>228007251</v>
      </c>
      <c r="G67" s="729">
        <f t="shared" si="10"/>
        <v>2.8359405113831226E-2</v>
      </c>
      <c r="H67" s="730">
        <f t="shared" si="21"/>
        <v>234473401</v>
      </c>
      <c r="I67" s="482">
        <v>4.18</v>
      </c>
      <c r="J67" s="467">
        <v>976862</v>
      </c>
      <c r="K67" s="482">
        <v>11.58</v>
      </c>
      <c r="L67" s="467">
        <v>2706236</v>
      </c>
      <c r="M67" s="466">
        <v>7.12</v>
      </c>
      <c r="N67" s="466">
        <v>25.37</v>
      </c>
      <c r="O67" s="466">
        <v>3</v>
      </c>
      <c r="P67" s="467">
        <v>1552191</v>
      </c>
      <c r="Q67" s="78">
        <f t="shared" si="11"/>
        <v>5235289</v>
      </c>
      <c r="R67" s="466">
        <v>0</v>
      </c>
      <c r="S67" s="467">
        <v>0</v>
      </c>
      <c r="T67" s="466">
        <v>17</v>
      </c>
      <c r="U67" s="466">
        <v>39</v>
      </c>
      <c r="V67" s="466">
        <v>7</v>
      </c>
      <c r="W67" s="467">
        <v>6227407</v>
      </c>
      <c r="X67" s="20">
        <f t="shared" si="12"/>
        <v>6227407</v>
      </c>
      <c r="Y67" s="148">
        <f t="shared" si="13"/>
        <v>15.76</v>
      </c>
      <c r="Z67" s="20">
        <f t="shared" si="14"/>
        <v>3683098</v>
      </c>
      <c r="AA67" s="20">
        <f t="shared" si="15"/>
        <v>7779598</v>
      </c>
      <c r="AB67" s="149">
        <f t="shared" si="22"/>
        <v>26.56</v>
      </c>
      <c r="AC67" s="150">
        <f t="shared" si="23"/>
        <v>22.33</v>
      </c>
      <c r="AD67" s="128">
        <f t="shared" si="24"/>
        <v>48.89</v>
      </c>
      <c r="AE67" s="78">
        <f t="shared" si="16"/>
        <v>11462696</v>
      </c>
      <c r="AF67" s="156">
        <v>2.1299999999999999E-2</v>
      </c>
      <c r="AG67" s="282">
        <v>14520505</v>
      </c>
      <c r="AH67" s="282">
        <v>0</v>
      </c>
      <c r="AI67" s="476">
        <f t="shared" si="17"/>
        <v>14520505</v>
      </c>
      <c r="AJ67" s="78">
        <v>671741362</v>
      </c>
      <c r="AK67" s="78">
        <f t="shared" si="28"/>
        <v>681713850</v>
      </c>
      <c r="AL67" s="570">
        <f t="shared" si="18"/>
        <v>1.4845725697623486E-2</v>
      </c>
      <c r="AM67" s="573">
        <f t="shared" si="19"/>
        <v>681713850</v>
      </c>
      <c r="AN67" s="130">
        <f t="shared" si="25"/>
        <v>2.1299999992665544E-2</v>
      </c>
      <c r="AO67" s="130">
        <f t="shared" si="26"/>
        <v>0</v>
      </c>
      <c r="AP67" s="78">
        <v>309654</v>
      </c>
      <c r="AQ67" s="78">
        <f t="shared" si="27"/>
        <v>26292855</v>
      </c>
      <c r="AR67" s="78">
        <f>ROUND(AQ67/'Table 3 Levels 1&amp;2'!C67,2)</f>
        <v>4049.42</v>
      </c>
    </row>
    <row r="68" spans="1:44">
      <c r="A68" s="12">
        <v>61</v>
      </c>
      <c r="B68" s="69" t="s">
        <v>151</v>
      </c>
      <c r="C68" s="14">
        <v>392504800</v>
      </c>
      <c r="D68" s="14">
        <v>39614303</v>
      </c>
      <c r="E68" s="14">
        <f t="shared" si="9"/>
        <v>352890497</v>
      </c>
      <c r="F68" s="14">
        <v>328455777</v>
      </c>
      <c r="G68" s="562">
        <f t="shared" si="10"/>
        <v>7.4392724107878908E-2</v>
      </c>
      <c r="H68" s="563">
        <f t="shared" si="21"/>
        <v>352890497</v>
      </c>
      <c r="I68" s="481">
        <v>4.3899999999999997</v>
      </c>
      <c r="J68" s="465">
        <v>1552509</v>
      </c>
      <c r="K68" s="481">
        <v>27</v>
      </c>
      <c r="L68" s="465">
        <v>9548461</v>
      </c>
      <c r="M68" s="464">
        <v>0</v>
      </c>
      <c r="N68" s="464">
        <v>0</v>
      </c>
      <c r="O68" s="464">
        <v>0</v>
      </c>
      <c r="P68" s="465">
        <v>0</v>
      </c>
      <c r="Q68" s="77">
        <f t="shared" si="11"/>
        <v>11100970</v>
      </c>
      <c r="R68" s="464">
        <v>4</v>
      </c>
      <c r="S68" s="465">
        <v>1414587</v>
      </c>
      <c r="T68" s="464">
        <v>0</v>
      </c>
      <c r="U68" s="464">
        <v>0</v>
      </c>
      <c r="V68" s="464">
        <v>0</v>
      </c>
      <c r="W68" s="465">
        <v>0</v>
      </c>
      <c r="X68" s="14">
        <f t="shared" si="12"/>
        <v>1414587</v>
      </c>
      <c r="Y68" s="145">
        <f t="shared" si="13"/>
        <v>35.39</v>
      </c>
      <c r="Z68" s="14">
        <f t="shared" si="14"/>
        <v>12515557</v>
      </c>
      <c r="AA68" s="14">
        <f t="shared" si="15"/>
        <v>0</v>
      </c>
      <c r="AB68" s="146">
        <f t="shared" si="22"/>
        <v>4.01</v>
      </c>
      <c r="AC68" s="147">
        <f t="shared" si="23"/>
        <v>31.46</v>
      </c>
      <c r="AD68" s="127">
        <f t="shared" si="24"/>
        <v>35.47</v>
      </c>
      <c r="AE68" s="77">
        <f t="shared" si="16"/>
        <v>12515557</v>
      </c>
      <c r="AF68" s="155">
        <v>0.02</v>
      </c>
      <c r="AG68" s="281">
        <v>11835265</v>
      </c>
      <c r="AH68" s="281">
        <v>0</v>
      </c>
      <c r="AI68" s="475">
        <f t="shared" si="17"/>
        <v>11835265</v>
      </c>
      <c r="AJ68" s="77">
        <v>510373150</v>
      </c>
      <c r="AK68" s="77">
        <f t="shared" si="28"/>
        <v>591763250</v>
      </c>
      <c r="AL68" s="571">
        <f t="shared" si="18"/>
        <v>0.15947175120791524</v>
      </c>
      <c r="AM68" s="574">
        <f t="shared" si="19"/>
        <v>586929122.5</v>
      </c>
      <c r="AN68" s="129">
        <f t="shared" si="25"/>
        <v>0.02</v>
      </c>
      <c r="AO68" s="129">
        <f t="shared" si="26"/>
        <v>0</v>
      </c>
      <c r="AP68" s="77">
        <v>156507.5</v>
      </c>
      <c r="AQ68" s="77">
        <f t="shared" si="27"/>
        <v>24507329.5</v>
      </c>
      <c r="AR68" s="77">
        <f>ROUND(AQ68/'Table 3 Levels 1&amp;2'!C68,2)</f>
        <v>6769.98</v>
      </c>
    </row>
    <row r="69" spans="1:44">
      <c r="A69" s="12">
        <v>62</v>
      </c>
      <c r="B69" s="69" t="s">
        <v>152</v>
      </c>
      <c r="C69" s="14">
        <v>69021260</v>
      </c>
      <c r="D69" s="14">
        <v>16243936</v>
      </c>
      <c r="E69" s="14">
        <f t="shared" si="9"/>
        <v>52777324</v>
      </c>
      <c r="F69" s="14">
        <v>50448171</v>
      </c>
      <c r="G69" s="562">
        <f t="shared" si="10"/>
        <v>4.6169225837741475E-2</v>
      </c>
      <c r="H69" s="563">
        <f t="shared" si="21"/>
        <v>52777324</v>
      </c>
      <c r="I69" s="481">
        <v>7.03</v>
      </c>
      <c r="J69" s="465">
        <v>356747</v>
      </c>
      <c r="K69" s="481">
        <v>16.899999999999999</v>
      </c>
      <c r="L69" s="465">
        <v>888369</v>
      </c>
      <c r="M69" s="464">
        <v>4.47</v>
      </c>
      <c r="N69" s="464">
        <v>4.47</v>
      </c>
      <c r="O69" s="464">
        <v>1</v>
      </c>
      <c r="P69" s="465">
        <v>107285</v>
      </c>
      <c r="Q69" s="77">
        <f t="shared" si="11"/>
        <v>1352401</v>
      </c>
      <c r="R69" s="464">
        <v>0</v>
      </c>
      <c r="S69" s="465">
        <v>0</v>
      </c>
      <c r="T69" s="464">
        <v>0</v>
      </c>
      <c r="U69" s="464">
        <v>0</v>
      </c>
      <c r="V69" s="464">
        <v>0</v>
      </c>
      <c r="W69" s="465"/>
      <c r="X69" s="14">
        <f t="shared" si="12"/>
        <v>0</v>
      </c>
      <c r="Y69" s="145">
        <f t="shared" si="13"/>
        <v>23.93</v>
      </c>
      <c r="Z69" s="14">
        <f>J69+L69+S69</f>
        <v>1245116</v>
      </c>
      <c r="AA69" s="14">
        <f t="shared" si="15"/>
        <v>107285</v>
      </c>
      <c r="AB69" s="146">
        <f t="shared" si="22"/>
        <v>0</v>
      </c>
      <c r="AC69" s="147">
        <f t="shared" si="23"/>
        <v>25.62</v>
      </c>
      <c r="AD69" s="127">
        <f t="shared" si="24"/>
        <v>25.62</v>
      </c>
      <c r="AE69" s="77">
        <f t="shared" si="16"/>
        <v>1352401</v>
      </c>
      <c r="AF69" s="155">
        <v>0.02</v>
      </c>
      <c r="AG69" s="281">
        <v>2408700</v>
      </c>
      <c r="AH69" s="281">
        <v>0</v>
      </c>
      <c r="AI69" s="475">
        <f t="shared" si="17"/>
        <v>2408700</v>
      </c>
      <c r="AJ69" s="77">
        <v>113624700</v>
      </c>
      <c r="AK69" s="77">
        <f t="shared" si="28"/>
        <v>120435000</v>
      </c>
      <c r="AL69" s="569">
        <f t="shared" si="18"/>
        <v>5.9936791912321881E-2</v>
      </c>
      <c r="AM69" s="572">
        <f t="shared" si="19"/>
        <v>120435000</v>
      </c>
      <c r="AN69" s="129">
        <f t="shared" si="25"/>
        <v>0.02</v>
      </c>
      <c r="AO69" s="129">
        <f t="shared" si="26"/>
        <v>0</v>
      </c>
      <c r="AP69" s="77">
        <v>99511</v>
      </c>
      <c r="AQ69" s="77">
        <f t="shared" si="27"/>
        <v>3860612</v>
      </c>
      <c r="AR69" s="77">
        <f>ROUND(AQ69/'Table 3 Levels 1&amp;2'!C69,2)</f>
        <v>1834.02</v>
      </c>
    </row>
    <row r="70" spans="1:44">
      <c r="A70" s="12">
        <v>63</v>
      </c>
      <c r="B70" s="69" t="s">
        <v>153</v>
      </c>
      <c r="C70" s="14">
        <v>285153365</v>
      </c>
      <c r="D70" s="14">
        <v>16839952</v>
      </c>
      <c r="E70" s="14">
        <f t="shared" si="9"/>
        <v>268313413</v>
      </c>
      <c r="F70" s="14">
        <v>271070965</v>
      </c>
      <c r="G70" s="562">
        <f t="shared" si="10"/>
        <v>-1.0172804748749096E-2</v>
      </c>
      <c r="H70" s="563">
        <f t="shared" si="21"/>
        <v>268313413</v>
      </c>
      <c r="I70" s="481">
        <v>4.46</v>
      </c>
      <c r="J70" s="465">
        <v>1155674</v>
      </c>
      <c r="K70" s="481">
        <v>29.5</v>
      </c>
      <c r="L70" s="465">
        <v>7753675</v>
      </c>
      <c r="M70" s="464">
        <v>0</v>
      </c>
      <c r="N70" s="464">
        <v>0</v>
      </c>
      <c r="O70" s="464">
        <v>0</v>
      </c>
      <c r="P70" s="465">
        <v>0</v>
      </c>
      <c r="Q70" s="77">
        <f t="shared" si="11"/>
        <v>8909349</v>
      </c>
      <c r="R70" s="464">
        <v>2</v>
      </c>
      <c r="S70" s="465">
        <v>1027137</v>
      </c>
      <c r="T70" s="464">
        <v>0</v>
      </c>
      <c r="U70" s="464">
        <v>0</v>
      </c>
      <c r="V70" s="464">
        <v>0</v>
      </c>
      <c r="W70" s="465">
        <v>0</v>
      </c>
      <c r="X70" s="14">
        <f t="shared" si="12"/>
        <v>1027137</v>
      </c>
      <c r="Y70" s="145">
        <f t="shared" si="13"/>
        <v>35.96</v>
      </c>
      <c r="Z70" s="14">
        <f t="shared" si="14"/>
        <v>9936486</v>
      </c>
      <c r="AA70" s="14">
        <f t="shared" si="15"/>
        <v>0</v>
      </c>
      <c r="AB70" s="146">
        <f t="shared" si="22"/>
        <v>3.83</v>
      </c>
      <c r="AC70" s="147">
        <f t="shared" si="23"/>
        <v>33.21</v>
      </c>
      <c r="AD70" s="127">
        <f t="shared" si="24"/>
        <v>37.03</v>
      </c>
      <c r="AE70" s="77">
        <f t="shared" si="16"/>
        <v>9936486</v>
      </c>
      <c r="AF70" s="155">
        <v>2.5000000000000001E-2</v>
      </c>
      <c r="AG70" s="281">
        <v>4451261</v>
      </c>
      <c r="AH70" s="281">
        <v>0</v>
      </c>
      <c r="AI70" s="475">
        <f t="shared" si="17"/>
        <v>4451261</v>
      </c>
      <c r="AJ70" s="77">
        <v>166329400</v>
      </c>
      <c r="AK70" s="77">
        <f t="shared" si="28"/>
        <v>178050440</v>
      </c>
      <c r="AL70" s="569">
        <f t="shared" si="18"/>
        <v>7.0468840746133882E-2</v>
      </c>
      <c r="AM70" s="572">
        <f t="shared" si="19"/>
        <v>178050440</v>
      </c>
      <c r="AN70" s="129">
        <f t="shared" si="25"/>
        <v>2.5000000000000001E-2</v>
      </c>
      <c r="AO70" s="129">
        <f t="shared" si="26"/>
        <v>0</v>
      </c>
      <c r="AP70" s="77">
        <v>56320.5</v>
      </c>
      <c r="AQ70" s="77">
        <f t="shared" si="27"/>
        <v>14444067.5</v>
      </c>
      <c r="AR70" s="77">
        <f>ROUND(AQ70/'Table 3 Levels 1&amp;2'!C70,2)</f>
        <v>7087.37</v>
      </c>
    </row>
    <row r="71" spans="1:44">
      <c r="A71" s="12">
        <v>64</v>
      </c>
      <c r="B71" s="69" t="s">
        <v>154</v>
      </c>
      <c r="C71" s="14">
        <v>79447343</v>
      </c>
      <c r="D71" s="14">
        <v>16176475</v>
      </c>
      <c r="E71" s="14">
        <f t="shared" si="9"/>
        <v>63270868</v>
      </c>
      <c r="F71" s="14">
        <v>70009749</v>
      </c>
      <c r="G71" s="129">
        <f t="shared" si="10"/>
        <v>-9.6256322815840983E-2</v>
      </c>
      <c r="H71" s="1101">
        <f t="shared" si="21"/>
        <v>63270868</v>
      </c>
      <c r="I71" s="481">
        <v>4.88</v>
      </c>
      <c r="J71" s="465">
        <v>300021</v>
      </c>
      <c r="K71" s="481">
        <v>15.64</v>
      </c>
      <c r="L71" s="465">
        <v>962794</v>
      </c>
      <c r="M71" s="464">
        <v>3</v>
      </c>
      <c r="N71" s="464">
        <v>3.12</v>
      </c>
      <c r="O71" s="464">
        <v>2</v>
      </c>
      <c r="P71" s="465">
        <v>157249</v>
      </c>
      <c r="Q71" s="77">
        <f t="shared" si="11"/>
        <v>1420064</v>
      </c>
      <c r="R71" s="464">
        <v>0</v>
      </c>
      <c r="S71" s="465">
        <v>0</v>
      </c>
      <c r="T71" s="464">
        <v>16</v>
      </c>
      <c r="U71" s="464">
        <v>45</v>
      </c>
      <c r="V71" s="464">
        <v>4</v>
      </c>
      <c r="W71" s="465">
        <v>1422171</v>
      </c>
      <c r="X71" s="14">
        <f t="shared" si="12"/>
        <v>1422171</v>
      </c>
      <c r="Y71" s="145">
        <f t="shared" si="13"/>
        <v>20.52</v>
      </c>
      <c r="Z71" s="14">
        <f t="shared" si="14"/>
        <v>1262815</v>
      </c>
      <c r="AA71" s="14">
        <f t="shared" si="15"/>
        <v>1579420</v>
      </c>
      <c r="AB71" s="146">
        <f t="shared" si="22"/>
        <v>22.48</v>
      </c>
      <c r="AC71" s="147">
        <f t="shared" si="23"/>
        <v>22.44</v>
      </c>
      <c r="AD71" s="127">
        <f t="shared" si="24"/>
        <v>44.92</v>
      </c>
      <c r="AE71" s="77">
        <f t="shared" si="16"/>
        <v>2842235</v>
      </c>
      <c r="AF71" s="155">
        <v>0.02</v>
      </c>
      <c r="AG71" s="281">
        <v>3671568</v>
      </c>
      <c r="AH71" s="281">
        <v>0</v>
      </c>
      <c r="AI71" s="475">
        <f t="shared" si="17"/>
        <v>3671568</v>
      </c>
      <c r="AJ71" s="77">
        <v>175201800</v>
      </c>
      <c r="AK71" s="77">
        <f t="shared" si="28"/>
        <v>183578400</v>
      </c>
      <c r="AL71" s="569">
        <f t="shared" si="18"/>
        <v>4.7811152625144265E-2</v>
      </c>
      <c r="AM71" s="572">
        <f t="shared" si="19"/>
        <v>183578400</v>
      </c>
      <c r="AN71" s="129">
        <f t="shared" si="25"/>
        <v>0.02</v>
      </c>
      <c r="AO71" s="129">
        <f t="shared" si="26"/>
        <v>0</v>
      </c>
      <c r="AP71" s="77">
        <v>378258</v>
      </c>
      <c r="AQ71" s="77">
        <f t="shared" si="27"/>
        <v>6892061</v>
      </c>
      <c r="AR71" s="77">
        <f>ROUND(AQ71/'Table 3 Levels 1&amp;2'!C71,2)</f>
        <v>2876.49</v>
      </c>
    </row>
    <row r="72" spans="1:44">
      <c r="A72" s="18">
        <v>65</v>
      </c>
      <c r="B72" s="70" t="s">
        <v>155</v>
      </c>
      <c r="C72" s="20">
        <v>387637647</v>
      </c>
      <c r="D72" s="20">
        <v>46526907</v>
      </c>
      <c r="E72" s="20">
        <f t="shared" si="9"/>
        <v>341110740</v>
      </c>
      <c r="F72" s="20">
        <v>337062437</v>
      </c>
      <c r="G72" s="729">
        <f t="shared" si="10"/>
        <v>1.2010543316637801E-2</v>
      </c>
      <c r="H72" s="730">
        <f t="shared" si="21"/>
        <v>341110740</v>
      </c>
      <c r="I72" s="482">
        <v>7.07</v>
      </c>
      <c r="J72" s="467">
        <v>2405548</v>
      </c>
      <c r="K72" s="482">
        <v>20.57</v>
      </c>
      <c r="L72" s="467">
        <v>7059875</v>
      </c>
      <c r="M72" s="466">
        <v>0</v>
      </c>
      <c r="N72" s="466">
        <v>0</v>
      </c>
      <c r="O72" s="466">
        <v>0</v>
      </c>
      <c r="P72" s="467">
        <v>0</v>
      </c>
      <c r="Q72" s="78">
        <f t="shared" si="11"/>
        <v>9465423</v>
      </c>
      <c r="R72" s="466">
        <v>17</v>
      </c>
      <c r="S72" s="467">
        <v>5819656</v>
      </c>
      <c r="T72" s="466">
        <v>0</v>
      </c>
      <c r="U72" s="466">
        <v>0</v>
      </c>
      <c r="V72" s="466">
        <v>0</v>
      </c>
      <c r="W72" s="467">
        <v>0</v>
      </c>
      <c r="X72" s="20">
        <f t="shared" si="12"/>
        <v>5819656</v>
      </c>
      <c r="Y72" s="148">
        <f t="shared" si="13"/>
        <v>44.64</v>
      </c>
      <c r="Z72" s="20">
        <f t="shared" si="14"/>
        <v>15285079</v>
      </c>
      <c r="AA72" s="20">
        <f t="shared" si="15"/>
        <v>0</v>
      </c>
      <c r="AB72" s="149">
        <f t="shared" ref="AB72:AB77" si="29">ROUND((X72/E72)*1000,2)</f>
        <v>17.059999999999999</v>
      </c>
      <c r="AC72" s="150">
        <f t="shared" ref="AC72:AC77" si="30">ROUND((Q72/E72)*1000,2)</f>
        <v>27.75</v>
      </c>
      <c r="AD72" s="128">
        <f t="shared" ref="AD72:AD77" si="31">ROUND((AE72/E72)*1000,2)</f>
        <v>44.81</v>
      </c>
      <c r="AE72" s="78">
        <f t="shared" si="16"/>
        <v>15285079</v>
      </c>
      <c r="AF72" s="156">
        <v>0.02</v>
      </c>
      <c r="AG72" s="282">
        <v>25768276</v>
      </c>
      <c r="AH72" s="282">
        <v>0</v>
      </c>
      <c r="AI72" s="476">
        <f t="shared" si="17"/>
        <v>25768276</v>
      </c>
      <c r="AJ72" s="78">
        <v>1243900150</v>
      </c>
      <c r="AK72" s="78">
        <f t="shared" si="28"/>
        <v>1288413800</v>
      </c>
      <c r="AL72" s="570">
        <f t="shared" si="18"/>
        <v>3.5785549185760608E-2</v>
      </c>
      <c r="AM72" s="573">
        <f t="shared" si="19"/>
        <v>1288413800</v>
      </c>
      <c r="AN72" s="130">
        <f t="shared" si="25"/>
        <v>0.02</v>
      </c>
      <c r="AO72" s="130">
        <f t="shared" si="26"/>
        <v>0</v>
      </c>
      <c r="AP72" s="78">
        <v>296519</v>
      </c>
      <c r="AQ72" s="78">
        <f>AP72+AE72+AI72</f>
        <v>41349874</v>
      </c>
      <c r="AR72" s="78">
        <f>ROUND(AQ72/'Table 3 Levels 1&amp;2'!C72,2)</f>
        <v>5014.54</v>
      </c>
    </row>
    <row r="73" spans="1:44">
      <c r="A73" s="12">
        <v>66</v>
      </c>
      <c r="B73" s="69" t="s">
        <v>156</v>
      </c>
      <c r="C73" s="77">
        <v>97317860</v>
      </c>
      <c r="D73" s="77">
        <v>20997740</v>
      </c>
      <c r="E73" s="14">
        <f>C73-D73</f>
        <v>76320120</v>
      </c>
      <c r="F73" s="77">
        <v>78604030</v>
      </c>
      <c r="G73" s="562">
        <f>(E73-F73)/F73</f>
        <v>-2.9055889373610998E-2</v>
      </c>
      <c r="H73" s="563">
        <f t="shared" si="21"/>
        <v>76320120</v>
      </c>
      <c r="I73" s="481">
        <v>6.44</v>
      </c>
      <c r="J73" s="465">
        <v>486271</v>
      </c>
      <c r="K73" s="481">
        <v>56.37</v>
      </c>
      <c r="L73" s="465">
        <v>4329966</v>
      </c>
      <c r="M73" s="464">
        <v>0</v>
      </c>
      <c r="N73" s="464">
        <v>0</v>
      </c>
      <c r="O73" s="464">
        <v>0</v>
      </c>
      <c r="P73" s="465">
        <v>0</v>
      </c>
      <c r="Q73" s="77">
        <f>J73+L73+P73</f>
        <v>4816237</v>
      </c>
      <c r="R73" s="464">
        <v>0</v>
      </c>
      <c r="S73" s="465">
        <v>0</v>
      </c>
      <c r="T73" s="464">
        <v>0</v>
      </c>
      <c r="U73" s="464">
        <v>0</v>
      </c>
      <c r="V73" s="464">
        <v>0</v>
      </c>
      <c r="W73" s="465"/>
      <c r="X73" s="77">
        <f>S73+W73</f>
        <v>0</v>
      </c>
      <c r="Y73" s="159">
        <f t="shared" ref="Y73:Z75" si="32">I73+K73+R73</f>
        <v>62.809999999999995</v>
      </c>
      <c r="Z73" s="77">
        <f t="shared" si="32"/>
        <v>4816237</v>
      </c>
      <c r="AA73" s="77">
        <f>P73+W73</f>
        <v>0</v>
      </c>
      <c r="AB73" s="160">
        <f t="shared" si="29"/>
        <v>0</v>
      </c>
      <c r="AC73" s="161">
        <f t="shared" si="30"/>
        <v>63.11</v>
      </c>
      <c r="AD73" s="127">
        <f t="shared" si="31"/>
        <v>63.11</v>
      </c>
      <c r="AE73" s="77">
        <f>X73+Q73</f>
        <v>4816237</v>
      </c>
      <c r="AF73" s="155">
        <v>0.01</v>
      </c>
      <c r="AG73" s="281">
        <v>2415009</v>
      </c>
      <c r="AH73" s="281">
        <v>0</v>
      </c>
      <c r="AI73" s="475">
        <f>AG73+AH73</f>
        <v>2415009</v>
      </c>
      <c r="AJ73" s="77">
        <v>231064300</v>
      </c>
      <c r="AK73" s="77">
        <f t="shared" si="28"/>
        <v>241500900</v>
      </c>
      <c r="AL73" s="569">
        <f>(AK73-AJ73)/AJ73</f>
        <v>4.5167513977710967E-2</v>
      </c>
      <c r="AM73" s="572">
        <f>IF((AK73-AJ73)/AJ73&gt;$AM$5,AJ73*(1+$AM$5),AK73)</f>
        <v>241500900</v>
      </c>
      <c r="AN73" s="129">
        <f t="shared" si="25"/>
        <v>0.01</v>
      </c>
      <c r="AO73" s="129">
        <f t="shared" si="26"/>
        <v>0</v>
      </c>
      <c r="AP73" s="77">
        <v>216332</v>
      </c>
      <c r="AQ73" s="77">
        <f>AP73+AE73+AI73</f>
        <v>7447578</v>
      </c>
      <c r="AR73" s="77">
        <f>ROUND(AQ73/'Table 3 Levels 1&amp;2'!C73,2)</f>
        <v>3677.82</v>
      </c>
    </row>
    <row r="74" spans="1:44" s="75" customFormat="1">
      <c r="A74" s="101">
        <v>67</v>
      </c>
      <c r="B74" s="158" t="s">
        <v>32</v>
      </c>
      <c r="C74" s="77">
        <v>236636240</v>
      </c>
      <c r="D74" s="163">
        <v>38734750</v>
      </c>
      <c r="E74" s="14">
        <f>C74-D74</f>
        <v>197901490</v>
      </c>
      <c r="F74" s="163">
        <v>186663350</v>
      </c>
      <c r="G74" s="731">
        <f>(E74-F74)/F74</f>
        <v>6.0205391149360597E-2</v>
      </c>
      <c r="H74" s="563">
        <f t="shared" si="21"/>
        <v>197901490</v>
      </c>
      <c r="I74" s="159">
        <v>5</v>
      </c>
      <c r="J74" s="77">
        <v>956567</v>
      </c>
      <c r="K74" s="159">
        <v>38.200000000000003</v>
      </c>
      <c r="L74" s="77">
        <v>7655792</v>
      </c>
      <c r="M74" s="470">
        <v>0</v>
      </c>
      <c r="N74" s="470">
        <v>0</v>
      </c>
      <c r="O74" s="81">
        <v>4</v>
      </c>
      <c r="P74" s="77">
        <v>0</v>
      </c>
      <c r="Q74" s="77">
        <f>J74+L74+P74</f>
        <v>8612359</v>
      </c>
      <c r="R74" s="464">
        <v>36</v>
      </c>
      <c r="S74" s="77">
        <v>6965783</v>
      </c>
      <c r="T74" s="470">
        <v>0</v>
      </c>
      <c r="U74" s="470">
        <v>0</v>
      </c>
      <c r="V74" s="81">
        <v>4</v>
      </c>
      <c r="W74" s="77">
        <v>0</v>
      </c>
      <c r="X74" s="77">
        <f>S74+W74</f>
        <v>6965783</v>
      </c>
      <c r="Y74" s="159">
        <f t="shared" si="32"/>
        <v>79.2</v>
      </c>
      <c r="Z74" s="77">
        <f t="shared" si="32"/>
        <v>15578142</v>
      </c>
      <c r="AA74" s="77">
        <f>P74+W74</f>
        <v>0</v>
      </c>
      <c r="AB74" s="160">
        <f t="shared" si="29"/>
        <v>35.200000000000003</v>
      </c>
      <c r="AC74" s="161">
        <f t="shared" si="30"/>
        <v>43.52</v>
      </c>
      <c r="AD74" s="127">
        <f t="shared" si="31"/>
        <v>78.72</v>
      </c>
      <c r="AE74" s="77">
        <f>X74+Q74</f>
        <v>15578142</v>
      </c>
      <c r="AF74" s="155">
        <v>0.02</v>
      </c>
      <c r="AG74" s="281">
        <v>10609846</v>
      </c>
      <c r="AH74" s="281">
        <v>0</v>
      </c>
      <c r="AI74" s="475">
        <f>AG74+AH74</f>
        <v>10609846</v>
      </c>
      <c r="AJ74" s="77">
        <v>388099200</v>
      </c>
      <c r="AK74" s="77">
        <f t="shared" si="28"/>
        <v>530492300</v>
      </c>
      <c r="AL74" s="571">
        <f>(AK74-AJ74)/AJ74</f>
        <v>0.3668987207394398</v>
      </c>
      <c r="AM74" s="574">
        <f>IF((AK74-AJ74)/AJ74&gt;$AM$5,AJ74*(1+$AM$5),AK74)</f>
        <v>446314079.99999994</v>
      </c>
      <c r="AN74" s="129">
        <f t="shared" si="25"/>
        <v>0.02</v>
      </c>
      <c r="AO74" s="129">
        <f t="shared" si="26"/>
        <v>0</v>
      </c>
      <c r="AP74" s="77">
        <v>82848</v>
      </c>
      <c r="AQ74" s="77">
        <f>AP74+AE74+AI74</f>
        <v>26270836</v>
      </c>
      <c r="AR74" s="77">
        <f>ROUND(AQ74/'Table 3 Levels 1&amp;2'!C74,2)</f>
        <v>5153.17</v>
      </c>
    </row>
    <row r="75" spans="1:44" s="75" customFormat="1">
      <c r="A75" s="101">
        <v>68</v>
      </c>
      <c r="B75" s="158" t="s">
        <v>30</v>
      </c>
      <c r="C75" s="77">
        <v>62011730</v>
      </c>
      <c r="D75" s="163">
        <v>21144000</v>
      </c>
      <c r="E75" s="163">
        <f>C75-D75</f>
        <v>40867730</v>
      </c>
      <c r="F75" s="163">
        <v>44450770</v>
      </c>
      <c r="G75" s="731">
        <f>(E75-F75)/F75</f>
        <v>-8.0606927619026617E-2</v>
      </c>
      <c r="H75" s="563">
        <f t="shared" si="21"/>
        <v>40867730</v>
      </c>
      <c r="I75" s="159">
        <v>5</v>
      </c>
      <c r="J75" s="77">
        <v>213808</v>
      </c>
      <c r="K75" s="159">
        <v>38.200000000000003</v>
      </c>
      <c r="L75" s="77">
        <v>1541013</v>
      </c>
      <c r="M75" s="470">
        <v>0</v>
      </c>
      <c r="N75" s="470">
        <v>0</v>
      </c>
      <c r="O75" s="81">
        <v>0</v>
      </c>
      <c r="P75" s="77">
        <v>0</v>
      </c>
      <c r="Q75" s="77">
        <f>J75+L75+P75</f>
        <v>1754821</v>
      </c>
      <c r="R75" s="464">
        <v>0</v>
      </c>
      <c r="S75" s="77">
        <v>0</v>
      </c>
      <c r="T75" s="470">
        <v>0</v>
      </c>
      <c r="U75" s="470">
        <v>0</v>
      </c>
      <c r="V75" s="81">
        <v>0</v>
      </c>
      <c r="W75" s="77">
        <v>0</v>
      </c>
      <c r="X75" s="77">
        <f>S75+W75</f>
        <v>0</v>
      </c>
      <c r="Y75" s="159">
        <f t="shared" si="32"/>
        <v>43.2</v>
      </c>
      <c r="Z75" s="77">
        <f t="shared" si="32"/>
        <v>1754821</v>
      </c>
      <c r="AA75" s="77">
        <f>P75+W75</f>
        <v>0</v>
      </c>
      <c r="AB75" s="160">
        <f t="shared" si="29"/>
        <v>0</v>
      </c>
      <c r="AC75" s="161">
        <f t="shared" si="30"/>
        <v>42.94</v>
      </c>
      <c r="AD75" s="127">
        <f t="shared" si="31"/>
        <v>42.94</v>
      </c>
      <c r="AE75" s="77">
        <f>X75+Q75</f>
        <v>1754821</v>
      </c>
      <c r="AF75" s="155">
        <v>0.02</v>
      </c>
      <c r="AG75" s="281">
        <v>3064477</v>
      </c>
      <c r="AH75" s="281">
        <v>0</v>
      </c>
      <c r="AI75" s="475">
        <f>AG75+AH75</f>
        <v>3064477</v>
      </c>
      <c r="AJ75" s="77">
        <v>161011650</v>
      </c>
      <c r="AK75" s="77">
        <f t="shared" si="28"/>
        <v>153223850</v>
      </c>
      <c r="AL75" s="569">
        <f>(AK75-AJ75)/AJ75</f>
        <v>-4.8367928656094142E-2</v>
      </c>
      <c r="AM75" s="572">
        <f>IF((AK75-AJ75)/AJ75&gt;$AM$5,AJ75*(1+$AM$5),AK75)</f>
        <v>153223850</v>
      </c>
      <c r="AN75" s="129">
        <f t="shared" si="25"/>
        <v>0.02</v>
      </c>
      <c r="AO75" s="129">
        <f t="shared" si="26"/>
        <v>0</v>
      </c>
      <c r="AP75" s="77">
        <v>45224</v>
      </c>
      <c r="AQ75" s="77">
        <f>AP75+AE75+AI75</f>
        <v>4864522</v>
      </c>
      <c r="AR75" s="77">
        <f>ROUND(AQ75/'Table 3 Levels 1&amp;2'!C75,2)</f>
        <v>2838.11</v>
      </c>
    </row>
    <row r="76" spans="1:44" s="107" customFormat="1">
      <c r="A76" s="101">
        <v>69</v>
      </c>
      <c r="B76" s="158" t="s">
        <v>205</v>
      </c>
      <c r="C76" s="77">
        <v>172552240</v>
      </c>
      <c r="D76" s="163">
        <v>62717500</v>
      </c>
      <c r="E76" s="163">
        <f>C76-D76</f>
        <v>109834740</v>
      </c>
      <c r="F76" s="163">
        <v>105395730</v>
      </c>
      <c r="G76" s="731">
        <f>(E76-F76)/F76</f>
        <v>4.2117550682556112E-2</v>
      </c>
      <c r="H76" s="563">
        <f t="shared" si="21"/>
        <v>109834740</v>
      </c>
      <c r="I76" s="159">
        <v>4.58</v>
      </c>
      <c r="J76" s="77">
        <v>491680</v>
      </c>
      <c r="K76" s="159">
        <v>35.21</v>
      </c>
      <c r="L76" s="77">
        <v>3788012</v>
      </c>
      <c r="M76" s="470">
        <v>0</v>
      </c>
      <c r="N76" s="470">
        <v>0</v>
      </c>
      <c r="O76" s="81">
        <v>0</v>
      </c>
      <c r="P76" s="77">
        <v>0</v>
      </c>
      <c r="Q76" s="471">
        <f>J76+L76+P76</f>
        <v>4279692</v>
      </c>
      <c r="R76" s="466">
        <v>23.65</v>
      </c>
      <c r="S76" s="77">
        <v>2543809</v>
      </c>
      <c r="T76" s="470">
        <v>0</v>
      </c>
      <c r="U76" s="470">
        <v>0</v>
      </c>
      <c r="V76" s="81">
        <v>0</v>
      </c>
      <c r="W76" s="77">
        <v>0</v>
      </c>
      <c r="X76" s="471">
        <f>S76+W76</f>
        <v>2543809</v>
      </c>
      <c r="Y76" s="159">
        <f>I76+K76+R76</f>
        <v>63.44</v>
      </c>
      <c r="Z76" s="77">
        <f>J76+L76+S76</f>
        <v>6823501</v>
      </c>
      <c r="AA76" s="77">
        <f>P76+W76</f>
        <v>0</v>
      </c>
      <c r="AB76" s="472">
        <f t="shared" si="29"/>
        <v>23.16</v>
      </c>
      <c r="AC76" s="473">
        <f t="shared" si="30"/>
        <v>38.96</v>
      </c>
      <c r="AD76" s="474">
        <f t="shared" si="31"/>
        <v>62.13</v>
      </c>
      <c r="AE76" s="77">
        <f>X76+Q76</f>
        <v>6823501</v>
      </c>
      <c r="AF76" s="155">
        <v>2.5000000000000001E-2</v>
      </c>
      <c r="AG76" s="281">
        <v>5860228</v>
      </c>
      <c r="AH76" s="281">
        <v>1463309</v>
      </c>
      <c r="AI76" s="475">
        <f>AG76+AH76</f>
        <v>7323537</v>
      </c>
      <c r="AJ76" s="77">
        <v>268690320</v>
      </c>
      <c r="AK76" s="77">
        <f t="shared" si="28"/>
        <v>292941480</v>
      </c>
      <c r="AL76" s="569">
        <f>(AK76-AJ76)/AJ76</f>
        <v>9.0256917331446848E-2</v>
      </c>
      <c r="AM76" s="572">
        <f>IF((AK76-AJ76)/AJ76&gt;$AM$5,AJ76*(1+$AM$5),AK76)</f>
        <v>292941480</v>
      </c>
      <c r="AN76" s="129">
        <f t="shared" si="25"/>
        <v>2.0004773649672281E-2</v>
      </c>
      <c r="AO76" s="129">
        <f t="shared" si="26"/>
        <v>4.9952263503277175E-3</v>
      </c>
      <c r="AP76" s="77">
        <v>0</v>
      </c>
      <c r="AQ76" s="77">
        <f>AP76+AE76+AI76</f>
        <v>14147038</v>
      </c>
      <c r="AR76" s="77">
        <f>ROUND(AQ76/'Table 3 Levels 1&amp;2'!C76,2)</f>
        <v>3373.97</v>
      </c>
    </row>
    <row r="77" spans="1:44" s="62" customFormat="1" ht="13.5" thickBot="1">
      <c r="A77" s="373"/>
      <c r="B77" s="374" t="s">
        <v>88</v>
      </c>
      <c r="C77" s="157">
        <f>SUM(C8:C76)</f>
        <v>40735525511</v>
      </c>
      <c r="D77" s="157">
        <f>SUM(D8:D76)</f>
        <v>6820688843</v>
      </c>
      <c r="E77" s="157">
        <f>SUM(E8:E76)</f>
        <v>33914836668</v>
      </c>
      <c r="F77" s="375">
        <f>SUM(F8:F76)</f>
        <v>32512371740</v>
      </c>
      <c r="G77" s="852">
        <f>(E77-F77)/F77</f>
        <v>4.3136346348874519E-2</v>
      </c>
      <c r="H77" s="853">
        <f>SUM(H8:H76)</f>
        <v>33628503076.299995</v>
      </c>
      <c r="I77" s="376">
        <v>5.07</v>
      </c>
      <c r="J77" s="157">
        <f>SUM(J8:J76)</f>
        <v>218348990</v>
      </c>
      <c r="K77" s="377">
        <v>23.86</v>
      </c>
      <c r="L77" s="157">
        <f>SUM(L8:L76)</f>
        <v>883395398</v>
      </c>
      <c r="M77" s="377">
        <v>0</v>
      </c>
      <c r="N77" s="377">
        <v>89.78</v>
      </c>
      <c r="O77" s="377">
        <f>SUM(O8:O76)</f>
        <v>128</v>
      </c>
      <c r="P77" s="157">
        <f>SUM(P8:P76)</f>
        <v>31262376</v>
      </c>
      <c r="Q77" s="157">
        <f>SUM(Q8:Q76)</f>
        <v>1133006764</v>
      </c>
      <c r="R77" s="477">
        <v>4.99</v>
      </c>
      <c r="S77" s="410">
        <f>SUM(S8:S76)</f>
        <v>155292511</v>
      </c>
      <c r="T77" s="477">
        <v>0</v>
      </c>
      <c r="U77" s="477">
        <v>70</v>
      </c>
      <c r="V77" s="477">
        <f>SUM(V8:V76)</f>
        <v>132</v>
      </c>
      <c r="W77" s="410">
        <f>SUM(W8:W76)</f>
        <v>83636615</v>
      </c>
      <c r="X77" s="157">
        <f>SUM(X8:X76)</f>
        <v>238929126</v>
      </c>
      <c r="Y77" s="377"/>
      <c r="Z77" s="157">
        <f>SUM(Z8:Z76)</f>
        <v>1257036899</v>
      </c>
      <c r="AA77" s="157">
        <f>SUM(AA8:AA76)</f>
        <v>114898991</v>
      </c>
      <c r="AB77" s="378">
        <f t="shared" si="29"/>
        <v>7.04</v>
      </c>
      <c r="AC77" s="379">
        <f t="shared" si="30"/>
        <v>33.409999999999997</v>
      </c>
      <c r="AD77" s="732">
        <f t="shared" si="31"/>
        <v>40.450000000000003</v>
      </c>
      <c r="AE77" s="157">
        <f>SUM(AE8:AE76)</f>
        <v>1371935890</v>
      </c>
      <c r="AF77" s="463">
        <f>ROUND(AI77/AK77,4)</f>
        <v>1.9900000000000001E-2</v>
      </c>
      <c r="AG77" s="724">
        <f>SUM(AG8:AG76)</f>
        <v>1627106430</v>
      </c>
      <c r="AH77" s="724">
        <f>SUM(AH8:AH76)</f>
        <v>42166170</v>
      </c>
      <c r="AI77" s="375">
        <f>SUM(AI8:AI76)</f>
        <v>1669272600</v>
      </c>
      <c r="AJ77" s="375">
        <f>SUM(AJ8:AJ76)</f>
        <v>82977212324.5</v>
      </c>
      <c r="AK77" s="375">
        <f>SUM(AK8:AK76)</f>
        <v>84073022650</v>
      </c>
      <c r="AL77" s="856">
        <f>(AK77-AJ77)/AJ77</f>
        <v>1.3206159797398365E-2</v>
      </c>
      <c r="AM77" s="375">
        <f>SUM(AM8:AM76)</f>
        <v>83696655339.525009</v>
      </c>
      <c r="AN77" s="380">
        <f>ROUND(AG77/$AK77,4)</f>
        <v>1.9400000000000001E-2</v>
      </c>
      <c r="AO77" s="380">
        <f>ROUND(AH77/$AK77,4)</f>
        <v>5.0000000000000001E-4</v>
      </c>
      <c r="AP77" s="410">
        <f>SUM(AP8:AP76)</f>
        <v>37437635.5</v>
      </c>
      <c r="AQ77" s="157">
        <f>SUM(AQ8:AQ76)</f>
        <v>3078646125.5</v>
      </c>
      <c r="AR77" s="157">
        <f>ROUND(AQ77/'Table 3 Levels 1&amp;2'!C77,2)</f>
        <v>4568.3500000000004</v>
      </c>
    </row>
    <row r="78" spans="1:44" ht="10.5" customHeight="1" thickTop="1">
      <c r="I78" s="75"/>
      <c r="AF78" s="155"/>
      <c r="AG78" s="431"/>
      <c r="AH78" s="431"/>
      <c r="AI78" s="576"/>
    </row>
    <row r="79" spans="1:44" hidden="1">
      <c r="D79" s="292"/>
      <c r="J79" s="750"/>
      <c r="L79" s="750"/>
      <c r="Q79" s="59">
        <f>J77+L77+P77</f>
        <v>1133006764</v>
      </c>
      <c r="S79" s="750" t="s">
        <v>432</v>
      </c>
      <c r="W79" s="750" t="s">
        <v>433</v>
      </c>
      <c r="X79" s="59">
        <f>S77+W77</f>
        <v>238929126</v>
      </c>
      <c r="AF79" s="283"/>
      <c r="AG79" s="752" t="s">
        <v>389</v>
      </c>
      <c r="AH79" s="431"/>
      <c r="AI79" s="577" t="s">
        <v>312</v>
      </c>
      <c r="AO79" s="431"/>
    </row>
    <row r="80" spans="1:44" hidden="1">
      <c r="E80" s="59"/>
      <c r="J80" s="751" t="s">
        <v>434</v>
      </c>
      <c r="L80" s="750" t="s">
        <v>435</v>
      </c>
      <c r="AD80" s="333"/>
      <c r="AF80" s="283"/>
      <c r="AG80" s="431"/>
      <c r="AH80" s="431"/>
      <c r="AI80" s="446" t="s">
        <v>231</v>
      </c>
      <c r="AJ80" s="162"/>
      <c r="AK80" s="162"/>
      <c r="AL80" s="162"/>
      <c r="AM80" s="162"/>
      <c r="AQ80" s="162"/>
    </row>
    <row r="81" spans="1:45" s="75" customFormat="1" hidden="1">
      <c r="A81" s="441"/>
      <c r="B81" s="168"/>
      <c r="C81"/>
      <c r="D81"/>
      <c r="E81"/>
      <c r="F81"/>
      <c r="G81"/>
      <c r="H81"/>
      <c r="I81"/>
      <c r="J81" s="750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 s="35"/>
      <c r="AF81" s="246"/>
      <c r="AG81" s="723"/>
      <c r="AH81" s="201"/>
      <c r="AI81" s="426">
        <f>AG77+AH77</f>
        <v>1669272600</v>
      </c>
      <c r="AJ81" s="230"/>
      <c r="AK81" s="230"/>
      <c r="AL81" s="246"/>
      <c r="AM81" s="230"/>
      <c r="AN81" s="201"/>
      <c r="AO81" s="201"/>
      <c r="AP81" s="230"/>
      <c r="AQ81" s="230"/>
      <c r="AR81" s="230"/>
      <c r="AS81" s="176"/>
    </row>
    <row r="82" spans="1:45">
      <c r="AE82" s="35"/>
      <c r="AF82" s="35"/>
      <c r="AG82" s="427"/>
      <c r="AH82" s="35"/>
      <c r="AI82" s="427"/>
      <c r="AJ82" s="35"/>
      <c r="AK82" s="35"/>
      <c r="AL82" s="35"/>
      <c r="AM82" s="428"/>
      <c r="AN82" s="35"/>
      <c r="AO82" s="35"/>
      <c r="AP82" s="35"/>
      <c r="AQ82" s="35"/>
      <c r="AR82" s="35"/>
      <c r="AS82" s="35"/>
    </row>
    <row r="83" spans="1:45">
      <c r="AE83" s="35"/>
      <c r="AF83" s="35"/>
      <c r="AG83" s="427"/>
      <c r="AH83" s="35"/>
      <c r="AI83" s="427"/>
      <c r="AJ83" s="35"/>
      <c r="AK83" s="35"/>
      <c r="AL83" s="35"/>
      <c r="AM83" s="429"/>
      <c r="AN83" s="35"/>
      <c r="AO83" s="35"/>
      <c r="AP83" s="35"/>
      <c r="AQ83" s="35"/>
      <c r="AR83" s="35"/>
      <c r="AS83" s="35"/>
    </row>
    <row r="84" spans="1:45"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</row>
    <row r="85" spans="1:45"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</row>
    <row r="86" spans="1:45"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</row>
  </sheetData>
  <mergeCells count="50">
    <mergeCell ref="AR3:AR5"/>
    <mergeCell ref="AQ3:AQ5"/>
    <mergeCell ref="AI3:AI5"/>
    <mergeCell ref="AE3:AE5"/>
    <mergeCell ref="AJ4:AJ5"/>
    <mergeCell ref="AK4:AK5"/>
    <mergeCell ref="AF4:AF5"/>
    <mergeCell ref="AG4:AG5"/>
    <mergeCell ref="AH4:AH5"/>
    <mergeCell ref="AO4:AO5"/>
    <mergeCell ref="AP3:AP5"/>
    <mergeCell ref="AF3:AH3"/>
    <mergeCell ref="J4:J5"/>
    <mergeCell ref="S4:S5"/>
    <mergeCell ref="M4:M5"/>
    <mergeCell ref="N4:N5"/>
    <mergeCell ref="V4:V5"/>
    <mergeCell ref="W4:W5"/>
    <mergeCell ref="C2:D2"/>
    <mergeCell ref="I3:J3"/>
    <mergeCell ref="K3:P3"/>
    <mergeCell ref="C3:H3"/>
    <mergeCell ref="P4:P5"/>
    <mergeCell ref="R4:R5"/>
    <mergeCell ref="Q3:Q5"/>
    <mergeCell ref="R3:W3"/>
    <mergeCell ref="T4:T5"/>
    <mergeCell ref="U4:U5"/>
    <mergeCell ref="K4:K5"/>
    <mergeCell ref="L4:L5"/>
    <mergeCell ref="G4:G5"/>
    <mergeCell ref="I4:I5"/>
    <mergeCell ref="O4:O5"/>
    <mergeCell ref="A3:A5"/>
    <mergeCell ref="B3:B5"/>
    <mergeCell ref="C4:C5"/>
    <mergeCell ref="D4:D5"/>
    <mergeCell ref="F4:F5"/>
    <mergeCell ref="E4:E5"/>
    <mergeCell ref="X3:X5"/>
    <mergeCell ref="Y3:AD3"/>
    <mergeCell ref="AJ3:AO3"/>
    <mergeCell ref="AC4:AC5"/>
    <mergeCell ref="AD4:AD5"/>
    <mergeCell ref="AL4:AL5"/>
    <mergeCell ref="AN4:AN5"/>
    <mergeCell ref="Y4:Y5"/>
    <mergeCell ref="Z4:Z5"/>
    <mergeCell ref="AA4:AA5"/>
    <mergeCell ref="AB4:AB5"/>
  </mergeCells>
  <phoneticPr fontId="0" type="noConversion"/>
  <printOptions horizontalCentered="1"/>
  <pageMargins left="0.19" right="0.19" top="1.02" bottom="0.35" header="0.35" footer="0.27"/>
  <pageSetup paperSize="5" scale="85" firstPageNumber="97" fitToWidth="0" orientation="portrait" useFirstPageNumber="1" r:id="rId1"/>
  <headerFooter alignWithMargins="0">
    <oddHeader xml:space="preserve">&amp;L&amp;"Arial,Bold"&amp;18Table 7: FY2013-14 Budget Letter &amp;20
&amp;18FY2011-2012 Local Property and Sales Tax Revenues </oddHeader>
    <oddFooter>&amp;R&amp;12&amp;P</oddFooter>
  </headerFooter>
  <colBreaks count="5" manualBreakCount="5">
    <brk id="8" min="2" max="76" man="1"/>
    <brk id="17" min="2" max="76" man="1"/>
    <brk id="24" min="2" max="76" man="1"/>
    <brk id="31" min="2" max="76" man="1"/>
    <brk id="35" min="2" max="76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L81"/>
  <sheetViews>
    <sheetView zoomScaleNormal="100" zoomScaleSheetLayoutView="7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9.140625" defaultRowHeight="15"/>
  <cols>
    <col min="1" max="1" width="7.42578125" style="1161" customWidth="1"/>
    <col min="2" max="2" width="25.140625" style="1161" customWidth="1"/>
    <col min="3" max="3" width="12" style="1161" customWidth="1"/>
    <col min="4" max="4" width="8.28515625" style="1161" customWidth="1"/>
    <col min="5" max="5" width="8.85546875" style="1161" customWidth="1"/>
    <col min="6" max="6" width="7.28515625" style="1161" customWidth="1"/>
    <col min="7" max="12" width="9" style="1161" customWidth="1"/>
    <col min="13" max="19" width="9.5703125" style="1161" customWidth="1"/>
    <col min="20" max="31" width="9.28515625" style="1161" customWidth="1"/>
    <col min="32" max="32" width="11.7109375" style="1174" customWidth="1"/>
    <col min="33" max="36" width="9.28515625" style="1322" customWidth="1"/>
    <col min="37" max="37" width="11.5703125" style="1322" customWidth="1"/>
    <col min="38" max="38" width="11.85546875" style="1322" customWidth="1"/>
    <col min="39" max="52" width="11.85546875" style="1161" customWidth="1"/>
    <col min="53" max="53" width="43.5703125" style="1161" bestFit="1" customWidth="1"/>
    <col min="54" max="54" width="37.5703125" style="1161" bestFit="1" customWidth="1"/>
    <col min="55" max="55" width="40.42578125" style="1161" bestFit="1" customWidth="1"/>
    <col min="56" max="56" width="41" style="1161" bestFit="1" customWidth="1"/>
    <col min="57" max="16384" width="9.140625" style="1161"/>
  </cols>
  <sheetData>
    <row r="2" spans="1:38">
      <c r="A2" s="1319" t="s">
        <v>576</v>
      </c>
      <c r="B2" s="1319"/>
      <c r="C2" s="1319"/>
      <c r="D2" s="1319"/>
      <c r="E2" s="1319"/>
      <c r="F2" s="1319"/>
      <c r="G2" s="1320"/>
      <c r="H2" s="1320"/>
      <c r="I2" s="1320"/>
      <c r="J2" s="1320"/>
      <c r="K2" s="1320"/>
      <c r="L2" s="1320"/>
    </row>
    <row r="4" spans="1:38" ht="15" customHeight="1">
      <c r="A4" s="2526" t="s">
        <v>577</v>
      </c>
      <c r="B4" s="2526"/>
      <c r="C4" s="1162" t="s">
        <v>578</v>
      </c>
      <c r="D4" s="2527" t="s">
        <v>579</v>
      </c>
      <c r="E4" s="2528"/>
      <c r="F4" s="2529"/>
      <c r="G4" s="2528"/>
      <c r="H4" s="2528"/>
      <c r="I4" s="2528"/>
      <c r="J4" s="2528"/>
      <c r="K4" s="2528"/>
      <c r="L4" s="2528"/>
      <c r="M4" s="2528"/>
      <c r="N4" s="2528"/>
      <c r="O4" s="2530"/>
      <c r="P4" s="2531"/>
      <c r="Q4" s="1293" t="s">
        <v>580</v>
      </c>
      <c r="R4" s="1321"/>
      <c r="S4" s="1321"/>
      <c r="T4" s="2532" t="s">
        <v>581</v>
      </c>
      <c r="U4" s="2532"/>
      <c r="V4" s="1314"/>
      <c r="W4" s="1314"/>
      <c r="X4" s="1314"/>
      <c r="Y4" s="1314"/>
      <c r="Z4" s="1314"/>
      <c r="AA4" s="1314"/>
      <c r="AB4" s="1314"/>
      <c r="AC4" s="1314"/>
      <c r="AD4" s="1314"/>
      <c r="AE4" s="1314"/>
      <c r="AF4" s="2523" t="s">
        <v>582</v>
      </c>
      <c r="AG4" s="1323"/>
      <c r="AH4" s="2525"/>
      <c r="AI4" s="2525"/>
      <c r="AJ4" s="2525"/>
    </row>
    <row r="5" spans="1:38" ht="119.25" customHeight="1">
      <c r="A5" s="1291" t="s">
        <v>183</v>
      </c>
      <c r="B5" s="1291" t="s">
        <v>242</v>
      </c>
      <c r="C5" s="1292" t="s">
        <v>583</v>
      </c>
      <c r="D5" s="1294" t="s">
        <v>584</v>
      </c>
      <c r="E5" s="1294" t="s">
        <v>585</v>
      </c>
      <c r="F5" s="1294" t="s">
        <v>586</v>
      </c>
      <c r="G5" s="1295" t="s">
        <v>595</v>
      </c>
      <c r="H5" s="1295" t="s">
        <v>596</v>
      </c>
      <c r="I5" s="1295" t="s">
        <v>597</v>
      </c>
      <c r="J5" s="1295" t="s">
        <v>598</v>
      </c>
      <c r="K5" s="1295" t="s">
        <v>599</v>
      </c>
      <c r="L5" s="1295" t="s">
        <v>600</v>
      </c>
      <c r="M5" s="1295" t="s">
        <v>601</v>
      </c>
      <c r="N5" s="1295" t="s">
        <v>602</v>
      </c>
      <c r="O5" s="1295" t="s">
        <v>603</v>
      </c>
      <c r="P5" s="1295" t="s">
        <v>604</v>
      </c>
      <c r="Q5" s="1295" t="s">
        <v>754</v>
      </c>
      <c r="R5" s="1295" t="s">
        <v>703</v>
      </c>
      <c r="S5" s="1306" t="s">
        <v>755</v>
      </c>
      <c r="T5" s="1296" t="s">
        <v>607</v>
      </c>
      <c r="U5" s="1297" t="s">
        <v>608</v>
      </c>
      <c r="V5" s="1315" t="s">
        <v>587</v>
      </c>
      <c r="W5" s="1315" t="s">
        <v>588</v>
      </c>
      <c r="X5" s="1315" t="s">
        <v>589</v>
      </c>
      <c r="Y5" s="1315" t="s">
        <v>590</v>
      </c>
      <c r="Z5" s="1315" t="s">
        <v>591</v>
      </c>
      <c r="AA5" s="1315" t="s">
        <v>592</v>
      </c>
      <c r="AB5" s="1315" t="s">
        <v>593</v>
      </c>
      <c r="AC5" s="1315" t="s">
        <v>594</v>
      </c>
      <c r="AD5" s="1318" t="s">
        <v>605</v>
      </c>
      <c r="AE5" s="1318" t="s">
        <v>606</v>
      </c>
      <c r="AF5" s="2524"/>
      <c r="AG5" s="1324"/>
      <c r="AH5" s="1324"/>
      <c r="AI5" s="1324"/>
      <c r="AJ5" s="1324"/>
      <c r="AK5" s="1325"/>
    </row>
    <row r="6" spans="1:38" s="1300" customFormat="1" ht="12" customHeight="1">
      <c r="A6" s="1301"/>
      <c r="B6" s="1301"/>
      <c r="C6" s="1301"/>
      <c r="D6" s="1301">
        <v>1</v>
      </c>
      <c r="E6" s="1301">
        <f t="shared" ref="E6:P6" si="0">D6+1</f>
        <v>2</v>
      </c>
      <c r="F6" s="1301">
        <f t="shared" si="0"/>
        <v>3</v>
      </c>
      <c r="G6" s="1301">
        <f t="shared" ref="G6" si="1">F6+1</f>
        <v>4</v>
      </c>
      <c r="H6" s="1301">
        <f t="shared" ref="H6" si="2">G6+1</f>
        <v>5</v>
      </c>
      <c r="I6" s="1301">
        <f t="shared" si="0"/>
        <v>6</v>
      </c>
      <c r="J6" s="1301">
        <f t="shared" si="0"/>
        <v>7</v>
      </c>
      <c r="K6" s="1301">
        <f t="shared" si="0"/>
        <v>8</v>
      </c>
      <c r="L6" s="1301">
        <f t="shared" si="0"/>
        <v>9</v>
      </c>
      <c r="M6" s="1301">
        <f t="shared" si="0"/>
        <v>10</v>
      </c>
      <c r="N6" s="1301">
        <f t="shared" si="0"/>
        <v>11</v>
      </c>
      <c r="O6" s="1301">
        <f t="shared" si="0"/>
        <v>12</v>
      </c>
      <c r="P6" s="1301">
        <f t="shared" si="0"/>
        <v>13</v>
      </c>
      <c r="Q6" s="1301">
        <f t="shared" ref="Q6" si="3">P6+1</f>
        <v>14</v>
      </c>
      <c r="R6" s="1301">
        <f>Q6+1</f>
        <v>15</v>
      </c>
      <c r="S6" s="1301">
        <f t="shared" ref="S6" si="4">R6+1</f>
        <v>16</v>
      </c>
      <c r="T6" s="1301">
        <f t="shared" ref="T6" si="5">S6+1</f>
        <v>17</v>
      </c>
      <c r="U6" s="1301">
        <f t="shared" ref="U6" si="6">T6+1</f>
        <v>18</v>
      </c>
      <c r="V6" s="1301">
        <f t="shared" ref="V6" si="7">U6+1</f>
        <v>19</v>
      </c>
      <c r="W6" s="1301">
        <f t="shared" ref="W6" si="8">V6+1</f>
        <v>20</v>
      </c>
      <c r="X6" s="1301">
        <f t="shared" ref="X6" si="9">W6+1</f>
        <v>21</v>
      </c>
      <c r="Y6" s="1301">
        <f t="shared" ref="Y6" si="10">X6+1</f>
        <v>22</v>
      </c>
      <c r="Z6" s="1301">
        <f t="shared" ref="Z6" si="11">Y6+1</f>
        <v>23</v>
      </c>
      <c r="AA6" s="1301">
        <f t="shared" ref="AA6" si="12">Z6+1</f>
        <v>24</v>
      </c>
      <c r="AB6" s="1301">
        <f t="shared" ref="AB6" si="13">AA6+1</f>
        <v>25</v>
      </c>
      <c r="AC6" s="1301">
        <f t="shared" ref="AC6" si="14">AB6+1</f>
        <v>26</v>
      </c>
      <c r="AD6" s="1301">
        <f t="shared" ref="AD6" si="15">AC6+1</f>
        <v>27</v>
      </c>
      <c r="AE6" s="1301">
        <f t="shared" ref="AE6" si="16">AD6+1</f>
        <v>28</v>
      </c>
      <c r="AF6" s="1301">
        <f t="shared" ref="AF6" si="17">AE6+1</f>
        <v>29</v>
      </c>
      <c r="AG6" s="1326"/>
      <c r="AH6" s="1327"/>
      <c r="AI6" s="1327"/>
      <c r="AJ6" s="1327"/>
      <c r="AK6" s="1328"/>
      <c r="AL6" s="1329"/>
    </row>
    <row r="7" spans="1:38" ht="12.75" customHeight="1">
      <c r="A7" s="1298" t="s">
        <v>265</v>
      </c>
      <c r="B7" s="1298" t="s">
        <v>609</v>
      </c>
      <c r="C7" s="1302">
        <v>9557</v>
      </c>
      <c r="D7" s="1303"/>
      <c r="E7" s="1303"/>
      <c r="F7" s="1303"/>
      <c r="G7" s="1303"/>
      <c r="H7" s="1303"/>
      <c r="I7" s="1303"/>
      <c r="J7" s="1302">
        <v>14</v>
      </c>
      <c r="K7" s="1303"/>
      <c r="L7" s="1302">
        <v>18</v>
      </c>
      <c r="M7" s="1303"/>
      <c r="N7" s="1303"/>
      <c r="O7" s="1303"/>
      <c r="P7" s="1303"/>
      <c r="Q7" s="1303">
        <f t="shared" ref="Q7:Q38" si="18">SUM(C7:P7)</f>
        <v>9589</v>
      </c>
      <c r="R7" s="1303">
        <f>-'[40]Total_Scholarship Only_byLEA'!F16</f>
        <v>-3</v>
      </c>
      <c r="S7" s="1307">
        <f t="shared" ref="S7:S38" si="19">SUM(Q7:R7)</f>
        <v>9586</v>
      </c>
      <c r="T7" s="1299"/>
      <c r="U7" s="1299"/>
      <c r="V7" s="1316"/>
      <c r="W7" s="1316"/>
      <c r="X7" s="1316"/>
      <c r="Y7" s="1316"/>
      <c r="Z7" s="1316"/>
      <c r="AA7" s="1316"/>
      <c r="AB7" s="1316"/>
      <c r="AC7" s="1316"/>
      <c r="AD7" s="1317">
        <v>5</v>
      </c>
      <c r="AE7" s="1316"/>
      <c r="AF7" s="1312">
        <f>SUM(S7:AE7)</f>
        <v>9591</v>
      </c>
      <c r="AG7" s="1330"/>
      <c r="AH7" s="1331"/>
      <c r="AI7" s="1331"/>
      <c r="AJ7" s="1331"/>
      <c r="AK7" s="1332"/>
    </row>
    <row r="8" spans="1:38" ht="12.75" customHeight="1">
      <c r="A8" s="1163" t="s">
        <v>610</v>
      </c>
      <c r="B8" s="1163" t="s">
        <v>611</v>
      </c>
      <c r="C8" s="1304">
        <v>4077</v>
      </c>
      <c r="D8" s="1305"/>
      <c r="E8" s="1305"/>
      <c r="F8" s="1305"/>
      <c r="G8" s="1305"/>
      <c r="H8" s="1305"/>
      <c r="I8" s="1305"/>
      <c r="J8" s="1304">
        <v>4</v>
      </c>
      <c r="K8" s="1305"/>
      <c r="L8" s="1304">
        <v>2</v>
      </c>
      <c r="M8" s="1305"/>
      <c r="N8" s="1305"/>
      <c r="O8" s="1305"/>
      <c r="P8" s="1305"/>
      <c r="Q8" s="1305">
        <f t="shared" si="18"/>
        <v>4083</v>
      </c>
      <c r="R8" s="1305">
        <f>-'[40]Total_Scholarship Only_byLEA'!F17</f>
        <v>0</v>
      </c>
      <c r="S8" s="1308">
        <f t="shared" si="19"/>
        <v>4083</v>
      </c>
      <c r="T8" s="1164"/>
      <c r="U8" s="1164"/>
      <c r="V8" s="1316"/>
      <c r="W8" s="1316"/>
      <c r="X8" s="1316"/>
      <c r="Y8" s="1316"/>
      <c r="Z8" s="1316"/>
      <c r="AA8" s="1316"/>
      <c r="AB8" s="1316"/>
      <c r="AC8" s="1316"/>
      <c r="AD8" s="1316"/>
      <c r="AE8" s="1316"/>
      <c r="AF8" s="1312">
        <f t="shared" ref="AF8:AF71" si="20">SUM(S8:AE8)</f>
        <v>4083</v>
      </c>
      <c r="AG8" s="1330"/>
      <c r="AH8" s="1331"/>
      <c r="AI8" s="1331"/>
      <c r="AJ8" s="1331"/>
      <c r="AK8" s="1332"/>
    </row>
    <row r="9" spans="1:38" ht="12.75" customHeight="1">
      <c r="A9" s="1163" t="s">
        <v>266</v>
      </c>
      <c r="B9" s="1163" t="s">
        <v>612</v>
      </c>
      <c r="C9" s="1304">
        <v>20588</v>
      </c>
      <c r="D9" s="1305"/>
      <c r="E9" s="1305"/>
      <c r="F9" s="1305"/>
      <c r="G9" s="1305"/>
      <c r="H9" s="1305"/>
      <c r="I9" s="1305"/>
      <c r="J9" s="1304">
        <v>40</v>
      </c>
      <c r="K9" s="1305"/>
      <c r="L9" s="1304">
        <v>27</v>
      </c>
      <c r="M9" s="1305"/>
      <c r="N9" s="1305"/>
      <c r="O9" s="1305"/>
      <c r="P9" s="1305"/>
      <c r="Q9" s="1305">
        <f t="shared" si="18"/>
        <v>20655</v>
      </c>
      <c r="R9" s="1305">
        <f>-'[40]Total_Scholarship Only_byLEA'!F18</f>
        <v>-63</v>
      </c>
      <c r="S9" s="1308">
        <f t="shared" si="19"/>
        <v>20592</v>
      </c>
      <c r="T9" s="1164"/>
      <c r="U9" s="1164"/>
      <c r="V9" s="1316"/>
      <c r="W9" s="1316"/>
      <c r="X9" s="1316"/>
      <c r="Y9" s="1316"/>
      <c r="Z9" s="1316"/>
      <c r="AA9" s="1316"/>
      <c r="AB9" s="1316"/>
      <c r="AC9" s="1317">
        <v>1</v>
      </c>
      <c r="AD9" s="1317">
        <v>18</v>
      </c>
      <c r="AE9" s="1317">
        <v>1</v>
      </c>
      <c r="AF9" s="1312">
        <f t="shared" si="20"/>
        <v>20612</v>
      </c>
      <c r="AG9" s="1330"/>
      <c r="AH9" s="1331"/>
      <c r="AI9" s="1331"/>
      <c r="AJ9" s="1331"/>
      <c r="AK9" s="1332"/>
    </row>
    <row r="10" spans="1:38" ht="12.75" customHeight="1">
      <c r="A10" s="1163" t="s">
        <v>267</v>
      </c>
      <c r="B10" s="1163" t="s">
        <v>613</v>
      </c>
      <c r="C10" s="1304">
        <v>3555</v>
      </c>
      <c r="D10" s="1305"/>
      <c r="E10" s="1305"/>
      <c r="F10" s="1305"/>
      <c r="G10" s="1305"/>
      <c r="H10" s="1305"/>
      <c r="I10" s="1305"/>
      <c r="J10" s="1304">
        <v>3</v>
      </c>
      <c r="K10" s="1305"/>
      <c r="L10" s="1304">
        <v>3</v>
      </c>
      <c r="M10" s="1305"/>
      <c r="N10" s="1305"/>
      <c r="O10" s="1305"/>
      <c r="P10" s="1305"/>
      <c r="Q10" s="1305">
        <f t="shared" si="18"/>
        <v>3561</v>
      </c>
      <c r="R10" s="1305">
        <f>-'[40]Total_Scholarship Only_byLEA'!F19</f>
        <v>-10</v>
      </c>
      <c r="S10" s="1308">
        <f t="shared" si="19"/>
        <v>3551</v>
      </c>
      <c r="T10" s="1164"/>
      <c r="U10" s="1164"/>
      <c r="V10" s="1316"/>
      <c r="W10" s="1316"/>
      <c r="X10" s="1316"/>
      <c r="Y10" s="1316"/>
      <c r="Z10" s="1316"/>
      <c r="AA10" s="1316"/>
      <c r="AB10" s="1316"/>
      <c r="AC10" s="1317">
        <v>2</v>
      </c>
      <c r="AD10" s="1316"/>
      <c r="AE10" s="1316"/>
      <c r="AF10" s="1312">
        <f t="shared" si="20"/>
        <v>3553</v>
      </c>
      <c r="AG10" s="1330"/>
      <c r="AH10" s="1331"/>
      <c r="AI10" s="1331"/>
      <c r="AJ10" s="1331"/>
      <c r="AK10" s="1332"/>
    </row>
    <row r="11" spans="1:38" ht="12.75" customHeight="1">
      <c r="A11" s="1163" t="s">
        <v>614</v>
      </c>
      <c r="B11" s="1163" t="s">
        <v>615</v>
      </c>
      <c r="C11" s="1304">
        <v>5723</v>
      </c>
      <c r="D11" s="1305"/>
      <c r="E11" s="1305"/>
      <c r="F11" s="1305"/>
      <c r="G11" s="1305"/>
      <c r="H11" s="1305"/>
      <c r="I11" s="1305"/>
      <c r="J11" s="1304">
        <v>20</v>
      </c>
      <c r="K11" s="1305"/>
      <c r="L11" s="1304">
        <v>14</v>
      </c>
      <c r="M11" s="1305"/>
      <c r="N11" s="1305"/>
      <c r="O11" s="1305"/>
      <c r="P11" s="1305"/>
      <c r="Q11" s="1305">
        <f t="shared" si="18"/>
        <v>5757</v>
      </c>
      <c r="R11" s="1305">
        <f>-'[40]Total_Scholarship Only_byLEA'!F20</f>
        <v>0</v>
      </c>
      <c r="S11" s="1308">
        <f t="shared" si="19"/>
        <v>5757</v>
      </c>
      <c r="T11" s="1164"/>
      <c r="U11" s="1164"/>
      <c r="V11" s="1316"/>
      <c r="W11" s="1316"/>
      <c r="X11" s="1316"/>
      <c r="Y11" s="1317">
        <v>687</v>
      </c>
      <c r="Z11" s="1316"/>
      <c r="AA11" s="1316"/>
      <c r="AB11" s="1316"/>
      <c r="AC11" s="1316"/>
      <c r="AD11" s="1317">
        <v>1</v>
      </c>
      <c r="AE11" s="1316"/>
      <c r="AF11" s="1312">
        <f t="shared" si="20"/>
        <v>6445</v>
      </c>
      <c r="AG11" s="1330"/>
      <c r="AH11" s="1331"/>
      <c r="AI11" s="1333"/>
      <c r="AJ11" s="1333"/>
      <c r="AK11" s="1332"/>
    </row>
    <row r="12" spans="1:38" ht="12.75" customHeight="1">
      <c r="A12" s="1163" t="s">
        <v>268</v>
      </c>
      <c r="B12" s="1163" t="s">
        <v>616</v>
      </c>
      <c r="C12" s="1304">
        <v>6018</v>
      </c>
      <c r="D12" s="1305"/>
      <c r="E12" s="1305"/>
      <c r="F12" s="1305"/>
      <c r="G12" s="1305"/>
      <c r="H12" s="1305"/>
      <c r="I12" s="1305"/>
      <c r="J12" s="1304">
        <v>17</v>
      </c>
      <c r="K12" s="1305"/>
      <c r="L12" s="1304">
        <v>22</v>
      </c>
      <c r="M12" s="1305"/>
      <c r="N12" s="1305"/>
      <c r="O12" s="1305"/>
      <c r="P12" s="1305"/>
      <c r="Q12" s="1305">
        <f t="shared" si="18"/>
        <v>6057</v>
      </c>
      <c r="R12" s="1305">
        <f>-'[40]Total_Scholarship Only_byLEA'!F21</f>
        <v>0</v>
      </c>
      <c r="S12" s="1308">
        <f t="shared" si="19"/>
        <v>6057</v>
      </c>
      <c r="T12" s="1164"/>
      <c r="U12" s="1164"/>
      <c r="V12" s="1316"/>
      <c r="W12" s="1316"/>
      <c r="X12" s="1316"/>
      <c r="Y12" s="1316"/>
      <c r="Z12" s="1316"/>
      <c r="AA12" s="1316"/>
      <c r="AB12" s="1316"/>
      <c r="AC12" s="1316"/>
      <c r="AD12" s="1317">
        <v>6</v>
      </c>
      <c r="AE12" s="1316"/>
      <c r="AF12" s="1312">
        <f t="shared" si="20"/>
        <v>6063</v>
      </c>
      <c r="AG12" s="1330"/>
      <c r="AH12" s="1331"/>
      <c r="AI12" s="1331"/>
      <c r="AJ12" s="1331"/>
      <c r="AK12" s="1332"/>
    </row>
    <row r="13" spans="1:38" ht="12.75" customHeight="1">
      <c r="A13" s="1163" t="s">
        <v>269</v>
      </c>
      <c r="B13" s="1163" t="s">
        <v>617</v>
      </c>
      <c r="C13" s="1304">
        <v>2198</v>
      </c>
      <c r="D13" s="1305"/>
      <c r="E13" s="1305"/>
      <c r="F13" s="1305"/>
      <c r="G13" s="1305"/>
      <c r="H13" s="1305"/>
      <c r="I13" s="1305"/>
      <c r="J13" s="1304">
        <v>4</v>
      </c>
      <c r="K13" s="1305"/>
      <c r="L13" s="1304">
        <v>8</v>
      </c>
      <c r="M13" s="1305"/>
      <c r="N13" s="1305"/>
      <c r="O13" s="1305"/>
      <c r="P13" s="1305"/>
      <c r="Q13" s="1305">
        <f t="shared" si="18"/>
        <v>2210</v>
      </c>
      <c r="R13" s="1305">
        <f>-'[40]Total_Scholarship Only_byLEA'!F22</f>
        <v>-7</v>
      </c>
      <c r="S13" s="1308">
        <f t="shared" si="19"/>
        <v>2203</v>
      </c>
      <c r="T13" s="1164"/>
      <c r="U13" s="1164"/>
      <c r="V13" s="1316"/>
      <c r="W13" s="1316"/>
      <c r="X13" s="1316"/>
      <c r="Y13" s="1316"/>
      <c r="Z13" s="1316"/>
      <c r="AA13" s="1316"/>
      <c r="AB13" s="1316"/>
      <c r="AC13" s="1316"/>
      <c r="AD13" s="1316"/>
      <c r="AE13" s="1316"/>
      <c r="AF13" s="1312">
        <f t="shared" si="20"/>
        <v>2203</v>
      </c>
      <c r="AG13" s="1330"/>
      <c r="AH13" s="1331"/>
      <c r="AI13" s="1331"/>
      <c r="AJ13" s="1331"/>
      <c r="AK13" s="1332"/>
    </row>
    <row r="14" spans="1:38" ht="12.75" customHeight="1">
      <c r="A14" s="1163" t="s">
        <v>270</v>
      </c>
      <c r="B14" s="1163" t="s">
        <v>618</v>
      </c>
      <c r="C14" s="1304">
        <v>21112</v>
      </c>
      <c r="D14" s="1305"/>
      <c r="E14" s="1305"/>
      <c r="F14" s="1305"/>
      <c r="G14" s="1305"/>
      <c r="H14" s="1305"/>
      <c r="I14" s="1305"/>
      <c r="J14" s="1304">
        <v>35</v>
      </c>
      <c r="K14" s="1305"/>
      <c r="L14" s="1304">
        <v>45</v>
      </c>
      <c r="M14" s="1305"/>
      <c r="N14" s="1305"/>
      <c r="O14" s="1305"/>
      <c r="P14" s="1305"/>
      <c r="Q14" s="1305">
        <f t="shared" si="18"/>
        <v>21192</v>
      </c>
      <c r="R14" s="1305">
        <f>-'[40]Total_Scholarship Only_byLEA'!F23</f>
        <v>-2</v>
      </c>
      <c r="S14" s="1308">
        <f t="shared" si="19"/>
        <v>21190</v>
      </c>
      <c r="T14" s="1164"/>
      <c r="U14" s="1164"/>
      <c r="V14" s="1316"/>
      <c r="W14" s="1316"/>
      <c r="X14" s="1316"/>
      <c r="Y14" s="1316"/>
      <c r="Z14" s="1316"/>
      <c r="AA14" s="1316"/>
      <c r="AB14" s="1316"/>
      <c r="AC14" s="1316"/>
      <c r="AD14" s="1317">
        <v>12</v>
      </c>
      <c r="AE14" s="1316"/>
      <c r="AF14" s="1312">
        <f t="shared" si="20"/>
        <v>21202</v>
      </c>
      <c r="AG14" s="1330"/>
      <c r="AH14" s="1331"/>
      <c r="AI14" s="1331"/>
      <c r="AJ14" s="1333"/>
      <c r="AK14" s="1332"/>
    </row>
    <row r="15" spans="1:38" ht="12.75" customHeight="1">
      <c r="A15" s="1163" t="s">
        <v>271</v>
      </c>
      <c r="B15" s="1163" t="s">
        <v>619</v>
      </c>
      <c r="C15" s="1304">
        <v>40150</v>
      </c>
      <c r="D15" s="1304">
        <v>508</v>
      </c>
      <c r="E15" s="1305"/>
      <c r="F15" s="1304">
        <v>147</v>
      </c>
      <c r="G15" s="1305"/>
      <c r="H15" s="1305"/>
      <c r="I15" s="1305"/>
      <c r="J15" s="1304">
        <v>87</v>
      </c>
      <c r="K15" s="1305"/>
      <c r="L15" s="1304">
        <v>65</v>
      </c>
      <c r="M15" s="1305"/>
      <c r="N15" s="1305"/>
      <c r="O15" s="1305"/>
      <c r="P15" s="1305"/>
      <c r="Q15" s="1305">
        <f t="shared" si="18"/>
        <v>40957</v>
      </c>
      <c r="R15" s="1305">
        <f>-'[40]Total_Scholarship Only_byLEA'!F24</f>
        <v>-81</v>
      </c>
      <c r="S15" s="1308">
        <f t="shared" si="19"/>
        <v>40876</v>
      </c>
      <c r="T15" s="1164"/>
      <c r="U15" s="1164"/>
      <c r="V15" s="1316"/>
      <c r="W15" s="1316"/>
      <c r="X15" s="1316"/>
      <c r="Y15" s="1316"/>
      <c r="Z15" s="1316"/>
      <c r="AA15" s="1316"/>
      <c r="AB15" s="1316"/>
      <c r="AC15" s="1316"/>
      <c r="AD15" s="1317">
        <v>4</v>
      </c>
      <c r="AE15" s="1316"/>
      <c r="AF15" s="1312">
        <f t="shared" si="20"/>
        <v>40880</v>
      </c>
      <c r="AG15" s="1330"/>
      <c r="AH15" s="1333"/>
      <c r="AI15" s="1331"/>
      <c r="AJ15" s="1333"/>
      <c r="AK15" s="1332"/>
    </row>
    <row r="16" spans="1:38" ht="12.75" customHeight="1">
      <c r="A16" s="1163" t="s">
        <v>272</v>
      </c>
      <c r="B16" s="1163" t="s">
        <v>620</v>
      </c>
      <c r="C16" s="1304">
        <v>30680</v>
      </c>
      <c r="D16" s="1305"/>
      <c r="E16" s="1305"/>
      <c r="F16" s="1305"/>
      <c r="G16" s="1304">
        <v>523</v>
      </c>
      <c r="H16" s="1305"/>
      <c r="I16" s="1305"/>
      <c r="J16" s="1304">
        <v>57</v>
      </c>
      <c r="K16" s="1305"/>
      <c r="L16" s="1304">
        <v>53</v>
      </c>
      <c r="M16" s="1304">
        <v>755</v>
      </c>
      <c r="N16" s="1305"/>
      <c r="O16" s="1305"/>
      <c r="P16" s="1305"/>
      <c r="Q16" s="1305">
        <f t="shared" si="18"/>
        <v>32068</v>
      </c>
      <c r="R16" s="1305">
        <f>-'[40]Total_Scholarship Only_byLEA'!F25</f>
        <v>-22</v>
      </c>
      <c r="S16" s="1308">
        <f t="shared" si="19"/>
        <v>32046</v>
      </c>
      <c r="T16" s="1164"/>
      <c r="U16" s="1164"/>
      <c r="V16" s="1316"/>
      <c r="W16" s="1316"/>
      <c r="X16" s="1316"/>
      <c r="Y16" s="1316"/>
      <c r="Z16" s="1316"/>
      <c r="AA16" s="1316"/>
      <c r="AB16" s="1316"/>
      <c r="AC16" s="1316"/>
      <c r="AD16" s="1317">
        <v>12</v>
      </c>
      <c r="AE16" s="1316"/>
      <c r="AF16" s="1312">
        <f t="shared" si="20"/>
        <v>32058</v>
      </c>
      <c r="AG16" s="1330"/>
      <c r="AH16" s="1333"/>
      <c r="AI16" s="1333"/>
      <c r="AJ16" s="1333"/>
      <c r="AK16" s="1332"/>
    </row>
    <row r="17" spans="1:37" ht="12.75" customHeight="1">
      <c r="A17" s="1163" t="s">
        <v>273</v>
      </c>
      <c r="B17" s="1163" t="s">
        <v>621</v>
      </c>
      <c r="C17" s="1304">
        <v>1555</v>
      </c>
      <c r="D17" s="1305"/>
      <c r="E17" s="1305"/>
      <c r="F17" s="1305"/>
      <c r="G17" s="1305"/>
      <c r="H17" s="1305"/>
      <c r="I17" s="1305"/>
      <c r="J17" s="1304">
        <v>7</v>
      </c>
      <c r="K17" s="1305"/>
      <c r="L17" s="1304">
        <v>2</v>
      </c>
      <c r="M17" s="1305"/>
      <c r="N17" s="1305"/>
      <c r="O17" s="1305"/>
      <c r="P17" s="1305"/>
      <c r="Q17" s="1305">
        <f t="shared" si="18"/>
        <v>1564</v>
      </c>
      <c r="R17" s="1305">
        <f>-'[40]Total_Scholarship Only_byLEA'!F26</f>
        <v>-12</v>
      </c>
      <c r="S17" s="1308">
        <f t="shared" si="19"/>
        <v>1552</v>
      </c>
      <c r="T17" s="1164"/>
      <c r="U17" s="1164"/>
      <c r="V17" s="1316"/>
      <c r="W17" s="1316"/>
      <c r="X17" s="1316"/>
      <c r="Y17" s="1316"/>
      <c r="Z17" s="1316"/>
      <c r="AA17" s="1316"/>
      <c r="AB17" s="1316"/>
      <c r="AC17" s="1316"/>
      <c r="AD17" s="1317">
        <v>2</v>
      </c>
      <c r="AE17" s="1316"/>
      <c r="AF17" s="1312">
        <f t="shared" si="20"/>
        <v>1554</v>
      </c>
      <c r="AG17" s="1330"/>
      <c r="AH17" s="1331"/>
      <c r="AI17" s="1331"/>
      <c r="AJ17" s="1331"/>
      <c r="AK17" s="1332"/>
    </row>
    <row r="18" spans="1:37" ht="12.75" customHeight="1">
      <c r="A18" s="1163" t="s">
        <v>622</v>
      </c>
      <c r="B18" s="1163" t="s">
        <v>623</v>
      </c>
      <c r="C18" s="1304">
        <v>1212</v>
      </c>
      <c r="D18" s="1305"/>
      <c r="E18" s="1305"/>
      <c r="F18" s="1305"/>
      <c r="G18" s="1305"/>
      <c r="H18" s="1305"/>
      <c r="I18" s="1305"/>
      <c r="J18" s="1305"/>
      <c r="K18" s="1305"/>
      <c r="L18" s="1304">
        <v>1</v>
      </c>
      <c r="M18" s="1305"/>
      <c r="N18" s="1305"/>
      <c r="O18" s="1305"/>
      <c r="P18" s="1305"/>
      <c r="Q18" s="1305">
        <f t="shared" si="18"/>
        <v>1213</v>
      </c>
      <c r="R18" s="1305">
        <f>-'[40]Total_Scholarship Only_byLEA'!F27</f>
        <v>0</v>
      </c>
      <c r="S18" s="1308">
        <f t="shared" si="19"/>
        <v>1213</v>
      </c>
      <c r="T18" s="1164"/>
      <c r="U18" s="1164"/>
      <c r="V18" s="1316"/>
      <c r="W18" s="1316"/>
      <c r="X18" s="1316"/>
      <c r="Y18" s="1316"/>
      <c r="Z18" s="1316"/>
      <c r="AA18" s="1316"/>
      <c r="AB18" s="1316"/>
      <c r="AC18" s="1316"/>
      <c r="AD18" s="1316"/>
      <c r="AE18" s="1316"/>
      <c r="AF18" s="1312">
        <f t="shared" si="20"/>
        <v>1213</v>
      </c>
      <c r="AG18" s="1330"/>
      <c r="AH18" s="1331"/>
      <c r="AI18" s="1331"/>
      <c r="AJ18" s="1331"/>
      <c r="AK18" s="1332"/>
    </row>
    <row r="19" spans="1:37" ht="12.75" customHeight="1">
      <c r="A19" s="1163" t="s">
        <v>624</v>
      </c>
      <c r="B19" s="1163" t="s">
        <v>625</v>
      </c>
      <c r="C19" s="1304">
        <v>1503</v>
      </c>
      <c r="D19" s="1305"/>
      <c r="E19" s="1305"/>
      <c r="F19" s="1305"/>
      <c r="G19" s="1305"/>
      <c r="H19" s="1305"/>
      <c r="I19" s="1305"/>
      <c r="J19" s="1304">
        <v>10</v>
      </c>
      <c r="K19" s="1305"/>
      <c r="L19" s="1304">
        <v>3</v>
      </c>
      <c r="M19" s="1305"/>
      <c r="N19" s="1305"/>
      <c r="O19" s="1305"/>
      <c r="P19" s="1305"/>
      <c r="Q19" s="1305">
        <f t="shared" si="18"/>
        <v>1516</v>
      </c>
      <c r="R19" s="1305">
        <f>-'[40]Total_Scholarship Only_byLEA'!F28</f>
        <v>0</v>
      </c>
      <c r="S19" s="1308">
        <f t="shared" si="19"/>
        <v>1516</v>
      </c>
      <c r="T19" s="1164"/>
      <c r="U19" s="1164"/>
      <c r="V19" s="1316"/>
      <c r="W19" s="1316"/>
      <c r="X19" s="1316"/>
      <c r="Y19" s="1316"/>
      <c r="Z19" s="1316"/>
      <c r="AA19" s="1316"/>
      <c r="AB19" s="1316"/>
      <c r="AC19" s="1316"/>
      <c r="AD19" s="1316"/>
      <c r="AE19" s="1316"/>
      <c r="AF19" s="1312">
        <f t="shared" si="20"/>
        <v>1516</v>
      </c>
      <c r="AG19" s="1330"/>
      <c r="AH19" s="1331"/>
      <c r="AI19" s="1331"/>
      <c r="AJ19" s="1331"/>
      <c r="AK19" s="1332"/>
    </row>
    <row r="20" spans="1:37" ht="12.75" customHeight="1">
      <c r="A20" s="1163" t="s">
        <v>626</v>
      </c>
      <c r="B20" s="1163" t="s">
        <v>627</v>
      </c>
      <c r="C20" s="1304">
        <v>1856</v>
      </c>
      <c r="D20" s="1305"/>
      <c r="E20" s="1305"/>
      <c r="F20" s="1305"/>
      <c r="G20" s="1305"/>
      <c r="H20" s="1304">
        <v>2</v>
      </c>
      <c r="I20" s="1305"/>
      <c r="J20" s="1304">
        <v>1</v>
      </c>
      <c r="K20" s="1305"/>
      <c r="L20" s="1304">
        <v>11</v>
      </c>
      <c r="M20" s="1305"/>
      <c r="N20" s="1305"/>
      <c r="O20" s="1305"/>
      <c r="P20" s="1305"/>
      <c r="Q20" s="1305">
        <f t="shared" si="18"/>
        <v>1870</v>
      </c>
      <c r="R20" s="1305">
        <f>-'[40]Total_Scholarship Only_byLEA'!F29</f>
        <v>0</v>
      </c>
      <c r="S20" s="1308">
        <f t="shared" si="19"/>
        <v>1870</v>
      </c>
      <c r="T20" s="1164"/>
      <c r="U20" s="1164"/>
      <c r="V20" s="1316"/>
      <c r="W20" s="1316"/>
      <c r="X20" s="1316"/>
      <c r="Y20" s="1316"/>
      <c r="Z20" s="1316"/>
      <c r="AA20" s="1316"/>
      <c r="AB20" s="1316"/>
      <c r="AC20" s="1316"/>
      <c r="AD20" s="1317">
        <v>1</v>
      </c>
      <c r="AE20" s="1316"/>
      <c r="AF20" s="1312">
        <f t="shared" si="20"/>
        <v>1871</v>
      </c>
      <c r="AG20" s="1330"/>
      <c r="AH20" s="1331"/>
      <c r="AI20" s="1331"/>
      <c r="AJ20" s="1331"/>
      <c r="AK20" s="1332"/>
    </row>
    <row r="21" spans="1:37" ht="12.75" customHeight="1">
      <c r="A21" s="1163" t="s">
        <v>628</v>
      </c>
      <c r="B21" s="1163" t="s">
        <v>629</v>
      </c>
      <c r="C21" s="1304">
        <v>3620</v>
      </c>
      <c r="D21" s="1305"/>
      <c r="E21" s="1305"/>
      <c r="F21" s="1305"/>
      <c r="G21" s="1305"/>
      <c r="H21" s="1305"/>
      <c r="I21" s="1305"/>
      <c r="J21" s="1304">
        <v>4</v>
      </c>
      <c r="K21" s="1305"/>
      <c r="L21" s="1304">
        <v>3</v>
      </c>
      <c r="M21" s="1305"/>
      <c r="N21" s="1305"/>
      <c r="O21" s="1305"/>
      <c r="P21" s="1305"/>
      <c r="Q21" s="1305">
        <f t="shared" si="18"/>
        <v>3627</v>
      </c>
      <c r="R21" s="1305">
        <f>-'[40]Total_Scholarship Only_byLEA'!F30</f>
        <v>0</v>
      </c>
      <c r="S21" s="1308">
        <f t="shared" si="19"/>
        <v>3627</v>
      </c>
      <c r="T21" s="1164"/>
      <c r="U21" s="1164"/>
      <c r="V21" s="1316"/>
      <c r="W21" s="1316"/>
      <c r="X21" s="1316"/>
      <c r="Y21" s="1316"/>
      <c r="Z21" s="1316"/>
      <c r="AA21" s="1316"/>
      <c r="AB21" s="1316"/>
      <c r="AC21" s="1316"/>
      <c r="AD21" s="1317">
        <v>1</v>
      </c>
      <c r="AE21" s="1316"/>
      <c r="AF21" s="1312">
        <f t="shared" si="20"/>
        <v>3628</v>
      </c>
      <c r="AG21" s="1330"/>
      <c r="AH21" s="1331"/>
      <c r="AI21" s="1331"/>
      <c r="AJ21" s="1333"/>
      <c r="AK21" s="1332"/>
    </row>
    <row r="22" spans="1:37" ht="12.75" customHeight="1">
      <c r="A22" s="1163" t="s">
        <v>630</v>
      </c>
      <c r="B22" s="1163" t="s">
        <v>631</v>
      </c>
      <c r="C22" s="1304">
        <v>4937</v>
      </c>
      <c r="D22" s="1305"/>
      <c r="E22" s="1305"/>
      <c r="F22" s="1305"/>
      <c r="G22" s="1305"/>
      <c r="H22" s="1305"/>
      <c r="I22" s="1305"/>
      <c r="J22" s="1304">
        <v>11</v>
      </c>
      <c r="K22" s="1305"/>
      <c r="L22" s="1304">
        <v>6</v>
      </c>
      <c r="M22" s="1305"/>
      <c r="N22" s="1305"/>
      <c r="O22" s="1305"/>
      <c r="P22" s="1305"/>
      <c r="Q22" s="1305">
        <f t="shared" si="18"/>
        <v>4954</v>
      </c>
      <c r="R22" s="1305">
        <f>-'[40]Total_Scholarship Only_byLEA'!F31</f>
        <v>0</v>
      </c>
      <c r="S22" s="1308">
        <f t="shared" si="19"/>
        <v>4954</v>
      </c>
      <c r="T22" s="1164"/>
      <c r="U22" s="1164"/>
      <c r="V22" s="1316"/>
      <c r="W22" s="1316"/>
      <c r="X22" s="1316"/>
      <c r="Y22" s="1316"/>
      <c r="Z22" s="1316"/>
      <c r="AA22" s="1316"/>
      <c r="AB22" s="1316"/>
      <c r="AC22" s="1316"/>
      <c r="AD22" s="1316"/>
      <c r="AE22" s="1316"/>
      <c r="AF22" s="1312">
        <f t="shared" si="20"/>
        <v>4954</v>
      </c>
      <c r="AG22" s="1330"/>
      <c r="AH22" s="1331"/>
      <c r="AI22" s="1333"/>
      <c r="AJ22" s="1331"/>
      <c r="AK22" s="1332"/>
    </row>
    <row r="23" spans="1:37" ht="12.75" customHeight="1">
      <c r="A23" s="1163" t="s">
        <v>274</v>
      </c>
      <c r="B23" s="1163" t="s">
        <v>632</v>
      </c>
      <c r="C23" s="1304">
        <v>41055</v>
      </c>
      <c r="D23" s="1304">
        <v>497</v>
      </c>
      <c r="E23" s="1305"/>
      <c r="F23" s="1304">
        <v>1751</v>
      </c>
      <c r="G23" s="1305"/>
      <c r="H23" s="1305"/>
      <c r="I23" s="1304">
        <v>206</v>
      </c>
      <c r="J23" s="1304">
        <v>69</v>
      </c>
      <c r="K23" s="1305"/>
      <c r="L23" s="1304">
        <v>76</v>
      </c>
      <c r="M23" s="1305"/>
      <c r="N23" s="1305"/>
      <c r="O23" s="1305"/>
      <c r="P23" s="1305"/>
      <c r="Q23" s="1305">
        <f t="shared" si="18"/>
        <v>43654</v>
      </c>
      <c r="R23" s="1305">
        <f>-'[40]Total_Scholarship Only_byLEA'!F32</f>
        <v>-628</v>
      </c>
      <c r="S23" s="1308">
        <f t="shared" si="19"/>
        <v>43026</v>
      </c>
      <c r="T23" s="1165">
        <v>1376</v>
      </c>
      <c r="U23" s="1165">
        <v>391</v>
      </c>
      <c r="V23" s="1316"/>
      <c r="W23" s="1316"/>
      <c r="X23" s="1316"/>
      <c r="Y23" s="1316"/>
      <c r="Z23" s="1316"/>
      <c r="AA23" s="1316"/>
      <c r="AB23" s="1316"/>
      <c r="AC23" s="1316"/>
      <c r="AD23" s="1317">
        <v>27</v>
      </c>
      <c r="AE23" s="1316"/>
      <c r="AF23" s="1312">
        <f t="shared" si="20"/>
        <v>44820</v>
      </c>
      <c r="AG23" s="1330"/>
      <c r="AH23" s="1333"/>
      <c r="AI23" s="1333"/>
      <c r="AJ23" s="1333"/>
      <c r="AK23" s="1332"/>
    </row>
    <row r="24" spans="1:37" ht="12.75" customHeight="1">
      <c r="A24" s="1163" t="s">
        <v>633</v>
      </c>
      <c r="B24" s="1163" t="s">
        <v>634</v>
      </c>
      <c r="C24" s="1304">
        <v>1113</v>
      </c>
      <c r="D24" s="1305"/>
      <c r="E24" s="1305"/>
      <c r="F24" s="1305"/>
      <c r="G24" s="1305"/>
      <c r="H24" s="1305"/>
      <c r="I24" s="1305"/>
      <c r="J24" s="1304">
        <v>1</v>
      </c>
      <c r="K24" s="1305"/>
      <c r="L24" s="1305"/>
      <c r="M24" s="1305"/>
      <c r="N24" s="1305"/>
      <c r="O24" s="1305"/>
      <c r="P24" s="1305"/>
      <c r="Q24" s="1305">
        <f t="shared" si="18"/>
        <v>1114</v>
      </c>
      <c r="R24" s="1305">
        <f>-'[40]Total_Scholarship Only_byLEA'!F33</f>
        <v>0</v>
      </c>
      <c r="S24" s="1308">
        <f t="shared" si="19"/>
        <v>1114</v>
      </c>
      <c r="T24" s="1164"/>
      <c r="U24" s="1164"/>
      <c r="V24" s="1316"/>
      <c r="W24" s="1316"/>
      <c r="X24" s="1316"/>
      <c r="Y24" s="1316"/>
      <c r="Z24" s="1317">
        <v>7</v>
      </c>
      <c r="AA24" s="1316"/>
      <c r="AB24" s="1316"/>
      <c r="AC24" s="1316"/>
      <c r="AD24" s="1316"/>
      <c r="AE24" s="1316"/>
      <c r="AF24" s="1312">
        <f t="shared" si="20"/>
        <v>1121</v>
      </c>
      <c r="AG24" s="1330"/>
      <c r="AH24" s="1331"/>
      <c r="AI24" s="1331"/>
      <c r="AJ24" s="1331"/>
      <c r="AK24" s="1332"/>
    </row>
    <row r="25" spans="1:37" ht="12.75" customHeight="1">
      <c r="A25" s="1163" t="s">
        <v>275</v>
      </c>
      <c r="B25" s="1163" t="s">
        <v>635</v>
      </c>
      <c r="C25" s="1304">
        <v>1907</v>
      </c>
      <c r="D25" s="1305"/>
      <c r="E25" s="1305"/>
      <c r="F25" s="1305"/>
      <c r="G25" s="1305"/>
      <c r="H25" s="1305"/>
      <c r="I25" s="1305"/>
      <c r="J25" s="1304">
        <v>5</v>
      </c>
      <c r="K25" s="1305"/>
      <c r="L25" s="1304">
        <v>6</v>
      </c>
      <c r="M25" s="1305"/>
      <c r="N25" s="1305"/>
      <c r="O25" s="1305"/>
      <c r="P25" s="1305"/>
      <c r="Q25" s="1305">
        <f t="shared" si="18"/>
        <v>1918</v>
      </c>
      <c r="R25" s="1305">
        <f>-'[40]Total_Scholarship Only_byLEA'!F34</f>
        <v>0</v>
      </c>
      <c r="S25" s="1308">
        <f t="shared" si="19"/>
        <v>1918</v>
      </c>
      <c r="T25" s="1164"/>
      <c r="U25" s="1164"/>
      <c r="V25" s="1316"/>
      <c r="W25" s="1316"/>
      <c r="X25" s="1316"/>
      <c r="Y25" s="1316"/>
      <c r="Z25" s="1316"/>
      <c r="AA25" s="1316"/>
      <c r="AB25" s="1316"/>
      <c r="AC25" s="1316"/>
      <c r="AD25" s="1316"/>
      <c r="AE25" s="1316"/>
      <c r="AF25" s="1312">
        <f t="shared" si="20"/>
        <v>1918</v>
      </c>
      <c r="AG25" s="1330"/>
      <c r="AH25" s="1331"/>
      <c r="AI25" s="1331"/>
      <c r="AJ25" s="1331"/>
      <c r="AK25" s="1332"/>
    </row>
    <row r="26" spans="1:37" ht="12.75" customHeight="1">
      <c r="A26" s="1163" t="s">
        <v>636</v>
      </c>
      <c r="B26" s="1163" t="s">
        <v>637</v>
      </c>
      <c r="C26" s="1304">
        <v>5883</v>
      </c>
      <c r="D26" s="1305"/>
      <c r="E26" s="1305"/>
      <c r="F26" s="1305"/>
      <c r="G26" s="1305"/>
      <c r="H26" s="1305"/>
      <c r="I26" s="1305"/>
      <c r="J26" s="1304">
        <v>6</v>
      </c>
      <c r="K26" s="1305"/>
      <c r="L26" s="1304">
        <v>4</v>
      </c>
      <c r="M26" s="1305"/>
      <c r="N26" s="1305"/>
      <c r="O26" s="1305"/>
      <c r="P26" s="1305"/>
      <c r="Q26" s="1305">
        <f t="shared" si="18"/>
        <v>5893</v>
      </c>
      <c r="R26" s="1305">
        <f>-'[40]Total_Scholarship Only_byLEA'!F35</f>
        <v>0</v>
      </c>
      <c r="S26" s="1308">
        <f t="shared" si="19"/>
        <v>5893</v>
      </c>
      <c r="T26" s="1164"/>
      <c r="U26" s="1164"/>
      <c r="V26" s="1316"/>
      <c r="W26" s="1316"/>
      <c r="X26" s="1316"/>
      <c r="Y26" s="1316"/>
      <c r="Z26" s="1316"/>
      <c r="AA26" s="1316"/>
      <c r="AB26" s="1316"/>
      <c r="AC26" s="1316"/>
      <c r="AD26" s="1317">
        <v>2</v>
      </c>
      <c r="AE26" s="1316"/>
      <c r="AF26" s="1312">
        <f t="shared" si="20"/>
        <v>5895</v>
      </c>
      <c r="AG26" s="1330"/>
      <c r="AH26" s="1333"/>
      <c r="AI26" s="1333"/>
      <c r="AJ26" s="1331"/>
      <c r="AK26" s="1332"/>
    </row>
    <row r="27" spans="1:37" ht="12.75" customHeight="1">
      <c r="A27" s="1163" t="s">
        <v>276</v>
      </c>
      <c r="B27" s="1163" t="s">
        <v>638</v>
      </c>
      <c r="C27" s="1304">
        <v>2993</v>
      </c>
      <c r="D27" s="1305"/>
      <c r="E27" s="1305"/>
      <c r="F27" s="1305"/>
      <c r="G27" s="1305"/>
      <c r="H27" s="1305"/>
      <c r="I27" s="1305"/>
      <c r="J27" s="1304">
        <v>3</v>
      </c>
      <c r="K27" s="1305"/>
      <c r="L27" s="1304">
        <v>10</v>
      </c>
      <c r="M27" s="1305"/>
      <c r="N27" s="1305"/>
      <c r="O27" s="1305"/>
      <c r="P27" s="1305"/>
      <c r="Q27" s="1305">
        <f t="shared" si="18"/>
        <v>3006</v>
      </c>
      <c r="R27" s="1305">
        <f>-'[40]Total_Scholarship Only_byLEA'!F36</f>
        <v>-39</v>
      </c>
      <c r="S27" s="1308">
        <f t="shared" si="19"/>
        <v>2967</v>
      </c>
      <c r="T27" s="1164"/>
      <c r="U27" s="1164"/>
      <c r="V27" s="1316"/>
      <c r="W27" s="1316"/>
      <c r="X27" s="1316"/>
      <c r="Y27" s="1316"/>
      <c r="Z27" s="1317">
        <v>69</v>
      </c>
      <c r="AA27" s="1316"/>
      <c r="AB27" s="1316"/>
      <c r="AC27" s="1316"/>
      <c r="AD27" s="1316"/>
      <c r="AE27" s="1316"/>
      <c r="AF27" s="1312">
        <f t="shared" si="20"/>
        <v>3036</v>
      </c>
      <c r="AG27" s="1330"/>
      <c r="AH27" s="1331"/>
      <c r="AI27" s="1331"/>
      <c r="AJ27" s="1333"/>
      <c r="AK27" s="1332"/>
    </row>
    <row r="28" spans="1:37" ht="12.75" customHeight="1">
      <c r="A28" s="1163" t="s">
        <v>277</v>
      </c>
      <c r="B28" s="1163" t="s">
        <v>639</v>
      </c>
      <c r="C28" s="1304">
        <v>3204</v>
      </c>
      <c r="D28" s="1305"/>
      <c r="E28" s="1305"/>
      <c r="F28" s="1305"/>
      <c r="G28" s="1305"/>
      <c r="H28" s="1305"/>
      <c r="I28" s="1305"/>
      <c r="J28" s="1304">
        <v>2</v>
      </c>
      <c r="K28" s="1305"/>
      <c r="L28" s="1304">
        <v>5</v>
      </c>
      <c r="M28" s="1305"/>
      <c r="N28" s="1305"/>
      <c r="O28" s="1305"/>
      <c r="P28" s="1305"/>
      <c r="Q28" s="1305">
        <f t="shared" si="18"/>
        <v>3211</v>
      </c>
      <c r="R28" s="1305">
        <f>-'[40]Total_Scholarship Only_byLEA'!F37</f>
        <v>-1</v>
      </c>
      <c r="S28" s="1308">
        <f t="shared" si="19"/>
        <v>3210</v>
      </c>
      <c r="T28" s="1164"/>
      <c r="U28" s="1164"/>
      <c r="V28" s="1316"/>
      <c r="W28" s="1316"/>
      <c r="X28" s="1316"/>
      <c r="Y28" s="1316"/>
      <c r="Z28" s="1316"/>
      <c r="AA28" s="1316"/>
      <c r="AB28" s="1316"/>
      <c r="AC28" s="1316"/>
      <c r="AD28" s="1316"/>
      <c r="AE28" s="1316"/>
      <c r="AF28" s="1312">
        <f t="shared" si="20"/>
        <v>3210</v>
      </c>
      <c r="AG28" s="1330"/>
      <c r="AH28" s="1331"/>
      <c r="AI28" s="1331"/>
      <c r="AJ28" s="1333"/>
      <c r="AK28" s="1332"/>
    </row>
    <row r="29" spans="1:37" ht="12.75" customHeight="1">
      <c r="A29" s="1163" t="s">
        <v>278</v>
      </c>
      <c r="B29" s="1163" t="s">
        <v>640</v>
      </c>
      <c r="C29" s="1304">
        <v>13399</v>
      </c>
      <c r="D29" s="1305"/>
      <c r="E29" s="1305"/>
      <c r="F29" s="1305"/>
      <c r="G29" s="1305"/>
      <c r="H29" s="1305"/>
      <c r="I29" s="1305"/>
      <c r="J29" s="1304">
        <v>12</v>
      </c>
      <c r="K29" s="1305"/>
      <c r="L29" s="1304">
        <v>18</v>
      </c>
      <c r="M29" s="1305"/>
      <c r="N29" s="1305"/>
      <c r="O29" s="1305"/>
      <c r="P29" s="1305"/>
      <c r="Q29" s="1305">
        <f t="shared" si="18"/>
        <v>13429</v>
      </c>
      <c r="R29" s="1305">
        <f>-'[40]Total_Scholarship Only_byLEA'!F38</f>
        <v>-1</v>
      </c>
      <c r="S29" s="1308">
        <f t="shared" si="19"/>
        <v>13428</v>
      </c>
      <c r="T29" s="1164"/>
      <c r="U29" s="1164"/>
      <c r="V29" s="1316"/>
      <c r="W29" s="1317">
        <v>74</v>
      </c>
      <c r="X29" s="1316"/>
      <c r="Y29" s="1316"/>
      <c r="Z29" s="1316"/>
      <c r="AA29" s="1316"/>
      <c r="AB29" s="1316"/>
      <c r="AC29" s="1316"/>
      <c r="AD29" s="1317">
        <v>3</v>
      </c>
      <c r="AE29" s="1316"/>
      <c r="AF29" s="1312">
        <f t="shared" si="20"/>
        <v>13505</v>
      </c>
      <c r="AG29" s="1330"/>
      <c r="AH29" s="1333"/>
      <c r="AI29" s="1333"/>
      <c r="AJ29" s="1333"/>
      <c r="AK29" s="1332"/>
    </row>
    <row r="30" spans="1:37" ht="12.75" customHeight="1">
      <c r="A30" s="1163" t="s">
        <v>279</v>
      </c>
      <c r="B30" s="1163" t="s">
        <v>641</v>
      </c>
      <c r="C30" s="1304">
        <v>4529</v>
      </c>
      <c r="D30" s="1305"/>
      <c r="E30" s="1305"/>
      <c r="F30" s="1305"/>
      <c r="G30" s="1305"/>
      <c r="H30" s="1305"/>
      <c r="I30" s="1305"/>
      <c r="J30" s="1304">
        <v>10</v>
      </c>
      <c r="K30" s="1305"/>
      <c r="L30" s="1304">
        <v>1</v>
      </c>
      <c r="M30" s="1305"/>
      <c r="N30" s="1305"/>
      <c r="O30" s="1305"/>
      <c r="P30" s="1305"/>
      <c r="Q30" s="1305">
        <f t="shared" si="18"/>
        <v>4540</v>
      </c>
      <c r="R30" s="1305">
        <f>-'[40]Total_Scholarship Only_byLEA'!F39</f>
        <v>-28</v>
      </c>
      <c r="S30" s="1308">
        <f t="shared" si="19"/>
        <v>4512</v>
      </c>
      <c r="T30" s="1164"/>
      <c r="U30" s="1164"/>
      <c r="V30" s="1316"/>
      <c r="W30" s="1316"/>
      <c r="X30" s="1316"/>
      <c r="Y30" s="1316"/>
      <c r="Z30" s="1316"/>
      <c r="AA30" s="1316"/>
      <c r="AB30" s="1316"/>
      <c r="AC30" s="1316"/>
      <c r="AD30" s="1317">
        <v>4</v>
      </c>
      <c r="AE30" s="1316"/>
      <c r="AF30" s="1312">
        <f t="shared" si="20"/>
        <v>4516</v>
      </c>
      <c r="AG30" s="1330"/>
      <c r="AH30" s="1333"/>
      <c r="AI30" s="1333"/>
      <c r="AJ30" s="1331"/>
      <c r="AK30" s="1332"/>
    </row>
    <row r="31" spans="1:37" ht="12.75" customHeight="1">
      <c r="A31" s="1163" t="s">
        <v>280</v>
      </c>
      <c r="B31" s="1163" t="s">
        <v>642</v>
      </c>
      <c r="C31" s="1304">
        <v>2225</v>
      </c>
      <c r="D31" s="1305"/>
      <c r="E31" s="1305"/>
      <c r="F31" s="1305"/>
      <c r="G31" s="1305"/>
      <c r="H31" s="1305"/>
      <c r="I31" s="1305"/>
      <c r="J31" s="1304">
        <v>4</v>
      </c>
      <c r="K31" s="1305"/>
      <c r="L31" s="1304">
        <v>1</v>
      </c>
      <c r="M31" s="1305"/>
      <c r="N31" s="1305"/>
      <c r="O31" s="1305"/>
      <c r="P31" s="1305"/>
      <c r="Q31" s="1305">
        <f t="shared" si="18"/>
        <v>2230</v>
      </c>
      <c r="R31" s="1305">
        <f>-'[40]Total_Scholarship Only_byLEA'!F40</f>
        <v>-7</v>
      </c>
      <c r="S31" s="1308">
        <f t="shared" si="19"/>
        <v>2223</v>
      </c>
      <c r="T31" s="1164"/>
      <c r="U31" s="1164"/>
      <c r="V31" s="1316"/>
      <c r="W31" s="1316"/>
      <c r="X31" s="1316"/>
      <c r="Y31" s="1316"/>
      <c r="Z31" s="1316"/>
      <c r="AA31" s="1316"/>
      <c r="AB31" s="1316"/>
      <c r="AC31" s="1316"/>
      <c r="AD31" s="1316"/>
      <c r="AE31" s="1316"/>
      <c r="AF31" s="1312">
        <f t="shared" si="20"/>
        <v>2223</v>
      </c>
      <c r="AG31" s="1330"/>
      <c r="AH31" s="1331"/>
      <c r="AI31" s="1331"/>
      <c r="AJ31" s="1331"/>
      <c r="AK31" s="1332"/>
    </row>
    <row r="32" spans="1:37" ht="12.75" customHeight="1">
      <c r="A32" s="1163" t="s">
        <v>281</v>
      </c>
      <c r="B32" s="1163" t="s">
        <v>643</v>
      </c>
      <c r="C32" s="1304">
        <v>44001</v>
      </c>
      <c r="D32" s="1305"/>
      <c r="E32" s="1305"/>
      <c r="F32" s="1305"/>
      <c r="G32" s="1305"/>
      <c r="H32" s="1305"/>
      <c r="I32" s="1305"/>
      <c r="J32" s="1304">
        <v>96</v>
      </c>
      <c r="K32" s="1304">
        <v>46</v>
      </c>
      <c r="L32" s="1304">
        <v>98</v>
      </c>
      <c r="M32" s="1305"/>
      <c r="N32" s="1304">
        <v>49</v>
      </c>
      <c r="O32" s="1304">
        <v>110</v>
      </c>
      <c r="P32" s="1305"/>
      <c r="Q32" s="1305">
        <f t="shared" si="18"/>
        <v>44400</v>
      </c>
      <c r="R32" s="1305">
        <f>-'[40]Total_Scholarship Only_byLEA'!F41</f>
        <v>-406</v>
      </c>
      <c r="S32" s="1308">
        <f t="shared" si="19"/>
        <v>43994</v>
      </c>
      <c r="T32" s="1164"/>
      <c r="U32" s="1164"/>
      <c r="V32" s="1316"/>
      <c r="W32" s="1316"/>
      <c r="X32" s="1317">
        <v>229</v>
      </c>
      <c r="Y32" s="1316"/>
      <c r="Z32" s="1316"/>
      <c r="AA32" s="1317">
        <v>269</v>
      </c>
      <c r="AB32" s="1317">
        <v>117</v>
      </c>
      <c r="AC32" s="1316"/>
      <c r="AD32" s="1317">
        <v>10</v>
      </c>
      <c r="AE32" s="1317">
        <v>32</v>
      </c>
      <c r="AF32" s="1312">
        <f t="shared" si="20"/>
        <v>44651</v>
      </c>
      <c r="AG32" s="1330"/>
      <c r="AH32" s="1333"/>
      <c r="AI32" s="1333"/>
      <c r="AJ32" s="1333"/>
      <c r="AK32" s="1332"/>
    </row>
    <row r="33" spans="1:37" ht="12.75" customHeight="1">
      <c r="A33" s="1163" t="s">
        <v>644</v>
      </c>
      <c r="B33" s="1163" t="s">
        <v>645</v>
      </c>
      <c r="C33" s="1304">
        <v>5596</v>
      </c>
      <c r="D33" s="1305"/>
      <c r="E33" s="1305"/>
      <c r="F33" s="1305"/>
      <c r="G33" s="1304">
        <v>8</v>
      </c>
      <c r="H33" s="1305"/>
      <c r="I33" s="1305"/>
      <c r="J33" s="1304">
        <v>3</v>
      </c>
      <c r="K33" s="1305"/>
      <c r="L33" s="1304">
        <v>7</v>
      </c>
      <c r="M33" s="1305"/>
      <c r="N33" s="1305"/>
      <c r="O33" s="1305"/>
      <c r="P33" s="1305"/>
      <c r="Q33" s="1305">
        <f t="shared" si="18"/>
        <v>5614</v>
      </c>
      <c r="R33" s="1305">
        <f>-'[40]Total_Scholarship Only_byLEA'!F42</f>
        <v>0</v>
      </c>
      <c r="S33" s="1308">
        <f t="shared" si="19"/>
        <v>5614</v>
      </c>
      <c r="T33" s="1164"/>
      <c r="U33" s="1164"/>
      <c r="V33" s="1316"/>
      <c r="W33" s="1316"/>
      <c r="X33" s="1316"/>
      <c r="Y33" s="1316"/>
      <c r="Z33" s="1316"/>
      <c r="AA33" s="1316"/>
      <c r="AB33" s="1316"/>
      <c r="AC33" s="1316"/>
      <c r="AD33" s="1316"/>
      <c r="AE33" s="1316"/>
      <c r="AF33" s="1312">
        <f t="shared" si="20"/>
        <v>5614</v>
      </c>
      <c r="AG33" s="1330"/>
      <c r="AH33" s="1331"/>
      <c r="AI33" s="1331"/>
      <c r="AJ33" s="1331"/>
      <c r="AK33" s="1332"/>
    </row>
    <row r="34" spans="1:37" ht="12.75" customHeight="1">
      <c r="A34" s="1163" t="s">
        <v>282</v>
      </c>
      <c r="B34" s="1163" t="s">
        <v>646</v>
      </c>
      <c r="C34" s="1304">
        <v>30061</v>
      </c>
      <c r="D34" s="1305"/>
      <c r="E34" s="1305"/>
      <c r="F34" s="1305"/>
      <c r="G34" s="1305"/>
      <c r="H34" s="1305"/>
      <c r="I34" s="1305"/>
      <c r="J34" s="1304">
        <v>39</v>
      </c>
      <c r="K34" s="1305"/>
      <c r="L34" s="1304">
        <v>46</v>
      </c>
      <c r="M34" s="1305"/>
      <c r="N34" s="1305"/>
      <c r="O34" s="1305"/>
      <c r="P34" s="1304">
        <v>1</v>
      </c>
      <c r="Q34" s="1304">
        <f t="shared" si="18"/>
        <v>30147</v>
      </c>
      <c r="R34" s="1304">
        <f>-'[40]Total_Scholarship Only_byLEA'!F43</f>
        <v>-136</v>
      </c>
      <c r="S34" s="1309">
        <f t="shared" si="19"/>
        <v>30011</v>
      </c>
      <c r="T34" s="1164"/>
      <c r="U34" s="1164"/>
      <c r="V34" s="1316"/>
      <c r="W34" s="1316"/>
      <c r="X34" s="1316"/>
      <c r="Y34" s="1316"/>
      <c r="Z34" s="1316"/>
      <c r="AA34" s="1316"/>
      <c r="AB34" s="1316"/>
      <c r="AC34" s="1316"/>
      <c r="AD34" s="1317">
        <v>12</v>
      </c>
      <c r="AE34" s="1316"/>
      <c r="AF34" s="1312">
        <f t="shared" si="20"/>
        <v>30023</v>
      </c>
      <c r="AG34" s="1330"/>
      <c r="AH34" s="1333"/>
      <c r="AI34" s="1333"/>
      <c r="AJ34" s="1333"/>
      <c r="AK34" s="1332"/>
    </row>
    <row r="35" spans="1:37" ht="12.75" customHeight="1">
      <c r="A35" s="1163" t="s">
        <v>283</v>
      </c>
      <c r="B35" s="1163" t="s">
        <v>647</v>
      </c>
      <c r="C35" s="1304">
        <v>13699</v>
      </c>
      <c r="D35" s="1305"/>
      <c r="E35" s="1305"/>
      <c r="F35" s="1305"/>
      <c r="G35" s="1305"/>
      <c r="H35" s="1305"/>
      <c r="I35" s="1305"/>
      <c r="J35" s="1304">
        <v>12</v>
      </c>
      <c r="K35" s="1305"/>
      <c r="L35" s="1304">
        <v>8</v>
      </c>
      <c r="M35" s="1305"/>
      <c r="N35" s="1305"/>
      <c r="O35" s="1305"/>
      <c r="P35" s="1305"/>
      <c r="Q35" s="1305">
        <f t="shared" si="18"/>
        <v>13719</v>
      </c>
      <c r="R35" s="1305">
        <f>-'[40]Total_Scholarship Only_byLEA'!F44</f>
        <v>-40</v>
      </c>
      <c r="S35" s="1308">
        <f t="shared" si="19"/>
        <v>13679</v>
      </c>
      <c r="T35" s="1164"/>
      <c r="U35" s="1164"/>
      <c r="V35" s="1316"/>
      <c r="W35" s="1316"/>
      <c r="X35" s="1316"/>
      <c r="Y35" s="1316"/>
      <c r="Z35" s="1316"/>
      <c r="AA35" s="1316"/>
      <c r="AB35" s="1316"/>
      <c r="AC35" s="1317">
        <v>59</v>
      </c>
      <c r="AD35" s="1317">
        <v>3</v>
      </c>
      <c r="AE35" s="1317">
        <v>1</v>
      </c>
      <c r="AF35" s="1312">
        <f t="shared" si="20"/>
        <v>13742</v>
      </c>
      <c r="AG35" s="1330"/>
      <c r="AH35" s="1333"/>
      <c r="AI35" s="1333"/>
      <c r="AJ35" s="1333"/>
      <c r="AK35" s="1332"/>
    </row>
    <row r="36" spans="1:37" ht="12.75" customHeight="1">
      <c r="A36" s="1163" t="s">
        <v>648</v>
      </c>
      <c r="B36" s="1163" t="s">
        <v>649</v>
      </c>
      <c r="C36" s="1304">
        <v>2470</v>
      </c>
      <c r="D36" s="1305"/>
      <c r="E36" s="1305"/>
      <c r="F36" s="1305"/>
      <c r="G36" s="1305"/>
      <c r="H36" s="1305"/>
      <c r="I36" s="1305"/>
      <c r="J36" s="1304">
        <v>4</v>
      </c>
      <c r="K36" s="1305"/>
      <c r="L36" s="1304">
        <v>2</v>
      </c>
      <c r="M36" s="1305"/>
      <c r="N36" s="1305"/>
      <c r="O36" s="1305"/>
      <c r="P36" s="1305"/>
      <c r="Q36" s="1305">
        <f t="shared" si="18"/>
        <v>2476</v>
      </c>
      <c r="R36" s="1305">
        <f>-'[40]Total_Scholarship Only_byLEA'!F45</f>
        <v>0</v>
      </c>
      <c r="S36" s="1308">
        <f t="shared" si="19"/>
        <v>2476</v>
      </c>
      <c r="T36" s="1164"/>
      <c r="U36" s="1164"/>
      <c r="V36" s="1316"/>
      <c r="W36" s="1316"/>
      <c r="X36" s="1316"/>
      <c r="Y36" s="1316"/>
      <c r="Z36" s="1316"/>
      <c r="AA36" s="1316"/>
      <c r="AB36" s="1316"/>
      <c r="AC36" s="1316"/>
      <c r="AD36" s="1317">
        <v>1</v>
      </c>
      <c r="AE36" s="1316"/>
      <c r="AF36" s="1312">
        <f t="shared" si="20"/>
        <v>2477</v>
      </c>
      <c r="AG36" s="1330"/>
      <c r="AH36" s="1331"/>
      <c r="AI36" s="1331"/>
      <c r="AJ36" s="1331"/>
      <c r="AK36" s="1332"/>
    </row>
    <row r="37" spans="1:37" ht="12.75" customHeight="1">
      <c r="A37" s="1163" t="s">
        <v>284</v>
      </c>
      <c r="B37" s="1163" t="s">
        <v>650</v>
      </c>
      <c r="C37" s="1304">
        <v>6466</v>
      </c>
      <c r="D37" s="1305"/>
      <c r="E37" s="1305"/>
      <c r="F37" s="1305"/>
      <c r="G37" s="1305"/>
      <c r="H37" s="1304">
        <v>8</v>
      </c>
      <c r="I37" s="1305"/>
      <c r="J37" s="1304">
        <v>2</v>
      </c>
      <c r="K37" s="1305"/>
      <c r="L37" s="1304">
        <v>4</v>
      </c>
      <c r="M37" s="1305"/>
      <c r="N37" s="1305"/>
      <c r="O37" s="1305"/>
      <c r="P37" s="1305"/>
      <c r="Q37" s="1305">
        <f t="shared" si="18"/>
        <v>6480</v>
      </c>
      <c r="R37" s="1305">
        <f>-'[40]Total_Scholarship Only_byLEA'!F46</f>
        <v>-75</v>
      </c>
      <c r="S37" s="1308">
        <f t="shared" si="19"/>
        <v>6405</v>
      </c>
      <c r="T37" s="1164"/>
      <c r="U37" s="1164"/>
      <c r="V37" s="1316"/>
      <c r="W37" s="1316"/>
      <c r="X37" s="1316"/>
      <c r="Y37" s="1316"/>
      <c r="Z37" s="1316"/>
      <c r="AA37" s="1316"/>
      <c r="AB37" s="1316"/>
      <c r="AC37" s="1316"/>
      <c r="AD37" s="1317">
        <v>1</v>
      </c>
      <c r="AE37" s="1316"/>
      <c r="AF37" s="1312">
        <f t="shared" si="20"/>
        <v>6406</v>
      </c>
      <c r="AG37" s="1330"/>
      <c r="AH37" s="1331"/>
      <c r="AI37" s="1331"/>
      <c r="AJ37" s="1331"/>
      <c r="AK37" s="1332"/>
    </row>
    <row r="38" spans="1:37" ht="12.75" customHeight="1">
      <c r="A38" s="1163" t="s">
        <v>285</v>
      </c>
      <c r="B38" s="1163" t="s">
        <v>651</v>
      </c>
      <c r="C38" s="1304">
        <v>24708</v>
      </c>
      <c r="D38" s="1305"/>
      <c r="E38" s="1305"/>
      <c r="F38" s="1305"/>
      <c r="G38" s="1305"/>
      <c r="H38" s="1305"/>
      <c r="I38" s="1305"/>
      <c r="J38" s="1304">
        <v>32</v>
      </c>
      <c r="K38" s="1305"/>
      <c r="L38" s="1304">
        <v>76</v>
      </c>
      <c r="M38" s="1305"/>
      <c r="N38" s="1305"/>
      <c r="O38" s="1305"/>
      <c r="P38" s="1305"/>
      <c r="Q38" s="1305">
        <f t="shared" si="18"/>
        <v>24816</v>
      </c>
      <c r="R38" s="1305">
        <f>-'[40]Total_Scholarship Only_byLEA'!F47</f>
        <v>-1</v>
      </c>
      <c r="S38" s="1308">
        <f t="shared" si="19"/>
        <v>24815</v>
      </c>
      <c r="T38" s="1164"/>
      <c r="U38" s="1164"/>
      <c r="V38" s="1316"/>
      <c r="W38" s="1316"/>
      <c r="X38" s="1316"/>
      <c r="Y38" s="1316"/>
      <c r="Z38" s="1316"/>
      <c r="AA38" s="1316"/>
      <c r="AB38" s="1316"/>
      <c r="AC38" s="1317">
        <v>1</v>
      </c>
      <c r="AD38" s="1317">
        <v>13</v>
      </c>
      <c r="AE38" s="1317">
        <v>1</v>
      </c>
      <c r="AF38" s="1312">
        <f t="shared" si="20"/>
        <v>24830</v>
      </c>
      <c r="AG38" s="1330"/>
      <c r="AH38" s="1333"/>
      <c r="AI38" s="1331"/>
      <c r="AJ38" s="1331"/>
      <c r="AK38" s="1332"/>
    </row>
    <row r="39" spans="1:37" ht="12.75" customHeight="1">
      <c r="A39" s="1163" t="s">
        <v>652</v>
      </c>
      <c r="B39" s="1163" t="s">
        <v>653</v>
      </c>
      <c r="C39" s="1304">
        <v>1786</v>
      </c>
      <c r="D39" s="1305"/>
      <c r="E39" s="1305"/>
      <c r="F39" s="1305"/>
      <c r="G39" s="1305"/>
      <c r="H39" s="1305"/>
      <c r="I39" s="1305"/>
      <c r="J39" s="1304">
        <v>2</v>
      </c>
      <c r="K39" s="1305"/>
      <c r="L39" s="1304">
        <v>4</v>
      </c>
      <c r="M39" s="1305"/>
      <c r="N39" s="1305"/>
      <c r="O39" s="1305"/>
      <c r="P39" s="1305"/>
      <c r="Q39" s="1305">
        <f t="shared" ref="Q39:Q70" si="21">SUM(C39:P39)</f>
        <v>1792</v>
      </c>
      <c r="R39" s="1305">
        <f>-'[40]Total_Scholarship Only_byLEA'!F48</f>
        <v>0</v>
      </c>
      <c r="S39" s="1308">
        <f t="shared" ref="S39:S70" si="22">SUM(Q39:R39)</f>
        <v>1792</v>
      </c>
      <c r="T39" s="1164"/>
      <c r="U39" s="1164"/>
      <c r="V39" s="1316"/>
      <c r="W39" s="1316"/>
      <c r="X39" s="1316"/>
      <c r="Y39" s="1316"/>
      <c r="Z39" s="1317">
        <v>140</v>
      </c>
      <c r="AA39" s="1316"/>
      <c r="AB39" s="1316"/>
      <c r="AC39" s="1316"/>
      <c r="AD39" s="1316"/>
      <c r="AE39" s="1316"/>
      <c r="AF39" s="1312">
        <f t="shared" si="20"/>
        <v>1932</v>
      </c>
      <c r="AG39" s="1330"/>
      <c r="AH39" s="1331"/>
      <c r="AI39" s="1331"/>
      <c r="AJ39" s="1331"/>
      <c r="AK39" s="1332"/>
    </row>
    <row r="40" spans="1:37" ht="12.75" customHeight="1">
      <c r="A40" s="1163" t="s">
        <v>286</v>
      </c>
      <c r="B40" s="1163" t="s">
        <v>654</v>
      </c>
      <c r="C40" s="1304">
        <v>4254</v>
      </c>
      <c r="D40" s="1305"/>
      <c r="E40" s="1305"/>
      <c r="F40" s="1305"/>
      <c r="G40" s="1305"/>
      <c r="H40" s="1305"/>
      <c r="I40" s="1305"/>
      <c r="J40" s="1304">
        <v>15</v>
      </c>
      <c r="K40" s="1305"/>
      <c r="L40" s="1304">
        <v>7</v>
      </c>
      <c r="M40" s="1305"/>
      <c r="N40" s="1305"/>
      <c r="O40" s="1305"/>
      <c r="P40" s="1305"/>
      <c r="Q40" s="1305">
        <f t="shared" si="21"/>
        <v>4276</v>
      </c>
      <c r="R40" s="1305">
        <f>-'[40]Total_Scholarship Only_byLEA'!F49</f>
        <v>-4</v>
      </c>
      <c r="S40" s="1308">
        <f t="shared" si="22"/>
        <v>4272</v>
      </c>
      <c r="T40" s="1164"/>
      <c r="U40" s="1164"/>
      <c r="V40" s="1317">
        <v>8</v>
      </c>
      <c r="W40" s="1316"/>
      <c r="X40" s="1316"/>
      <c r="Y40" s="1316"/>
      <c r="Z40" s="1317">
        <v>2</v>
      </c>
      <c r="AA40" s="1316"/>
      <c r="AB40" s="1316"/>
      <c r="AC40" s="1316"/>
      <c r="AD40" s="1317">
        <v>2</v>
      </c>
      <c r="AE40" s="1316"/>
      <c r="AF40" s="1312">
        <f t="shared" si="20"/>
        <v>4284</v>
      </c>
      <c r="AG40" s="1330"/>
      <c r="AH40" s="1331"/>
      <c r="AI40" s="1331"/>
      <c r="AJ40" s="1333"/>
      <c r="AK40" s="1332"/>
    </row>
    <row r="41" spans="1:37" ht="12.75" customHeight="1">
      <c r="A41" s="1163" t="s">
        <v>287</v>
      </c>
      <c r="B41" s="1163" t="s">
        <v>655</v>
      </c>
      <c r="C41" s="1304">
        <v>6459</v>
      </c>
      <c r="D41" s="1305"/>
      <c r="E41" s="1305"/>
      <c r="F41" s="1305"/>
      <c r="G41" s="1305"/>
      <c r="H41" s="1305"/>
      <c r="I41" s="1305"/>
      <c r="J41" s="1304">
        <v>17</v>
      </c>
      <c r="K41" s="1305"/>
      <c r="L41" s="1304">
        <v>16</v>
      </c>
      <c r="M41" s="1305"/>
      <c r="N41" s="1305"/>
      <c r="O41" s="1305"/>
      <c r="P41" s="1305"/>
      <c r="Q41" s="1305">
        <f t="shared" si="21"/>
        <v>6492</v>
      </c>
      <c r="R41" s="1305">
        <f>-'[40]Total_Scholarship Only_byLEA'!F50</f>
        <v>-2</v>
      </c>
      <c r="S41" s="1308">
        <f t="shared" si="22"/>
        <v>6490</v>
      </c>
      <c r="T41" s="1164"/>
      <c r="U41" s="1164"/>
      <c r="V41" s="1316"/>
      <c r="W41" s="1316"/>
      <c r="X41" s="1316"/>
      <c r="Y41" s="1316"/>
      <c r="Z41" s="1316"/>
      <c r="AA41" s="1316"/>
      <c r="AB41" s="1316"/>
      <c r="AC41" s="1316"/>
      <c r="AD41" s="1317">
        <v>13</v>
      </c>
      <c r="AE41" s="1316"/>
      <c r="AF41" s="1312">
        <f t="shared" si="20"/>
        <v>6503</v>
      </c>
      <c r="AG41" s="1330"/>
      <c r="AH41" s="1331"/>
      <c r="AI41" s="1331"/>
      <c r="AJ41" s="1331"/>
      <c r="AK41" s="1332"/>
    </row>
    <row r="42" spans="1:37" ht="12.75" customHeight="1">
      <c r="A42" s="1163" t="s">
        <v>288</v>
      </c>
      <c r="B42" s="1163" t="s">
        <v>656</v>
      </c>
      <c r="C42" s="1304">
        <v>13385</v>
      </c>
      <c r="D42" s="1305"/>
      <c r="E42" s="1304">
        <v>25217</v>
      </c>
      <c r="F42" s="1304">
        <v>3759</v>
      </c>
      <c r="G42" s="1305"/>
      <c r="H42" s="1305"/>
      <c r="I42" s="1305"/>
      <c r="J42" s="1304">
        <v>52</v>
      </c>
      <c r="K42" s="1304">
        <v>386</v>
      </c>
      <c r="L42" s="1304">
        <v>43</v>
      </c>
      <c r="M42" s="1305"/>
      <c r="N42" s="1304">
        <v>146</v>
      </c>
      <c r="O42" s="1304">
        <v>104</v>
      </c>
      <c r="P42" s="1305"/>
      <c r="Q42" s="1305">
        <f t="shared" si="21"/>
        <v>43092</v>
      </c>
      <c r="R42" s="1305">
        <f>-'[40]Total_Scholarship Only_byLEA'!F51</f>
        <v>-2388</v>
      </c>
      <c r="S42" s="1308">
        <f t="shared" si="22"/>
        <v>40704</v>
      </c>
      <c r="T42" s="1164"/>
      <c r="U42" s="1164"/>
      <c r="V42" s="1316"/>
      <c r="W42" s="1316"/>
      <c r="X42" s="1317">
        <v>467</v>
      </c>
      <c r="Y42" s="1316"/>
      <c r="Z42" s="1316"/>
      <c r="AA42" s="1317">
        <v>191</v>
      </c>
      <c r="AB42" s="1317">
        <v>340</v>
      </c>
      <c r="AC42" s="1316"/>
      <c r="AD42" s="1317">
        <v>6</v>
      </c>
      <c r="AE42" s="1317">
        <v>52</v>
      </c>
      <c r="AF42" s="1312">
        <f t="shared" si="20"/>
        <v>41760</v>
      </c>
      <c r="AG42" s="1330"/>
      <c r="AH42" s="1333"/>
      <c r="AI42" s="1333"/>
      <c r="AJ42" s="1333"/>
      <c r="AK42" s="1332"/>
    </row>
    <row r="43" spans="1:37" ht="12.75" customHeight="1">
      <c r="A43" s="1163" t="s">
        <v>289</v>
      </c>
      <c r="B43" s="1163" t="s">
        <v>657</v>
      </c>
      <c r="C43" s="1304">
        <v>19609</v>
      </c>
      <c r="D43" s="1305"/>
      <c r="E43" s="1305"/>
      <c r="F43" s="1305"/>
      <c r="G43" s="1305"/>
      <c r="H43" s="1304">
        <v>3</v>
      </c>
      <c r="I43" s="1305"/>
      <c r="J43" s="1304">
        <v>37</v>
      </c>
      <c r="K43" s="1305"/>
      <c r="L43" s="1304">
        <v>17</v>
      </c>
      <c r="M43" s="1305"/>
      <c r="N43" s="1305"/>
      <c r="O43" s="1305"/>
      <c r="P43" s="1305"/>
      <c r="Q43" s="1305">
        <f t="shared" si="21"/>
        <v>19666</v>
      </c>
      <c r="R43" s="1305">
        <f>-'[40]Total_Scholarship Only_byLEA'!F52</f>
        <v>-44</v>
      </c>
      <c r="S43" s="1308">
        <f t="shared" si="22"/>
        <v>19622</v>
      </c>
      <c r="T43" s="1164"/>
      <c r="U43" s="1164"/>
      <c r="V43" s="1317">
        <v>122</v>
      </c>
      <c r="W43" s="1316"/>
      <c r="X43" s="1316"/>
      <c r="Y43" s="1316"/>
      <c r="Z43" s="1317">
        <v>3</v>
      </c>
      <c r="AA43" s="1316"/>
      <c r="AB43" s="1316"/>
      <c r="AC43" s="1316"/>
      <c r="AD43" s="1317">
        <v>6</v>
      </c>
      <c r="AE43" s="1316"/>
      <c r="AF43" s="1312">
        <f t="shared" si="20"/>
        <v>19753</v>
      </c>
      <c r="AG43" s="1330"/>
      <c r="AH43" s="1333"/>
      <c r="AI43" s="1333"/>
      <c r="AJ43" s="1333"/>
      <c r="AK43" s="1332"/>
    </row>
    <row r="44" spans="1:37" ht="12.75" customHeight="1">
      <c r="A44" s="1163" t="s">
        <v>290</v>
      </c>
      <c r="B44" s="1163" t="s">
        <v>658</v>
      </c>
      <c r="C44" s="1304">
        <v>3792</v>
      </c>
      <c r="D44" s="1305"/>
      <c r="E44" s="1305"/>
      <c r="F44" s="1305"/>
      <c r="G44" s="1305"/>
      <c r="H44" s="1305"/>
      <c r="I44" s="1305"/>
      <c r="J44" s="1304">
        <v>2</v>
      </c>
      <c r="K44" s="1305"/>
      <c r="L44" s="1304">
        <v>6</v>
      </c>
      <c r="M44" s="1305"/>
      <c r="N44" s="1304">
        <v>3</v>
      </c>
      <c r="O44" s="1304">
        <v>8</v>
      </c>
      <c r="P44" s="1305"/>
      <c r="Q44" s="1305">
        <f t="shared" si="21"/>
        <v>3811</v>
      </c>
      <c r="R44" s="1305">
        <f>-'[40]Total_Scholarship Only_byLEA'!F53</f>
        <v>-1</v>
      </c>
      <c r="S44" s="1308">
        <f t="shared" si="22"/>
        <v>3810</v>
      </c>
      <c r="T44" s="1164"/>
      <c r="U44" s="1164"/>
      <c r="V44" s="1316"/>
      <c r="W44" s="1316"/>
      <c r="X44" s="1317">
        <v>1</v>
      </c>
      <c r="Y44" s="1316"/>
      <c r="Z44" s="1316"/>
      <c r="AA44" s="1317">
        <v>484</v>
      </c>
      <c r="AB44" s="1316"/>
      <c r="AC44" s="1316"/>
      <c r="AD44" s="1317">
        <v>2</v>
      </c>
      <c r="AE44" s="1317">
        <v>1</v>
      </c>
      <c r="AF44" s="1312">
        <f t="shared" si="20"/>
        <v>4298</v>
      </c>
      <c r="AG44" s="1330"/>
      <c r="AH44" s="1331"/>
      <c r="AI44" s="1331"/>
      <c r="AJ44" s="1331"/>
      <c r="AK44" s="1332"/>
    </row>
    <row r="45" spans="1:37" ht="12.75" customHeight="1">
      <c r="A45" s="1163" t="s">
        <v>291</v>
      </c>
      <c r="B45" s="1163" t="s">
        <v>659</v>
      </c>
      <c r="C45" s="1304">
        <v>2629</v>
      </c>
      <c r="D45" s="1305"/>
      <c r="E45" s="1305"/>
      <c r="F45" s="1304">
        <v>231</v>
      </c>
      <c r="G45" s="1305"/>
      <c r="H45" s="1305"/>
      <c r="I45" s="1305"/>
      <c r="J45" s="1304">
        <v>3</v>
      </c>
      <c r="K45" s="1305"/>
      <c r="L45" s="1304">
        <v>5</v>
      </c>
      <c r="M45" s="1305"/>
      <c r="N45" s="1305"/>
      <c r="O45" s="1305"/>
      <c r="P45" s="1305"/>
      <c r="Q45" s="1305">
        <f t="shared" si="21"/>
        <v>2868</v>
      </c>
      <c r="R45" s="1305">
        <f>-'[40]Total_Scholarship Only_byLEA'!F54</f>
        <v>-29</v>
      </c>
      <c r="S45" s="1308">
        <f t="shared" si="22"/>
        <v>2839</v>
      </c>
      <c r="T45" s="1164"/>
      <c r="U45" s="1164"/>
      <c r="V45" s="1316"/>
      <c r="W45" s="1316"/>
      <c r="X45" s="1316"/>
      <c r="Y45" s="1317">
        <v>1</v>
      </c>
      <c r="Z45" s="1316"/>
      <c r="AA45" s="1316"/>
      <c r="AB45" s="1316"/>
      <c r="AC45" s="1316"/>
      <c r="AD45" s="1317">
        <v>6</v>
      </c>
      <c r="AE45" s="1316"/>
      <c r="AF45" s="1312">
        <f t="shared" si="20"/>
        <v>2846</v>
      </c>
      <c r="AG45" s="1330"/>
      <c r="AH45" s="1333"/>
      <c r="AI45" s="1331"/>
      <c r="AJ45" s="1333"/>
      <c r="AK45" s="1332"/>
    </row>
    <row r="46" spans="1:37" ht="12.75" customHeight="1">
      <c r="A46" s="1163" t="s">
        <v>292</v>
      </c>
      <c r="B46" s="1163" t="s">
        <v>660</v>
      </c>
      <c r="C46" s="1304">
        <v>22990</v>
      </c>
      <c r="D46" s="1305"/>
      <c r="E46" s="1305"/>
      <c r="F46" s="1305"/>
      <c r="G46" s="1305"/>
      <c r="H46" s="1305"/>
      <c r="I46" s="1305"/>
      <c r="J46" s="1304">
        <v>32</v>
      </c>
      <c r="K46" s="1305"/>
      <c r="L46" s="1304">
        <v>27</v>
      </c>
      <c r="M46" s="1305"/>
      <c r="N46" s="1305"/>
      <c r="O46" s="1305"/>
      <c r="P46" s="1305"/>
      <c r="Q46" s="1305">
        <f t="shared" si="21"/>
        <v>23049</v>
      </c>
      <c r="R46" s="1305">
        <f>-'[40]Total_Scholarship Only_byLEA'!F55</f>
        <v>-74</v>
      </c>
      <c r="S46" s="1308">
        <f t="shared" si="22"/>
        <v>22975</v>
      </c>
      <c r="T46" s="1164"/>
      <c r="U46" s="1164"/>
      <c r="V46" s="1316"/>
      <c r="W46" s="1316"/>
      <c r="X46" s="1316"/>
      <c r="Y46" s="1317">
        <v>4</v>
      </c>
      <c r="Z46" s="1316"/>
      <c r="AA46" s="1316"/>
      <c r="AB46" s="1316"/>
      <c r="AC46" s="1316"/>
      <c r="AD46" s="1317">
        <v>8</v>
      </c>
      <c r="AE46" s="1316"/>
      <c r="AF46" s="1312">
        <f t="shared" si="20"/>
        <v>22987</v>
      </c>
      <c r="AG46" s="1334"/>
      <c r="AH46" s="1331"/>
      <c r="AI46" s="1333"/>
      <c r="AJ46" s="1333"/>
      <c r="AK46" s="1332"/>
    </row>
    <row r="47" spans="1:37" ht="12.75" customHeight="1">
      <c r="A47" s="1163" t="s">
        <v>661</v>
      </c>
      <c r="B47" s="1163" t="s">
        <v>662</v>
      </c>
      <c r="C47" s="1304">
        <v>1409</v>
      </c>
      <c r="D47" s="1305"/>
      <c r="E47" s="1305"/>
      <c r="F47" s="1305"/>
      <c r="G47" s="1305"/>
      <c r="H47" s="1305"/>
      <c r="I47" s="1305"/>
      <c r="J47" s="1304">
        <v>1</v>
      </c>
      <c r="K47" s="1305"/>
      <c r="L47" s="1304">
        <v>1</v>
      </c>
      <c r="M47" s="1305"/>
      <c r="N47" s="1305"/>
      <c r="O47" s="1305"/>
      <c r="P47" s="1305"/>
      <c r="Q47" s="1305">
        <f t="shared" si="21"/>
        <v>1411</v>
      </c>
      <c r="R47" s="1305">
        <f>-'[40]Total_Scholarship Only_byLEA'!F56</f>
        <v>0</v>
      </c>
      <c r="S47" s="1308">
        <f t="shared" si="22"/>
        <v>1411</v>
      </c>
      <c r="T47" s="1164"/>
      <c r="U47" s="1164"/>
      <c r="V47" s="1316"/>
      <c r="W47" s="1316"/>
      <c r="X47" s="1316"/>
      <c r="Y47" s="1316"/>
      <c r="Z47" s="1316"/>
      <c r="AA47" s="1316"/>
      <c r="AB47" s="1316"/>
      <c r="AC47" s="1316"/>
      <c r="AD47" s="1316"/>
      <c r="AE47" s="1316"/>
      <c r="AF47" s="1312">
        <f t="shared" si="20"/>
        <v>1411</v>
      </c>
      <c r="AG47" s="1330"/>
      <c r="AH47" s="1331"/>
      <c r="AI47" s="1331"/>
      <c r="AJ47" s="1331"/>
      <c r="AK47" s="1332"/>
    </row>
    <row r="48" spans="1:37" ht="12.75" customHeight="1">
      <c r="A48" s="1163" t="s">
        <v>293</v>
      </c>
      <c r="B48" s="1163" t="s">
        <v>663</v>
      </c>
      <c r="C48" s="1304">
        <v>3436</v>
      </c>
      <c r="D48" s="1305"/>
      <c r="E48" s="1305"/>
      <c r="F48" s="1305"/>
      <c r="G48" s="1305"/>
      <c r="H48" s="1305"/>
      <c r="I48" s="1305"/>
      <c r="J48" s="1304">
        <v>7</v>
      </c>
      <c r="K48" s="1305"/>
      <c r="L48" s="1304">
        <v>5</v>
      </c>
      <c r="M48" s="1305"/>
      <c r="N48" s="1305"/>
      <c r="O48" s="1305"/>
      <c r="P48" s="1305"/>
      <c r="Q48" s="1305">
        <f t="shared" si="21"/>
        <v>3448</v>
      </c>
      <c r="R48" s="1305">
        <f>-'[40]Total_Scholarship Only_byLEA'!F57</f>
        <v>-6</v>
      </c>
      <c r="S48" s="1308">
        <f t="shared" si="22"/>
        <v>3442</v>
      </c>
      <c r="T48" s="1164"/>
      <c r="U48" s="1164"/>
      <c r="V48" s="1317">
        <v>5</v>
      </c>
      <c r="W48" s="1316"/>
      <c r="X48" s="1316"/>
      <c r="Y48" s="1316"/>
      <c r="Z48" s="1317">
        <v>415</v>
      </c>
      <c r="AA48" s="1316"/>
      <c r="AB48" s="1316"/>
      <c r="AC48" s="1316"/>
      <c r="AD48" s="1316"/>
      <c r="AE48" s="1316"/>
      <c r="AF48" s="1312">
        <f t="shared" si="20"/>
        <v>3862</v>
      </c>
      <c r="AG48" s="1330"/>
      <c r="AH48" s="1331"/>
      <c r="AI48" s="1331"/>
      <c r="AJ48" s="1333"/>
      <c r="AK48" s="1332"/>
    </row>
    <row r="49" spans="1:37" ht="12.75" customHeight="1">
      <c r="A49" s="1163" t="s">
        <v>664</v>
      </c>
      <c r="B49" s="1163" t="s">
        <v>665</v>
      </c>
      <c r="C49" s="1304">
        <v>4011</v>
      </c>
      <c r="D49" s="1305"/>
      <c r="E49" s="1305"/>
      <c r="F49" s="1305"/>
      <c r="G49" s="1305"/>
      <c r="H49" s="1305"/>
      <c r="I49" s="1305"/>
      <c r="J49" s="1304">
        <v>6</v>
      </c>
      <c r="K49" s="1305"/>
      <c r="L49" s="1304">
        <v>6</v>
      </c>
      <c r="M49" s="1305"/>
      <c r="N49" s="1305"/>
      <c r="O49" s="1305"/>
      <c r="P49" s="1305"/>
      <c r="Q49" s="1305">
        <f t="shared" si="21"/>
        <v>4023</v>
      </c>
      <c r="R49" s="1305">
        <f>-'[40]Total_Scholarship Only_byLEA'!F58</f>
        <v>0</v>
      </c>
      <c r="S49" s="1308">
        <f t="shared" si="22"/>
        <v>4023</v>
      </c>
      <c r="T49" s="1164"/>
      <c r="U49" s="1164"/>
      <c r="V49" s="1316"/>
      <c r="W49" s="1316"/>
      <c r="X49" s="1316"/>
      <c r="Y49" s="1316"/>
      <c r="Z49" s="1316"/>
      <c r="AA49" s="1316"/>
      <c r="AB49" s="1316"/>
      <c r="AC49" s="1316"/>
      <c r="AD49" s="1317">
        <v>5</v>
      </c>
      <c r="AE49" s="1316"/>
      <c r="AF49" s="1312">
        <f t="shared" si="20"/>
        <v>4028</v>
      </c>
      <c r="AG49" s="1330"/>
      <c r="AH49" s="1331"/>
      <c r="AI49" s="1331"/>
      <c r="AJ49" s="1331"/>
      <c r="AK49" s="1332"/>
    </row>
    <row r="50" spans="1:37" ht="12.75" customHeight="1">
      <c r="A50" s="1163" t="s">
        <v>294</v>
      </c>
      <c r="B50" s="1163" t="s">
        <v>666</v>
      </c>
      <c r="C50" s="1304">
        <v>6379</v>
      </c>
      <c r="D50" s="1305"/>
      <c r="E50" s="1305"/>
      <c r="F50" s="1305"/>
      <c r="G50" s="1305"/>
      <c r="H50" s="1305"/>
      <c r="I50" s="1305"/>
      <c r="J50" s="1304">
        <v>3</v>
      </c>
      <c r="K50" s="1304">
        <v>4</v>
      </c>
      <c r="L50" s="1304">
        <v>9</v>
      </c>
      <c r="M50" s="1305"/>
      <c r="N50" s="1304">
        <v>2</v>
      </c>
      <c r="O50" s="1304">
        <v>2</v>
      </c>
      <c r="P50" s="1305"/>
      <c r="Q50" s="1305">
        <f t="shared" si="21"/>
        <v>6399</v>
      </c>
      <c r="R50" s="1305">
        <f>-'[40]Total_Scholarship Only_byLEA'!F59</f>
        <v>-19</v>
      </c>
      <c r="S50" s="1308">
        <f t="shared" si="22"/>
        <v>6380</v>
      </c>
      <c r="T50" s="1164"/>
      <c r="U50" s="1164"/>
      <c r="V50" s="1316"/>
      <c r="W50" s="1316"/>
      <c r="X50" s="1317">
        <v>14</v>
      </c>
      <c r="Y50" s="1316"/>
      <c r="Z50" s="1316"/>
      <c r="AA50" s="1317">
        <v>3</v>
      </c>
      <c r="AB50" s="1317">
        <v>1</v>
      </c>
      <c r="AC50" s="1316"/>
      <c r="AD50" s="1317">
        <v>2</v>
      </c>
      <c r="AE50" s="1317">
        <v>3</v>
      </c>
      <c r="AF50" s="1312">
        <f t="shared" si="20"/>
        <v>6403</v>
      </c>
      <c r="AG50" s="1330"/>
      <c r="AH50" s="1331"/>
      <c r="AI50" s="1331"/>
      <c r="AJ50" s="1331"/>
      <c r="AK50" s="1332"/>
    </row>
    <row r="51" spans="1:37" ht="12.75" customHeight="1">
      <c r="A51" s="1163" t="s">
        <v>295</v>
      </c>
      <c r="B51" s="1163" t="s">
        <v>667</v>
      </c>
      <c r="C51" s="1304">
        <v>9474</v>
      </c>
      <c r="D51" s="1305"/>
      <c r="E51" s="1305"/>
      <c r="F51" s="1305"/>
      <c r="G51" s="1305"/>
      <c r="H51" s="1305"/>
      <c r="I51" s="1305"/>
      <c r="J51" s="1304">
        <v>2</v>
      </c>
      <c r="K51" s="1304">
        <v>2</v>
      </c>
      <c r="L51" s="1304">
        <v>19</v>
      </c>
      <c r="M51" s="1305"/>
      <c r="N51" s="1304">
        <v>1</v>
      </c>
      <c r="O51" s="1305"/>
      <c r="P51" s="1305"/>
      <c r="Q51" s="1305">
        <f t="shared" si="21"/>
        <v>9498</v>
      </c>
      <c r="R51" s="1305">
        <f>-'[40]Total_Scholarship Only_byLEA'!F60</f>
        <v>-20</v>
      </c>
      <c r="S51" s="1308">
        <f t="shared" si="22"/>
        <v>9478</v>
      </c>
      <c r="T51" s="1164"/>
      <c r="U51" s="1164"/>
      <c r="V51" s="1316"/>
      <c r="W51" s="1316"/>
      <c r="X51" s="1317">
        <v>5</v>
      </c>
      <c r="Y51" s="1316"/>
      <c r="Z51" s="1316"/>
      <c r="AA51" s="1317">
        <v>1</v>
      </c>
      <c r="AB51" s="1316"/>
      <c r="AC51" s="1317">
        <v>2</v>
      </c>
      <c r="AD51" s="1317">
        <v>5</v>
      </c>
      <c r="AE51" s="1317">
        <v>5</v>
      </c>
      <c r="AF51" s="1312">
        <f t="shared" si="20"/>
        <v>9496</v>
      </c>
      <c r="AG51" s="1330"/>
      <c r="AH51" s="1333"/>
      <c r="AI51" s="1331"/>
      <c r="AJ51" s="1331"/>
      <c r="AK51" s="1332"/>
    </row>
    <row r="52" spans="1:37" ht="12.75" customHeight="1">
      <c r="A52" s="1163" t="s">
        <v>296</v>
      </c>
      <c r="B52" s="1163" t="s">
        <v>668</v>
      </c>
      <c r="C52" s="1304">
        <v>746</v>
      </c>
      <c r="D52" s="1305"/>
      <c r="E52" s="1305"/>
      <c r="F52" s="1304">
        <v>316</v>
      </c>
      <c r="G52" s="1305"/>
      <c r="H52" s="1305"/>
      <c r="I52" s="1305"/>
      <c r="J52" s="1304">
        <v>9</v>
      </c>
      <c r="K52" s="1305"/>
      <c r="L52" s="1304">
        <v>5</v>
      </c>
      <c r="M52" s="1305"/>
      <c r="N52" s="1305"/>
      <c r="O52" s="1305"/>
      <c r="P52" s="1305"/>
      <c r="Q52" s="1305">
        <f t="shared" si="21"/>
        <v>1076</v>
      </c>
      <c r="R52" s="1305">
        <f>-'[40]Total_Scholarship Only_byLEA'!F61</f>
        <v>0</v>
      </c>
      <c r="S52" s="1308">
        <f t="shared" si="22"/>
        <v>1076</v>
      </c>
      <c r="T52" s="1164"/>
      <c r="U52" s="1164"/>
      <c r="V52" s="1316"/>
      <c r="W52" s="1316"/>
      <c r="X52" s="1316"/>
      <c r="Y52" s="1316"/>
      <c r="Z52" s="1316"/>
      <c r="AA52" s="1316"/>
      <c r="AB52" s="1316"/>
      <c r="AC52" s="1316"/>
      <c r="AD52" s="1316"/>
      <c r="AE52" s="1316"/>
      <c r="AF52" s="1312">
        <f t="shared" si="20"/>
        <v>1076</v>
      </c>
      <c r="AG52" s="1330"/>
      <c r="AH52" s="1331"/>
      <c r="AI52" s="1331"/>
      <c r="AJ52" s="1331"/>
      <c r="AK52" s="1332"/>
    </row>
    <row r="53" spans="1:37" ht="12.75" customHeight="1">
      <c r="A53" s="1163" t="s">
        <v>297</v>
      </c>
      <c r="B53" s="1163" t="s">
        <v>669</v>
      </c>
      <c r="C53" s="1304">
        <v>3624</v>
      </c>
      <c r="D53" s="1305"/>
      <c r="E53" s="1305"/>
      <c r="F53" s="1305"/>
      <c r="G53" s="1305"/>
      <c r="H53" s="1305"/>
      <c r="I53" s="1305"/>
      <c r="J53" s="1304">
        <v>2</v>
      </c>
      <c r="K53" s="1305"/>
      <c r="L53" s="1304">
        <v>1</v>
      </c>
      <c r="M53" s="1305"/>
      <c r="N53" s="1305"/>
      <c r="O53" s="1305"/>
      <c r="P53" s="1305"/>
      <c r="Q53" s="1305">
        <f t="shared" si="21"/>
        <v>3627</v>
      </c>
      <c r="R53" s="1305">
        <f>-'[40]Total_Scholarship Only_byLEA'!F62</f>
        <v>-6</v>
      </c>
      <c r="S53" s="1308">
        <f t="shared" si="22"/>
        <v>3621</v>
      </c>
      <c r="T53" s="1164"/>
      <c r="U53" s="1164"/>
      <c r="V53" s="1316"/>
      <c r="W53" s="1316"/>
      <c r="X53" s="1316"/>
      <c r="Y53" s="1316"/>
      <c r="Z53" s="1316"/>
      <c r="AA53" s="1316"/>
      <c r="AB53" s="1316"/>
      <c r="AC53" s="1317">
        <v>3</v>
      </c>
      <c r="AD53" s="1317">
        <v>3</v>
      </c>
      <c r="AE53" s="1316"/>
      <c r="AF53" s="1312">
        <f t="shared" si="20"/>
        <v>3627</v>
      </c>
      <c r="AG53" s="1330"/>
      <c r="AH53" s="1331"/>
      <c r="AI53" s="1331"/>
      <c r="AJ53" s="1331"/>
      <c r="AK53" s="1332"/>
    </row>
    <row r="54" spans="1:37" ht="12.75" customHeight="1">
      <c r="A54" s="1163" t="s">
        <v>298</v>
      </c>
      <c r="B54" s="1163" t="s">
        <v>670</v>
      </c>
      <c r="C54" s="1304">
        <v>5961</v>
      </c>
      <c r="D54" s="1305"/>
      <c r="E54" s="1305"/>
      <c r="F54" s="1305"/>
      <c r="G54" s="1305"/>
      <c r="H54" s="1305"/>
      <c r="I54" s="1305"/>
      <c r="J54" s="1304">
        <v>29</v>
      </c>
      <c r="K54" s="1304">
        <v>2</v>
      </c>
      <c r="L54" s="1304">
        <v>18</v>
      </c>
      <c r="M54" s="1305"/>
      <c r="N54" s="1305"/>
      <c r="O54" s="1305"/>
      <c r="P54" s="1305"/>
      <c r="Q54" s="1305">
        <f t="shared" si="21"/>
        <v>6010</v>
      </c>
      <c r="R54" s="1305">
        <f>-'[40]Total_Scholarship Only_byLEA'!F63</f>
        <v>-206</v>
      </c>
      <c r="S54" s="1308">
        <f t="shared" si="22"/>
        <v>5804</v>
      </c>
      <c r="T54" s="1164"/>
      <c r="U54" s="1164"/>
      <c r="V54" s="1316"/>
      <c r="W54" s="1316"/>
      <c r="X54" s="1317">
        <v>7</v>
      </c>
      <c r="Y54" s="1316"/>
      <c r="Z54" s="1316"/>
      <c r="AA54" s="1316"/>
      <c r="AB54" s="1316"/>
      <c r="AC54" s="1316"/>
      <c r="AD54" s="1317">
        <v>2</v>
      </c>
      <c r="AE54" s="1317">
        <v>1</v>
      </c>
      <c r="AF54" s="1312">
        <f t="shared" si="20"/>
        <v>5814</v>
      </c>
      <c r="AG54" s="1330"/>
      <c r="AH54" s="1331"/>
      <c r="AI54" s="1333"/>
      <c r="AJ54" s="1331"/>
      <c r="AK54" s="1332"/>
    </row>
    <row r="55" spans="1:37" ht="12.75" customHeight="1">
      <c r="A55" s="1163" t="s">
        <v>299</v>
      </c>
      <c r="B55" s="1163" t="s">
        <v>671</v>
      </c>
      <c r="C55" s="1304">
        <v>14311</v>
      </c>
      <c r="D55" s="1305"/>
      <c r="E55" s="1305"/>
      <c r="F55" s="1305"/>
      <c r="G55" s="1305"/>
      <c r="H55" s="1305"/>
      <c r="I55" s="1305"/>
      <c r="J55" s="1304">
        <v>47</v>
      </c>
      <c r="K55" s="1305"/>
      <c r="L55" s="1304">
        <v>32</v>
      </c>
      <c r="M55" s="1305"/>
      <c r="N55" s="1305"/>
      <c r="O55" s="1305"/>
      <c r="P55" s="1304">
        <v>167</v>
      </c>
      <c r="Q55" s="1304">
        <f t="shared" si="21"/>
        <v>14557</v>
      </c>
      <c r="R55" s="1304">
        <f>-'[40]Total_Scholarship Only_byLEA'!F64</f>
        <v>-63</v>
      </c>
      <c r="S55" s="1309">
        <f t="shared" si="22"/>
        <v>14494</v>
      </c>
      <c r="T55" s="1164"/>
      <c r="U55" s="1164"/>
      <c r="V55" s="1316"/>
      <c r="W55" s="1316"/>
      <c r="X55" s="1316"/>
      <c r="Y55" s="1317">
        <v>2</v>
      </c>
      <c r="Z55" s="1316"/>
      <c r="AA55" s="1316"/>
      <c r="AB55" s="1316"/>
      <c r="AC55" s="1316"/>
      <c r="AD55" s="1317">
        <v>5</v>
      </c>
      <c r="AE55" s="1316"/>
      <c r="AF55" s="1312">
        <f t="shared" si="20"/>
        <v>14501</v>
      </c>
      <c r="AG55" s="1330"/>
      <c r="AH55" s="1333"/>
      <c r="AI55" s="1333"/>
      <c r="AJ55" s="1333"/>
      <c r="AK55" s="1332"/>
    </row>
    <row r="56" spans="1:37" ht="12.75" customHeight="1">
      <c r="A56" s="1163" t="s">
        <v>300</v>
      </c>
      <c r="B56" s="1163" t="s">
        <v>672</v>
      </c>
      <c r="C56" s="1304">
        <v>7891</v>
      </c>
      <c r="D56" s="1305"/>
      <c r="E56" s="1305"/>
      <c r="F56" s="1305"/>
      <c r="G56" s="1305"/>
      <c r="H56" s="1305"/>
      <c r="I56" s="1305"/>
      <c r="J56" s="1304">
        <v>10</v>
      </c>
      <c r="K56" s="1305"/>
      <c r="L56" s="1304">
        <v>11</v>
      </c>
      <c r="M56" s="1305"/>
      <c r="N56" s="1305"/>
      <c r="O56" s="1305"/>
      <c r="P56" s="1305"/>
      <c r="Q56" s="1305">
        <f t="shared" si="21"/>
        <v>7912</v>
      </c>
      <c r="R56" s="1305">
        <f>-'[40]Total_Scholarship Only_byLEA'!F65</f>
        <v>-25</v>
      </c>
      <c r="S56" s="1308">
        <f t="shared" si="22"/>
        <v>7887</v>
      </c>
      <c r="T56" s="1164"/>
      <c r="U56" s="1164"/>
      <c r="V56" s="1316"/>
      <c r="W56" s="1316"/>
      <c r="X56" s="1316"/>
      <c r="Y56" s="1316"/>
      <c r="Z56" s="1316"/>
      <c r="AA56" s="1316"/>
      <c r="AB56" s="1316"/>
      <c r="AC56" s="1316"/>
      <c r="AD56" s="1317">
        <v>4</v>
      </c>
      <c r="AE56" s="1316"/>
      <c r="AF56" s="1312">
        <f t="shared" si="20"/>
        <v>7891</v>
      </c>
      <c r="AG56" s="1330"/>
      <c r="AH56" s="1331"/>
      <c r="AI56" s="1333"/>
      <c r="AJ56" s="1331"/>
      <c r="AK56" s="1332"/>
    </row>
    <row r="57" spans="1:37" ht="12.75" customHeight="1">
      <c r="A57" s="1163" t="s">
        <v>301</v>
      </c>
      <c r="B57" s="1163" t="s">
        <v>673</v>
      </c>
      <c r="C57" s="1304">
        <v>8999</v>
      </c>
      <c r="D57" s="1305"/>
      <c r="E57" s="1305"/>
      <c r="F57" s="1305"/>
      <c r="G57" s="1305"/>
      <c r="H57" s="1305"/>
      <c r="I57" s="1305"/>
      <c r="J57" s="1304">
        <v>1</v>
      </c>
      <c r="K57" s="1305"/>
      <c r="L57" s="1304">
        <v>1</v>
      </c>
      <c r="M57" s="1305"/>
      <c r="N57" s="1305"/>
      <c r="O57" s="1305"/>
      <c r="P57" s="1305"/>
      <c r="Q57" s="1305">
        <f t="shared" si="21"/>
        <v>9001</v>
      </c>
      <c r="R57" s="1305">
        <f>-'[40]Total_Scholarship Only_byLEA'!F66</f>
        <v>-4</v>
      </c>
      <c r="S57" s="1308">
        <f t="shared" si="22"/>
        <v>8997</v>
      </c>
      <c r="T57" s="1164"/>
      <c r="U57" s="1164"/>
      <c r="V57" s="1316"/>
      <c r="W57" s="1317">
        <v>287</v>
      </c>
      <c r="X57" s="1316"/>
      <c r="Y57" s="1316"/>
      <c r="Z57" s="1316"/>
      <c r="AA57" s="1316"/>
      <c r="AB57" s="1316"/>
      <c r="AC57" s="1317">
        <v>2</v>
      </c>
      <c r="AD57" s="1317">
        <v>3</v>
      </c>
      <c r="AE57" s="1316"/>
      <c r="AF57" s="1312">
        <f t="shared" si="20"/>
        <v>9289</v>
      </c>
      <c r="AG57" s="1330"/>
      <c r="AH57" s="1331"/>
      <c r="AI57" s="1333"/>
      <c r="AJ57" s="1331"/>
      <c r="AK57" s="1332"/>
    </row>
    <row r="58" spans="1:37" ht="12.75" customHeight="1">
      <c r="A58" s="1163" t="s">
        <v>302</v>
      </c>
      <c r="B58" s="1163" t="s">
        <v>674</v>
      </c>
      <c r="C58" s="1304">
        <v>36940</v>
      </c>
      <c r="D58" s="1305"/>
      <c r="E58" s="1305"/>
      <c r="F58" s="1305"/>
      <c r="G58" s="1305"/>
      <c r="H58" s="1305"/>
      <c r="I58" s="1305"/>
      <c r="J58" s="1304">
        <v>68</v>
      </c>
      <c r="K58" s="1304">
        <v>3</v>
      </c>
      <c r="L58" s="1304">
        <v>107</v>
      </c>
      <c r="M58" s="1305"/>
      <c r="N58" s="1304">
        <v>1</v>
      </c>
      <c r="O58" s="1305"/>
      <c r="P58" s="1305"/>
      <c r="Q58" s="1305">
        <f t="shared" si="21"/>
        <v>37119</v>
      </c>
      <c r="R58" s="1305">
        <f>-'[40]Total_Scholarship Only_byLEA'!F67</f>
        <v>-41</v>
      </c>
      <c r="S58" s="1308">
        <f t="shared" si="22"/>
        <v>37078</v>
      </c>
      <c r="T58" s="1164"/>
      <c r="U58" s="1164"/>
      <c r="V58" s="1316"/>
      <c r="W58" s="1316"/>
      <c r="X58" s="1317">
        <v>12</v>
      </c>
      <c r="Y58" s="1316"/>
      <c r="Z58" s="1316"/>
      <c r="AA58" s="1317">
        <v>3</v>
      </c>
      <c r="AB58" s="1316"/>
      <c r="AC58" s="1316"/>
      <c r="AD58" s="1317">
        <v>18</v>
      </c>
      <c r="AE58" s="1317">
        <v>14</v>
      </c>
      <c r="AF58" s="1312">
        <f t="shared" si="20"/>
        <v>37125</v>
      </c>
      <c r="AG58" s="1330"/>
      <c r="AH58" s="1331"/>
      <c r="AI58" s="1333"/>
      <c r="AJ58" s="1331"/>
      <c r="AK58" s="1332"/>
    </row>
    <row r="59" spans="1:37" ht="12.75" customHeight="1">
      <c r="A59" s="1163" t="s">
        <v>303</v>
      </c>
      <c r="B59" s="1163" t="s">
        <v>675</v>
      </c>
      <c r="C59" s="1304">
        <v>19088</v>
      </c>
      <c r="D59" s="1305"/>
      <c r="E59" s="1305"/>
      <c r="F59" s="1305"/>
      <c r="G59" s="1305"/>
      <c r="H59" s="1305"/>
      <c r="I59" s="1305"/>
      <c r="J59" s="1304">
        <v>51</v>
      </c>
      <c r="K59" s="1305"/>
      <c r="L59" s="1304">
        <v>55</v>
      </c>
      <c r="M59" s="1305"/>
      <c r="N59" s="1305"/>
      <c r="O59" s="1305"/>
      <c r="P59" s="1305"/>
      <c r="Q59" s="1305">
        <f t="shared" si="21"/>
        <v>19194</v>
      </c>
      <c r="R59" s="1305">
        <f>-'[40]Total_Scholarship Only_byLEA'!F68</f>
        <v>-49</v>
      </c>
      <c r="S59" s="1308">
        <f t="shared" si="22"/>
        <v>19145</v>
      </c>
      <c r="T59" s="1164"/>
      <c r="U59" s="1164"/>
      <c r="V59" s="1316"/>
      <c r="W59" s="1316"/>
      <c r="X59" s="1316"/>
      <c r="Y59" s="1316"/>
      <c r="Z59" s="1316"/>
      <c r="AA59" s="1316"/>
      <c r="AB59" s="1316"/>
      <c r="AC59" s="1316"/>
      <c r="AD59" s="1317">
        <v>7</v>
      </c>
      <c r="AE59" s="1317">
        <v>1</v>
      </c>
      <c r="AF59" s="1312">
        <f t="shared" si="20"/>
        <v>19153</v>
      </c>
      <c r="AG59" s="1330"/>
      <c r="AH59" s="1333"/>
      <c r="AI59" s="1331"/>
      <c r="AJ59" s="1331"/>
      <c r="AK59" s="1332"/>
    </row>
    <row r="60" spans="1:37" ht="12.75" customHeight="1">
      <c r="A60" s="1163" t="s">
        <v>676</v>
      </c>
      <c r="B60" s="1163" t="s">
        <v>677</v>
      </c>
      <c r="C60" s="1304">
        <v>677</v>
      </c>
      <c r="D60" s="1305"/>
      <c r="E60" s="1305"/>
      <c r="F60" s="1305"/>
      <c r="G60" s="1305"/>
      <c r="H60" s="1305"/>
      <c r="I60" s="1305"/>
      <c r="J60" s="1305"/>
      <c r="K60" s="1305"/>
      <c r="L60" s="1304">
        <v>5</v>
      </c>
      <c r="M60" s="1305"/>
      <c r="N60" s="1305"/>
      <c r="O60" s="1305"/>
      <c r="P60" s="1305"/>
      <c r="Q60" s="1305">
        <f t="shared" si="21"/>
        <v>682</v>
      </c>
      <c r="R60" s="1305">
        <f>-'[40]Total_Scholarship Only_byLEA'!F69</f>
        <v>0</v>
      </c>
      <c r="S60" s="1308">
        <f t="shared" si="22"/>
        <v>682</v>
      </c>
      <c r="T60" s="1164"/>
      <c r="U60" s="1164"/>
      <c r="V60" s="1316"/>
      <c r="W60" s="1316"/>
      <c r="X60" s="1316"/>
      <c r="Y60" s="1316"/>
      <c r="Z60" s="1317">
        <v>3</v>
      </c>
      <c r="AA60" s="1316"/>
      <c r="AB60" s="1316"/>
      <c r="AC60" s="1316"/>
      <c r="AD60" s="1316"/>
      <c r="AE60" s="1316"/>
      <c r="AF60" s="1312">
        <f t="shared" si="20"/>
        <v>685</v>
      </c>
      <c r="AG60" s="1330"/>
      <c r="AH60" s="1331"/>
      <c r="AI60" s="1331"/>
      <c r="AJ60" s="1333"/>
      <c r="AK60" s="1332"/>
    </row>
    <row r="61" spans="1:37" ht="12.75" customHeight="1">
      <c r="A61" s="1163" t="s">
        <v>304</v>
      </c>
      <c r="B61" s="1163" t="s">
        <v>678</v>
      </c>
      <c r="C61" s="1304">
        <v>17716</v>
      </c>
      <c r="D61" s="1305"/>
      <c r="E61" s="1305"/>
      <c r="F61" s="1305"/>
      <c r="G61" s="1305"/>
      <c r="H61" s="1305"/>
      <c r="I61" s="1305"/>
      <c r="J61" s="1304">
        <v>21</v>
      </c>
      <c r="K61" s="1305"/>
      <c r="L61" s="1304">
        <v>39</v>
      </c>
      <c r="M61" s="1305"/>
      <c r="N61" s="1305"/>
      <c r="O61" s="1305"/>
      <c r="P61" s="1305"/>
      <c r="Q61" s="1305">
        <f t="shared" si="21"/>
        <v>17776</v>
      </c>
      <c r="R61" s="1305">
        <f>-'[40]Total_Scholarship Only_byLEA'!F70</f>
        <v>-20</v>
      </c>
      <c r="S61" s="1308">
        <f t="shared" si="22"/>
        <v>17756</v>
      </c>
      <c r="T61" s="1164"/>
      <c r="U61" s="1164"/>
      <c r="V61" s="1316"/>
      <c r="W61" s="1316"/>
      <c r="X61" s="1316"/>
      <c r="Y61" s="1316"/>
      <c r="Z61" s="1316"/>
      <c r="AA61" s="1316"/>
      <c r="AB61" s="1316"/>
      <c r="AC61" s="1317">
        <v>43</v>
      </c>
      <c r="AD61" s="1317">
        <v>11</v>
      </c>
      <c r="AE61" s="1317">
        <v>1</v>
      </c>
      <c r="AF61" s="1312">
        <f t="shared" si="20"/>
        <v>17811</v>
      </c>
      <c r="AG61" s="1330"/>
      <c r="AH61" s="1333"/>
      <c r="AI61" s="1333"/>
      <c r="AJ61" s="1333"/>
      <c r="AK61" s="1332"/>
    </row>
    <row r="62" spans="1:37" ht="12.75" customHeight="1">
      <c r="A62" s="1163" t="s">
        <v>305</v>
      </c>
      <c r="B62" s="1163" t="s">
        <v>679</v>
      </c>
      <c r="C62" s="1304">
        <v>2329</v>
      </c>
      <c r="D62" s="1305"/>
      <c r="E62" s="1305"/>
      <c r="F62" s="1305"/>
      <c r="G62" s="1305"/>
      <c r="H62" s="1304">
        <v>531</v>
      </c>
      <c r="I62" s="1305"/>
      <c r="J62" s="1304">
        <v>7</v>
      </c>
      <c r="K62" s="1305"/>
      <c r="L62" s="1304">
        <v>5</v>
      </c>
      <c r="M62" s="1305"/>
      <c r="N62" s="1305"/>
      <c r="O62" s="1305"/>
      <c r="P62" s="1305"/>
      <c r="Q62" s="1305">
        <f t="shared" si="21"/>
        <v>2872</v>
      </c>
      <c r="R62" s="1305">
        <f>-'[40]Total_Scholarship Only_byLEA'!F71</f>
        <v>-13</v>
      </c>
      <c r="S62" s="1308">
        <f t="shared" si="22"/>
        <v>2859</v>
      </c>
      <c r="T62" s="1164"/>
      <c r="U62" s="1164"/>
      <c r="V62" s="1316"/>
      <c r="W62" s="1316"/>
      <c r="X62" s="1316"/>
      <c r="Y62" s="1316"/>
      <c r="Z62" s="1316"/>
      <c r="AA62" s="1316"/>
      <c r="AB62" s="1316"/>
      <c r="AC62" s="1316"/>
      <c r="AD62" s="1317">
        <v>4</v>
      </c>
      <c r="AE62" s="1316"/>
      <c r="AF62" s="1312">
        <f t="shared" si="20"/>
        <v>2863</v>
      </c>
      <c r="AG62" s="1330"/>
      <c r="AH62" s="1331"/>
      <c r="AI62" s="1331"/>
      <c r="AJ62" s="1331"/>
      <c r="AK62" s="1332"/>
    </row>
    <row r="63" spans="1:37" ht="12.75" customHeight="1">
      <c r="A63" s="1163" t="s">
        <v>306</v>
      </c>
      <c r="B63" s="1163" t="s">
        <v>680</v>
      </c>
      <c r="C63" s="1304">
        <v>9039</v>
      </c>
      <c r="D63" s="1305"/>
      <c r="E63" s="1305"/>
      <c r="F63" s="1305"/>
      <c r="G63" s="1305"/>
      <c r="H63" s="1305"/>
      <c r="I63" s="1305"/>
      <c r="J63" s="1304">
        <v>10</v>
      </c>
      <c r="K63" s="1305"/>
      <c r="L63" s="1304">
        <v>6</v>
      </c>
      <c r="M63" s="1305"/>
      <c r="N63" s="1305"/>
      <c r="O63" s="1305"/>
      <c r="P63" s="1305"/>
      <c r="Q63" s="1305">
        <f t="shared" si="21"/>
        <v>9055</v>
      </c>
      <c r="R63" s="1305">
        <f>-'[40]Total_Scholarship Only_byLEA'!F72</f>
        <v>-8</v>
      </c>
      <c r="S63" s="1308">
        <f t="shared" si="22"/>
        <v>9047</v>
      </c>
      <c r="T63" s="1164"/>
      <c r="U63" s="1164"/>
      <c r="V63" s="1316"/>
      <c r="W63" s="1316"/>
      <c r="X63" s="1316"/>
      <c r="Y63" s="1316"/>
      <c r="Z63" s="1316"/>
      <c r="AA63" s="1316"/>
      <c r="AB63" s="1316"/>
      <c r="AC63" s="1316"/>
      <c r="AD63" s="1317">
        <v>4</v>
      </c>
      <c r="AE63" s="1316"/>
      <c r="AF63" s="1312">
        <f t="shared" si="20"/>
        <v>9051</v>
      </c>
      <c r="AG63" s="1330"/>
      <c r="AH63" s="1333"/>
      <c r="AI63" s="1333"/>
      <c r="AJ63" s="1331"/>
      <c r="AK63" s="1332"/>
    </row>
    <row r="64" spans="1:37" ht="12.75" customHeight="1">
      <c r="A64" s="1163" t="s">
        <v>681</v>
      </c>
      <c r="B64" s="1163" t="s">
        <v>682</v>
      </c>
      <c r="C64" s="1304">
        <v>9032</v>
      </c>
      <c r="D64" s="1305"/>
      <c r="E64" s="1305"/>
      <c r="F64" s="1305"/>
      <c r="G64" s="1305"/>
      <c r="H64" s="1305"/>
      <c r="I64" s="1305"/>
      <c r="J64" s="1304">
        <v>30</v>
      </c>
      <c r="K64" s="1305"/>
      <c r="L64" s="1304">
        <v>28</v>
      </c>
      <c r="M64" s="1305"/>
      <c r="N64" s="1305"/>
      <c r="O64" s="1305"/>
      <c r="P64" s="1305"/>
      <c r="Q64" s="1305">
        <f t="shared" si="21"/>
        <v>9090</v>
      </c>
      <c r="R64" s="1305">
        <f>-'[40]Total_Scholarship Only_byLEA'!F73</f>
        <v>0</v>
      </c>
      <c r="S64" s="1308">
        <f t="shared" si="22"/>
        <v>9090</v>
      </c>
      <c r="T64" s="1164"/>
      <c r="U64" s="1164"/>
      <c r="V64" s="1316"/>
      <c r="W64" s="1316"/>
      <c r="X64" s="1316"/>
      <c r="Y64" s="1316"/>
      <c r="Z64" s="1316"/>
      <c r="AA64" s="1316"/>
      <c r="AB64" s="1316"/>
      <c r="AC64" s="1316"/>
      <c r="AD64" s="1317">
        <v>13</v>
      </c>
      <c r="AE64" s="1316"/>
      <c r="AF64" s="1312">
        <f t="shared" si="20"/>
        <v>9103</v>
      </c>
      <c r="AG64" s="1330"/>
      <c r="AH64" s="1331"/>
      <c r="AI64" s="1331"/>
      <c r="AJ64" s="1331"/>
      <c r="AK64" s="1332"/>
    </row>
    <row r="65" spans="1:37" ht="12.75" customHeight="1">
      <c r="A65" s="1163" t="s">
        <v>307</v>
      </c>
      <c r="B65" s="1163" t="s">
        <v>683</v>
      </c>
      <c r="C65" s="1304">
        <v>5222</v>
      </c>
      <c r="D65" s="1305"/>
      <c r="E65" s="1305"/>
      <c r="F65" s="1305"/>
      <c r="G65" s="1305"/>
      <c r="H65" s="1305"/>
      <c r="I65" s="1305"/>
      <c r="J65" s="1304">
        <v>13</v>
      </c>
      <c r="K65" s="1305"/>
      <c r="L65" s="1304">
        <v>14</v>
      </c>
      <c r="M65" s="1305"/>
      <c r="N65" s="1305"/>
      <c r="O65" s="1305"/>
      <c r="P65" s="1305"/>
      <c r="Q65" s="1305">
        <f t="shared" si="21"/>
        <v>5249</v>
      </c>
      <c r="R65" s="1305">
        <f>-'[40]Total_Scholarship Only_byLEA'!F74</f>
        <v>-2</v>
      </c>
      <c r="S65" s="1308">
        <f t="shared" si="22"/>
        <v>5247</v>
      </c>
      <c r="T65" s="1164"/>
      <c r="U65" s="1164"/>
      <c r="V65" s="1316"/>
      <c r="W65" s="1316"/>
      <c r="X65" s="1316"/>
      <c r="Y65" s="1316"/>
      <c r="Z65" s="1316"/>
      <c r="AA65" s="1316"/>
      <c r="AB65" s="1316"/>
      <c r="AC65" s="1316"/>
      <c r="AD65" s="1316"/>
      <c r="AE65" s="1317">
        <v>1</v>
      </c>
      <c r="AF65" s="1312">
        <f t="shared" si="20"/>
        <v>5248</v>
      </c>
      <c r="AG65" s="1330"/>
      <c r="AH65" s="1331"/>
      <c r="AI65" s="1333"/>
      <c r="AJ65" s="1331"/>
      <c r="AK65" s="1332"/>
    </row>
    <row r="66" spans="1:37" ht="12.75" customHeight="1">
      <c r="A66" s="1163" t="s">
        <v>684</v>
      </c>
      <c r="B66" s="1163" t="s">
        <v>685</v>
      </c>
      <c r="C66" s="1304">
        <v>6450</v>
      </c>
      <c r="D66" s="1305"/>
      <c r="E66" s="1305"/>
      <c r="F66" s="1305"/>
      <c r="G66" s="1305"/>
      <c r="H66" s="1305"/>
      <c r="I66" s="1305"/>
      <c r="J66" s="1304">
        <v>17</v>
      </c>
      <c r="K66" s="1305"/>
      <c r="L66" s="1304">
        <v>26</v>
      </c>
      <c r="M66" s="1305"/>
      <c r="N66" s="1305"/>
      <c r="O66" s="1305"/>
      <c r="P66" s="1305"/>
      <c r="Q66" s="1305">
        <f t="shared" si="21"/>
        <v>6493</v>
      </c>
      <c r="R66" s="1305">
        <f>-'[40]Total_Scholarship Only_byLEA'!F75</f>
        <v>0</v>
      </c>
      <c r="S66" s="1308">
        <f t="shared" si="22"/>
        <v>6493</v>
      </c>
      <c r="T66" s="1164"/>
      <c r="U66" s="1164"/>
      <c r="V66" s="1316"/>
      <c r="W66" s="1316"/>
      <c r="X66" s="1316"/>
      <c r="Y66" s="1316"/>
      <c r="Z66" s="1316"/>
      <c r="AA66" s="1316"/>
      <c r="AB66" s="1316"/>
      <c r="AC66" s="1316"/>
      <c r="AD66" s="1317">
        <v>4</v>
      </c>
      <c r="AE66" s="1316"/>
      <c r="AF66" s="1312">
        <f t="shared" si="20"/>
        <v>6497</v>
      </c>
      <c r="AG66" s="1330"/>
      <c r="AH66" s="1331"/>
      <c r="AI66" s="1331"/>
      <c r="AJ66" s="1333"/>
      <c r="AK66" s="1332"/>
    </row>
    <row r="67" spans="1:37" ht="12.75" customHeight="1">
      <c r="A67" s="1163" t="s">
        <v>308</v>
      </c>
      <c r="B67" s="1163" t="s">
        <v>686</v>
      </c>
      <c r="C67" s="1304">
        <v>3616</v>
      </c>
      <c r="D67" s="1305"/>
      <c r="E67" s="1305"/>
      <c r="F67" s="1305"/>
      <c r="G67" s="1305"/>
      <c r="H67" s="1305"/>
      <c r="I67" s="1304">
        <v>1</v>
      </c>
      <c r="J67" s="1304">
        <v>6</v>
      </c>
      <c r="K67" s="1305"/>
      <c r="L67" s="1304">
        <v>9</v>
      </c>
      <c r="M67" s="1305"/>
      <c r="N67" s="1305"/>
      <c r="O67" s="1305"/>
      <c r="P67" s="1305"/>
      <c r="Q67" s="1305">
        <f t="shared" si="21"/>
        <v>3632</v>
      </c>
      <c r="R67" s="1305">
        <f>-'[40]Total_Scholarship Only_byLEA'!F76</f>
        <v>-12</v>
      </c>
      <c r="S67" s="1308">
        <f t="shared" si="22"/>
        <v>3620</v>
      </c>
      <c r="T67" s="1164"/>
      <c r="U67" s="1164"/>
      <c r="V67" s="1316"/>
      <c r="W67" s="1316"/>
      <c r="X67" s="1316"/>
      <c r="Y67" s="1316"/>
      <c r="Z67" s="1316"/>
      <c r="AA67" s="1316"/>
      <c r="AB67" s="1316"/>
      <c r="AC67" s="1316"/>
      <c r="AD67" s="1316"/>
      <c r="AE67" s="1316"/>
      <c r="AF67" s="1312">
        <f t="shared" si="20"/>
        <v>3620</v>
      </c>
      <c r="AG67" s="1330"/>
      <c r="AH67" s="1333"/>
      <c r="AI67" s="1331"/>
      <c r="AJ67" s="1331"/>
      <c r="AK67" s="1332"/>
    </row>
    <row r="68" spans="1:37" ht="12.75" customHeight="1">
      <c r="A68" s="1163" t="s">
        <v>687</v>
      </c>
      <c r="B68" s="1163" t="s">
        <v>688</v>
      </c>
      <c r="C68" s="1304">
        <v>2103</v>
      </c>
      <c r="D68" s="1305"/>
      <c r="E68" s="1305"/>
      <c r="F68" s="1305"/>
      <c r="G68" s="1305"/>
      <c r="H68" s="1305"/>
      <c r="I68" s="1305"/>
      <c r="J68" s="1304">
        <v>1</v>
      </c>
      <c r="K68" s="1305"/>
      <c r="L68" s="1304">
        <v>1</v>
      </c>
      <c r="M68" s="1305"/>
      <c r="N68" s="1305"/>
      <c r="O68" s="1305"/>
      <c r="P68" s="1305"/>
      <c r="Q68" s="1305">
        <f t="shared" si="21"/>
        <v>2105</v>
      </c>
      <c r="R68" s="1305">
        <f>-'[40]Total_Scholarship Only_byLEA'!F77</f>
        <v>0</v>
      </c>
      <c r="S68" s="1308">
        <f t="shared" si="22"/>
        <v>2105</v>
      </c>
      <c r="T68" s="1164"/>
      <c r="U68" s="1164"/>
      <c r="V68" s="1316"/>
      <c r="W68" s="1316"/>
      <c r="X68" s="1316"/>
      <c r="Y68" s="1316"/>
      <c r="Z68" s="1317">
        <v>36</v>
      </c>
      <c r="AA68" s="1316"/>
      <c r="AB68" s="1316"/>
      <c r="AC68" s="1316"/>
      <c r="AD68" s="1316"/>
      <c r="AE68" s="1316"/>
      <c r="AF68" s="1312">
        <f t="shared" si="20"/>
        <v>2141</v>
      </c>
      <c r="AG68" s="1330"/>
      <c r="AH68" s="1331"/>
      <c r="AI68" s="1331"/>
      <c r="AJ68" s="1331"/>
      <c r="AK68" s="1332"/>
    </row>
    <row r="69" spans="1:37" ht="12.75" customHeight="1">
      <c r="A69" s="1163" t="s">
        <v>689</v>
      </c>
      <c r="B69" s="1163" t="s">
        <v>690</v>
      </c>
      <c r="C69" s="1304">
        <v>2037</v>
      </c>
      <c r="D69" s="1305"/>
      <c r="E69" s="1305"/>
      <c r="F69" s="1305"/>
      <c r="G69" s="1305"/>
      <c r="H69" s="1305"/>
      <c r="I69" s="1305"/>
      <c r="J69" s="1305"/>
      <c r="K69" s="1305"/>
      <c r="L69" s="1304">
        <v>1</v>
      </c>
      <c r="M69" s="1305"/>
      <c r="N69" s="1305"/>
      <c r="O69" s="1305"/>
      <c r="P69" s="1305"/>
      <c r="Q69" s="1305">
        <f t="shared" si="21"/>
        <v>2038</v>
      </c>
      <c r="R69" s="1305">
        <f>-'[40]Total_Scholarship Only_byLEA'!F78</f>
        <v>0</v>
      </c>
      <c r="S69" s="1308">
        <f t="shared" si="22"/>
        <v>2038</v>
      </c>
      <c r="T69" s="1164"/>
      <c r="U69" s="1164"/>
      <c r="V69" s="1316"/>
      <c r="W69" s="1316"/>
      <c r="X69" s="1316"/>
      <c r="Y69" s="1316"/>
      <c r="Z69" s="1316"/>
      <c r="AA69" s="1316"/>
      <c r="AB69" s="1316"/>
      <c r="AC69" s="1316"/>
      <c r="AD69" s="1317">
        <v>3</v>
      </c>
      <c r="AE69" s="1316"/>
      <c r="AF69" s="1312">
        <f t="shared" si="20"/>
        <v>2041</v>
      </c>
      <c r="AG69" s="1330"/>
      <c r="AH69" s="1331"/>
      <c r="AI69" s="1331"/>
      <c r="AJ69" s="1331"/>
      <c r="AK69" s="1332"/>
    </row>
    <row r="70" spans="1:37" ht="12.75" customHeight="1">
      <c r="A70" s="1163" t="s">
        <v>691</v>
      </c>
      <c r="B70" s="1163" t="s">
        <v>692</v>
      </c>
      <c r="C70" s="1304">
        <v>2391</v>
      </c>
      <c r="D70" s="1305"/>
      <c r="E70" s="1305"/>
      <c r="F70" s="1305"/>
      <c r="G70" s="1305"/>
      <c r="H70" s="1305"/>
      <c r="I70" s="1305"/>
      <c r="J70" s="1304">
        <v>1</v>
      </c>
      <c r="K70" s="1305"/>
      <c r="L70" s="1304">
        <v>4</v>
      </c>
      <c r="M70" s="1305"/>
      <c r="N70" s="1305"/>
      <c r="O70" s="1305"/>
      <c r="P70" s="1305"/>
      <c r="Q70" s="1305">
        <f t="shared" si="21"/>
        <v>2396</v>
      </c>
      <c r="R70" s="1305">
        <f>-'[40]Total_Scholarship Only_byLEA'!F79</f>
        <v>0</v>
      </c>
      <c r="S70" s="1308">
        <f t="shared" si="22"/>
        <v>2396</v>
      </c>
      <c r="T70" s="1164"/>
      <c r="U70" s="1164"/>
      <c r="V70" s="1316"/>
      <c r="W70" s="1316"/>
      <c r="X70" s="1316"/>
      <c r="Y70" s="1316"/>
      <c r="Z70" s="1316"/>
      <c r="AA70" s="1316"/>
      <c r="AB70" s="1316"/>
      <c r="AC70" s="1316"/>
      <c r="AD70" s="1317">
        <v>1</v>
      </c>
      <c r="AE70" s="1316"/>
      <c r="AF70" s="1312">
        <f t="shared" si="20"/>
        <v>2397</v>
      </c>
      <c r="AG70" s="1330"/>
      <c r="AH70" s="1331"/>
      <c r="AI70" s="1331"/>
      <c r="AJ70" s="1331"/>
      <c r="AK70" s="1332"/>
    </row>
    <row r="71" spans="1:37" ht="12.75" customHeight="1">
      <c r="A71" s="1163" t="s">
        <v>309</v>
      </c>
      <c r="B71" s="1163" t="s">
        <v>693</v>
      </c>
      <c r="C71" s="1304">
        <v>8276</v>
      </c>
      <c r="D71" s="1305"/>
      <c r="E71" s="1305"/>
      <c r="F71" s="1305"/>
      <c r="G71" s="1305"/>
      <c r="H71" s="1304">
        <v>3</v>
      </c>
      <c r="I71" s="1305"/>
      <c r="J71" s="1305"/>
      <c r="K71" s="1305"/>
      <c r="L71" s="1304">
        <v>4</v>
      </c>
      <c r="M71" s="1305"/>
      <c r="N71" s="1305"/>
      <c r="O71" s="1305"/>
      <c r="P71" s="1305"/>
      <c r="Q71" s="1305">
        <f t="shared" ref="Q71:Q76" si="23">SUM(C71:P71)</f>
        <v>8283</v>
      </c>
      <c r="R71" s="1305">
        <f>-'[40]Total_Scholarship Only_byLEA'!F80</f>
        <v>-37</v>
      </c>
      <c r="S71" s="1308">
        <f t="shared" ref="S71:S75" si="24">SUM(Q71:R71)</f>
        <v>8246</v>
      </c>
      <c r="T71" s="1164"/>
      <c r="U71" s="1164"/>
      <c r="V71" s="1317">
        <v>184</v>
      </c>
      <c r="W71" s="1316"/>
      <c r="X71" s="1316"/>
      <c r="Y71" s="1316"/>
      <c r="Z71" s="1316"/>
      <c r="AA71" s="1316"/>
      <c r="AB71" s="1316"/>
      <c r="AC71" s="1316"/>
      <c r="AD71" s="1316"/>
      <c r="AE71" s="1316"/>
      <c r="AF71" s="1312">
        <f t="shared" si="20"/>
        <v>8430</v>
      </c>
      <c r="AG71" s="1330"/>
      <c r="AH71" s="1331"/>
      <c r="AI71" s="1331"/>
      <c r="AJ71" s="1331"/>
      <c r="AK71" s="1332"/>
    </row>
    <row r="72" spans="1:37" ht="12.75" customHeight="1">
      <c r="A72" s="1163" t="s">
        <v>310</v>
      </c>
      <c r="B72" s="1163" t="s">
        <v>694</v>
      </c>
      <c r="C72" s="1304">
        <v>2029</v>
      </c>
      <c r="D72" s="1305"/>
      <c r="E72" s="1305"/>
      <c r="F72" s="1305"/>
      <c r="G72" s="1305"/>
      <c r="H72" s="1305"/>
      <c r="I72" s="1305"/>
      <c r="J72" s="1304">
        <v>3</v>
      </c>
      <c r="K72" s="1305"/>
      <c r="L72" s="1304">
        <v>2</v>
      </c>
      <c r="M72" s="1305"/>
      <c r="N72" s="1305"/>
      <c r="O72" s="1305"/>
      <c r="P72" s="1305"/>
      <c r="Q72" s="1305">
        <f t="shared" si="23"/>
        <v>2034</v>
      </c>
      <c r="R72" s="1305">
        <f>-'[40]Total_Scholarship Only_byLEA'!F81</f>
        <v>-9</v>
      </c>
      <c r="S72" s="1308">
        <f t="shared" si="24"/>
        <v>2025</v>
      </c>
      <c r="T72" s="1164"/>
      <c r="U72" s="1164"/>
      <c r="V72" s="1316"/>
      <c r="W72" s="1316"/>
      <c r="X72" s="1316"/>
      <c r="Y72" s="1316"/>
      <c r="Z72" s="1316"/>
      <c r="AA72" s="1316"/>
      <c r="AB72" s="1316"/>
      <c r="AC72" s="1316"/>
      <c r="AD72" s="1316"/>
      <c r="AE72" s="1316"/>
      <c r="AF72" s="1312">
        <f t="shared" ref="AF72:AF76" si="25">SUM(S72:AE72)</f>
        <v>2025</v>
      </c>
      <c r="AG72" s="1330"/>
      <c r="AH72" s="1331"/>
      <c r="AI72" s="1331"/>
      <c r="AJ72" s="1331"/>
      <c r="AK72" s="1332"/>
    </row>
    <row r="73" spans="1:37" ht="12.75" customHeight="1">
      <c r="A73" s="1163" t="s">
        <v>695</v>
      </c>
      <c r="B73" s="1163" t="s">
        <v>696</v>
      </c>
      <c r="C73" s="1304">
        <v>5092</v>
      </c>
      <c r="D73" s="1305"/>
      <c r="E73" s="1305"/>
      <c r="F73" s="1305"/>
      <c r="G73" s="1305"/>
      <c r="H73" s="1305"/>
      <c r="I73" s="1304">
        <v>2</v>
      </c>
      <c r="J73" s="1304">
        <v>1</v>
      </c>
      <c r="K73" s="1305"/>
      <c r="L73" s="1304">
        <v>3</v>
      </c>
      <c r="M73" s="1305"/>
      <c r="N73" s="1305"/>
      <c r="O73" s="1305"/>
      <c r="P73" s="1305"/>
      <c r="Q73" s="1305">
        <f t="shared" si="23"/>
        <v>5098</v>
      </c>
      <c r="R73" s="1305">
        <f>-'[40]Total_Scholarship Only_byLEA'!F82</f>
        <v>0</v>
      </c>
      <c r="S73" s="1308">
        <f t="shared" si="24"/>
        <v>5098</v>
      </c>
      <c r="T73" s="1164"/>
      <c r="U73" s="1164"/>
      <c r="V73" s="1316"/>
      <c r="W73" s="1316"/>
      <c r="X73" s="1316"/>
      <c r="Y73" s="1316"/>
      <c r="Z73" s="1316"/>
      <c r="AA73" s="1316"/>
      <c r="AB73" s="1316"/>
      <c r="AC73" s="1316"/>
      <c r="AD73" s="1316"/>
      <c r="AE73" s="1316"/>
      <c r="AF73" s="1312">
        <f t="shared" si="25"/>
        <v>5098</v>
      </c>
      <c r="AG73" s="1330"/>
      <c r="AH73" s="1331"/>
      <c r="AI73" s="1331"/>
      <c r="AJ73" s="1331"/>
      <c r="AK73" s="1332"/>
    </row>
    <row r="74" spans="1:37" ht="12.75" customHeight="1">
      <c r="A74" s="1163" t="s">
        <v>311</v>
      </c>
      <c r="B74" s="1163" t="s">
        <v>697</v>
      </c>
      <c r="C74" s="1304">
        <v>1731</v>
      </c>
      <c r="D74" s="1305"/>
      <c r="E74" s="1305"/>
      <c r="F74" s="1305"/>
      <c r="G74" s="1305"/>
      <c r="H74" s="1305"/>
      <c r="I74" s="1304">
        <v>4</v>
      </c>
      <c r="J74" s="1304">
        <v>3</v>
      </c>
      <c r="K74" s="1305"/>
      <c r="L74" s="1304">
        <v>11</v>
      </c>
      <c r="M74" s="1305"/>
      <c r="N74" s="1305"/>
      <c r="O74" s="1305"/>
      <c r="P74" s="1305"/>
      <c r="Q74" s="1305">
        <f t="shared" si="23"/>
        <v>1749</v>
      </c>
      <c r="R74" s="1305">
        <f>-'[40]Total_Scholarship Only_byLEA'!F83</f>
        <v>-35</v>
      </c>
      <c r="S74" s="1308">
        <f t="shared" si="24"/>
        <v>1714</v>
      </c>
      <c r="T74" s="1164"/>
      <c r="U74" s="1164"/>
      <c r="V74" s="1316"/>
      <c r="W74" s="1316"/>
      <c r="X74" s="1316"/>
      <c r="Y74" s="1316"/>
      <c r="Z74" s="1316"/>
      <c r="AA74" s="1316"/>
      <c r="AB74" s="1316"/>
      <c r="AC74" s="1316"/>
      <c r="AD74" s="1316"/>
      <c r="AE74" s="1316"/>
      <c r="AF74" s="1312">
        <f t="shared" si="25"/>
        <v>1714</v>
      </c>
      <c r="AG74" s="1330"/>
      <c r="AH74" s="1331"/>
      <c r="AI74" s="1331"/>
      <c r="AJ74" s="1331"/>
      <c r="AK74" s="1332"/>
    </row>
    <row r="75" spans="1:37" ht="12.75" customHeight="1">
      <c r="A75" s="1163" t="s">
        <v>698</v>
      </c>
      <c r="B75" s="1163" t="s">
        <v>699</v>
      </c>
      <c r="C75" s="1304">
        <v>4184</v>
      </c>
      <c r="D75" s="1305"/>
      <c r="E75" s="1305"/>
      <c r="F75" s="1305"/>
      <c r="G75" s="1305"/>
      <c r="H75" s="1305"/>
      <c r="I75" s="1305"/>
      <c r="J75" s="1304">
        <v>7</v>
      </c>
      <c r="K75" s="1305"/>
      <c r="L75" s="1304">
        <v>2</v>
      </c>
      <c r="M75" s="1305"/>
      <c r="N75" s="1305"/>
      <c r="O75" s="1305"/>
      <c r="P75" s="1305"/>
      <c r="Q75" s="1305">
        <f t="shared" si="23"/>
        <v>4193</v>
      </c>
      <c r="R75" s="1305">
        <f>-'[40]Total_Scholarship Only_byLEA'!F84</f>
        <v>0</v>
      </c>
      <c r="S75" s="1308">
        <f t="shared" si="24"/>
        <v>4193</v>
      </c>
      <c r="T75" s="1164"/>
      <c r="U75" s="1164"/>
      <c r="V75" s="1316"/>
      <c r="W75" s="1316"/>
      <c r="X75" s="1316"/>
      <c r="Y75" s="1316"/>
      <c r="Z75" s="1316"/>
      <c r="AA75" s="1316"/>
      <c r="AB75" s="1316"/>
      <c r="AC75" s="1316"/>
      <c r="AD75" s="1316"/>
      <c r="AE75" s="1316"/>
      <c r="AF75" s="1312">
        <f t="shared" si="25"/>
        <v>4193</v>
      </c>
      <c r="AG75" s="1330"/>
      <c r="AH75" s="1331"/>
      <c r="AI75" s="1331"/>
      <c r="AJ75" s="1331"/>
      <c r="AK75" s="1332"/>
    </row>
    <row r="76" spans="1:37" ht="30" customHeight="1">
      <c r="A76" s="1163" t="s">
        <v>700</v>
      </c>
      <c r="B76" s="1163" t="s">
        <v>701</v>
      </c>
      <c r="C76" s="1305"/>
      <c r="D76" s="1305"/>
      <c r="E76" s="1305"/>
      <c r="F76" s="1305"/>
      <c r="G76" s="1305"/>
      <c r="H76" s="1304">
        <v>1</v>
      </c>
      <c r="I76" s="1305"/>
      <c r="J76" s="1305"/>
      <c r="K76" s="1305"/>
      <c r="L76" s="1305"/>
      <c r="M76" s="1305"/>
      <c r="N76" s="1305"/>
      <c r="O76" s="1305"/>
      <c r="P76" s="1305"/>
      <c r="Q76" s="1305">
        <f t="shared" si="23"/>
        <v>1</v>
      </c>
      <c r="R76" s="1305"/>
      <c r="S76" s="1308">
        <f>Q76-R76</f>
        <v>1</v>
      </c>
      <c r="T76" s="1164"/>
      <c r="U76" s="1164"/>
      <c r="V76" s="1316"/>
      <c r="W76" s="1316"/>
      <c r="X76" s="1316"/>
      <c r="Y76" s="1316"/>
      <c r="Z76" s="1316"/>
      <c r="AA76" s="1316"/>
      <c r="AB76" s="1316"/>
      <c r="AC76" s="1316"/>
      <c r="AD76" s="1316"/>
      <c r="AE76" s="1316"/>
      <c r="AF76" s="1312">
        <f t="shared" si="25"/>
        <v>1</v>
      </c>
      <c r="AG76" s="1330"/>
      <c r="AH76" s="1331"/>
      <c r="AI76" s="1331"/>
      <c r="AJ76" s="1333"/>
      <c r="AK76" s="1332"/>
    </row>
    <row r="77" spans="1:37">
      <c r="C77" s="1166"/>
      <c r="D77" s="1166"/>
      <c r="E77" s="1166"/>
      <c r="F77" s="1166"/>
      <c r="S77" s="1310"/>
    </row>
    <row r="78" spans="1:37">
      <c r="B78" s="1167" t="s">
        <v>702</v>
      </c>
      <c r="C78" s="1168">
        <f>SUM(C7:C77)</f>
        <v>640747</v>
      </c>
      <c r="D78" s="1168">
        <f t="shared" ref="D78:AF78" si="26">SUM(D7:D77)</f>
        <v>1005</v>
      </c>
      <c r="E78" s="1168">
        <f t="shared" si="26"/>
        <v>25217</v>
      </c>
      <c r="F78" s="1168">
        <f t="shared" si="26"/>
        <v>6204</v>
      </c>
      <c r="G78" s="1169">
        <f t="shared" si="26"/>
        <v>531</v>
      </c>
      <c r="H78" s="1169">
        <f t="shared" si="26"/>
        <v>548</v>
      </c>
      <c r="I78" s="1169">
        <f t="shared" si="26"/>
        <v>213</v>
      </c>
      <c r="J78" s="1169">
        <f t="shared" si="26"/>
        <v>1130</v>
      </c>
      <c r="K78" s="1169">
        <f t="shared" si="26"/>
        <v>443</v>
      </c>
      <c r="L78" s="1169">
        <f t="shared" si="26"/>
        <v>1200</v>
      </c>
      <c r="M78" s="1169">
        <f t="shared" si="26"/>
        <v>755</v>
      </c>
      <c r="N78" s="1169">
        <f t="shared" si="26"/>
        <v>202</v>
      </c>
      <c r="O78" s="1169">
        <f t="shared" si="26"/>
        <v>224</v>
      </c>
      <c r="P78" s="1169">
        <f t="shared" si="26"/>
        <v>168</v>
      </c>
      <c r="Q78" s="1169">
        <f t="shared" si="26"/>
        <v>678587</v>
      </c>
      <c r="R78" s="1169">
        <f t="shared" si="26"/>
        <v>-4679</v>
      </c>
      <c r="S78" s="1311">
        <f t="shared" si="26"/>
        <v>673908</v>
      </c>
      <c r="T78" s="1169">
        <f t="shared" si="26"/>
        <v>1376</v>
      </c>
      <c r="U78" s="1169">
        <f t="shared" si="26"/>
        <v>391</v>
      </c>
      <c r="V78" s="1169">
        <f t="shared" si="26"/>
        <v>319</v>
      </c>
      <c r="W78" s="1169">
        <f t="shared" si="26"/>
        <v>361</v>
      </c>
      <c r="X78" s="1169">
        <f t="shared" si="26"/>
        <v>735</v>
      </c>
      <c r="Y78" s="1169">
        <f t="shared" si="26"/>
        <v>694</v>
      </c>
      <c r="Z78" s="1169">
        <f t="shared" si="26"/>
        <v>675</v>
      </c>
      <c r="AA78" s="1169">
        <f t="shared" si="26"/>
        <v>951</v>
      </c>
      <c r="AB78" s="1169">
        <f t="shared" si="26"/>
        <v>458</v>
      </c>
      <c r="AC78" s="1169">
        <f t="shared" si="26"/>
        <v>113</v>
      </c>
      <c r="AD78" s="1169">
        <f t="shared" si="26"/>
        <v>275</v>
      </c>
      <c r="AE78" s="1169">
        <f t="shared" si="26"/>
        <v>114</v>
      </c>
      <c r="AF78" s="1313">
        <f t="shared" si="26"/>
        <v>680370</v>
      </c>
      <c r="AG78" s="1335"/>
      <c r="AH78" s="1335"/>
      <c r="AI78" s="1335"/>
      <c r="AJ78" s="1335"/>
      <c r="AK78" s="1335"/>
    </row>
    <row r="79" spans="1:37">
      <c r="C79" s="1170"/>
      <c r="D79" s="1170"/>
      <c r="E79" s="1170"/>
      <c r="F79" s="1170"/>
      <c r="G79" s="1170"/>
      <c r="H79" s="1170"/>
      <c r="I79" s="1170"/>
      <c r="J79" s="1170"/>
      <c r="K79" s="1170"/>
      <c r="L79" s="1170"/>
      <c r="M79" s="1170"/>
      <c r="N79" s="1170"/>
      <c r="O79" s="1170"/>
      <c r="P79" s="1170"/>
      <c r="Q79" s="1170">
        <f>SUM(C78:P78)</f>
        <v>678587</v>
      </c>
      <c r="R79" s="1170"/>
      <c r="S79" s="1170">
        <f>SUM(Q78:R78)</f>
        <v>673908</v>
      </c>
      <c r="T79" s="1170"/>
      <c r="U79" s="1170"/>
      <c r="V79" s="1170"/>
      <c r="W79" s="1170"/>
      <c r="X79" s="1170"/>
      <c r="Y79" s="1170"/>
      <c r="Z79" s="1170"/>
      <c r="AA79" s="1170"/>
      <c r="AB79" s="1170"/>
      <c r="AC79" s="1170"/>
      <c r="AD79" s="1170"/>
      <c r="AE79" s="1170"/>
      <c r="AF79" s="1312">
        <f>SUM(S78:AE78)</f>
        <v>680370</v>
      </c>
      <c r="AG79" s="1336"/>
      <c r="AH79" s="1336"/>
      <c r="AI79" s="1336"/>
      <c r="AJ79" s="1336"/>
      <c r="AK79" s="1336"/>
    </row>
    <row r="80" spans="1:37">
      <c r="B80" s="1171"/>
      <c r="C80" s="1169"/>
      <c r="D80" s="1170"/>
      <c r="E80" s="1170"/>
      <c r="F80" s="1170"/>
      <c r="G80" s="1170"/>
      <c r="H80" s="1170"/>
      <c r="I80" s="1170"/>
      <c r="J80" s="1170"/>
      <c r="K80" s="1170"/>
      <c r="L80" s="1170"/>
      <c r="M80" s="1170"/>
      <c r="N80" s="1170"/>
      <c r="O80" s="1170"/>
      <c r="P80" s="1170"/>
      <c r="Q80" s="1170"/>
      <c r="R80" s="1170"/>
      <c r="S80" s="1170"/>
      <c r="T80" s="1170"/>
      <c r="U80" s="1170"/>
      <c r="V80" s="1170"/>
      <c r="W80" s="1170"/>
      <c r="X80" s="1170"/>
      <c r="Y80" s="1170"/>
      <c r="Z80" s="1170"/>
      <c r="AA80" s="1170"/>
      <c r="AB80" s="1170"/>
      <c r="AC80" s="1170"/>
      <c r="AD80" s="1170"/>
      <c r="AE80" s="1170"/>
      <c r="AF80" s="1312">
        <f>AF78-AF79</f>
        <v>0</v>
      </c>
      <c r="AG80" s="1336"/>
      <c r="AH80" s="1336"/>
      <c r="AI80" s="1336"/>
      <c r="AJ80" s="1336"/>
    </row>
    <row r="81" spans="2:2">
      <c r="B81" s="1172"/>
    </row>
  </sheetData>
  <mergeCells count="6">
    <mergeCell ref="AF4:AF5"/>
    <mergeCell ref="AH4:AJ4"/>
    <mergeCell ref="A4:B4"/>
    <mergeCell ref="D4:F4"/>
    <mergeCell ref="G4:P4"/>
    <mergeCell ref="T4:U4"/>
  </mergeCells>
  <pageMargins left="0.28999999999999998" right="0.25" top="0.27" bottom="0.41" header="0.3" footer="0.3"/>
  <pageSetup paperSize="5" scale="80" orientation="portrait" r:id="rId1"/>
  <colBreaks count="1" manualBreakCount="1">
    <brk id="3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79"/>
  <sheetViews>
    <sheetView view="pageBreakPreview" zoomScale="90" zoomScaleNormal="70" zoomScaleSheetLayoutView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sqref="A1:A4"/>
    </sheetView>
  </sheetViews>
  <sheetFormatPr defaultRowHeight="12.75"/>
  <cols>
    <col min="1" max="1" width="3.42578125" bestFit="1" customWidth="1"/>
    <col min="2" max="2" width="18.7109375" bestFit="1" customWidth="1"/>
    <col min="3" max="3" width="15.42578125" customWidth="1"/>
    <col min="4" max="4" width="12.140625" bestFit="1" customWidth="1"/>
    <col min="5" max="5" width="13" customWidth="1"/>
    <col min="6" max="6" width="11.5703125" bestFit="1" customWidth="1"/>
    <col min="7" max="7" width="11" bestFit="1" customWidth="1"/>
    <col min="8" max="8" width="11.5703125" bestFit="1" customWidth="1"/>
    <col min="9" max="9" width="11.140625" customWidth="1"/>
    <col min="10" max="10" width="11.7109375" customWidth="1"/>
    <col min="11" max="13" width="12.140625" customWidth="1"/>
    <col min="14" max="19" width="13.140625" customWidth="1"/>
    <col min="20" max="20" width="12.85546875" bestFit="1" customWidth="1"/>
    <col min="21" max="21" width="13.140625" customWidth="1"/>
    <col min="22" max="22" width="12" customWidth="1"/>
    <col min="23" max="23" width="13.85546875" customWidth="1"/>
    <col min="24" max="24" width="16" bestFit="1" customWidth="1"/>
    <col min="25" max="25" width="13" customWidth="1"/>
    <col min="26" max="27" width="14.140625" customWidth="1"/>
    <col min="28" max="28" width="12" bestFit="1" customWidth="1"/>
    <col min="29" max="32" width="12.85546875" customWidth="1"/>
    <col min="33" max="33" width="14.140625" customWidth="1"/>
    <col min="34" max="34" width="13.85546875" customWidth="1"/>
    <col min="35" max="35" width="12.5703125" customWidth="1"/>
    <col min="36" max="43" width="12.85546875" customWidth="1"/>
    <col min="44" max="44" width="13.85546875" bestFit="1" customWidth="1"/>
    <col min="45" max="45" width="1.140625" customWidth="1"/>
    <col min="51" max="51" width="9.140625" style="49"/>
    <col min="60" max="60" width="9.140625" style="47"/>
  </cols>
  <sheetData>
    <row r="1" spans="1:60" ht="45" customHeight="1">
      <c r="A1" s="2154" t="s">
        <v>372</v>
      </c>
      <c r="B1" s="2154" t="s">
        <v>242</v>
      </c>
      <c r="C1" s="2173" t="s">
        <v>897</v>
      </c>
      <c r="D1" s="2173" t="s">
        <v>917</v>
      </c>
      <c r="E1" s="2173" t="s">
        <v>898</v>
      </c>
      <c r="F1" s="2173" t="s">
        <v>877</v>
      </c>
      <c r="G1" s="2173" t="s">
        <v>899</v>
      </c>
      <c r="H1" s="2173" t="s">
        <v>879</v>
      </c>
      <c r="I1" s="2173" t="s">
        <v>900</v>
      </c>
      <c r="J1" s="2173" t="s">
        <v>881</v>
      </c>
      <c r="K1" s="2173" t="s">
        <v>901</v>
      </c>
      <c r="L1" s="2173" t="s">
        <v>902</v>
      </c>
      <c r="M1" s="2173" t="s">
        <v>885</v>
      </c>
      <c r="N1" s="2173" t="s">
        <v>886</v>
      </c>
      <c r="O1" s="2173" t="s">
        <v>887</v>
      </c>
      <c r="P1" s="2173" t="s">
        <v>888</v>
      </c>
      <c r="Q1" s="2173" t="s">
        <v>889</v>
      </c>
      <c r="R1" s="2173" t="s">
        <v>890</v>
      </c>
      <c r="S1" s="2173" t="s">
        <v>891</v>
      </c>
      <c r="T1" s="2173" t="s">
        <v>892</v>
      </c>
      <c r="U1" s="2173" t="s">
        <v>893</v>
      </c>
      <c r="V1" s="2178" t="s">
        <v>903</v>
      </c>
      <c r="W1" s="2181" t="s">
        <v>764</v>
      </c>
      <c r="X1" s="2174" t="s">
        <v>517</v>
      </c>
      <c r="Y1" s="2181" t="s">
        <v>962</v>
      </c>
      <c r="Z1" s="2181" t="s">
        <v>963</v>
      </c>
      <c r="AA1" s="2181" t="s">
        <v>964</v>
      </c>
      <c r="AB1" s="2181" t="s">
        <v>965</v>
      </c>
      <c r="AC1" s="2181" t="s">
        <v>966</v>
      </c>
      <c r="AD1" s="2181" t="s">
        <v>967</v>
      </c>
      <c r="AE1" s="2181" t="s">
        <v>968</v>
      </c>
      <c r="AF1" s="2181" t="s">
        <v>969</v>
      </c>
      <c r="AG1" s="2181" t="s">
        <v>970</v>
      </c>
      <c r="AH1" s="2181" t="s">
        <v>971</v>
      </c>
      <c r="AI1" s="2181" t="s">
        <v>972</v>
      </c>
      <c r="AJ1" s="2181" t="s">
        <v>973</v>
      </c>
      <c r="AK1" s="2181" t="s">
        <v>974</v>
      </c>
      <c r="AL1" s="2181" t="s">
        <v>975</v>
      </c>
      <c r="AM1" s="2181" t="s">
        <v>976</v>
      </c>
      <c r="AN1" s="2181" t="s">
        <v>977</v>
      </c>
      <c r="AO1" s="2181" t="s">
        <v>978</v>
      </c>
      <c r="AP1" s="2181" t="s">
        <v>979</v>
      </c>
      <c r="AQ1" s="2181" t="s">
        <v>980</v>
      </c>
      <c r="AR1" s="2174" t="s">
        <v>981</v>
      </c>
      <c r="AS1" s="47"/>
      <c r="AY1"/>
      <c r="BH1"/>
    </row>
    <row r="2" spans="1:60">
      <c r="A2" s="2145"/>
      <c r="B2" s="2145"/>
      <c r="C2" s="2149"/>
      <c r="D2" s="2149"/>
      <c r="E2" s="2149"/>
      <c r="F2" s="2149"/>
      <c r="G2" s="2149"/>
      <c r="H2" s="2149"/>
      <c r="I2" s="2149"/>
      <c r="J2" s="2149"/>
      <c r="K2" s="2149"/>
      <c r="L2" s="2149"/>
      <c r="M2" s="2149"/>
      <c r="N2" s="2149"/>
      <c r="O2" s="2149"/>
      <c r="P2" s="2149"/>
      <c r="Q2" s="2149"/>
      <c r="R2" s="2149"/>
      <c r="S2" s="2149"/>
      <c r="T2" s="2149"/>
      <c r="U2" s="2149"/>
      <c r="V2" s="2179"/>
      <c r="W2" s="2182"/>
      <c r="X2" s="2175"/>
      <c r="Y2" s="2182"/>
      <c r="Z2" s="2182"/>
      <c r="AA2" s="2182"/>
      <c r="AB2" s="2182"/>
      <c r="AC2" s="2182"/>
      <c r="AD2" s="2182"/>
      <c r="AE2" s="2182"/>
      <c r="AF2" s="2182"/>
      <c r="AG2" s="2182"/>
      <c r="AH2" s="2182"/>
      <c r="AI2" s="2182"/>
      <c r="AJ2" s="2182"/>
      <c r="AK2" s="2182"/>
      <c r="AL2" s="2182"/>
      <c r="AM2" s="2182"/>
      <c r="AN2" s="2182"/>
      <c r="AO2" s="2182"/>
      <c r="AP2" s="2182"/>
      <c r="AQ2" s="2182"/>
      <c r="AR2" s="2175"/>
      <c r="AS2" s="47"/>
      <c r="AY2"/>
      <c r="BH2"/>
    </row>
    <row r="3" spans="1:60" ht="126" customHeight="1">
      <c r="A3" s="2145"/>
      <c r="B3" s="2145"/>
      <c r="C3" s="2149"/>
      <c r="D3" s="2149"/>
      <c r="E3" s="2149"/>
      <c r="F3" s="2149"/>
      <c r="G3" s="2149"/>
      <c r="H3" s="2149"/>
      <c r="I3" s="2149"/>
      <c r="J3" s="2149"/>
      <c r="K3" s="2149"/>
      <c r="L3" s="2149"/>
      <c r="M3" s="2149"/>
      <c r="N3" s="2149"/>
      <c r="O3" s="2149"/>
      <c r="P3" s="2149"/>
      <c r="Q3" s="2149"/>
      <c r="R3" s="2149"/>
      <c r="S3" s="2149"/>
      <c r="T3" s="2149"/>
      <c r="U3" s="2149"/>
      <c r="V3" s="2179"/>
      <c r="W3" s="2182"/>
      <c r="X3" s="2175"/>
      <c r="Y3" s="2182"/>
      <c r="Z3" s="2182"/>
      <c r="AA3" s="2182"/>
      <c r="AB3" s="2182"/>
      <c r="AC3" s="2182"/>
      <c r="AD3" s="2182"/>
      <c r="AE3" s="2182"/>
      <c r="AF3" s="2182"/>
      <c r="AG3" s="2182"/>
      <c r="AH3" s="2182"/>
      <c r="AI3" s="2182"/>
      <c r="AJ3" s="2182"/>
      <c r="AK3" s="2182"/>
      <c r="AL3" s="2182"/>
      <c r="AM3" s="2182"/>
      <c r="AN3" s="2182"/>
      <c r="AO3" s="2182"/>
      <c r="AP3" s="2182"/>
      <c r="AQ3" s="2182"/>
      <c r="AR3" s="2175"/>
      <c r="AS3" s="712"/>
      <c r="AY3"/>
      <c r="BH3"/>
    </row>
    <row r="4" spans="1:60" ht="16.5" customHeight="1">
      <c r="A4" s="2146"/>
      <c r="B4" s="2146"/>
      <c r="C4" s="1605"/>
      <c r="D4" s="1605"/>
      <c r="E4" s="1605"/>
      <c r="F4" s="1605"/>
      <c r="G4" s="1605"/>
      <c r="H4" s="1605"/>
      <c r="I4" s="1605"/>
      <c r="J4" s="1605"/>
      <c r="K4" s="1605"/>
      <c r="L4" s="1605"/>
      <c r="M4" s="1605"/>
      <c r="N4" s="1605"/>
      <c r="O4" s="1605"/>
      <c r="P4" s="1605"/>
      <c r="Q4" s="1605"/>
      <c r="R4" s="1605"/>
      <c r="S4" s="1605"/>
      <c r="T4" s="1605"/>
      <c r="U4" s="1605"/>
      <c r="V4" s="1606"/>
      <c r="W4" s="2150"/>
      <c r="X4" s="2180"/>
      <c r="Y4" s="2150"/>
      <c r="Z4" s="2150"/>
      <c r="AA4" s="2150"/>
      <c r="AB4" s="2150"/>
      <c r="AC4" s="2150"/>
      <c r="AD4" s="2150"/>
      <c r="AE4" s="2150"/>
      <c r="AF4" s="2150"/>
      <c r="AG4" s="2150"/>
      <c r="AH4" s="2150"/>
      <c r="AI4" s="2150"/>
      <c r="AJ4" s="2150"/>
      <c r="AK4" s="2150"/>
      <c r="AL4" s="2150"/>
      <c r="AM4" s="2150"/>
      <c r="AN4" s="2150"/>
      <c r="AO4" s="2150"/>
      <c r="AP4" s="2150"/>
      <c r="AQ4" s="2150"/>
      <c r="AR4" s="2180"/>
      <c r="AS4" s="712"/>
      <c r="AY4"/>
      <c r="BH4"/>
    </row>
    <row r="5" spans="1:60" s="716" customFormat="1">
      <c r="A5" s="713"/>
      <c r="B5" s="714"/>
      <c r="C5" s="715">
        <v>1</v>
      </c>
      <c r="D5" s="715">
        <f t="shared" ref="D5:AS5" si="0">C5+1</f>
        <v>2</v>
      </c>
      <c r="E5" s="715">
        <f t="shared" si="0"/>
        <v>3</v>
      </c>
      <c r="F5" s="715">
        <f t="shared" si="0"/>
        <v>4</v>
      </c>
      <c r="G5" s="715">
        <f t="shared" si="0"/>
        <v>5</v>
      </c>
      <c r="H5" s="715">
        <f t="shared" si="0"/>
        <v>6</v>
      </c>
      <c r="I5" s="715">
        <f t="shared" ref="I5:J5" si="1">H5+1</f>
        <v>7</v>
      </c>
      <c r="J5" s="715">
        <f t="shared" si="1"/>
        <v>8</v>
      </c>
      <c r="K5" s="715">
        <f t="shared" ref="K5" si="2">J5+1</f>
        <v>9</v>
      </c>
      <c r="L5" s="715">
        <f t="shared" ref="L5" si="3">K5+1</f>
        <v>10</v>
      </c>
      <c r="M5" s="715">
        <f t="shared" ref="M5" si="4">L5+1</f>
        <v>11</v>
      </c>
      <c r="N5" s="715">
        <f t="shared" ref="N5" si="5">M5+1</f>
        <v>12</v>
      </c>
      <c r="O5" s="715">
        <f t="shared" ref="O5" si="6">N5+1</f>
        <v>13</v>
      </c>
      <c r="P5" s="715">
        <f t="shared" ref="P5" si="7">O5+1</f>
        <v>14</v>
      </c>
      <c r="Q5" s="715">
        <f t="shared" ref="Q5" si="8">P5+1</f>
        <v>15</v>
      </c>
      <c r="R5" s="715">
        <f t="shared" ref="R5" si="9">Q5+1</f>
        <v>16</v>
      </c>
      <c r="S5" s="715">
        <f t="shared" ref="S5" si="10">R5+1</f>
        <v>17</v>
      </c>
      <c r="T5" s="715">
        <f t="shared" ref="T5" si="11">S5+1</f>
        <v>18</v>
      </c>
      <c r="U5" s="715">
        <f t="shared" ref="U5" si="12">T5+1</f>
        <v>19</v>
      </c>
      <c r="V5" s="715">
        <f t="shared" ref="V5" si="13">U5+1</f>
        <v>20</v>
      </c>
      <c r="W5" s="715">
        <f t="shared" ref="W5" si="14">V5+1</f>
        <v>21</v>
      </c>
      <c r="X5" s="715">
        <f t="shared" ref="X5" si="15">W5+1</f>
        <v>22</v>
      </c>
      <c r="Y5" s="715">
        <f t="shared" ref="Y5" si="16">X5+1</f>
        <v>23</v>
      </c>
      <c r="Z5" s="715">
        <f t="shared" ref="Z5" si="17">Y5+1</f>
        <v>24</v>
      </c>
      <c r="AA5" s="715">
        <f t="shared" ref="AA5" si="18">Z5+1</f>
        <v>25</v>
      </c>
      <c r="AB5" s="715">
        <f t="shared" ref="AB5" si="19">AA5+1</f>
        <v>26</v>
      </c>
      <c r="AC5" s="715">
        <f t="shared" ref="AC5" si="20">AB5+1</f>
        <v>27</v>
      </c>
      <c r="AD5" s="715">
        <f t="shared" ref="AD5" si="21">AC5+1</f>
        <v>28</v>
      </c>
      <c r="AE5" s="715">
        <f t="shared" ref="AE5" si="22">AD5+1</f>
        <v>29</v>
      </c>
      <c r="AF5" s="715">
        <f t="shared" ref="AF5" si="23">AE5+1</f>
        <v>30</v>
      </c>
      <c r="AG5" s="715">
        <f t="shared" ref="AG5" si="24">AF5+1</f>
        <v>31</v>
      </c>
      <c r="AH5" s="715">
        <f t="shared" ref="AH5" si="25">AG5+1</f>
        <v>32</v>
      </c>
      <c r="AI5" s="715">
        <f t="shared" ref="AI5" si="26">AH5+1</f>
        <v>33</v>
      </c>
      <c r="AJ5" s="715">
        <f t="shared" ref="AJ5" si="27">AI5+1</f>
        <v>34</v>
      </c>
      <c r="AK5" s="715">
        <f t="shared" ref="AK5" si="28">AJ5+1</f>
        <v>35</v>
      </c>
      <c r="AL5" s="715">
        <f t="shared" ref="AL5" si="29">AK5+1</f>
        <v>36</v>
      </c>
      <c r="AM5" s="715">
        <f t="shared" ref="AM5" si="30">AL5+1</f>
        <v>37</v>
      </c>
      <c r="AN5" s="715">
        <f t="shared" ref="AN5" si="31">AM5+1</f>
        <v>38</v>
      </c>
      <c r="AO5" s="715">
        <f t="shared" ref="AO5" si="32">AN5+1</f>
        <v>39</v>
      </c>
      <c r="AP5" s="715">
        <f t="shared" ref="AP5" si="33">AO5+1</f>
        <v>40</v>
      </c>
      <c r="AQ5" s="715">
        <f t="shared" ref="AQ5" si="34">AP5+1</f>
        <v>41</v>
      </c>
      <c r="AR5" s="715">
        <f t="shared" ref="AR5" si="35">AQ5+1</f>
        <v>42</v>
      </c>
      <c r="AS5" s="715">
        <f t="shared" si="0"/>
        <v>43</v>
      </c>
    </row>
    <row r="6" spans="1:60" s="1648" customFormat="1">
      <c r="A6" s="1641"/>
      <c r="B6" s="1650"/>
      <c r="C6" s="1651" t="s">
        <v>895</v>
      </c>
      <c r="D6" s="1651" t="s">
        <v>916</v>
      </c>
      <c r="E6" s="1651"/>
      <c r="F6" s="1651" t="s">
        <v>896</v>
      </c>
      <c r="G6" s="1651" t="s">
        <v>896</v>
      </c>
      <c r="H6" s="1651" t="s">
        <v>896</v>
      </c>
      <c r="I6" s="1651" t="s">
        <v>896</v>
      </c>
      <c r="J6" s="1651" t="s">
        <v>914</v>
      </c>
      <c r="K6" s="1651" t="s">
        <v>896</v>
      </c>
      <c r="L6" s="1651" t="s">
        <v>896</v>
      </c>
      <c r="M6" s="1651" t="s">
        <v>896</v>
      </c>
      <c r="N6" s="1651" t="s">
        <v>896</v>
      </c>
      <c r="O6" s="1651" t="s">
        <v>896</v>
      </c>
      <c r="P6" s="1651" t="s">
        <v>896</v>
      </c>
      <c r="Q6" s="1651" t="s">
        <v>896</v>
      </c>
      <c r="R6" s="1651" t="s">
        <v>896</v>
      </c>
      <c r="S6" s="1651" t="s">
        <v>896</v>
      </c>
      <c r="T6" s="1651" t="s">
        <v>914</v>
      </c>
      <c r="U6" s="1651" t="s">
        <v>914</v>
      </c>
      <c r="V6" s="1651" t="s">
        <v>915</v>
      </c>
      <c r="W6" s="1651"/>
      <c r="X6" s="1651"/>
      <c r="Y6" s="1651"/>
      <c r="Z6" s="1651"/>
      <c r="AA6" s="1651"/>
      <c r="AB6" s="1651"/>
      <c r="AC6" s="1651"/>
      <c r="AD6" s="1651"/>
      <c r="AE6" s="1651"/>
      <c r="AF6" s="1651"/>
      <c r="AG6" s="1651"/>
      <c r="AH6" s="1651"/>
      <c r="AI6" s="1651"/>
      <c r="AJ6" s="1651"/>
      <c r="AK6" s="1651"/>
      <c r="AL6" s="1651"/>
      <c r="AM6" s="1651"/>
      <c r="AN6" s="1651"/>
      <c r="AO6" s="1651"/>
      <c r="AP6" s="1651"/>
      <c r="AQ6" s="1651"/>
      <c r="AR6" s="1651"/>
      <c r="AS6" s="1645"/>
    </row>
    <row r="7" spans="1:60">
      <c r="A7" s="99">
        <v>1</v>
      </c>
      <c r="B7" s="301" t="s">
        <v>92</v>
      </c>
      <c r="C7" s="310">
        <f>'Table 2_State Distrib and Adjs'!AD8</f>
        <v>4507891</v>
      </c>
      <c r="D7" s="356"/>
      <c r="E7" s="356"/>
      <c r="F7" s="356">
        <f>-'Table 5C1A-Madison Prep'!AH8</f>
        <v>0</v>
      </c>
      <c r="G7" s="356">
        <f>-'Table 5C1B-DArbonne'!AH8</f>
        <v>0</v>
      </c>
      <c r="H7" s="356">
        <f>-'Table 5C1C-Intl_VIBE'!AH8</f>
        <v>0</v>
      </c>
      <c r="I7" s="356">
        <f>-'Table 5C1D-NOMMA'!AH8</f>
        <v>0</v>
      </c>
      <c r="J7" s="356">
        <f>-'Table 5C1E-LFNO'!AJ8</f>
        <v>0</v>
      </c>
      <c r="K7" s="356">
        <f>-'Table 5C1F-Lake Charles Charter'!AH8</f>
        <v>0</v>
      </c>
      <c r="L7" s="356">
        <f>-'Table 5C1G-JS Clark Academy'!AH8</f>
        <v>0</v>
      </c>
      <c r="M7" s="356">
        <f>-'Table 5C1H-Southwest LA Charter'!AH8</f>
        <v>0</v>
      </c>
      <c r="N7" s="356">
        <f>-'Table 5C1I-LA Key Academy'!AH8</f>
        <v>0</v>
      </c>
      <c r="O7" s="356">
        <f>-'Table 5C1J-Jefferson Chamber'!AH8</f>
        <v>0</v>
      </c>
      <c r="P7" s="356">
        <f>-'Table 5C1K-Tallulah Charter'!AH8</f>
        <v>0</v>
      </c>
      <c r="Q7" s="356">
        <f>-'Table 5C1L-Northshore Charter'!AH8</f>
        <v>0</v>
      </c>
      <c r="R7" s="356">
        <f>-'Table 5C1M-B.R. Charter'!AH8</f>
        <v>0</v>
      </c>
      <c r="S7" s="356">
        <f>-'Table 5C1N-Delta Charter'!AH8</f>
        <v>0</v>
      </c>
      <c r="T7" s="356">
        <f>-'Table 5C2 - LA Virtual Admy'!AI6</f>
        <v>-283</v>
      </c>
      <c r="U7" s="356">
        <f>-'Table 5C3 - LA Connections EBR'!AI6</f>
        <v>-2235</v>
      </c>
      <c r="V7" s="356">
        <f>-'Table 5E_OJJ'!V8</f>
        <v>-371</v>
      </c>
      <c r="W7" s="1378">
        <f t="shared" ref="W7:W38" si="36">SUM(D7:V7)</f>
        <v>-2889</v>
      </c>
      <c r="X7" s="717">
        <f t="shared" ref="X7:X38" si="37">C7+W7</f>
        <v>4505002</v>
      </c>
      <c r="Y7" s="356"/>
      <c r="Z7" s="356"/>
      <c r="AA7" s="356"/>
      <c r="AB7" s="356">
        <f>'Table 5C1A-Madison Prep'!AN8</f>
        <v>0</v>
      </c>
      <c r="AC7" s="356">
        <f>'Table 5C1B-DArbonne'!AN8</f>
        <v>0</v>
      </c>
      <c r="AD7" s="356">
        <f>'Table 5C1C-Intl_VIBE'!AN8</f>
        <v>0</v>
      </c>
      <c r="AE7" s="356">
        <f>'Table 5C1D-NOMMA'!AN8</f>
        <v>0</v>
      </c>
      <c r="AF7" s="356">
        <f>'Table 5C1E-LFNO'!AP8</f>
        <v>0</v>
      </c>
      <c r="AG7" s="1378">
        <f>'Table 5C1F-Lake Charles Charter'!AN8</f>
        <v>0</v>
      </c>
      <c r="AH7" s="356">
        <f>'Table 5C1G-JS Clark Academy'!AN8</f>
        <v>0</v>
      </c>
      <c r="AI7" s="356">
        <f>'Table 5C1H-Southwest LA Charter'!AN8</f>
        <v>0</v>
      </c>
      <c r="AJ7" s="356">
        <f>'Table 5C1I-LA Key Academy'!AN8</f>
        <v>0</v>
      </c>
      <c r="AK7" s="356">
        <f>'Table 5C1J-Jefferson Chamber'!AN8</f>
        <v>0</v>
      </c>
      <c r="AL7" s="356">
        <f>'Table 5C1K-Tallulah Charter'!AN8</f>
        <v>0</v>
      </c>
      <c r="AM7" s="356">
        <f>'Table 5C1L-Northshore Charter'!AN8</f>
        <v>0</v>
      </c>
      <c r="AN7" s="356">
        <f>'Table 5C1M-B.R. Charter'!AN8</f>
        <v>0</v>
      </c>
      <c r="AO7" s="356">
        <f>'Table 5C1N-Delta Charter'!AN8</f>
        <v>0</v>
      </c>
      <c r="AP7" s="356">
        <f>'Table 5C2 - LA Virtual Admy'!AO6</f>
        <v>-20.290000000000006</v>
      </c>
      <c r="AQ7" s="356">
        <f>'Table 5C3 - LA Connections EBR'!AO6</f>
        <v>7.0674999999999955</v>
      </c>
      <c r="AR7" s="717">
        <f t="shared" ref="AR7:AR38" si="38">SUM(X7:AQ7)</f>
        <v>4504988.7774999999</v>
      </c>
      <c r="AS7" s="47"/>
      <c r="AY7"/>
      <c r="BH7"/>
    </row>
    <row r="8" spans="1:60">
      <c r="A8" s="99">
        <v>2</v>
      </c>
      <c r="B8" s="301" t="s">
        <v>93</v>
      </c>
      <c r="C8" s="310">
        <f>'Table 2_State Distrib and Adjs'!AD9</f>
        <v>2402458</v>
      </c>
      <c r="D8" s="356"/>
      <c r="E8" s="356"/>
      <c r="F8" s="356">
        <f>-'Table 5C1A-Madison Prep'!AH9</f>
        <v>0</v>
      </c>
      <c r="G8" s="356">
        <f>-'Table 5C1B-DArbonne'!AH9</f>
        <v>0</v>
      </c>
      <c r="H8" s="356">
        <f>-'Table 5C1C-Intl_VIBE'!AH9</f>
        <v>0</v>
      </c>
      <c r="I8" s="356">
        <f>-'Table 5C1D-NOMMA'!AH9</f>
        <v>0</v>
      </c>
      <c r="J8" s="356">
        <f>-'Table 5C1E-LFNO'!AJ9</f>
        <v>0</v>
      </c>
      <c r="K8" s="356">
        <f>-'Table 5C1F-Lake Charles Charter'!AH9</f>
        <v>0</v>
      </c>
      <c r="L8" s="356">
        <f>-'Table 5C1G-JS Clark Academy'!AH9</f>
        <v>0</v>
      </c>
      <c r="M8" s="356">
        <f>-'Table 5C1H-Southwest LA Charter'!AH9</f>
        <v>0</v>
      </c>
      <c r="N8" s="356">
        <f>-'Table 5C1I-LA Key Academy'!AH9</f>
        <v>0</v>
      </c>
      <c r="O8" s="356">
        <f>-'Table 5C1J-Jefferson Chamber'!AH9</f>
        <v>0</v>
      </c>
      <c r="P8" s="356">
        <f>-'Table 5C1K-Tallulah Charter'!AH9</f>
        <v>0</v>
      </c>
      <c r="Q8" s="356">
        <f>-'Table 5C1L-Northshore Charter'!AH9</f>
        <v>0</v>
      </c>
      <c r="R8" s="356">
        <f>-'Table 5C1M-B.R. Charter'!AH9</f>
        <v>0</v>
      </c>
      <c r="S8" s="356">
        <f>-'Table 5C1N-Delta Charter'!AH9</f>
        <v>0</v>
      </c>
      <c r="T8" s="356">
        <f>-'Table 5C2 - LA Virtual Admy'!AI7</f>
        <v>-714</v>
      </c>
      <c r="U8" s="356">
        <f>-'Table 5C3 - LA Connections EBR'!AI7</f>
        <v>-4477</v>
      </c>
      <c r="V8" s="356">
        <f>-'Table 5E_OJJ'!V9</f>
        <v>0</v>
      </c>
      <c r="W8" s="1378">
        <f t="shared" si="36"/>
        <v>-5191</v>
      </c>
      <c r="X8" s="717">
        <f t="shared" si="37"/>
        <v>2397267</v>
      </c>
      <c r="Y8" s="356"/>
      <c r="Z8" s="356"/>
      <c r="AA8" s="356"/>
      <c r="AB8" s="356">
        <f>'Table 5C1A-Madison Prep'!AN9</f>
        <v>0</v>
      </c>
      <c r="AC8" s="356">
        <f>'Table 5C1B-DArbonne'!AN9</f>
        <v>0</v>
      </c>
      <c r="AD8" s="356">
        <f>'Table 5C1C-Intl_VIBE'!AN9</f>
        <v>0</v>
      </c>
      <c r="AE8" s="356">
        <f>'Table 5C1D-NOMMA'!AN9</f>
        <v>0</v>
      </c>
      <c r="AF8" s="356">
        <f>'Table 5C1E-LFNO'!AP9</f>
        <v>0</v>
      </c>
      <c r="AG8" s="356">
        <f>'Table 5C1F-Lake Charles Charter'!AN9</f>
        <v>0</v>
      </c>
      <c r="AH8" s="356">
        <f>'Table 5C1G-JS Clark Academy'!AN9</f>
        <v>0</v>
      </c>
      <c r="AI8" s="356">
        <f>'Table 5C1H-Southwest LA Charter'!AN9</f>
        <v>0</v>
      </c>
      <c r="AJ8" s="356">
        <f>'Table 5C1I-LA Key Academy'!AN9</f>
        <v>0</v>
      </c>
      <c r="AK8" s="356">
        <f>'Table 5C1J-Jefferson Chamber'!AN9</f>
        <v>0</v>
      </c>
      <c r="AL8" s="356">
        <f>'Table 5C1K-Tallulah Charter'!AN9</f>
        <v>0</v>
      </c>
      <c r="AM8" s="356">
        <f>'Table 5C1L-Northshore Charter'!AN9</f>
        <v>0</v>
      </c>
      <c r="AN8" s="356">
        <f>'Table 5C1M-B.R. Charter'!AN9</f>
        <v>0</v>
      </c>
      <c r="AO8" s="356">
        <f>'Table 5C1N-Delta Charter'!AN9</f>
        <v>0</v>
      </c>
      <c r="AP8" s="356">
        <f>'Table 5C2 - LA Virtual Admy'!AO7</f>
        <v>-19.454249999999995</v>
      </c>
      <c r="AQ8" s="356">
        <f>'Table 5C3 - LA Connections EBR'!AO7</f>
        <v>-40.765874999999994</v>
      </c>
      <c r="AR8" s="717">
        <f t="shared" si="38"/>
        <v>2397206.779875</v>
      </c>
      <c r="AS8" s="47"/>
      <c r="AY8"/>
      <c r="BH8"/>
    </row>
    <row r="9" spans="1:60">
      <c r="A9" s="99">
        <v>3</v>
      </c>
      <c r="B9" s="301" t="s">
        <v>94</v>
      </c>
      <c r="C9" s="310">
        <f>'Table 2_State Distrib and Adjs'!AD10</f>
        <v>8658000</v>
      </c>
      <c r="D9" s="356"/>
      <c r="E9" s="356"/>
      <c r="F9" s="356">
        <f>-'Table 5C1A-Madison Prep'!AH10</f>
        <v>0</v>
      </c>
      <c r="G9" s="356">
        <f>-'Table 5C1B-DArbonne'!AH10</f>
        <v>0</v>
      </c>
      <c r="H9" s="356">
        <f>-'Table 5C1C-Intl_VIBE'!AH10</f>
        <v>0</v>
      </c>
      <c r="I9" s="356">
        <f>-'Table 5C1D-NOMMA'!AH10</f>
        <v>0</v>
      </c>
      <c r="J9" s="356">
        <f>-'Table 5C1E-LFNO'!AJ10</f>
        <v>0</v>
      </c>
      <c r="K9" s="356">
        <f>-'Table 5C1F-Lake Charles Charter'!AH10</f>
        <v>0</v>
      </c>
      <c r="L9" s="356">
        <f>-'Table 5C1G-JS Clark Academy'!AH10</f>
        <v>0</v>
      </c>
      <c r="M9" s="356">
        <f>-'Table 5C1H-Southwest LA Charter'!AH10</f>
        <v>0</v>
      </c>
      <c r="N9" s="356">
        <f>-'Table 5C1I-LA Key Academy'!AH10</f>
        <v>10197</v>
      </c>
      <c r="O9" s="356">
        <f>-'Table 5C1J-Jefferson Chamber'!AH10</f>
        <v>0</v>
      </c>
      <c r="P9" s="356">
        <f>-'Table 5C1K-Tallulah Charter'!AH10</f>
        <v>0</v>
      </c>
      <c r="Q9" s="356">
        <f>-'Table 5C1L-Northshore Charter'!AH10</f>
        <v>0</v>
      </c>
      <c r="R9" s="356">
        <f>-'Table 5C1M-B.R. Charter'!AH10</f>
        <v>-691</v>
      </c>
      <c r="S9" s="356">
        <f>-'Table 5C1N-Delta Charter'!AH10</f>
        <v>0</v>
      </c>
      <c r="T9" s="356">
        <f>-'Table 5C2 - LA Virtual Admy'!AI8</f>
        <v>-23537</v>
      </c>
      <c r="U9" s="356">
        <f>-'Table 5C3 - LA Connections EBR'!AI8</f>
        <v>-27777</v>
      </c>
      <c r="V9" s="356">
        <f>-'Table 5E_OJJ'!V10</f>
        <v>-379</v>
      </c>
      <c r="W9" s="1378">
        <f t="shared" si="36"/>
        <v>-42187</v>
      </c>
      <c r="X9" s="717">
        <f t="shared" si="37"/>
        <v>8615813</v>
      </c>
      <c r="Y9" s="356"/>
      <c r="Z9" s="356"/>
      <c r="AA9" s="356"/>
      <c r="AB9" s="356">
        <f>'Table 5C1A-Madison Prep'!AN10</f>
        <v>0</v>
      </c>
      <c r="AC9" s="356">
        <f>'Table 5C1B-DArbonne'!AN10</f>
        <v>0</v>
      </c>
      <c r="AD9" s="356">
        <f>'Table 5C1C-Intl_VIBE'!AN10</f>
        <v>0</v>
      </c>
      <c r="AE9" s="356">
        <f>'Table 5C1D-NOMMA'!AN10</f>
        <v>0</v>
      </c>
      <c r="AF9" s="356">
        <f>'Table 5C1E-LFNO'!AP10</f>
        <v>0</v>
      </c>
      <c r="AG9" s="356">
        <f>'Table 5C1F-Lake Charles Charter'!AN10</f>
        <v>0</v>
      </c>
      <c r="AH9" s="356">
        <f>'Table 5C1G-JS Clark Academy'!AN10</f>
        <v>0</v>
      </c>
      <c r="AI9" s="356">
        <f>'Table 5C1H-Southwest LA Charter'!AN10</f>
        <v>0</v>
      </c>
      <c r="AJ9" s="356">
        <f>'Table 5C1I-LA Key Academy'!AN10</f>
        <v>201.78999999999996</v>
      </c>
      <c r="AK9" s="356">
        <f>'Table 5C1J-Jefferson Chamber'!AN10</f>
        <v>0</v>
      </c>
      <c r="AL9" s="356">
        <f>'Table 5C1K-Tallulah Charter'!AN10</f>
        <v>0</v>
      </c>
      <c r="AM9" s="356">
        <f>'Table 5C1L-Northshore Charter'!AN10</f>
        <v>0</v>
      </c>
      <c r="AN9" s="356">
        <f>'Table 5C1M-B.R. Charter'!AN10</f>
        <v>-6.9225000000000003</v>
      </c>
      <c r="AO9" s="356">
        <f>'Table 5C1N-Delta Charter'!AN10</f>
        <v>0</v>
      </c>
      <c r="AP9" s="356">
        <f>'Table 5C2 - LA Virtual Admy'!AO8</f>
        <v>-165.17624999999998</v>
      </c>
      <c r="AQ9" s="356">
        <f>'Table 5C3 - LA Connections EBR'!AO8</f>
        <v>-168.42000000000002</v>
      </c>
      <c r="AR9" s="717">
        <f t="shared" si="38"/>
        <v>8615674.2712500002</v>
      </c>
      <c r="AS9" s="47"/>
      <c r="AY9"/>
      <c r="BH9"/>
    </row>
    <row r="10" spans="1:60">
      <c r="A10" s="99">
        <v>4</v>
      </c>
      <c r="B10" s="301" t="s">
        <v>95</v>
      </c>
      <c r="C10" s="310">
        <f>'Table 2_State Distrib and Adjs'!AD11</f>
        <v>2003246</v>
      </c>
      <c r="D10" s="356"/>
      <c r="E10" s="356"/>
      <c r="F10" s="356">
        <f>-'Table 5C1A-Madison Prep'!AH11</f>
        <v>0</v>
      </c>
      <c r="G10" s="356">
        <f>-'Table 5C1B-DArbonne'!AH11</f>
        <v>0</v>
      </c>
      <c r="H10" s="356">
        <f>-'Table 5C1C-Intl_VIBE'!AH11</f>
        <v>0</v>
      </c>
      <c r="I10" s="356">
        <f>-'Table 5C1D-NOMMA'!AH11</f>
        <v>0</v>
      </c>
      <c r="J10" s="356">
        <f>-'Table 5C1E-LFNO'!AJ11</f>
        <v>0</v>
      </c>
      <c r="K10" s="356">
        <f>-'Table 5C1F-Lake Charles Charter'!AH11</f>
        <v>0</v>
      </c>
      <c r="L10" s="356">
        <f>-'Table 5C1G-JS Clark Academy'!AH11</f>
        <v>0</v>
      </c>
      <c r="M10" s="356">
        <f>-'Table 5C1H-Southwest LA Charter'!AH11</f>
        <v>0</v>
      </c>
      <c r="N10" s="356">
        <f>-'Table 5C1I-LA Key Academy'!AH11</f>
        <v>0</v>
      </c>
      <c r="O10" s="356">
        <f>-'Table 5C1J-Jefferson Chamber'!AH11</f>
        <v>0</v>
      </c>
      <c r="P10" s="356">
        <f>-'Table 5C1K-Tallulah Charter'!AH11</f>
        <v>0</v>
      </c>
      <c r="Q10" s="356">
        <f>-'Table 5C1L-Northshore Charter'!AH11</f>
        <v>0</v>
      </c>
      <c r="R10" s="356">
        <f>-'Table 5C1M-B.R. Charter'!AH11</f>
        <v>0</v>
      </c>
      <c r="S10" s="356">
        <f>-'Table 5C1N-Delta Charter'!AH11</f>
        <v>0</v>
      </c>
      <c r="T10" s="356">
        <f>-'Table 5C2 - LA Virtual Admy'!AI9</f>
        <v>248</v>
      </c>
      <c r="U10" s="356">
        <f>-'Table 5C3 - LA Connections EBR'!AI9</f>
        <v>-1001</v>
      </c>
      <c r="V10" s="356">
        <f>-'Table 5E_OJJ'!V11</f>
        <v>-34</v>
      </c>
      <c r="W10" s="1378">
        <f t="shared" si="36"/>
        <v>-787</v>
      </c>
      <c r="X10" s="717">
        <f t="shared" si="37"/>
        <v>2002459</v>
      </c>
      <c r="Y10" s="356"/>
      <c r="Z10" s="356"/>
      <c r="AA10" s="356"/>
      <c r="AB10" s="356">
        <f>'Table 5C1A-Madison Prep'!AN11</f>
        <v>0</v>
      </c>
      <c r="AC10" s="356">
        <f>'Table 5C1B-DArbonne'!AN11</f>
        <v>0</v>
      </c>
      <c r="AD10" s="356">
        <f>'Table 5C1C-Intl_VIBE'!AN11</f>
        <v>0</v>
      </c>
      <c r="AE10" s="356">
        <f>'Table 5C1D-NOMMA'!AN11</f>
        <v>0</v>
      </c>
      <c r="AF10" s="356">
        <f>'Table 5C1E-LFNO'!AP11</f>
        <v>0</v>
      </c>
      <c r="AG10" s="356">
        <f>'Table 5C1F-Lake Charles Charter'!AN11</f>
        <v>0</v>
      </c>
      <c r="AH10" s="356">
        <f>'Table 5C1G-JS Clark Academy'!AN11</f>
        <v>0</v>
      </c>
      <c r="AI10" s="356">
        <f>'Table 5C1H-Southwest LA Charter'!AN11</f>
        <v>0</v>
      </c>
      <c r="AJ10" s="356">
        <f>'Table 5C1I-LA Key Academy'!AN11</f>
        <v>0</v>
      </c>
      <c r="AK10" s="356">
        <f>'Table 5C1J-Jefferson Chamber'!AN11</f>
        <v>0</v>
      </c>
      <c r="AL10" s="356">
        <f>'Table 5C1K-Tallulah Charter'!AN11</f>
        <v>0</v>
      </c>
      <c r="AM10" s="356">
        <f>'Table 5C1L-Northshore Charter'!AN11</f>
        <v>0</v>
      </c>
      <c r="AN10" s="356">
        <f>'Table 5C1M-B.R. Charter'!AN11</f>
        <v>0</v>
      </c>
      <c r="AO10" s="356">
        <f>'Table 5C1N-Delta Charter'!AN11</f>
        <v>0</v>
      </c>
      <c r="AP10" s="356">
        <f>'Table 5C2 - LA Virtual Admy'!AO9</f>
        <v>8.1638749999999973</v>
      </c>
      <c r="AQ10" s="356">
        <f>'Table 5C3 - LA Connections EBR'!AO9</f>
        <v>-3.6722500000000053</v>
      </c>
      <c r="AR10" s="717">
        <f t="shared" si="38"/>
        <v>2002463.491625</v>
      </c>
      <c r="AS10" s="47"/>
      <c r="AY10"/>
      <c r="BH10"/>
    </row>
    <row r="11" spans="1:60">
      <c r="A11" s="100">
        <v>5</v>
      </c>
      <c r="B11" s="302" t="s">
        <v>96</v>
      </c>
      <c r="C11" s="318">
        <f>'Table 2_State Distrib and Adjs'!AD12</f>
        <v>2518581</v>
      </c>
      <c r="D11" s="357"/>
      <c r="E11" s="357"/>
      <c r="F11" s="357">
        <f>-'Table 5C1A-Madison Prep'!AH12</f>
        <v>0</v>
      </c>
      <c r="G11" s="357">
        <f>-'Table 5C1B-DArbonne'!AH12</f>
        <v>0</v>
      </c>
      <c r="H11" s="357">
        <f>-'Table 5C1C-Intl_VIBE'!AH12</f>
        <v>0</v>
      </c>
      <c r="I11" s="357">
        <f>-'Table 5C1D-NOMMA'!AH12</f>
        <v>0</v>
      </c>
      <c r="J11" s="357">
        <f>-'Table 5C1E-LFNO'!AJ12</f>
        <v>0</v>
      </c>
      <c r="K11" s="357">
        <f>-'Table 5C1F-Lake Charles Charter'!AH12</f>
        <v>0</v>
      </c>
      <c r="L11" s="357">
        <f>-'Table 5C1G-JS Clark Academy'!AH12</f>
        <v>0</v>
      </c>
      <c r="M11" s="357">
        <f>-'Table 5C1H-Southwest LA Charter'!AH12</f>
        <v>0</v>
      </c>
      <c r="N11" s="357">
        <f>-'Table 5C1I-LA Key Academy'!AH12</f>
        <v>0</v>
      </c>
      <c r="O11" s="357">
        <f>-'Table 5C1J-Jefferson Chamber'!AH12</f>
        <v>0</v>
      </c>
      <c r="P11" s="357">
        <f>-'Table 5C1K-Tallulah Charter'!AH12</f>
        <v>0</v>
      </c>
      <c r="Q11" s="357">
        <f>-'Table 5C1L-Northshore Charter'!AH12</f>
        <v>0</v>
      </c>
      <c r="R11" s="357">
        <f>-'Table 5C1M-B.R. Charter'!AH12</f>
        <v>0</v>
      </c>
      <c r="S11" s="357">
        <f>-'Table 5C1N-Delta Charter'!AH12</f>
        <v>0</v>
      </c>
      <c r="T11" s="357">
        <f>-'Table 5C2 - LA Virtual Admy'!AI10</f>
        <v>-7195</v>
      </c>
      <c r="U11" s="357">
        <f>-'Table 5C3 - LA Connections EBR'!AI10</f>
        <v>-2418</v>
      </c>
      <c r="V11" s="357">
        <f>-'Table 5E_OJJ'!V12</f>
        <v>-322</v>
      </c>
      <c r="W11" s="357">
        <f t="shared" si="36"/>
        <v>-9935</v>
      </c>
      <c r="X11" s="718">
        <f t="shared" si="37"/>
        <v>2508646</v>
      </c>
      <c r="Y11" s="357"/>
      <c r="Z11" s="357"/>
      <c r="AA11" s="357"/>
      <c r="AB11" s="357">
        <f>'Table 5C1A-Madison Prep'!AN12</f>
        <v>0</v>
      </c>
      <c r="AC11" s="357">
        <f>'Table 5C1B-DArbonne'!AN12</f>
        <v>0</v>
      </c>
      <c r="AD11" s="357">
        <f>'Table 5C1C-Intl_VIBE'!AN12</f>
        <v>0</v>
      </c>
      <c r="AE11" s="357">
        <f>'Table 5C1D-NOMMA'!AN12</f>
        <v>0</v>
      </c>
      <c r="AF11" s="357">
        <f>'Table 5C1E-LFNO'!AP12</f>
        <v>0</v>
      </c>
      <c r="AG11" s="357">
        <f>'Table 5C1F-Lake Charles Charter'!AN12</f>
        <v>0</v>
      </c>
      <c r="AH11" s="357">
        <f>'Table 5C1G-JS Clark Academy'!AN12</f>
        <v>0</v>
      </c>
      <c r="AI11" s="357">
        <f>'Table 5C1H-Southwest LA Charter'!AN12</f>
        <v>0</v>
      </c>
      <c r="AJ11" s="357">
        <f>'Table 5C1I-LA Key Academy'!AN12</f>
        <v>0</v>
      </c>
      <c r="AK11" s="357">
        <f>'Table 5C1J-Jefferson Chamber'!AN12</f>
        <v>0</v>
      </c>
      <c r="AL11" s="357">
        <f>'Table 5C1K-Tallulah Charter'!AN12</f>
        <v>0</v>
      </c>
      <c r="AM11" s="357">
        <f>'Table 5C1L-Northshore Charter'!AN12</f>
        <v>0</v>
      </c>
      <c r="AN11" s="357">
        <f>'Table 5C1M-B.R. Charter'!AN12</f>
        <v>0</v>
      </c>
      <c r="AO11" s="357">
        <f>'Table 5C1N-Delta Charter'!AN12</f>
        <v>0</v>
      </c>
      <c r="AP11" s="357">
        <f>'Table 5C2 - LA Virtual Admy'!AO10</f>
        <v>-54.764749999999992</v>
      </c>
      <c r="AQ11" s="357">
        <f>'Table 5C3 - LA Connections EBR'!AO10</f>
        <v>-6.015500000000003</v>
      </c>
      <c r="AR11" s="718">
        <f t="shared" si="38"/>
        <v>2508585.2197499997</v>
      </c>
      <c r="AS11" s="47"/>
      <c r="AY11"/>
      <c r="BH11"/>
    </row>
    <row r="12" spans="1:60">
      <c r="A12" s="99">
        <v>6</v>
      </c>
      <c r="B12" s="301" t="s">
        <v>97</v>
      </c>
      <c r="C12" s="310">
        <f>'Table 2_State Distrib and Adjs'!AD13</f>
        <v>2769887</v>
      </c>
      <c r="D12" s="356"/>
      <c r="E12" s="356"/>
      <c r="F12" s="356">
        <f>-'Table 5C1A-Madison Prep'!AH13</f>
        <v>0</v>
      </c>
      <c r="G12" s="356">
        <f>-'Table 5C1B-DArbonne'!AH13</f>
        <v>0</v>
      </c>
      <c r="H12" s="356">
        <f>-'Table 5C1C-Intl_VIBE'!AH13</f>
        <v>0</v>
      </c>
      <c r="I12" s="356">
        <f>-'Table 5C1D-NOMMA'!AH13</f>
        <v>0</v>
      </c>
      <c r="J12" s="356">
        <f>-'Table 5C1E-LFNO'!AJ13</f>
        <v>0</v>
      </c>
      <c r="K12" s="356">
        <f>-'Table 5C1F-Lake Charles Charter'!AH13</f>
        <v>0</v>
      </c>
      <c r="L12" s="356">
        <f>-'Table 5C1G-JS Clark Academy'!AH13</f>
        <v>0</v>
      </c>
      <c r="M12" s="356">
        <f>-'Table 5C1H-Southwest LA Charter'!AH13</f>
        <v>0</v>
      </c>
      <c r="N12" s="356">
        <f>-'Table 5C1I-LA Key Academy'!AH13</f>
        <v>0</v>
      </c>
      <c r="O12" s="356">
        <f>-'Table 5C1J-Jefferson Chamber'!AH13</f>
        <v>0</v>
      </c>
      <c r="P12" s="356">
        <f>-'Table 5C1K-Tallulah Charter'!AH13</f>
        <v>0</v>
      </c>
      <c r="Q12" s="356">
        <f>-'Table 5C1L-Northshore Charter'!AH13</f>
        <v>0</v>
      </c>
      <c r="R12" s="356">
        <f>-'Table 5C1M-B.R. Charter'!AH13</f>
        <v>0</v>
      </c>
      <c r="S12" s="356">
        <f>-'Table 5C1N-Delta Charter'!AH13</f>
        <v>0</v>
      </c>
      <c r="T12" s="356">
        <f>-'Table 5C2 - LA Virtual Admy'!AI11</f>
        <v>-4946</v>
      </c>
      <c r="U12" s="356">
        <f>-'Table 5C3 - LA Connections EBR'!AI11</f>
        <v>4028</v>
      </c>
      <c r="V12" s="356">
        <f>-'Table 5E_OJJ'!V13</f>
        <v>-569</v>
      </c>
      <c r="W12" s="1378">
        <f t="shared" si="36"/>
        <v>-1487</v>
      </c>
      <c r="X12" s="717">
        <f t="shared" si="37"/>
        <v>2768400</v>
      </c>
      <c r="Y12" s="356"/>
      <c r="Z12" s="356"/>
      <c r="AA12" s="356"/>
      <c r="AB12" s="356">
        <f>'Table 5C1A-Madison Prep'!AN13</f>
        <v>0</v>
      </c>
      <c r="AC12" s="356">
        <f>'Table 5C1B-DArbonne'!AN13</f>
        <v>0</v>
      </c>
      <c r="AD12" s="356">
        <f>'Table 5C1C-Intl_VIBE'!AN13</f>
        <v>0</v>
      </c>
      <c r="AE12" s="356">
        <f>'Table 5C1D-NOMMA'!AN13</f>
        <v>0</v>
      </c>
      <c r="AF12" s="356">
        <f>'Table 5C1E-LFNO'!AP13</f>
        <v>0</v>
      </c>
      <c r="AG12" s="356">
        <f>'Table 5C1F-Lake Charles Charter'!AN13</f>
        <v>0</v>
      </c>
      <c r="AH12" s="356">
        <f>'Table 5C1G-JS Clark Academy'!AN13</f>
        <v>0</v>
      </c>
      <c r="AI12" s="356">
        <f>'Table 5C1H-Southwest LA Charter'!AN13</f>
        <v>0</v>
      </c>
      <c r="AJ12" s="356">
        <f>'Table 5C1I-LA Key Academy'!AN13</f>
        <v>0</v>
      </c>
      <c r="AK12" s="356">
        <f>'Table 5C1J-Jefferson Chamber'!AN13</f>
        <v>0</v>
      </c>
      <c r="AL12" s="356">
        <f>'Table 5C1K-Tallulah Charter'!AN13</f>
        <v>0</v>
      </c>
      <c r="AM12" s="356">
        <f>'Table 5C1L-Northshore Charter'!AN13</f>
        <v>0</v>
      </c>
      <c r="AN12" s="356">
        <f>'Table 5C1M-B.R. Charter'!AN13</f>
        <v>0</v>
      </c>
      <c r="AO12" s="356">
        <f>'Table 5C1N-Delta Charter'!AN13</f>
        <v>0</v>
      </c>
      <c r="AP12" s="356">
        <f>'Table 5C2 - LA Virtual Admy'!AO11</f>
        <v>-64.168750000000017</v>
      </c>
      <c r="AQ12" s="356">
        <f>'Table 5C3 - LA Connections EBR'!AO11</f>
        <v>102.13249999999998</v>
      </c>
      <c r="AR12" s="717">
        <f t="shared" si="38"/>
        <v>2768437.9637499996</v>
      </c>
      <c r="AS12" s="47"/>
      <c r="AY12"/>
      <c r="BH12"/>
    </row>
    <row r="13" spans="1:60">
      <c r="A13" s="99">
        <v>7</v>
      </c>
      <c r="B13" s="301" t="s">
        <v>98</v>
      </c>
      <c r="C13" s="310">
        <f>'Table 2_State Distrib and Adjs'!AD14</f>
        <v>454594</v>
      </c>
      <c r="D13" s="356"/>
      <c r="E13" s="356"/>
      <c r="F13" s="356">
        <f>-'Table 5C1A-Madison Prep'!AH14</f>
        <v>0</v>
      </c>
      <c r="G13" s="356">
        <f>-'Table 5C1B-DArbonne'!AH14</f>
        <v>0</v>
      </c>
      <c r="H13" s="356">
        <f>-'Table 5C1C-Intl_VIBE'!AH14</f>
        <v>0</v>
      </c>
      <c r="I13" s="356">
        <f>-'Table 5C1D-NOMMA'!AH14</f>
        <v>0</v>
      </c>
      <c r="J13" s="356">
        <f>-'Table 5C1E-LFNO'!AJ14</f>
        <v>0</v>
      </c>
      <c r="K13" s="356">
        <f>-'Table 5C1F-Lake Charles Charter'!AH14</f>
        <v>0</v>
      </c>
      <c r="L13" s="356">
        <f>-'Table 5C1G-JS Clark Academy'!AH14</f>
        <v>0</v>
      </c>
      <c r="M13" s="356">
        <f>-'Table 5C1H-Southwest LA Charter'!AH14</f>
        <v>0</v>
      </c>
      <c r="N13" s="356">
        <f>-'Table 5C1I-LA Key Academy'!AH14</f>
        <v>0</v>
      </c>
      <c r="O13" s="356">
        <f>-'Table 5C1J-Jefferson Chamber'!AH14</f>
        <v>0</v>
      </c>
      <c r="P13" s="356">
        <f>-'Table 5C1K-Tallulah Charter'!AH14</f>
        <v>0</v>
      </c>
      <c r="Q13" s="356">
        <f>-'Table 5C1L-Northshore Charter'!AH14</f>
        <v>0</v>
      </c>
      <c r="R13" s="356">
        <f>-'Table 5C1M-B.R. Charter'!AH14</f>
        <v>0</v>
      </c>
      <c r="S13" s="356">
        <f>-'Table 5C1N-Delta Charter'!AH14</f>
        <v>0</v>
      </c>
      <c r="T13" s="356">
        <f>-'Table 5C2 - LA Virtual Admy'!AI12</f>
        <v>-3495</v>
      </c>
      <c r="U13" s="356">
        <f>-'Table 5C3 - LA Connections EBR'!AI12</f>
        <v>-2332</v>
      </c>
      <c r="V13" s="356">
        <f>-'Table 5E_OJJ'!V14</f>
        <v>-142</v>
      </c>
      <c r="W13" s="1378">
        <f t="shared" si="36"/>
        <v>-5969</v>
      </c>
      <c r="X13" s="717">
        <f t="shared" si="37"/>
        <v>448625</v>
      </c>
      <c r="Y13" s="356"/>
      <c r="Z13" s="356"/>
      <c r="AA13" s="356"/>
      <c r="AB13" s="356">
        <f>'Table 5C1A-Madison Prep'!AN14</f>
        <v>0</v>
      </c>
      <c r="AC13" s="356">
        <f>'Table 5C1B-DArbonne'!AN14</f>
        <v>0</v>
      </c>
      <c r="AD13" s="356">
        <f>'Table 5C1C-Intl_VIBE'!AN14</f>
        <v>0</v>
      </c>
      <c r="AE13" s="356">
        <f>'Table 5C1D-NOMMA'!AN14</f>
        <v>0</v>
      </c>
      <c r="AF13" s="356">
        <f>'Table 5C1E-LFNO'!AP14</f>
        <v>0</v>
      </c>
      <c r="AG13" s="356">
        <f>'Table 5C1F-Lake Charles Charter'!AN14</f>
        <v>0</v>
      </c>
      <c r="AH13" s="356">
        <f>'Table 5C1G-JS Clark Academy'!AN14</f>
        <v>0</v>
      </c>
      <c r="AI13" s="356">
        <f>'Table 5C1H-Southwest LA Charter'!AN14</f>
        <v>0</v>
      </c>
      <c r="AJ13" s="356">
        <f>'Table 5C1I-LA Key Academy'!AN14</f>
        <v>0</v>
      </c>
      <c r="AK13" s="356">
        <f>'Table 5C1J-Jefferson Chamber'!AN14</f>
        <v>0</v>
      </c>
      <c r="AL13" s="356">
        <f>'Table 5C1K-Tallulah Charter'!AN14</f>
        <v>0</v>
      </c>
      <c r="AM13" s="356">
        <f>'Table 5C1L-Northshore Charter'!AN14</f>
        <v>0</v>
      </c>
      <c r="AN13" s="356">
        <f>'Table 5C1M-B.R. Charter'!AN14</f>
        <v>0</v>
      </c>
      <c r="AO13" s="356">
        <f>'Table 5C1N-Delta Charter'!AN14</f>
        <v>0</v>
      </c>
      <c r="AP13" s="356">
        <f>'Table 5C2 - LA Virtual Admy'!AO12</f>
        <v>-70.589624999999984</v>
      </c>
      <c r="AQ13" s="356">
        <f>'Table 5C3 - LA Connections EBR'!AO12</f>
        <v>44.686500000000024</v>
      </c>
      <c r="AR13" s="717">
        <f t="shared" si="38"/>
        <v>448599.09687499999</v>
      </c>
      <c r="AS13" s="47"/>
      <c r="AY13"/>
      <c r="BH13"/>
    </row>
    <row r="14" spans="1:60">
      <c r="A14" s="99">
        <v>8</v>
      </c>
      <c r="B14" s="301" t="s">
        <v>99</v>
      </c>
      <c r="C14" s="310">
        <f>'Table 2_State Distrib and Adjs'!AD15</f>
        <v>9312957</v>
      </c>
      <c r="D14" s="356"/>
      <c r="E14" s="356"/>
      <c r="F14" s="356">
        <f>-'Table 5C1A-Madison Prep'!AH15</f>
        <v>0</v>
      </c>
      <c r="G14" s="356">
        <f>-'Table 5C1B-DArbonne'!AH15</f>
        <v>0</v>
      </c>
      <c r="H14" s="356">
        <f>-'Table 5C1C-Intl_VIBE'!AH15</f>
        <v>0</v>
      </c>
      <c r="I14" s="356">
        <f>-'Table 5C1D-NOMMA'!AH15</f>
        <v>0</v>
      </c>
      <c r="J14" s="356">
        <f>-'Table 5C1E-LFNO'!AJ15</f>
        <v>0</v>
      </c>
      <c r="K14" s="356">
        <f>-'Table 5C1F-Lake Charles Charter'!AH15</f>
        <v>0</v>
      </c>
      <c r="L14" s="356">
        <f>-'Table 5C1G-JS Clark Academy'!AH15</f>
        <v>0</v>
      </c>
      <c r="M14" s="356">
        <f>-'Table 5C1H-Southwest LA Charter'!AH15</f>
        <v>0</v>
      </c>
      <c r="N14" s="356">
        <f>-'Table 5C1I-LA Key Academy'!AH15</f>
        <v>0</v>
      </c>
      <c r="O14" s="356">
        <f>-'Table 5C1J-Jefferson Chamber'!AH15</f>
        <v>0</v>
      </c>
      <c r="P14" s="356">
        <f>-'Table 5C1K-Tallulah Charter'!AH15</f>
        <v>0</v>
      </c>
      <c r="Q14" s="356">
        <f>-'Table 5C1L-Northshore Charter'!AH15</f>
        <v>0</v>
      </c>
      <c r="R14" s="356">
        <f>-'Table 5C1M-B.R. Charter'!AH15</f>
        <v>0</v>
      </c>
      <c r="S14" s="356">
        <f>-'Table 5C1N-Delta Charter'!AH15</f>
        <v>0</v>
      </c>
      <c r="T14" s="356">
        <f>-'Table 5C2 - LA Virtual Admy'!AI13</f>
        <v>-13891</v>
      </c>
      <c r="U14" s="356">
        <f>-'Table 5C3 - LA Connections EBR'!AI13</f>
        <v>-9442</v>
      </c>
      <c r="V14" s="356">
        <f>-'Table 5E_OJJ'!V15</f>
        <v>-2799</v>
      </c>
      <c r="W14" s="1378">
        <f t="shared" si="36"/>
        <v>-26132</v>
      </c>
      <c r="X14" s="717">
        <f t="shared" si="37"/>
        <v>9286825</v>
      </c>
      <c r="Y14" s="356"/>
      <c r="Z14" s="356"/>
      <c r="AA14" s="356"/>
      <c r="AB14" s="356">
        <f>'Table 5C1A-Madison Prep'!AN15</f>
        <v>0</v>
      </c>
      <c r="AC14" s="356">
        <f>'Table 5C1B-DArbonne'!AN15</f>
        <v>0</v>
      </c>
      <c r="AD14" s="356">
        <f>'Table 5C1C-Intl_VIBE'!AN15</f>
        <v>0</v>
      </c>
      <c r="AE14" s="356">
        <f>'Table 5C1D-NOMMA'!AN15</f>
        <v>0</v>
      </c>
      <c r="AF14" s="356">
        <f>'Table 5C1E-LFNO'!AP15</f>
        <v>0</v>
      </c>
      <c r="AG14" s="356">
        <f>'Table 5C1F-Lake Charles Charter'!AN15</f>
        <v>0</v>
      </c>
      <c r="AH14" s="356">
        <f>'Table 5C1G-JS Clark Academy'!AN15</f>
        <v>0</v>
      </c>
      <c r="AI14" s="356">
        <f>'Table 5C1H-Southwest LA Charter'!AN15</f>
        <v>0</v>
      </c>
      <c r="AJ14" s="356">
        <f>'Table 5C1I-LA Key Academy'!AN15</f>
        <v>0</v>
      </c>
      <c r="AK14" s="356">
        <f>'Table 5C1J-Jefferson Chamber'!AN15</f>
        <v>0</v>
      </c>
      <c r="AL14" s="356">
        <f>'Table 5C1K-Tallulah Charter'!AN15</f>
        <v>0</v>
      </c>
      <c r="AM14" s="356">
        <f>'Table 5C1L-Northshore Charter'!AN15</f>
        <v>0</v>
      </c>
      <c r="AN14" s="356">
        <f>'Table 5C1M-B.R. Charter'!AN15</f>
        <v>0</v>
      </c>
      <c r="AO14" s="356">
        <f>'Table 5C1N-Delta Charter'!AN15</f>
        <v>0</v>
      </c>
      <c r="AP14" s="356">
        <f>'Table 5C2 - LA Virtual Admy'!AO13</f>
        <v>-324.59650000000011</v>
      </c>
      <c r="AQ14" s="356">
        <f>'Table 5C3 - LA Connections EBR'!AO13</f>
        <v>37.079999999999984</v>
      </c>
      <c r="AR14" s="717">
        <f t="shared" si="38"/>
        <v>9286537.4835000001</v>
      </c>
      <c r="AS14" s="47"/>
      <c r="AY14"/>
      <c r="BH14"/>
    </row>
    <row r="15" spans="1:60">
      <c r="A15" s="99">
        <v>9</v>
      </c>
      <c r="B15" s="301" t="s">
        <v>100</v>
      </c>
      <c r="C15" s="310">
        <f>'Table 2_State Distrib and Adjs'!AD16</f>
        <v>16903795</v>
      </c>
      <c r="D15" s="356">
        <f>-'Table 5B2_RSD_LA'!AN30</f>
        <v>-223084</v>
      </c>
      <c r="E15" s="356"/>
      <c r="F15" s="356">
        <f>-'Table 5C1A-Madison Prep'!AH16</f>
        <v>0</v>
      </c>
      <c r="G15" s="356">
        <f>-'Table 5C1B-DArbonne'!AH16</f>
        <v>0</v>
      </c>
      <c r="H15" s="356">
        <f>-'Table 5C1C-Intl_VIBE'!AH16</f>
        <v>0</v>
      </c>
      <c r="I15" s="356">
        <f>-'Table 5C1D-NOMMA'!AH16</f>
        <v>0</v>
      </c>
      <c r="J15" s="356">
        <f>-'Table 5C1E-LFNO'!AJ16</f>
        <v>0</v>
      </c>
      <c r="K15" s="356">
        <f>-'Table 5C1F-Lake Charles Charter'!AH16</f>
        <v>0</v>
      </c>
      <c r="L15" s="356">
        <f>-'Table 5C1G-JS Clark Academy'!AH16</f>
        <v>0</v>
      </c>
      <c r="M15" s="356">
        <f>-'Table 5C1H-Southwest LA Charter'!AH16</f>
        <v>0</v>
      </c>
      <c r="N15" s="356">
        <f>-'Table 5C1I-LA Key Academy'!AH16</f>
        <v>0</v>
      </c>
      <c r="O15" s="356">
        <f>-'Table 5C1J-Jefferson Chamber'!AH16</f>
        <v>0</v>
      </c>
      <c r="P15" s="356">
        <f>-'Table 5C1K-Tallulah Charter'!AH16</f>
        <v>0</v>
      </c>
      <c r="Q15" s="356">
        <f>-'Table 5C1L-Northshore Charter'!AH16</f>
        <v>0</v>
      </c>
      <c r="R15" s="356">
        <f>-'Table 5C1M-B.R. Charter'!AH16</f>
        <v>0</v>
      </c>
      <c r="S15" s="356">
        <f>-'Table 5C1N-Delta Charter'!AH16</f>
        <v>0</v>
      </c>
      <c r="T15" s="356">
        <f>-'Table 5C2 - LA Virtual Admy'!AI14</f>
        <v>-33677</v>
      </c>
      <c r="U15" s="356">
        <f>-'Table 5C3 - LA Connections EBR'!AI14</f>
        <v>-27429</v>
      </c>
      <c r="V15" s="356">
        <f>-'Table 5E_OJJ'!V16</f>
        <v>-12434</v>
      </c>
      <c r="W15" s="1378">
        <f t="shared" si="36"/>
        <v>-296624</v>
      </c>
      <c r="X15" s="717">
        <f t="shared" si="37"/>
        <v>16607171</v>
      </c>
      <c r="Y15" s="356">
        <f>'Table 5B2_RSD_LA'!AG51</f>
        <v>-1107.5050000000047</v>
      </c>
      <c r="Z15" s="356">
        <f>'Table 5B2_RSD_LA'!AH51</f>
        <v>-158.21500000000015</v>
      </c>
      <c r="AA15" s="356"/>
      <c r="AB15" s="356">
        <f>'Table 5C1A-Madison Prep'!AN16</f>
        <v>0</v>
      </c>
      <c r="AC15" s="356">
        <f>'Table 5C1B-DArbonne'!AN16</f>
        <v>0</v>
      </c>
      <c r="AD15" s="356">
        <f>'Table 5C1C-Intl_VIBE'!AN16</f>
        <v>0</v>
      </c>
      <c r="AE15" s="356">
        <f>'Table 5C1D-NOMMA'!AN16</f>
        <v>0</v>
      </c>
      <c r="AF15" s="356">
        <f>'Table 5C1E-LFNO'!AP16</f>
        <v>0</v>
      </c>
      <c r="AG15" s="356">
        <f>'Table 5C1F-Lake Charles Charter'!AN16</f>
        <v>0</v>
      </c>
      <c r="AH15" s="356">
        <f>'Table 5C1G-JS Clark Academy'!AN16</f>
        <v>0</v>
      </c>
      <c r="AI15" s="356">
        <f>'Table 5C1H-Southwest LA Charter'!AN16</f>
        <v>0</v>
      </c>
      <c r="AJ15" s="356">
        <f>'Table 5C1I-LA Key Academy'!AN16</f>
        <v>0</v>
      </c>
      <c r="AK15" s="356">
        <f>'Table 5C1J-Jefferson Chamber'!AN16</f>
        <v>0</v>
      </c>
      <c r="AL15" s="356">
        <f>'Table 5C1K-Tallulah Charter'!AN16</f>
        <v>0</v>
      </c>
      <c r="AM15" s="356">
        <f>'Table 5C1L-Northshore Charter'!AN16</f>
        <v>0</v>
      </c>
      <c r="AN15" s="356">
        <f>'Table 5C1M-B.R. Charter'!AN16</f>
        <v>0</v>
      </c>
      <c r="AO15" s="356">
        <f>'Table 5C1N-Delta Charter'!AN16</f>
        <v>0</v>
      </c>
      <c r="AP15" s="356">
        <f>'Table 5C2 - LA Virtual Admy'!AO14</f>
        <v>-93.708750000000123</v>
      </c>
      <c r="AQ15" s="356">
        <f>'Table 5C3 - LA Connections EBR'!AO14</f>
        <v>-49.104250000000093</v>
      </c>
      <c r="AR15" s="717">
        <f t="shared" si="38"/>
        <v>16605762.466999998</v>
      </c>
      <c r="AS15" s="47"/>
      <c r="AY15"/>
      <c r="BH15"/>
    </row>
    <row r="16" spans="1:60">
      <c r="A16" s="100">
        <v>10</v>
      </c>
      <c r="B16" s="302" t="s">
        <v>101</v>
      </c>
      <c r="C16" s="318">
        <f>'Table 2_State Distrib and Adjs'!AD17</f>
        <v>12507419</v>
      </c>
      <c r="D16" s="357"/>
      <c r="E16" s="357"/>
      <c r="F16" s="357">
        <f>-'Table 5C1A-Madison Prep'!AH17</f>
        <v>0</v>
      </c>
      <c r="G16" s="357">
        <f>-'Table 5C1B-DArbonne'!AH17</f>
        <v>0</v>
      </c>
      <c r="H16" s="357">
        <f>-'Table 5C1C-Intl_VIBE'!AH17</f>
        <v>0</v>
      </c>
      <c r="I16" s="357">
        <f>-'Table 5C1D-NOMMA'!AH17</f>
        <v>0</v>
      </c>
      <c r="J16" s="357">
        <f>-'Table 5C1E-LFNO'!AJ17</f>
        <v>0</v>
      </c>
      <c r="K16" s="357">
        <f>-'Table 5C1F-Lake Charles Charter'!AH17</f>
        <v>-411725</v>
      </c>
      <c r="L16" s="357">
        <f>-'Table 5C1G-JS Clark Academy'!AH17</f>
        <v>0</v>
      </c>
      <c r="M16" s="357">
        <f>-'Table 5C1H-Southwest LA Charter'!AH17</f>
        <v>-367587</v>
      </c>
      <c r="N16" s="357">
        <f>-'Table 5C1I-LA Key Academy'!AH17</f>
        <v>0</v>
      </c>
      <c r="O16" s="357">
        <f>-'Table 5C1J-Jefferson Chamber'!AH17</f>
        <v>0</v>
      </c>
      <c r="P16" s="357">
        <f>-'Table 5C1K-Tallulah Charter'!AH17</f>
        <v>0</v>
      </c>
      <c r="Q16" s="357">
        <f>-'Table 5C1L-Northshore Charter'!AH17</f>
        <v>0</v>
      </c>
      <c r="R16" s="357">
        <f>-'Table 5C1M-B.R. Charter'!AH17</f>
        <v>0</v>
      </c>
      <c r="S16" s="357">
        <f>-'Table 5C1N-Delta Charter'!AH17</f>
        <v>0</v>
      </c>
      <c r="T16" s="357">
        <f>-'Table 5C2 - LA Virtual Admy'!AI15</f>
        <v>-34593</v>
      </c>
      <c r="U16" s="357">
        <f>-'Table 5C3 - LA Connections EBR'!AI15</f>
        <v>-10384</v>
      </c>
      <c r="V16" s="357">
        <f>-'Table 5E_OJJ'!V17</f>
        <v>-4738</v>
      </c>
      <c r="W16" s="357">
        <f t="shared" si="36"/>
        <v>-829027</v>
      </c>
      <c r="X16" s="718">
        <f t="shared" si="37"/>
        <v>11678392</v>
      </c>
      <c r="Y16" s="357"/>
      <c r="Z16" s="357"/>
      <c r="AA16" s="357"/>
      <c r="AB16" s="357">
        <f>'Table 5C1A-Madison Prep'!AN17</f>
        <v>0</v>
      </c>
      <c r="AC16" s="357">
        <f>'Table 5C1B-DArbonne'!AN17</f>
        <v>0</v>
      </c>
      <c r="AD16" s="357">
        <f>'Table 5C1C-Intl_VIBE'!AN17</f>
        <v>0</v>
      </c>
      <c r="AE16" s="357">
        <f>'Table 5C1D-NOMMA'!AN17</f>
        <v>0</v>
      </c>
      <c r="AF16" s="357">
        <f>'Table 5C1E-LFNO'!AP17</f>
        <v>0</v>
      </c>
      <c r="AG16" s="357">
        <f>'Table 5C1F-Lake Charles Charter'!AN17</f>
        <v>-1303.8675000000003</v>
      </c>
      <c r="AH16" s="357">
        <f>'Table 5C1G-JS Clark Academy'!AN17</f>
        <v>0</v>
      </c>
      <c r="AI16" s="357">
        <f>'Table 5C1H-Southwest LA Charter'!AN17</f>
        <v>-1729.0649999999996</v>
      </c>
      <c r="AJ16" s="357">
        <f>'Table 5C1I-LA Key Academy'!AN17</f>
        <v>0</v>
      </c>
      <c r="AK16" s="357">
        <f>'Table 5C1J-Jefferson Chamber'!AN17</f>
        <v>0</v>
      </c>
      <c r="AL16" s="357">
        <f>'Table 5C1K-Tallulah Charter'!AN17</f>
        <v>0</v>
      </c>
      <c r="AM16" s="357">
        <f>'Table 5C1L-Northshore Charter'!AN17</f>
        <v>0</v>
      </c>
      <c r="AN16" s="357">
        <f>'Table 5C1M-B.R. Charter'!AN17</f>
        <v>0</v>
      </c>
      <c r="AO16" s="357">
        <f>'Table 5C1N-Delta Charter'!AN17</f>
        <v>0</v>
      </c>
      <c r="AP16" s="357">
        <f>'Table 5C2 - LA Virtual Admy'!AO15</f>
        <v>-193.8420000000001</v>
      </c>
      <c r="AQ16" s="357">
        <f>'Table 5C3 - LA Connections EBR'!AO15</f>
        <v>74.107749999999953</v>
      </c>
      <c r="AR16" s="718">
        <f t="shared" si="38"/>
        <v>11675239.333250001</v>
      </c>
      <c r="AS16" s="47"/>
      <c r="AY16"/>
      <c r="BH16"/>
    </row>
    <row r="17" spans="1:60">
      <c r="A17" s="99">
        <v>11</v>
      </c>
      <c r="B17" s="301" t="s">
        <v>102</v>
      </c>
      <c r="C17" s="310">
        <f>'Table 2_State Distrib and Adjs'!AD18</f>
        <v>1018323</v>
      </c>
      <c r="D17" s="356"/>
      <c r="E17" s="356"/>
      <c r="F17" s="356">
        <f>-'Table 5C1A-Madison Prep'!AH18</f>
        <v>0</v>
      </c>
      <c r="G17" s="356">
        <f>-'Table 5C1B-DArbonne'!AH18</f>
        <v>0</v>
      </c>
      <c r="H17" s="356">
        <f>-'Table 5C1C-Intl_VIBE'!AH18</f>
        <v>0</v>
      </c>
      <c r="I17" s="356">
        <f>-'Table 5C1D-NOMMA'!AH18</f>
        <v>0</v>
      </c>
      <c r="J17" s="356">
        <f>-'Table 5C1E-LFNO'!AJ18</f>
        <v>0</v>
      </c>
      <c r="K17" s="356">
        <f>-'Table 5C1F-Lake Charles Charter'!AH18</f>
        <v>0</v>
      </c>
      <c r="L17" s="356">
        <f>-'Table 5C1G-JS Clark Academy'!AH18</f>
        <v>0</v>
      </c>
      <c r="M17" s="356">
        <f>-'Table 5C1H-Southwest LA Charter'!AH18</f>
        <v>0</v>
      </c>
      <c r="N17" s="356">
        <f>-'Table 5C1I-LA Key Academy'!AH18</f>
        <v>0</v>
      </c>
      <c r="O17" s="356">
        <f>-'Table 5C1J-Jefferson Chamber'!AH18</f>
        <v>0</v>
      </c>
      <c r="P17" s="356">
        <f>-'Table 5C1K-Tallulah Charter'!AH18</f>
        <v>0</v>
      </c>
      <c r="Q17" s="356">
        <f>-'Table 5C1L-Northshore Charter'!AH18</f>
        <v>0</v>
      </c>
      <c r="R17" s="356">
        <f>-'Table 5C1M-B.R. Charter'!AH18</f>
        <v>0</v>
      </c>
      <c r="S17" s="356">
        <f>-'Table 5C1N-Delta Charter'!AH18</f>
        <v>0</v>
      </c>
      <c r="T17" s="356">
        <f>-'Table 5C2 - LA Virtual Admy'!AI16</f>
        <v>1161</v>
      </c>
      <c r="U17" s="356">
        <f>-'Table 5C3 - LA Connections EBR'!AI16</f>
        <v>247</v>
      </c>
      <c r="V17" s="356">
        <f>-'Table 5E_OJJ'!V18</f>
        <v>0</v>
      </c>
      <c r="W17" s="1378">
        <f t="shared" si="36"/>
        <v>1408</v>
      </c>
      <c r="X17" s="717">
        <f t="shared" si="37"/>
        <v>1019731</v>
      </c>
      <c r="Y17" s="356"/>
      <c r="Z17" s="356"/>
      <c r="AA17" s="356"/>
      <c r="AB17" s="356">
        <f>'Table 5C1A-Madison Prep'!AN18</f>
        <v>0</v>
      </c>
      <c r="AC17" s="356">
        <f>'Table 5C1B-DArbonne'!AN18</f>
        <v>0</v>
      </c>
      <c r="AD17" s="356">
        <f>'Table 5C1C-Intl_VIBE'!AN18</f>
        <v>0</v>
      </c>
      <c r="AE17" s="356">
        <f>'Table 5C1D-NOMMA'!AN18</f>
        <v>0</v>
      </c>
      <c r="AF17" s="356">
        <f>'Table 5C1E-LFNO'!AP18</f>
        <v>0</v>
      </c>
      <c r="AG17" s="356">
        <f>'Table 5C1F-Lake Charles Charter'!AN18</f>
        <v>0</v>
      </c>
      <c r="AH17" s="356">
        <f>'Table 5C1G-JS Clark Academy'!AN18</f>
        <v>0</v>
      </c>
      <c r="AI17" s="356">
        <f>'Table 5C1H-Southwest LA Charter'!AN18</f>
        <v>0</v>
      </c>
      <c r="AJ17" s="356">
        <f>'Table 5C1I-LA Key Academy'!AN18</f>
        <v>0</v>
      </c>
      <c r="AK17" s="356">
        <f>'Table 5C1J-Jefferson Chamber'!AN18</f>
        <v>0</v>
      </c>
      <c r="AL17" s="356">
        <f>'Table 5C1K-Tallulah Charter'!AN18</f>
        <v>0</v>
      </c>
      <c r="AM17" s="356">
        <f>'Table 5C1L-Northshore Charter'!AN18</f>
        <v>0</v>
      </c>
      <c r="AN17" s="356">
        <f>'Table 5C1M-B.R. Charter'!AN18</f>
        <v>0</v>
      </c>
      <c r="AO17" s="356">
        <f>'Table 5C1N-Delta Charter'!AN18</f>
        <v>0</v>
      </c>
      <c r="AP17" s="356">
        <f>'Table 5C2 - LA Virtual Admy'!AO16</f>
        <v>32.512</v>
      </c>
      <c r="AQ17" s="356">
        <f>'Table 5C3 - LA Connections EBR'!AO16</f>
        <v>7.5039999999999996</v>
      </c>
      <c r="AR17" s="717">
        <f t="shared" si="38"/>
        <v>1019771.0159999999</v>
      </c>
      <c r="AS17" s="47"/>
      <c r="AY17"/>
      <c r="BH17"/>
    </row>
    <row r="18" spans="1:60">
      <c r="A18" s="99">
        <v>12</v>
      </c>
      <c r="B18" s="301" t="s">
        <v>103</v>
      </c>
      <c r="C18" s="310">
        <f>'Table 2_State Distrib and Adjs'!AD19</f>
        <v>292309</v>
      </c>
      <c r="D18" s="356"/>
      <c r="E18" s="356"/>
      <c r="F18" s="356">
        <f>-'Table 5C1A-Madison Prep'!AH19</f>
        <v>0</v>
      </c>
      <c r="G18" s="356">
        <f>-'Table 5C1B-DArbonne'!AH19</f>
        <v>0</v>
      </c>
      <c r="H18" s="356">
        <f>-'Table 5C1C-Intl_VIBE'!AH19</f>
        <v>0</v>
      </c>
      <c r="I18" s="356">
        <f>-'Table 5C1D-NOMMA'!AH19</f>
        <v>0</v>
      </c>
      <c r="J18" s="356">
        <f>-'Table 5C1E-LFNO'!AJ19</f>
        <v>0</v>
      </c>
      <c r="K18" s="356">
        <f>-'Table 5C1F-Lake Charles Charter'!AH19</f>
        <v>0</v>
      </c>
      <c r="L18" s="356">
        <f>-'Table 5C1G-JS Clark Academy'!AH19</f>
        <v>0</v>
      </c>
      <c r="M18" s="356">
        <f>-'Table 5C1H-Southwest LA Charter'!AH19</f>
        <v>0</v>
      </c>
      <c r="N18" s="356">
        <f>-'Table 5C1I-LA Key Academy'!AH19</f>
        <v>0</v>
      </c>
      <c r="O18" s="356">
        <f>-'Table 5C1J-Jefferson Chamber'!AH19</f>
        <v>0</v>
      </c>
      <c r="P18" s="356">
        <f>-'Table 5C1K-Tallulah Charter'!AH19</f>
        <v>0</v>
      </c>
      <c r="Q18" s="356">
        <f>-'Table 5C1L-Northshore Charter'!AH19</f>
        <v>0</v>
      </c>
      <c r="R18" s="356">
        <f>-'Table 5C1M-B.R. Charter'!AH19</f>
        <v>0</v>
      </c>
      <c r="S18" s="356">
        <f>-'Table 5C1N-Delta Charter'!AH19</f>
        <v>0</v>
      </c>
      <c r="T18" s="356">
        <f>-'Table 5C2 - LA Virtual Admy'!AI17</f>
        <v>-2515</v>
      </c>
      <c r="U18" s="356">
        <f>-'Table 5C3 - LA Connections EBR'!AI17</f>
        <v>-928</v>
      </c>
      <c r="V18" s="356">
        <f>-'Table 5E_OJJ'!V19</f>
        <v>0</v>
      </c>
      <c r="W18" s="1378">
        <f t="shared" si="36"/>
        <v>-3443</v>
      </c>
      <c r="X18" s="717">
        <f t="shared" si="37"/>
        <v>288866</v>
      </c>
      <c r="Y18" s="356"/>
      <c r="Z18" s="356"/>
      <c r="AA18" s="356"/>
      <c r="AB18" s="356">
        <f>'Table 5C1A-Madison Prep'!AN19</f>
        <v>0</v>
      </c>
      <c r="AC18" s="356">
        <f>'Table 5C1B-DArbonne'!AN19</f>
        <v>0</v>
      </c>
      <c r="AD18" s="356">
        <f>'Table 5C1C-Intl_VIBE'!AN19</f>
        <v>0</v>
      </c>
      <c r="AE18" s="356">
        <f>'Table 5C1D-NOMMA'!AN19</f>
        <v>0</v>
      </c>
      <c r="AF18" s="356">
        <f>'Table 5C1E-LFNO'!AP19</f>
        <v>0</v>
      </c>
      <c r="AG18" s="356">
        <f>'Table 5C1F-Lake Charles Charter'!AN19</f>
        <v>0</v>
      </c>
      <c r="AH18" s="356">
        <f>'Table 5C1G-JS Clark Academy'!AN19</f>
        <v>0</v>
      </c>
      <c r="AI18" s="356">
        <f>'Table 5C1H-Southwest LA Charter'!AN19</f>
        <v>0</v>
      </c>
      <c r="AJ18" s="356">
        <f>'Table 5C1I-LA Key Academy'!AN19</f>
        <v>0</v>
      </c>
      <c r="AK18" s="356">
        <f>'Table 5C1J-Jefferson Chamber'!AN19</f>
        <v>0</v>
      </c>
      <c r="AL18" s="356">
        <f>'Table 5C1K-Tallulah Charter'!AN19</f>
        <v>0</v>
      </c>
      <c r="AM18" s="356">
        <f>'Table 5C1L-Northshore Charter'!AN19</f>
        <v>0</v>
      </c>
      <c r="AN18" s="356">
        <f>'Table 5C1M-B.R. Charter'!AN19</f>
        <v>0</v>
      </c>
      <c r="AO18" s="356">
        <f>'Table 5C1N-Delta Charter'!AN19</f>
        <v>0</v>
      </c>
      <c r="AP18" s="356">
        <f>'Table 5C2 - LA Virtual Admy'!AO17</f>
        <v>-44.928000000000004</v>
      </c>
      <c r="AQ18" s="356">
        <f>'Table 5C3 - LA Connections EBR'!AO17</f>
        <v>1.0479999999999983</v>
      </c>
      <c r="AR18" s="717">
        <f t="shared" si="38"/>
        <v>288822.12</v>
      </c>
      <c r="AS18" s="47"/>
      <c r="AY18"/>
      <c r="BH18"/>
    </row>
    <row r="19" spans="1:60">
      <c r="A19" s="99">
        <v>13</v>
      </c>
      <c r="B19" s="301" t="s">
        <v>104</v>
      </c>
      <c r="C19" s="310">
        <f>'Table 2_State Distrib and Adjs'!AD20</f>
        <v>760868</v>
      </c>
      <c r="D19" s="356"/>
      <c r="E19" s="356"/>
      <c r="F19" s="356">
        <f>-'Table 5C1A-Madison Prep'!AH20</f>
        <v>0</v>
      </c>
      <c r="G19" s="356">
        <f>-'Table 5C1B-DArbonne'!AH20</f>
        <v>0</v>
      </c>
      <c r="H19" s="356">
        <f>-'Table 5C1C-Intl_VIBE'!AH20</f>
        <v>0</v>
      </c>
      <c r="I19" s="356">
        <f>-'Table 5C1D-NOMMA'!AH20</f>
        <v>0</v>
      </c>
      <c r="J19" s="356">
        <f>-'Table 5C1E-LFNO'!AJ20</f>
        <v>0</v>
      </c>
      <c r="K19" s="356">
        <f>-'Table 5C1F-Lake Charles Charter'!AH20</f>
        <v>0</v>
      </c>
      <c r="L19" s="356">
        <f>-'Table 5C1G-JS Clark Academy'!AH20</f>
        <v>0</v>
      </c>
      <c r="M19" s="356">
        <f>-'Table 5C1H-Southwest LA Charter'!AH20</f>
        <v>0</v>
      </c>
      <c r="N19" s="356">
        <f>-'Table 5C1I-LA Key Academy'!AH20</f>
        <v>0</v>
      </c>
      <c r="O19" s="356">
        <f>-'Table 5C1J-Jefferson Chamber'!AH20</f>
        <v>0</v>
      </c>
      <c r="P19" s="356">
        <f>-'Table 5C1K-Tallulah Charter'!AH20</f>
        <v>0</v>
      </c>
      <c r="Q19" s="356">
        <f>-'Table 5C1L-Northshore Charter'!AH20</f>
        <v>0</v>
      </c>
      <c r="R19" s="356">
        <f>-'Table 5C1M-B.R. Charter'!AH20</f>
        <v>0</v>
      </c>
      <c r="S19" s="356">
        <f>-'Table 5C1N-Delta Charter'!AH20</f>
        <v>-9259</v>
      </c>
      <c r="T19" s="356">
        <f>-'Table 5C2 - LA Virtual Admy'!AI18</f>
        <v>825</v>
      </c>
      <c r="U19" s="356">
        <f>-'Table 5C3 - LA Connections EBR'!AI18</f>
        <v>-3962</v>
      </c>
      <c r="V19" s="356">
        <f>-'Table 5E_OJJ'!V20</f>
        <v>0</v>
      </c>
      <c r="W19" s="1378">
        <f t="shared" si="36"/>
        <v>-12396</v>
      </c>
      <c r="X19" s="717">
        <f t="shared" si="37"/>
        <v>748472</v>
      </c>
      <c r="Y19" s="356"/>
      <c r="Z19" s="356"/>
      <c r="AA19" s="356"/>
      <c r="AB19" s="356">
        <f>'Table 5C1A-Madison Prep'!AN20</f>
        <v>0</v>
      </c>
      <c r="AC19" s="356">
        <f>'Table 5C1B-DArbonne'!AN20</f>
        <v>0</v>
      </c>
      <c r="AD19" s="356">
        <f>'Table 5C1C-Intl_VIBE'!AN20</f>
        <v>0</v>
      </c>
      <c r="AE19" s="356">
        <f>'Table 5C1D-NOMMA'!AN20</f>
        <v>0</v>
      </c>
      <c r="AF19" s="356">
        <f>'Table 5C1E-LFNO'!AP20</f>
        <v>0</v>
      </c>
      <c r="AG19" s="356">
        <f>'Table 5C1F-Lake Charles Charter'!AN20</f>
        <v>0</v>
      </c>
      <c r="AH19" s="356">
        <f>'Table 5C1G-JS Clark Academy'!AN20</f>
        <v>0</v>
      </c>
      <c r="AI19" s="356">
        <f>'Table 5C1H-Southwest LA Charter'!AN20</f>
        <v>0</v>
      </c>
      <c r="AJ19" s="356">
        <f>'Table 5C1I-LA Key Academy'!AN20</f>
        <v>0</v>
      </c>
      <c r="AK19" s="356">
        <f>'Table 5C1J-Jefferson Chamber'!AN20</f>
        <v>0</v>
      </c>
      <c r="AL19" s="356">
        <f>'Table 5C1K-Tallulah Charter'!AN20</f>
        <v>0</v>
      </c>
      <c r="AM19" s="356">
        <f>'Table 5C1L-Northshore Charter'!AN20</f>
        <v>0</v>
      </c>
      <c r="AN19" s="356">
        <f>'Table 5C1M-B.R. Charter'!AN20</f>
        <v>0</v>
      </c>
      <c r="AO19" s="356">
        <f>'Table 5C1N-Delta Charter'!AN20</f>
        <v>-2.3400000000000318</v>
      </c>
      <c r="AP19" s="356">
        <f>'Table 5C2 - LA Virtual Admy'!AO18</f>
        <v>14.931750000000001</v>
      </c>
      <c r="AQ19" s="356">
        <f>'Table 5C3 - LA Connections EBR'!AO18</f>
        <v>-34.082875000000001</v>
      </c>
      <c r="AR19" s="717">
        <f t="shared" si="38"/>
        <v>748450.50887500006</v>
      </c>
      <c r="AS19" s="47"/>
      <c r="AY19"/>
      <c r="BH19"/>
    </row>
    <row r="20" spans="1:60">
      <c r="A20" s="99">
        <v>14</v>
      </c>
      <c r="B20" s="301" t="s">
        <v>105</v>
      </c>
      <c r="C20" s="310">
        <f>'Table 2_State Distrib and Adjs'!AD21</f>
        <v>658330</v>
      </c>
      <c r="D20" s="356"/>
      <c r="E20" s="356"/>
      <c r="F20" s="356">
        <f>-'Table 5C1A-Madison Prep'!AH21</f>
        <v>0</v>
      </c>
      <c r="G20" s="356">
        <f>-'Table 5C1B-DArbonne'!AH21</f>
        <v>-2154</v>
      </c>
      <c r="H20" s="356">
        <f>-'Table 5C1C-Intl_VIBE'!AH21</f>
        <v>0</v>
      </c>
      <c r="I20" s="356">
        <f>-'Table 5C1D-NOMMA'!AH21</f>
        <v>0</v>
      </c>
      <c r="J20" s="356">
        <f>-'Table 5C1E-LFNO'!AJ21</f>
        <v>0</v>
      </c>
      <c r="K20" s="356">
        <f>-'Table 5C1F-Lake Charles Charter'!AH21</f>
        <v>0</v>
      </c>
      <c r="L20" s="356">
        <f>-'Table 5C1G-JS Clark Academy'!AH21</f>
        <v>0</v>
      </c>
      <c r="M20" s="356">
        <f>-'Table 5C1H-Southwest LA Charter'!AH21</f>
        <v>0</v>
      </c>
      <c r="N20" s="356">
        <f>-'Table 5C1I-LA Key Academy'!AH21</f>
        <v>0</v>
      </c>
      <c r="O20" s="356">
        <f>-'Table 5C1J-Jefferson Chamber'!AH21</f>
        <v>0</v>
      </c>
      <c r="P20" s="356">
        <f>-'Table 5C1K-Tallulah Charter'!AH21</f>
        <v>0</v>
      </c>
      <c r="Q20" s="356">
        <f>-'Table 5C1L-Northshore Charter'!AH21</f>
        <v>0</v>
      </c>
      <c r="R20" s="356">
        <f>-'Table 5C1M-B.R. Charter'!AH21</f>
        <v>0</v>
      </c>
      <c r="S20" s="356">
        <f>-'Table 5C1N-Delta Charter'!AH21</f>
        <v>0</v>
      </c>
      <c r="T20" s="356">
        <f>-'Table 5C2 - LA Virtual Admy'!AI19</f>
        <v>1834</v>
      </c>
      <c r="U20" s="356">
        <f>-'Table 5C3 - LA Connections EBR'!AI19</f>
        <v>-8384</v>
      </c>
      <c r="V20" s="356">
        <f>-'Table 5E_OJJ'!V21</f>
        <v>-594</v>
      </c>
      <c r="W20" s="1378">
        <f t="shared" si="36"/>
        <v>-9298</v>
      </c>
      <c r="X20" s="717">
        <f t="shared" si="37"/>
        <v>649032</v>
      </c>
      <c r="Y20" s="356"/>
      <c r="Z20" s="356"/>
      <c r="AA20" s="356"/>
      <c r="AB20" s="356">
        <f>'Table 5C1A-Madison Prep'!AN21</f>
        <v>0</v>
      </c>
      <c r="AC20" s="356">
        <f>'Table 5C1B-DArbonne'!AN21</f>
        <v>-2.2650000000000006</v>
      </c>
      <c r="AD20" s="356">
        <f>'Table 5C1C-Intl_VIBE'!AN21</f>
        <v>0</v>
      </c>
      <c r="AE20" s="356">
        <f>'Table 5C1D-NOMMA'!AN21</f>
        <v>0</v>
      </c>
      <c r="AF20" s="356">
        <f>'Table 5C1E-LFNO'!AP21</f>
        <v>0</v>
      </c>
      <c r="AG20" s="356">
        <f>'Table 5C1F-Lake Charles Charter'!AN21</f>
        <v>0</v>
      </c>
      <c r="AH20" s="356">
        <f>'Table 5C1G-JS Clark Academy'!AN21</f>
        <v>0</v>
      </c>
      <c r="AI20" s="356">
        <f>'Table 5C1H-Southwest LA Charter'!AN21</f>
        <v>0</v>
      </c>
      <c r="AJ20" s="356">
        <f>'Table 5C1I-LA Key Academy'!AN21</f>
        <v>0</v>
      </c>
      <c r="AK20" s="356">
        <f>'Table 5C1J-Jefferson Chamber'!AN21</f>
        <v>0</v>
      </c>
      <c r="AL20" s="356">
        <f>'Table 5C1K-Tallulah Charter'!AN21</f>
        <v>0</v>
      </c>
      <c r="AM20" s="356">
        <f>'Table 5C1L-Northshore Charter'!AN21</f>
        <v>0</v>
      </c>
      <c r="AN20" s="356">
        <f>'Table 5C1M-B.R. Charter'!AN21</f>
        <v>0</v>
      </c>
      <c r="AO20" s="356">
        <f>'Table 5C1N-Delta Charter'!AN21</f>
        <v>0</v>
      </c>
      <c r="AP20" s="356">
        <f>'Table 5C2 - LA Virtual Admy'!AO19</f>
        <v>4.0061249999999999</v>
      </c>
      <c r="AQ20" s="356">
        <f>'Table 5C3 - LA Connections EBR'!AO19</f>
        <v>-50.816249999999997</v>
      </c>
      <c r="AR20" s="717">
        <f t="shared" si="38"/>
        <v>648982.92487499991</v>
      </c>
      <c r="AS20" s="47"/>
      <c r="AY20"/>
      <c r="BH20"/>
    </row>
    <row r="21" spans="1:60">
      <c r="A21" s="100">
        <v>15</v>
      </c>
      <c r="B21" s="302" t="s">
        <v>106</v>
      </c>
      <c r="C21" s="318">
        <f>'Table 2_State Distrib and Adjs'!AD22</f>
        <v>1492517</v>
      </c>
      <c r="D21" s="357"/>
      <c r="E21" s="357"/>
      <c r="F21" s="357">
        <f>-'Table 5C1A-Madison Prep'!AH22</f>
        <v>0</v>
      </c>
      <c r="G21" s="357">
        <f>-'Table 5C1B-DArbonne'!AH22</f>
        <v>0</v>
      </c>
      <c r="H21" s="357">
        <f>-'Table 5C1C-Intl_VIBE'!AH22</f>
        <v>0</v>
      </c>
      <c r="I21" s="357">
        <f>-'Table 5C1D-NOMMA'!AH22</f>
        <v>0</v>
      </c>
      <c r="J21" s="357">
        <f>-'Table 5C1E-LFNO'!AJ22</f>
        <v>0</v>
      </c>
      <c r="K21" s="357">
        <f>-'Table 5C1F-Lake Charles Charter'!AH22</f>
        <v>0</v>
      </c>
      <c r="L21" s="357">
        <f>-'Table 5C1G-JS Clark Academy'!AH22</f>
        <v>0</v>
      </c>
      <c r="M21" s="357">
        <f>-'Table 5C1H-Southwest LA Charter'!AH22</f>
        <v>0</v>
      </c>
      <c r="N21" s="357">
        <f>-'Table 5C1I-LA Key Academy'!AH22</f>
        <v>0</v>
      </c>
      <c r="O21" s="357">
        <f>-'Table 5C1J-Jefferson Chamber'!AH22</f>
        <v>0</v>
      </c>
      <c r="P21" s="357">
        <f>-'Table 5C1K-Tallulah Charter'!AH22</f>
        <v>0</v>
      </c>
      <c r="Q21" s="357">
        <f>-'Table 5C1L-Northshore Charter'!AH22</f>
        <v>0</v>
      </c>
      <c r="R21" s="357">
        <f>-'Table 5C1M-B.R. Charter'!AH22</f>
        <v>0</v>
      </c>
      <c r="S21" s="357">
        <f>-'Table 5C1N-Delta Charter'!AH22</f>
        <v>-67541</v>
      </c>
      <c r="T21" s="357">
        <f>-'Table 5C2 - LA Virtual Admy'!AI20</f>
        <v>-7946</v>
      </c>
      <c r="U21" s="357">
        <f>-'Table 5C3 - LA Connections EBR'!AI20</f>
        <v>-1686</v>
      </c>
      <c r="V21" s="357">
        <f>-'Table 5E_OJJ'!V22</f>
        <v>-176</v>
      </c>
      <c r="W21" s="357">
        <f t="shared" si="36"/>
        <v>-77349</v>
      </c>
      <c r="X21" s="718">
        <f t="shared" si="37"/>
        <v>1415168</v>
      </c>
      <c r="Y21" s="357"/>
      <c r="Z21" s="357"/>
      <c r="AA21" s="357"/>
      <c r="AB21" s="357">
        <f>'Table 5C1A-Madison Prep'!AN22</f>
        <v>0</v>
      </c>
      <c r="AC21" s="357">
        <f>'Table 5C1B-DArbonne'!AN22</f>
        <v>0</v>
      </c>
      <c r="AD21" s="357">
        <f>'Table 5C1C-Intl_VIBE'!AN22</f>
        <v>0</v>
      </c>
      <c r="AE21" s="357">
        <f>'Table 5C1D-NOMMA'!AN22</f>
        <v>0</v>
      </c>
      <c r="AF21" s="357">
        <f>'Table 5C1E-LFNO'!AP22</f>
        <v>0</v>
      </c>
      <c r="AG21" s="357">
        <f>'Table 5C1F-Lake Charles Charter'!AN22</f>
        <v>0</v>
      </c>
      <c r="AH21" s="357">
        <f>'Table 5C1G-JS Clark Academy'!AN22</f>
        <v>0</v>
      </c>
      <c r="AI21" s="357">
        <f>'Table 5C1H-Southwest LA Charter'!AN22</f>
        <v>0</v>
      </c>
      <c r="AJ21" s="357">
        <f>'Table 5C1I-LA Key Academy'!AN22</f>
        <v>0</v>
      </c>
      <c r="AK21" s="357">
        <f>'Table 5C1J-Jefferson Chamber'!AN22</f>
        <v>0</v>
      </c>
      <c r="AL21" s="357">
        <f>'Table 5C1K-Tallulah Charter'!AN22</f>
        <v>0</v>
      </c>
      <c r="AM21" s="357">
        <f>'Table 5C1L-Northshore Charter'!AN22</f>
        <v>0</v>
      </c>
      <c r="AN21" s="357">
        <f>'Table 5C1M-B.R. Charter'!AN22</f>
        <v>0</v>
      </c>
      <c r="AO21" s="357">
        <f>'Table 5C1N-Delta Charter'!AN22</f>
        <v>-68.897500000000036</v>
      </c>
      <c r="AP21" s="357">
        <f>'Table 5C2 - LA Virtual Admy'!AO20</f>
        <v>-121.9</v>
      </c>
      <c r="AQ21" s="357">
        <f>'Table 5C3 - LA Connections EBR'!AO20</f>
        <v>-11.350000000000001</v>
      </c>
      <c r="AR21" s="718">
        <f t="shared" si="38"/>
        <v>1414965.8525</v>
      </c>
      <c r="AS21" s="47"/>
      <c r="AY21"/>
      <c r="BH21"/>
    </row>
    <row r="22" spans="1:60">
      <c r="A22" s="99">
        <v>16</v>
      </c>
      <c r="B22" s="301" t="s">
        <v>107</v>
      </c>
      <c r="C22" s="310">
        <f>'Table 2_State Distrib and Adjs'!AD23</f>
        <v>871964</v>
      </c>
      <c r="D22" s="356"/>
      <c r="E22" s="356"/>
      <c r="F22" s="356">
        <f>-'Table 5C1A-Madison Prep'!AH23</f>
        <v>0</v>
      </c>
      <c r="G22" s="356">
        <f>-'Table 5C1B-DArbonne'!AH23</f>
        <v>0</v>
      </c>
      <c r="H22" s="356">
        <f>-'Table 5C1C-Intl_VIBE'!AH23</f>
        <v>0</v>
      </c>
      <c r="I22" s="356">
        <f>-'Table 5C1D-NOMMA'!AH23</f>
        <v>0</v>
      </c>
      <c r="J22" s="356">
        <f>-'Table 5C1E-LFNO'!AJ23</f>
        <v>0</v>
      </c>
      <c r="K22" s="356">
        <f>-'Table 5C1F-Lake Charles Charter'!AH23</f>
        <v>0</v>
      </c>
      <c r="L22" s="356">
        <f>-'Table 5C1G-JS Clark Academy'!AH23</f>
        <v>0</v>
      </c>
      <c r="M22" s="356">
        <f>-'Table 5C1H-Southwest LA Charter'!AH23</f>
        <v>0</v>
      </c>
      <c r="N22" s="356">
        <f>-'Table 5C1I-LA Key Academy'!AH23</f>
        <v>0</v>
      </c>
      <c r="O22" s="356">
        <f>-'Table 5C1J-Jefferson Chamber'!AH23</f>
        <v>0</v>
      </c>
      <c r="P22" s="356">
        <f>-'Table 5C1K-Tallulah Charter'!AH23</f>
        <v>0</v>
      </c>
      <c r="Q22" s="356">
        <f>-'Table 5C1L-Northshore Charter'!AH23</f>
        <v>0</v>
      </c>
      <c r="R22" s="356">
        <f>-'Table 5C1M-B.R. Charter'!AH23</f>
        <v>0</v>
      </c>
      <c r="S22" s="356">
        <f>-'Table 5C1N-Delta Charter'!AH23</f>
        <v>0</v>
      </c>
      <c r="T22" s="356">
        <f>-'Table 5C2 - LA Virtual Admy'!AI21</f>
        <v>-24167</v>
      </c>
      <c r="U22" s="356">
        <f>-'Table 5C3 - LA Connections EBR'!AI21</f>
        <v>-4306</v>
      </c>
      <c r="V22" s="356">
        <f>-'Table 5E_OJJ'!V23</f>
        <v>-657</v>
      </c>
      <c r="W22" s="1378">
        <f t="shared" si="36"/>
        <v>-29130</v>
      </c>
      <c r="X22" s="717">
        <f t="shared" si="37"/>
        <v>842834</v>
      </c>
      <c r="Y22" s="356"/>
      <c r="Z22" s="356"/>
      <c r="AA22" s="356"/>
      <c r="AB22" s="356">
        <f>'Table 5C1A-Madison Prep'!AN23</f>
        <v>0</v>
      </c>
      <c r="AC22" s="356">
        <f>'Table 5C1B-DArbonne'!AN23</f>
        <v>0</v>
      </c>
      <c r="AD22" s="356">
        <f>'Table 5C1C-Intl_VIBE'!AN23</f>
        <v>0</v>
      </c>
      <c r="AE22" s="356">
        <f>'Table 5C1D-NOMMA'!AN23</f>
        <v>0</v>
      </c>
      <c r="AF22" s="356">
        <f>'Table 5C1E-LFNO'!AP23</f>
        <v>0</v>
      </c>
      <c r="AG22" s="356">
        <f>'Table 5C1F-Lake Charles Charter'!AN23</f>
        <v>0</v>
      </c>
      <c r="AH22" s="356">
        <f>'Table 5C1G-JS Clark Academy'!AN23</f>
        <v>0</v>
      </c>
      <c r="AI22" s="356">
        <f>'Table 5C1H-Southwest LA Charter'!AN23</f>
        <v>0</v>
      </c>
      <c r="AJ22" s="356">
        <f>'Table 5C1I-LA Key Academy'!AN23</f>
        <v>0</v>
      </c>
      <c r="AK22" s="356">
        <f>'Table 5C1J-Jefferson Chamber'!AN23</f>
        <v>0</v>
      </c>
      <c r="AL22" s="356">
        <f>'Table 5C1K-Tallulah Charter'!AN23</f>
        <v>0</v>
      </c>
      <c r="AM22" s="356">
        <f>'Table 5C1L-Northshore Charter'!AN23</f>
        <v>0</v>
      </c>
      <c r="AN22" s="356">
        <f>'Table 5C1M-B.R. Charter'!AN23</f>
        <v>0</v>
      </c>
      <c r="AO22" s="356">
        <f>'Table 5C1N-Delta Charter'!AN23</f>
        <v>0</v>
      </c>
      <c r="AP22" s="356">
        <f>'Table 5C2 - LA Virtual Admy'!AO21</f>
        <v>-226.33800000000008</v>
      </c>
      <c r="AQ22" s="356">
        <f>'Table 5C3 - LA Connections EBR'!AO21</f>
        <v>11.638999999999982</v>
      </c>
      <c r="AR22" s="717">
        <f t="shared" si="38"/>
        <v>842619.30099999998</v>
      </c>
      <c r="AS22" s="47"/>
      <c r="AY22"/>
      <c r="BH22"/>
    </row>
    <row r="23" spans="1:60">
      <c r="A23" s="99">
        <v>17</v>
      </c>
      <c r="B23" s="301" t="s">
        <v>108</v>
      </c>
      <c r="C23" s="310">
        <f>'Table 2_State Distrib and Adjs'!AD24</f>
        <v>13654025</v>
      </c>
      <c r="D23" s="356">
        <f>-'Table 5B2_RSD_LA'!AN18</f>
        <v>-1080062</v>
      </c>
      <c r="E23" s="356"/>
      <c r="F23" s="356">
        <f>-'Table 5C1A-Madison Prep'!AH24</f>
        <v>-161233</v>
      </c>
      <c r="G23" s="356">
        <f>-'Table 5C1B-DArbonne'!AH24</f>
        <v>0</v>
      </c>
      <c r="H23" s="356">
        <f>-'Table 5C1C-Intl_VIBE'!AH24</f>
        <v>0</v>
      </c>
      <c r="I23" s="356">
        <f>-'Table 5C1D-NOMMA'!AH24</f>
        <v>0</v>
      </c>
      <c r="J23" s="356">
        <f>-'Table 5C1E-LFNO'!AJ24</f>
        <v>1073</v>
      </c>
      <c r="K23" s="356">
        <f>-'Table 5C1F-Lake Charles Charter'!AH24</f>
        <v>0</v>
      </c>
      <c r="L23" s="356">
        <f>-'Table 5C1G-JS Clark Academy'!AH24</f>
        <v>0</v>
      </c>
      <c r="M23" s="356">
        <f>-'Table 5C1H-Southwest LA Charter'!AH24</f>
        <v>0</v>
      </c>
      <c r="N23" s="356">
        <f>-'Table 5C1I-LA Key Academy'!AH24</f>
        <v>-62096</v>
      </c>
      <c r="O23" s="356">
        <f>-'Table 5C1J-Jefferson Chamber'!AH24</f>
        <v>0</v>
      </c>
      <c r="P23" s="356">
        <f>-'Table 5C1K-Tallulah Charter'!AH24</f>
        <v>0</v>
      </c>
      <c r="Q23" s="356">
        <f>-'Table 5C1L-Northshore Charter'!AH24</f>
        <v>0</v>
      </c>
      <c r="R23" s="356">
        <f>-'Table 5C1M-B.R. Charter'!AH24</f>
        <v>-192880</v>
      </c>
      <c r="S23" s="356">
        <f>-'Table 5C1N-Delta Charter'!AH24</f>
        <v>-856</v>
      </c>
      <c r="T23" s="356">
        <f>-'Table 5C2 - LA Virtual Admy'!AI22</f>
        <v>-39238</v>
      </c>
      <c r="U23" s="356">
        <f>-'Table 5C3 - LA Connections EBR'!AI22</f>
        <v>-55894</v>
      </c>
      <c r="V23" s="356">
        <f>-'Table 5E_OJJ'!V24</f>
        <v>-19056</v>
      </c>
      <c r="W23" s="1378">
        <f t="shared" si="36"/>
        <v>-1610242</v>
      </c>
      <c r="X23" s="717">
        <f t="shared" si="37"/>
        <v>12043783</v>
      </c>
      <c r="Y23" s="356">
        <f>'Table 5B2_RSD_LA'!AC51</f>
        <v>-6013.5424999999959</v>
      </c>
      <c r="Z23" s="356">
        <f>'Table 5B2_RSD_LA'!AD51</f>
        <v>-859.07749999999942</v>
      </c>
      <c r="AA23" s="356"/>
      <c r="AB23" s="356">
        <f>'Table 5C1A-Madison Prep'!AN24</f>
        <v>-1022.8674999999998</v>
      </c>
      <c r="AC23" s="356">
        <f>'Table 5C1B-DArbonne'!AN24</f>
        <v>0</v>
      </c>
      <c r="AD23" s="356">
        <f>'Table 5C1C-Intl_VIBE'!AN24</f>
        <v>0</v>
      </c>
      <c r="AE23" s="356">
        <f>'Table 5C1D-NOMMA'!AN24</f>
        <v>0</v>
      </c>
      <c r="AF23" s="356">
        <f>'Table 5C1E-LFNO'!AP24</f>
        <v>0</v>
      </c>
      <c r="AG23" s="356">
        <f>'Table 5C1F-Lake Charles Charter'!AN24</f>
        <v>0</v>
      </c>
      <c r="AH23" s="356">
        <f>'Table 5C1G-JS Clark Academy'!AN24</f>
        <v>0</v>
      </c>
      <c r="AI23" s="356">
        <f>'Table 5C1H-Southwest LA Charter'!AN24</f>
        <v>0</v>
      </c>
      <c r="AJ23" s="356">
        <f>'Table 5C1I-LA Key Academy'!AN24</f>
        <v>-2.5775000000001</v>
      </c>
      <c r="AK23" s="356">
        <f>'Table 5C1J-Jefferson Chamber'!AN24</f>
        <v>0</v>
      </c>
      <c r="AL23" s="356">
        <f>'Table 5C1K-Tallulah Charter'!AN24</f>
        <v>0</v>
      </c>
      <c r="AM23" s="356">
        <f>'Table 5C1L-Northshore Charter'!AN24</f>
        <v>0</v>
      </c>
      <c r="AN23" s="356">
        <f>'Table 5C1M-B.R. Charter'!AN24</f>
        <v>2246.54</v>
      </c>
      <c r="AO23" s="356">
        <f>'Table 5C1N-Delta Charter'!AN24</f>
        <v>-8.5824999999999996</v>
      </c>
      <c r="AP23" s="356">
        <f>'Table 5C2 - LA Virtual Admy'!AO22</f>
        <v>-626.16225000000031</v>
      </c>
      <c r="AQ23" s="356">
        <f>'Table 5C3 - LA Connections EBR'!AO22</f>
        <v>-180.2952499999999</v>
      </c>
      <c r="AR23" s="717">
        <f t="shared" si="38"/>
        <v>12037316.434999999</v>
      </c>
      <c r="AS23" s="47"/>
      <c r="AY23"/>
      <c r="BH23"/>
    </row>
    <row r="24" spans="1:60">
      <c r="A24" s="99">
        <v>18</v>
      </c>
      <c r="B24" s="301" t="s">
        <v>109</v>
      </c>
      <c r="C24" s="310">
        <f>'Table 2_State Distrib and Adjs'!AD25</f>
        <v>539776</v>
      </c>
      <c r="D24" s="356"/>
      <c r="E24" s="356"/>
      <c r="F24" s="356">
        <f>-'Table 5C1A-Madison Prep'!AH25</f>
        <v>0</v>
      </c>
      <c r="G24" s="356">
        <f>-'Table 5C1B-DArbonne'!AH25</f>
        <v>0</v>
      </c>
      <c r="H24" s="356">
        <f>-'Table 5C1C-Intl_VIBE'!AH25</f>
        <v>0</v>
      </c>
      <c r="I24" s="356">
        <f>-'Table 5C1D-NOMMA'!AH25</f>
        <v>0</v>
      </c>
      <c r="J24" s="356">
        <f>-'Table 5C1E-LFNO'!AJ25</f>
        <v>0</v>
      </c>
      <c r="K24" s="356">
        <f>-'Table 5C1F-Lake Charles Charter'!AH25</f>
        <v>0</v>
      </c>
      <c r="L24" s="356">
        <f>-'Table 5C1G-JS Clark Academy'!AH25</f>
        <v>0</v>
      </c>
      <c r="M24" s="356">
        <f>-'Table 5C1H-Southwest LA Charter'!AH25</f>
        <v>0</v>
      </c>
      <c r="N24" s="356">
        <f>-'Table 5C1I-LA Key Academy'!AH25</f>
        <v>0</v>
      </c>
      <c r="O24" s="356">
        <f>-'Table 5C1J-Jefferson Chamber'!AH25</f>
        <v>0</v>
      </c>
      <c r="P24" s="356">
        <f>-'Table 5C1K-Tallulah Charter'!AH25</f>
        <v>464</v>
      </c>
      <c r="Q24" s="356">
        <f>-'Table 5C1L-Northshore Charter'!AH25</f>
        <v>0</v>
      </c>
      <c r="R24" s="356">
        <f>-'Table 5C1M-B.R. Charter'!AH25</f>
        <v>0</v>
      </c>
      <c r="S24" s="356">
        <f>-'Table 5C1N-Delta Charter'!AH25</f>
        <v>0</v>
      </c>
      <c r="T24" s="356">
        <f>-'Table 5C2 - LA Virtual Admy'!AI23</f>
        <v>-795</v>
      </c>
      <c r="U24" s="356">
        <f>-'Table 5C3 - LA Connections EBR'!AI23</f>
        <v>0</v>
      </c>
      <c r="V24" s="356">
        <f>-'Table 5E_OJJ'!V25</f>
        <v>-10</v>
      </c>
      <c r="W24" s="1378">
        <f t="shared" si="36"/>
        <v>-341</v>
      </c>
      <c r="X24" s="717">
        <f t="shared" si="37"/>
        <v>539435</v>
      </c>
      <c r="Y24" s="356"/>
      <c r="Z24" s="356"/>
      <c r="AA24" s="356"/>
      <c r="AB24" s="356">
        <f>'Table 5C1A-Madison Prep'!AN25</f>
        <v>0</v>
      </c>
      <c r="AC24" s="356">
        <f>'Table 5C1B-DArbonne'!AN25</f>
        <v>0</v>
      </c>
      <c r="AD24" s="356">
        <f>'Table 5C1C-Intl_VIBE'!AN25</f>
        <v>0</v>
      </c>
      <c r="AE24" s="356">
        <f>'Table 5C1D-NOMMA'!AN25</f>
        <v>0</v>
      </c>
      <c r="AF24" s="356">
        <f>'Table 5C1E-LFNO'!AP25</f>
        <v>0</v>
      </c>
      <c r="AG24" s="356">
        <f>'Table 5C1F-Lake Charles Charter'!AN25</f>
        <v>0</v>
      </c>
      <c r="AH24" s="356">
        <f>'Table 5C1G-JS Clark Academy'!AN25</f>
        <v>0</v>
      </c>
      <c r="AI24" s="356">
        <f>'Table 5C1H-Southwest LA Charter'!AN25</f>
        <v>0</v>
      </c>
      <c r="AJ24" s="356">
        <f>'Table 5C1I-LA Key Academy'!AN25</f>
        <v>0</v>
      </c>
      <c r="AK24" s="356">
        <f>'Table 5C1J-Jefferson Chamber'!AN25</f>
        <v>0</v>
      </c>
      <c r="AL24" s="356">
        <f>'Table 5C1K-Tallulah Charter'!AN25</f>
        <v>0</v>
      </c>
      <c r="AM24" s="356">
        <f>'Table 5C1L-Northshore Charter'!AN25</f>
        <v>0</v>
      </c>
      <c r="AN24" s="356">
        <f>'Table 5C1M-B.R. Charter'!AN25</f>
        <v>0</v>
      </c>
      <c r="AO24" s="356">
        <f>'Table 5C1N-Delta Charter'!AN25</f>
        <v>0</v>
      </c>
      <c r="AP24" s="356">
        <f>'Table 5C2 - LA Virtual Admy'!AO23</f>
        <v>-13.729250000000004</v>
      </c>
      <c r="AQ24" s="356">
        <f>'Table 5C3 - LA Connections EBR'!AO23</f>
        <v>0</v>
      </c>
      <c r="AR24" s="717">
        <f t="shared" si="38"/>
        <v>539421.27075000003</v>
      </c>
      <c r="AS24" s="47"/>
      <c r="AY24"/>
      <c r="BH24"/>
    </row>
    <row r="25" spans="1:60">
      <c r="A25" s="99">
        <v>19</v>
      </c>
      <c r="B25" s="301" t="s">
        <v>110</v>
      </c>
      <c r="C25" s="310">
        <f>'Table 2_State Distrib and Adjs'!AD26</f>
        <v>952708</v>
      </c>
      <c r="D25" s="356"/>
      <c r="E25" s="356"/>
      <c r="F25" s="356">
        <f>-'Table 5C1A-Madison Prep'!AH26</f>
        <v>0</v>
      </c>
      <c r="G25" s="356">
        <f>-'Table 5C1B-DArbonne'!AH26</f>
        <v>0</v>
      </c>
      <c r="H25" s="356">
        <f>-'Table 5C1C-Intl_VIBE'!AH26</f>
        <v>0</v>
      </c>
      <c r="I25" s="356">
        <f>-'Table 5C1D-NOMMA'!AH26</f>
        <v>0</v>
      </c>
      <c r="J25" s="356">
        <f>-'Table 5C1E-LFNO'!AJ26</f>
        <v>0</v>
      </c>
      <c r="K25" s="356">
        <f>-'Table 5C1F-Lake Charles Charter'!AH26</f>
        <v>0</v>
      </c>
      <c r="L25" s="356">
        <f>-'Table 5C1G-JS Clark Academy'!AH26</f>
        <v>0</v>
      </c>
      <c r="M25" s="356">
        <f>-'Table 5C1H-Southwest LA Charter'!AH26</f>
        <v>0</v>
      </c>
      <c r="N25" s="356">
        <f>-'Table 5C1I-LA Key Academy'!AH26</f>
        <v>-1280</v>
      </c>
      <c r="O25" s="356">
        <f>-'Table 5C1J-Jefferson Chamber'!AH26</f>
        <v>0</v>
      </c>
      <c r="P25" s="356">
        <f>-'Table 5C1K-Tallulah Charter'!AH26</f>
        <v>0</v>
      </c>
      <c r="Q25" s="356">
        <f>-'Table 5C1L-Northshore Charter'!AH26</f>
        <v>0</v>
      </c>
      <c r="R25" s="356">
        <f>-'Table 5C1M-B.R. Charter'!AH26</f>
        <v>-960</v>
      </c>
      <c r="S25" s="356">
        <f>-'Table 5C1N-Delta Charter'!AH26</f>
        <v>0</v>
      </c>
      <c r="T25" s="356">
        <f>-'Table 5C2 - LA Virtual Admy'!AI24</f>
        <v>-3043</v>
      </c>
      <c r="U25" s="356">
        <f>-'Table 5C3 - LA Connections EBR'!AI24</f>
        <v>-861</v>
      </c>
      <c r="V25" s="356">
        <f>-'Table 5E_OJJ'!V26</f>
        <v>-494</v>
      </c>
      <c r="W25" s="1378">
        <f t="shared" si="36"/>
        <v>-6638</v>
      </c>
      <c r="X25" s="717">
        <f t="shared" si="37"/>
        <v>946070</v>
      </c>
      <c r="Y25" s="356"/>
      <c r="Z25" s="356"/>
      <c r="AA25" s="356"/>
      <c r="AB25" s="356">
        <f>'Table 5C1A-Madison Prep'!AN26</f>
        <v>0</v>
      </c>
      <c r="AC25" s="356">
        <f>'Table 5C1B-DArbonne'!AN26</f>
        <v>0</v>
      </c>
      <c r="AD25" s="356">
        <f>'Table 5C1C-Intl_VIBE'!AN26</f>
        <v>0</v>
      </c>
      <c r="AE25" s="356">
        <f>'Table 5C1D-NOMMA'!AN26</f>
        <v>0</v>
      </c>
      <c r="AF25" s="356">
        <f>'Table 5C1E-LFNO'!AP26</f>
        <v>0</v>
      </c>
      <c r="AG25" s="356">
        <f>'Table 5C1F-Lake Charles Charter'!AN26</f>
        <v>0</v>
      </c>
      <c r="AH25" s="356">
        <f>'Table 5C1G-JS Clark Academy'!AN26</f>
        <v>0</v>
      </c>
      <c r="AI25" s="356">
        <f>'Table 5C1H-Southwest LA Charter'!AN26</f>
        <v>0</v>
      </c>
      <c r="AJ25" s="356">
        <f>'Table 5C1I-LA Key Academy'!AN26</f>
        <v>-12.83</v>
      </c>
      <c r="AK25" s="356">
        <f>'Table 5C1J-Jefferson Chamber'!AN26</f>
        <v>0</v>
      </c>
      <c r="AL25" s="356">
        <f>'Table 5C1K-Tallulah Charter'!AN26</f>
        <v>0</v>
      </c>
      <c r="AM25" s="356">
        <f>'Table 5C1L-Northshore Charter'!AN26</f>
        <v>0</v>
      </c>
      <c r="AN25" s="356">
        <f>'Table 5C1M-B.R. Charter'!AN26</f>
        <v>-9.6225000000000005</v>
      </c>
      <c r="AO25" s="356">
        <f>'Table 5C1N-Delta Charter'!AN26</f>
        <v>0</v>
      </c>
      <c r="AP25" s="356">
        <f>'Table 5C2 - LA Virtual Admy'!AO24</f>
        <v>-48.942250000000001</v>
      </c>
      <c r="AQ25" s="356">
        <f>'Table 5C3 - LA Connections EBR'!AO24</f>
        <v>3.2457499999999975</v>
      </c>
      <c r="AR25" s="717">
        <f t="shared" si="38"/>
        <v>946001.85100000002</v>
      </c>
      <c r="AS25" s="47"/>
      <c r="AY25"/>
      <c r="BH25"/>
    </row>
    <row r="26" spans="1:60">
      <c r="A26" s="100">
        <v>20</v>
      </c>
      <c r="B26" s="302" t="s">
        <v>111</v>
      </c>
      <c r="C26" s="318">
        <f>'Table 2_State Distrib and Adjs'!AD27</f>
        <v>2943874</v>
      </c>
      <c r="D26" s="357"/>
      <c r="E26" s="357"/>
      <c r="F26" s="357">
        <f>-'Table 5C1A-Madison Prep'!AH27</f>
        <v>0</v>
      </c>
      <c r="G26" s="357">
        <f>-'Table 5C1B-DArbonne'!AH27</f>
        <v>0</v>
      </c>
      <c r="H26" s="357">
        <f>-'Table 5C1C-Intl_VIBE'!AH27</f>
        <v>0</v>
      </c>
      <c r="I26" s="357">
        <f>-'Table 5C1D-NOMMA'!AH27</f>
        <v>0</v>
      </c>
      <c r="J26" s="357">
        <f>-'Table 5C1E-LFNO'!AJ27</f>
        <v>0</v>
      </c>
      <c r="K26" s="357">
        <f>-'Table 5C1F-Lake Charles Charter'!AH27</f>
        <v>0</v>
      </c>
      <c r="L26" s="357">
        <f>-'Table 5C1G-JS Clark Academy'!AH27</f>
        <v>0</v>
      </c>
      <c r="M26" s="357">
        <f>-'Table 5C1H-Southwest LA Charter'!AH27</f>
        <v>0</v>
      </c>
      <c r="N26" s="357">
        <f>-'Table 5C1I-LA Key Academy'!AH27</f>
        <v>0</v>
      </c>
      <c r="O26" s="357">
        <f>-'Table 5C1J-Jefferson Chamber'!AH27</f>
        <v>0</v>
      </c>
      <c r="P26" s="357">
        <f>-'Table 5C1K-Tallulah Charter'!AH27</f>
        <v>0</v>
      </c>
      <c r="Q26" s="357">
        <f>-'Table 5C1L-Northshore Charter'!AH27</f>
        <v>0</v>
      </c>
      <c r="R26" s="357">
        <f>-'Table 5C1M-B.R. Charter'!AH27</f>
        <v>0</v>
      </c>
      <c r="S26" s="357">
        <f>-'Table 5C1N-Delta Charter'!AH27</f>
        <v>0</v>
      </c>
      <c r="T26" s="357">
        <f>-'Table 5C2 - LA Virtual Admy'!AI25</f>
        <v>-1650</v>
      </c>
      <c r="U26" s="357">
        <f>-'Table 5C3 - LA Connections EBR'!AI25</f>
        <v>-2376</v>
      </c>
      <c r="V26" s="357">
        <f>-'Table 5E_OJJ'!V27</f>
        <v>-2171</v>
      </c>
      <c r="W26" s="357">
        <f t="shared" si="36"/>
        <v>-6197</v>
      </c>
      <c r="X26" s="718">
        <f t="shared" si="37"/>
        <v>2937677</v>
      </c>
      <c r="Y26" s="357"/>
      <c r="Z26" s="357"/>
      <c r="AA26" s="357"/>
      <c r="AB26" s="357">
        <f>'Table 5C1A-Madison Prep'!AN27</f>
        <v>0</v>
      </c>
      <c r="AC26" s="357">
        <f>'Table 5C1B-DArbonne'!AN27</f>
        <v>0</v>
      </c>
      <c r="AD26" s="357">
        <f>'Table 5C1C-Intl_VIBE'!AN27</f>
        <v>0</v>
      </c>
      <c r="AE26" s="357">
        <f>'Table 5C1D-NOMMA'!AN27</f>
        <v>0</v>
      </c>
      <c r="AF26" s="357">
        <f>'Table 5C1E-LFNO'!AP27</f>
        <v>0</v>
      </c>
      <c r="AG26" s="357">
        <f>'Table 5C1F-Lake Charles Charter'!AN27</f>
        <v>0</v>
      </c>
      <c r="AH26" s="357">
        <f>'Table 5C1G-JS Clark Academy'!AN27</f>
        <v>0</v>
      </c>
      <c r="AI26" s="357">
        <f>'Table 5C1H-Southwest LA Charter'!AN27</f>
        <v>0</v>
      </c>
      <c r="AJ26" s="357">
        <f>'Table 5C1I-LA Key Academy'!AN27</f>
        <v>0</v>
      </c>
      <c r="AK26" s="357">
        <f>'Table 5C1J-Jefferson Chamber'!AN27</f>
        <v>0</v>
      </c>
      <c r="AL26" s="357">
        <f>'Table 5C1K-Tallulah Charter'!AN27</f>
        <v>0</v>
      </c>
      <c r="AM26" s="357">
        <f>'Table 5C1L-Northshore Charter'!AN27</f>
        <v>0</v>
      </c>
      <c r="AN26" s="357">
        <f>'Table 5C1M-B.R. Charter'!AN27</f>
        <v>0</v>
      </c>
      <c r="AO26" s="357">
        <f>'Table 5C1N-Delta Charter'!AN27</f>
        <v>0</v>
      </c>
      <c r="AP26" s="357">
        <f>'Table 5C2 - LA Virtual Admy'!AO25</f>
        <v>-11.229374999999997</v>
      </c>
      <c r="AQ26" s="357">
        <f>'Table 5C3 - LA Connections EBR'!AO25</f>
        <v>-16.332125000000005</v>
      </c>
      <c r="AR26" s="718">
        <f t="shared" si="38"/>
        <v>2937649.4384999997</v>
      </c>
      <c r="AS26" s="47"/>
      <c r="AY26"/>
      <c r="BH26"/>
    </row>
    <row r="27" spans="1:60">
      <c r="A27" s="99">
        <v>21</v>
      </c>
      <c r="B27" s="301" t="s">
        <v>112</v>
      </c>
      <c r="C27" s="310">
        <f>'Table 2_State Distrib and Adjs'!AD28</f>
        <v>1470750</v>
      </c>
      <c r="D27" s="356"/>
      <c r="E27" s="356"/>
      <c r="F27" s="356">
        <f>-'Table 5C1A-Madison Prep'!AH28</f>
        <v>0</v>
      </c>
      <c r="G27" s="356">
        <f>-'Table 5C1B-DArbonne'!AH28</f>
        <v>0</v>
      </c>
      <c r="H27" s="356">
        <f>-'Table 5C1C-Intl_VIBE'!AH28</f>
        <v>0</v>
      </c>
      <c r="I27" s="356">
        <f>-'Table 5C1D-NOMMA'!AH28</f>
        <v>0</v>
      </c>
      <c r="J27" s="356">
        <f>-'Table 5C1E-LFNO'!AJ28</f>
        <v>0</v>
      </c>
      <c r="K27" s="356">
        <f>-'Table 5C1F-Lake Charles Charter'!AH28</f>
        <v>0</v>
      </c>
      <c r="L27" s="356">
        <f>-'Table 5C1G-JS Clark Academy'!AH28</f>
        <v>0</v>
      </c>
      <c r="M27" s="356">
        <f>-'Table 5C1H-Southwest LA Charter'!AH28</f>
        <v>0</v>
      </c>
      <c r="N27" s="356">
        <f>-'Table 5C1I-LA Key Academy'!AH28</f>
        <v>0</v>
      </c>
      <c r="O27" s="356">
        <f>-'Table 5C1J-Jefferson Chamber'!AH28</f>
        <v>0</v>
      </c>
      <c r="P27" s="356">
        <f>-'Table 5C1K-Tallulah Charter'!AH28</f>
        <v>0</v>
      </c>
      <c r="Q27" s="356">
        <f>-'Table 5C1L-Northshore Charter'!AH28</f>
        <v>0</v>
      </c>
      <c r="R27" s="356">
        <f>-'Table 5C1M-B.R. Charter'!AH28</f>
        <v>0</v>
      </c>
      <c r="S27" s="356">
        <f>-'Table 5C1N-Delta Charter'!AH28</f>
        <v>-1219</v>
      </c>
      <c r="T27" s="356">
        <f>-'Table 5C2 - LA Virtual Admy'!AI26</f>
        <v>-1631</v>
      </c>
      <c r="U27" s="356">
        <f>-'Table 5C3 - LA Connections EBR'!AI26</f>
        <v>-453</v>
      </c>
      <c r="V27" s="356">
        <f>-'Table 5E_OJJ'!V28</f>
        <v>-649</v>
      </c>
      <c r="W27" s="1378">
        <f t="shared" si="36"/>
        <v>-3952</v>
      </c>
      <c r="X27" s="717">
        <f t="shared" si="37"/>
        <v>1466798</v>
      </c>
      <c r="Y27" s="356"/>
      <c r="Z27" s="356"/>
      <c r="AA27" s="356"/>
      <c r="AB27" s="356">
        <f>'Table 5C1A-Madison Prep'!AN28</f>
        <v>0</v>
      </c>
      <c r="AC27" s="356">
        <f>'Table 5C1B-DArbonne'!AN28</f>
        <v>0</v>
      </c>
      <c r="AD27" s="356">
        <f>'Table 5C1C-Intl_VIBE'!AN28</f>
        <v>0</v>
      </c>
      <c r="AE27" s="356">
        <f>'Table 5C1D-NOMMA'!AN28</f>
        <v>0</v>
      </c>
      <c r="AF27" s="356">
        <f>'Table 5C1E-LFNO'!AP28</f>
        <v>0</v>
      </c>
      <c r="AG27" s="356">
        <f>'Table 5C1F-Lake Charles Charter'!AN28</f>
        <v>0</v>
      </c>
      <c r="AH27" s="356">
        <f>'Table 5C1G-JS Clark Academy'!AN28</f>
        <v>0</v>
      </c>
      <c r="AI27" s="356">
        <f>'Table 5C1H-Southwest LA Charter'!AN28</f>
        <v>0</v>
      </c>
      <c r="AJ27" s="356">
        <f>'Table 5C1I-LA Key Academy'!AN28</f>
        <v>0</v>
      </c>
      <c r="AK27" s="356">
        <f>'Table 5C1J-Jefferson Chamber'!AN28</f>
        <v>0</v>
      </c>
      <c r="AL27" s="356">
        <f>'Table 5C1K-Tallulah Charter'!AN28</f>
        <v>0</v>
      </c>
      <c r="AM27" s="356">
        <f>'Table 5C1L-Northshore Charter'!AN28</f>
        <v>0</v>
      </c>
      <c r="AN27" s="356">
        <f>'Table 5C1M-B.R. Charter'!AN28</f>
        <v>0</v>
      </c>
      <c r="AO27" s="356">
        <f>'Table 5C1N-Delta Charter'!AN28</f>
        <v>-12.225</v>
      </c>
      <c r="AP27" s="356">
        <f>'Table 5C2 - LA Virtual Admy'!AO26</f>
        <v>-18.0075</v>
      </c>
      <c r="AQ27" s="356">
        <f>'Table 5C3 - LA Connections EBR'!AO26</f>
        <v>12.491250000000001</v>
      </c>
      <c r="AR27" s="717">
        <f t="shared" si="38"/>
        <v>1466780.2587499998</v>
      </c>
      <c r="AS27" s="47"/>
      <c r="AY27"/>
      <c r="BH27"/>
    </row>
    <row r="28" spans="1:60">
      <c r="A28" s="99">
        <v>22</v>
      </c>
      <c r="B28" s="301" t="s">
        <v>113</v>
      </c>
      <c r="C28" s="310">
        <f>'Table 2_State Distrib and Adjs'!AD29</f>
        <v>1662631</v>
      </c>
      <c r="D28" s="356"/>
      <c r="E28" s="356"/>
      <c r="F28" s="356">
        <f>-'Table 5C1A-Madison Prep'!AH29</f>
        <v>0</v>
      </c>
      <c r="G28" s="356">
        <f>-'Table 5C1B-DArbonne'!AH29</f>
        <v>0</v>
      </c>
      <c r="H28" s="356">
        <f>-'Table 5C1C-Intl_VIBE'!AH29</f>
        <v>0</v>
      </c>
      <c r="I28" s="356">
        <f>-'Table 5C1D-NOMMA'!AH29</f>
        <v>0</v>
      </c>
      <c r="J28" s="356">
        <f>-'Table 5C1E-LFNO'!AJ29</f>
        <v>0</v>
      </c>
      <c r="K28" s="356">
        <f>-'Table 5C1F-Lake Charles Charter'!AH29</f>
        <v>0</v>
      </c>
      <c r="L28" s="356">
        <f>-'Table 5C1G-JS Clark Academy'!AH29</f>
        <v>0</v>
      </c>
      <c r="M28" s="356">
        <f>-'Table 5C1H-Southwest LA Charter'!AH29</f>
        <v>0</v>
      </c>
      <c r="N28" s="356">
        <f>-'Table 5C1I-LA Key Academy'!AH29</f>
        <v>0</v>
      </c>
      <c r="O28" s="356">
        <f>-'Table 5C1J-Jefferson Chamber'!AH29</f>
        <v>0</v>
      </c>
      <c r="P28" s="356">
        <f>-'Table 5C1K-Tallulah Charter'!AH29</f>
        <v>0</v>
      </c>
      <c r="Q28" s="356">
        <f>-'Table 5C1L-Northshore Charter'!AH29</f>
        <v>0</v>
      </c>
      <c r="R28" s="356">
        <f>-'Table 5C1M-B.R. Charter'!AH29</f>
        <v>0</v>
      </c>
      <c r="S28" s="356">
        <f>-'Table 5C1N-Delta Charter'!AH29</f>
        <v>0</v>
      </c>
      <c r="T28" s="356">
        <f>-'Table 5C2 - LA Virtual Admy'!AI27</f>
        <v>-713</v>
      </c>
      <c r="U28" s="356">
        <f>-'Table 5C3 - LA Connections EBR'!AI27</f>
        <v>-2163</v>
      </c>
      <c r="V28" s="356">
        <f>-'Table 5E_OJJ'!V29</f>
        <v>-193</v>
      </c>
      <c r="W28" s="1378">
        <f t="shared" si="36"/>
        <v>-3069</v>
      </c>
      <c r="X28" s="717">
        <f t="shared" si="37"/>
        <v>1659562</v>
      </c>
      <c r="Y28" s="356"/>
      <c r="Z28" s="356"/>
      <c r="AA28" s="356"/>
      <c r="AB28" s="356">
        <f>'Table 5C1A-Madison Prep'!AN29</f>
        <v>0</v>
      </c>
      <c r="AC28" s="356">
        <f>'Table 5C1B-DArbonne'!AN29</f>
        <v>0</v>
      </c>
      <c r="AD28" s="356">
        <f>'Table 5C1C-Intl_VIBE'!AN29</f>
        <v>0</v>
      </c>
      <c r="AE28" s="356">
        <f>'Table 5C1D-NOMMA'!AN29</f>
        <v>0</v>
      </c>
      <c r="AF28" s="356">
        <f>'Table 5C1E-LFNO'!AP29</f>
        <v>0</v>
      </c>
      <c r="AG28" s="356">
        <f>'Table 5C1F-Lake Charles Charter'!AN29</f>
        <v>0</v>
      </c>
      <c r="AH28" s="356">
        <f>'Table 5C1G-JS Clark Academy'!AN29</f>
        <v>0</v>
      </c>
      <c r="AI28" s="356">
        <f>'Table 5C1H-Southwest LA Charter'!AN29</f>
        <v>0</v>
      </c>
      <c r="AJ28" s="356">
        <f>'Table 5C1I-LA Key Academy'!AN29</f>
        <v>0</v>
      </c>
      <c r="AK28" s="356">
        <f>'Table 5C1J-Jefferson Chamber'!AN29</f>
        <v>0</v>
      </c>
      <c r="AL28" s="356">
        <f>'Table 5C1K-Tallulah Charter'!AN29</f>
        <v>0</v>
      </c>
      <c r="AM28" s="356">
        <f>'Table 5C1L-Northshore Charter'!AN29</f>
        <v>0</v>
      </c>
      <c r="AN28" s="356">
        <f>'Table 5C1M-B.R. Charter'!AN29</f>
        <v>0</v>
      </c>
      <c r="AO28" s="356">
        <f>'Table 5C1N-Delta Charter'!AN29</f>
        <v>0</v>
      </c>
      <c r="AP28" s="356">
        <f>'Table 5C2 - LA Virtual Admy'!AO27</f>
        <v>-19.633125000000007</v>
      </c>
      <c r="AQ28" s="356">
        <f>'Table 5C3 - LA Connections EBR'!AO27</f>
        <v>-16.468625000000003</v>
      </c>
      <c r="AR28" s="717">
        <f t="shared" si="38"/>
        <v>1659525.8982500001</v>
      </c>
      <c r="AS28" s="47"/>
      <c r="AY28"/>
      <c r="BH28"/>
    </row>
    <row r="29" spans="1:60">
      <c r="A29" s="99">
        <v>23</v>
      </c>
      <c r="B29" s="301" t="s">
        <v>114</v>
      </c>
      <c r="C29" s="310">
        <f>'Table 2_State Distrib and Adjs'!AD30</f>
        <v>6395762</v>
      </c>
      <c r="D29" s="356"/>
      <c r="E29" s="356"/>
      <c r="F29" s="356">
        <f>-'Table 5C1A-Madison Prep'!AH30</f>
        <v>0</v>
      </c>
      <c r="G29" s="356">
        <f>-'Table 5C1B-DArbonne'!AH30</f>
        <v>0</v>
      </c>
      <c r="H29" s="356">
        <f>-'Table 5C1C-Intl_VIBE'!AH30</f>
        <v>0</v>
      </c>
      <c r="I29" s="356">
        <f>-'Table 5C1D-NOMMA'!AH30</f>
        <v>0</v>
      </c>
      <c r="J29" s="356">
        <f>-'Table 5C1E-LFNO'!AJ30</f>
        <v>0</v>
      </c>
      <c r="K29" s="356">
        <f>-'Table 5C1F-Lake Charles Charter'!AH30</f>
        <v>0</v>
      </c>
      <c r="L29" s="356">
        <f>-'Table 5C1G-JS Clark Academy'!AH30</f>
        <v>0</v>
      </c>
      <c r="M29" s="356">
        <f>-'Table 5C1H-Southwest LA Charter'!AH30</f>
        <v>0</v>
      </c>
      <c r="N29" s="356">
        <f>-'Table 5C1I-LA Key Academy'!AH30</f>
        <v>0</v>
      </c>
      <c r="O29" s="356">
        <f>-'Table 5C1J-Jefferson Chamber'!AH30</f>
        <v>0</v>
      </c>
      <c r="P29" s="356">
        <f>-'Table 5C1K-Tallulah Charter'!AH30</f>
        <v>0</v>
      </c>
      <c r="Q29" s="356">
        <f>-'Table 5C1L-Northshore Charter'!AH30</f>
        <v>0</v>
      </c>
      <c r="R29" s="356">
        <f>-'Table 5C1M-B.R. Charter'!AH30</f>
        <v>0</v>
      </c>
      <c r="S29" s="356">
        <f>-'Table 5C1N-Delta Charter'!AH30</f>
        <v>0</v>
      </c>
      <c r="T29" s="356">
        <f>-'Table 5C2 - LA Virtual Admy'!AI28</f>
        <v>-4530</v>
      </c>
      <c r="U29" s="356">
        <f>-'Table 5C3 - LA Connections EBR'!AI28</f>
        <v>-8628</v>
      </c>
      <c r="V29" s="356">
        <f>-'Table 5E_OJJ'!V30</f>
        <v>-1904</v>
      </c>
      <c r="W29" s="1378">
        <f t="shared" si="36"/>
        <v>-15062</v>
      </c>
      <c r="X29" s="717">
        <f t="shared" si="37"/>
        <v>6380700</v>
      </c>
      <c r="Y29" s="356"/>
      <c r="Z29" s="356"/>
      <c r="AA29" s="356"/>
      <c r="AB29" s="356">
        <f>'Table 5C1A-Madison Prep'!AN30</f>
        <v>0</v>
      </c>
      <c r="AC29" s="356">
        <f>'Table 5C1B-DArbonne'!AN30</f>
        <v>0</v>
      </c>
      <c r="AD29" s="356">
        <f>'Table 5C1C-Intl_VIBE'!AN30</f>
        <v>0</v>
      </c>
      <c r="AE29" s="356">
        <f>'Table 5C1D-NOMMA'!AN30</f>
        <v>0</v>
      </c>
      <c r="AF29" s="356">
        <f>'Table 5C1E-LFNO'!AP30</f>
        <v>0</v>
      </c>
      <c r="AG29" s="356">
        <f>'Table 5C1F-Lake Charles Charter'!AN30</f>
        <v>0</v>
      </c>
      <c r="AH29" s="356">
        <f>'Table 5C1G-JS Clark Academy'!AN30</f>
        <v>0</v>
      </c>
      <c r="AI29" s="356">
        <f>'Table 5C1H-Southwest LA Charter'!AN30</f>
        <v>0</v>
      </c>
      <c r="AJ29" s="356">
        <f>'Table 5C1I-LA Key Academy'!AN30</f>
        <v>0</v>
      </c>
      <c r="AK29" s="356">
        <f>'Table 5C1J-Jefferson Chamber'!AN30</f>
        <v>0</v>
      </c>
      <c r="AL29" s="356">
        <f>'Table 5C1K-Tallulah Charter'!AN30</f>
        <v>0</v>
      </c>
      <c r="AM29" s="356">
        <f>'Table 5C1L-Northshore Charter'!AN30</f>
        <v>0</v>
      </c>
      <c r="AN29" s="356">
        <f>'Table 5C1M-B.R. Charter'!AN30</f>
        <v>0</v>
      </c>
      <c r="AO29" s="356">
        <f>'Table 5C1N-Delta Charter'!AN30</f>
        <v>0</v>
      </c>
      <c r="AP29" s="356">
        <f>'Table 5C2 - LA Virtual Admy'!AO28</f>
        <v>-60.425000000000011</v>
      </c>
      <c r="AQ29" s="356">
        <f>'Table 5C3 - LA Connections EBR'!AO28</f>
        <v>-40.924374999999998</v>
      </c>
      <c r="AR29" s="717">
        <f t="shared" si="38"/>
        <v>6380598.6506249998</v>
      </c>
      <c r="AS29" s="47"/>
      <c r="AY29"/>
      <c r="BH29"/>
    </row>
    <row r="30" spans="1:60">
      <c r="A30" s="99">
        <v>24</v>
      </c>
      <c r="B30" s="301" t="s">
        <v>115</v>
      </c>
      <c r="C30" s="310">
        <f>'Table 2_State Distrib and Adjs'!AD31</f>
        <v>1418251</v>
      </c>
      <c r="D30" s="356"/>
      <c r="E30" s="356"/>
      <c r="F30" s="356">
        <f>-'Table 5C1A-Madison Prep'!AH31</f>
        <v>-1259</v>
      </c>
      <c r="G30" s="356">
        <f>-'Table 5C1B-DArbonne'!AH31</f>
        <v>0</v>
      </c>
      <c r="H30" s="356">
        <f>-'Table 5C1C-Intl_VIBE'!AH31</f>
        <v>0</v>
      </c>
      <c r="I30" s="356">
        <f>-'Table 5C1D-NOMMA'!AH31</f>
        <v>0</v>
      </c>
      <c r="J30" s="356">
        <f>-'Table 5C1E-LFNO'!AJ31</f>
        <v>0</v>
      </c>
      <c r="K30" s="356">
        <f>-'Table 5C1F-Lake Charles Charter'!AH31</f>
        <v>0</v>
      </c>
      <c r="L30" s="356">
        <f>-'Table 5C1G-JS Clark Academy'!AH31</f>
        <v>0</v>
      </c>
      <c r="M30" s="356">
        <f>-'Table 5C1H-Southwest LA Charter'!AH31</f>
        <v>0</v>
      </c>
      <c r="N30" s="356">
        <f>-'Table 5C1I-LA Key Academy'!AH31</f>
        <v>-9520</v>
      </c>
      <c r="O30" s="356">
        <f>-'Table 5C1J-Jefferson Chamber'!AH31</f>
        <v>0</v>
      </c>
      <c r="P30" s="356">
        <f>-'Table 5C1K-Tallulah Charter'!AH31</f>
        <v>0</v>
      </c>
      <c r="Q30" s="356">
        <f>-'Table 5C1L-Northshore Charter'!AH31</f>
        <v>0</v>
      </c>
      <c r="R30" s="356">
        <f>-'Table 5C1M-B.R. Charter'!AH31</f>
        <v>-5440</v>
      </c>
      <c r="S30" s="356">
        <f>-'Table 5C1N-Delta Charter'!AH31</f>
        <v>0</v>
      </c>
      <c r="T30" s="356">
        <f>-'Table 5C2 - LA Virtual Admy'!AI29</f>
        <v>-12476</v>
      </c>
      <c r="U30" s="356">
        <f>-'Table 5C3 - LA Connections EBR'!AI29</f>
        <v>-2212</v>
      </c>
      <c r="V30" s="356">
        <f>-'Table 5E_OJJ'!V31</f>
        <v>-497</v>
      </c>
      <c r="W30" s="1378">
        <f t="shared" si="36"/>
        <v>-31404</v>
      </c>
      <c r="X30" s="717">
        <f t="shared" si="37"/>
        <v>1386847</v>
      </c>
      <c r="Y30" s="356"/>
      <c r="Z30" s="356"/>
      <c r="AA30" s="356"/>
      <c r="AB30" s="356">
        <f>'Table 5C1A-Madison Prep'!AN31</f>
        <v>-27.267500000000002</v>
      </c>
      <c r="AC30" s="356">
        <f>'Table 5C1B-DArbonne'!AN31</f>
        <v>0</v>
      </c>
      <c r="AD30" s="356">
        <f>'Table 5C1C-Intl_VIBE'!AN31</f>
        <v>0</v>
      </c>
      <c r="AE30" s="356">
        <f>'Table 5C1D-NOMMA'!AN31</f>
        <v>0</v>
      </c>
      <c r="AF30" s="356">
        <f>'Table 5C1E-LFNO'!AP31</f>
        <v>0</v>
      </c>
      <c r="AG30" s="356">
        <f>'Table 5C1F-Lake Charles Charter'!AN31</f>
        <v>0</v>
      </c>
      <c r="AH30" s="356">
        <f>'Table 5C1G-JS Clark Academy'!AN31</f>
        <v>0</v>
      </c>
      <c r="AI30" s="356">
        <f>'Table 5C1H-Southwest LA Charter'!AN31</f>
        <v>0</v>
      </c>
      <c r="AJ30" s="356">
        <f>'Table 5C1I-LA Key Academy'!AN31</f>
        <v>-95.436250000000001</v>
      </c>
      <c r="AK30" s="356">
        <f>'Table 5C1J-Jefferson Chamber'!AN31</f>
        <v>0</v>
      </c>
      <c r="AL30" s="356">
        <f>'Table 5C1K-Tallulah Charter'!AN31</f>
        <v>0</v>
      </c>
      <c r="AM30" s="356">
        <f>'Table 5C1L-Northshore Charter'!AN31</f>
        <v>0</v>
      </c>
      <c r="AN30" s="356">
        <f>'Table 5C1M-B.R. Charter'!AN31</f>
        <v>-54.535000000000004</v>
      </c>
      <c r="AO30" s="356">
        <f>'Table 5C1N-Delta Charter'!AN31</f>
        <v>0</v>
      </c>
      <c r="AP30" s="356">
        <f>'Table 5C2 - LA Virtual Admy'!AO29</f>
        <v>-86.759375000000034</v>
      </c>
      <c r="AQ30" s="356">
        <f>'Table 5C3 - LA Connections EBR'!AO29</f>
        <v>-14.811125000000004</v>
      </c>
      <c r="AR30" s="717">
        <f t="shared" si="38"/>
        <v>1386568.1907500001</v>
      </c>
      <c r="AS30" s="47"/>
      <c r="AY30"/>
      <c r="BH30"/>
    </row>
    <row r="31" spans="1:60">
      <c r="A31" s="100">
        <v>25</v>
      </c>
      <c r="B31" s="302" t="s">
        <v>116</v>
      </c>
      <c r="C31" s="318">
        <f>'Table 2_State Distrib and Adjs'!AD32</f>
        <v>906308</v>
      </c>
      <c r="D31" s="357"/>
      <c r="E31" s="357"/>
      <c r="F31" s="357">
        <f>-'Table 5C1A-Madison Prep'!AH32</f>
        <v>0</v>
      </c>
      <c r="G31" s="357">
        <f>-'Table 5C1B-DArbonne'!AH32</f>
        <v>0</v>
      </c>
      <c r="H31" s="357">
        <f>-'Table 5C1C-Intl_VIBE'!AH32</f>
        <v>0</v>
      </c>
      <c r="I31" s="357">
        <f>-'Table 5C1D-NOMMA'!AH32</f>
        <v>0</v>
      </c>
      <c r="J31" s="357">
        <f>-'Table 5C1E-LFNO'!AJ32</f>
        <v>0</v>
      </c>
      <c r="K31" s="357">
        <f>-'Table 5C1F-Lake Charles Charter'!AH32</f>
        <v>0</v>
      </c>
      <c r="L31" s="357">
        <f>-'Table 5C1G-JS Clark Academy'!AH32</f>
        <v>0</v>
      </c>
      <c r="M31" s="357">
        <f>-'Table 5C1H-Southwest LA Charter'!AH32</f>
        <v>0</v>
      </c>
      <c r="N31" s="357">
        <f>-'Table 5C1I-LA Key Academy'!AH32</f>
        <v>0</v>
      </c>
      <c r="O31" s="357">
        <f>-'Table 5C1J-Jefferson Chamber'!AH32</f>
        <v>0</v>
      </c>
      <c r="P31" s="357">
        <f>-'Table 5C1K-Tallulah Charter'!AH32</f>
        <v>0</v>
      </c>
      <c r="Q31" s="357">
        <f>-'Table 5C1L-Northshore Charter'!AH32</f>
        <v>0</v>
      </c>
      <c r="R31" s="357">
        <f>-'Table 5C1M-B.R. Charter'!AH32</f>
        <v>0</v>
      </c>
      <c r="S31" s="357">
        <f>-'Table 5C1N-Delta Charter'!AH32</f>
        <v>0</v>
      </c>
      <c r="T31" s="357">
        <f>-'Table 5C2 - LA Virtual Admy'!AI30</f>
        <v>2503</v>
      </c>
      <c r="U31" s="357">
        <f>-'Table 5C3 - LA Connections EBR'!AI30</f>
        <v>145</v>
      </c>
      <c r="V31" s="357">
        <f>-'Table 5E_OJJ'!V32</f>
        <v>-1441</v>
      </c>
      <c r="W31" s="357">
        <f t="shared" si="36"/>
        <v>1207</v>
      </c>
      <c r="X31" s="718">
        <f t="shared" si="37"/>
        <v>907515</v>
      </c>
      <c r="Y31" s="357"/>
      <c r="Z31" s="357"/>
      <c r="AA31" s="357"/>
      <c r="AB31" s="357">
        <f>'Table 5C1A-Madison Prep'!AN32</f>
        <v>0</v>
      </c>
      <c r="AC31" s="357">
        <f>'Table 5C1B-DArbonne'!AN32</f>
        <v>0</v>
      </c>
      <c r="AD31" s="357">
        <f>'Table 5C1C-Intl_VIBE'!AN32</f>
        <v>0</v>
      </c>
      <c r="AE31" s="357">
        <f>'Table 5C1D-NOMMA'!AN32</f>
        <v>0</v>
      </c>
      <c r="AF31" s="357">
        <f>'Table 5C1E-LFNO'!AP32</f>
        <v>0</v>
      </c>
      <c r="AG31" s="357">
        <f>'Table 5C1F-Lake Charles Charter'!AN32</f>
        <v>0</v>
      </c>
      <c r="AH31" s="357">
        <f>'Table 5C1G-JS Clark Academy'!AN32</f>
        <v>0</v>
      </c>
      <c r="AI31" s="357">
        <f>'Table 5C1H-Southwest LA Charter'!AN32</f>
        <v>0</v>
      </c>
      <c r="AJ31" s="357">
        <f>'Table 5C1I-LA Key Academy'!AN32</f>
        <v>0</v>
      </c>
      <c r="AK31" s="357">
        <f>'Table 5C1J-Jefferson Chamber'!AN32</f>
        <v>0</v>
      </c>
      <c r="AL31" s="357">
        <f>'Table 5C1K-Tallulah Charter'!AN32</f>
        <v>0</v>
      </c>
      <c r="AM31" s="357">
        <f>'Table 5C1L-Northshore Charter'!AN32</f>
        <v>0</v>
      </c>
      <c r="AN31" s="357">
        <f>'Table 5C1M-B.R. Charter'!AN32</f>
        <v>0</v>
      </c>
      <c r="AO31" s="357">
        <f>'Table 5C1N-Delta Charter'!AN32</f>
        <v>0</v>
      </c>
      <c r="AP31" s="357">
        <f>'Table 5C2 - LA Virtual Admy'!AO30</f>
        <v>32.398999999999994</v>
      </c>
      <c r="AQ31" s="357">
        <f>'Table 5C3 - LA Connections EBR'!AO30</f>
        <v>5.1994999999999996</v>
      </c>
      <c r="AR31" s="718">
        <f t="shared" si="38"/>
        <v>907552.59849999996</v>
      </c>
      <c r="AS31" s="47"/>
      <c r="AY31"/>
      <c r="BH31"/>
    </row>
    <row r="32" spans="1:60">
      <c r="A32" s="99">
        <v>26</v>
      </c>
      <c r="B32" s="301" t="s">
        <v>117</v>
      </c>
      <c r="C32" s="310">
        <f>'Table 2_State Distrib and Adjs'!AD33</f>
        <v>16075793</v>
      </c>
      <c r="D32" s="356"/>
      <c r="E32" s="356"/>
      <c r="F32" s="356">
        <f>-'Table 5C1A-Madison Prep'!AH33</f>
        <v>0</v>
      </c>
      <c r="G32" s="356">
        <f>-'Table 5C1B-DArbonne'!AH33</f>
        <v>0</v>
      </c>
      <c r="H32" s="356">
        <f>-'Table 5C1C-Intl_VIBE'!AH33</f>
        <v>-39428</v>
      </c>
      <c r="I32" s="356">
        <f>-'Table 5C1D-NOMMA'!AH33</f>
        <v>-86576</v>
      </c>
      <c r="J32" s="356">
        <f>-'Table 5C1E-LFNO'!AJ33</f>
        <v>-37873</v>
      </c>
      <c r="K32" s="356">
        <f>-'Table 5C1F-Lake Charles Charter'!AH33</f>
        <v>0</v>
      </c>
      <c r="L32" s="356">
        <f>-'Table 5C1G-JS Clark Academy'!AH33</f>
        <v>0</v>
      </c>
      <c r="M32" s="356">
        <f>-'Table 5C1H-Southwest LA Charter'!AH33</f>
        <v>0</v>
      </c>
      <c r="N32" s="356">
        <f>-'Table 5C1I-LA Key Academy'!AH33</f>
        <v>0</v>
      </c>
      <c r="O32" s="356">
        <f>-'Table 5C1J-Jefferson Chamber'!AH33</f>
        <v>-37973</v>
      </c>
      <c r="P32" s="356">
        <f>-'Table 5C1K-Tallulah Charter'!AH33</f>
        <v>0</v>
      </c>
      <c r="Q32" s="356">
        <f>-'Table 5C1L-Northshore Charter'!AH33</f>
        <v>0</v>
      </c>
      <c r="R32" s="356">
        <f>-'Table 5C1M-B.R. Charter'!AH33</f>
        <v>0</v>
      </c>
      <c r="S32" s="356">
        <f>-'Table 5C1N-Delta Charter'!AH33</f>
        <v>0</v>
      </c>
      <c r="T32" s="356">
        <f>-'Table 5C2 - LA Virtual Admy'!AI31</f>
        <v>-78190</v>
      </c>
      <c r="U32" s="356">
        <f>-'Table 5C3 - LA Connections EBR'!AI31</f>
        <v>-45222</v>
      </c>
      <c r="V32" s="356">
        <f>-'Table 5E_OJJ'!V33</f>
        <v>-12924</v>
      </c>
      <c r="W32" s="1378">
        <f t="shared" si="36"/>
        <v>-338186</v>
      </c>
      <c r="X32" s="717">
        <f t="shared" si="37"/>
        <v>15737607</v>
      </c>
      <c r="Y32" s="356"/>
      <c r="Z32" s="356"/>
      <c r="AA32" s="356"/>
      <c r="AB32" s="356">
        <f>'Table 5C1A-Madison Prep'!AN33</f>
        <v>0</v>
      </c>
      <c r="AC32" s="356">
        <f>'Table 5C1B-DArbonne'!AN33</f>
        <v>0</v>
      </c>
      <c r="AD32" s="356">
        <f>'Table 5C1C-Intl_VIBE'!AN33</f>
        <v>-192.10000000000002</v>
      </c>
      <c r="AE32" s="356">
        <f>'Table 5C1D-NOMMA'!AN33</f>
        <v>-1100.94</v>
      </c>
      <c r="AF32" s="356">
        <f>'Table 5C1E-LFNO'!AP33</f>
        <v>-292.63</v>
      </c>
      <c r="AG32" s="356">
        <f>'Table 5C1F-Lake Charles Charter'!AN33</f>
        <v>0</v>
      </c>
      <c r="AH32" s="356">
        <f>'Table 5C1G-JS Clark Academy'!AN33</f>
        <v>0</v>
      </c>
      <c r="AI32" s="356">
        <f>'Table 5C1H-Southwest LA Charter'!AN33</f>
        <v>0</v>
      </c>
      <c r="AJ32" s="356">
        <f>'Table 5C1I-LA Key Academy'!AN33</f>
        <v>0</v>
      </c>
      <c r="AK32" s="356">
        <f>'Table 5C1J-Jefferson Chamber'!AN33</f>
        <v>16.819999999999936</v>
      </c>
      <c r="AL32" s="356">
        <f>'Table 5C1K-Tallulah Charter'!AN33</f>
        <v>0</v>
      </c>
      <c r="AM32" s="356">
        <f>'Table 5C1L-Northshore Charter'!AN33</f>
        <v>0</v>
      </c>
      <c r="AN32" s="356">
        <f>'Table 5C1M-B.R. Charter'!AN33</f>
        <v>0</v>
      </c>
      <c r="AO32" s="356">
        <f>'Table 5C1N-Delta Charter'!AN33</f>
        <v>0</v>
      </c>
      <c r="AP32" s="356">
        <f>'Table 5C2 - LA Virtual Admy'!AO31</f>
        <v>-826.93600000000015</v>
      </c>
      <c r="AQ32" s="356">
        <f>'Table 5C3 - LA Connections EBR'!AO31</f>
        <v>-63.460000000000264</v>
      </c>
      <c r="AR32" s="717">
        <f t="shared" si="38"/>
        <v>15735147.753999999</v>
      </c>
      <c r="AS32" s="47"/>
      <c r="AY32"/>
      <c r="BH32"/>
    </row>
    <row r="33" spans="1:60">
      <c r="A33" s="99">
        <v>27</v>
      </c>
      <c r="B33" s="301" t="s">
        <v>118</v>
      </c>
      <c r="C33" s="310">
        <f>'Table 2_State Distrib and Adjs'!AD34</f>
        <v>3018541</v>
      </c>
      <c r="D33" s="356"/>
      <c r="E33" s="356"/>
      <c r="F33" s="356">
        <f>-'Table 5C1A-Madison Prep'!AH34</f>
        <v>0</v>
      </c>
      <c r="G33" s="356">
        <f>-'Table 5C1B-DArbonne'!AH34</f>
        <v>0</v>
      </c>
      <c r="H33" s="356">
        <f>-'Table 5C1C-Intl_VIBE'!AH34</f>
        <v>0</v>
      </c>
      <c r="I33" s="356">
        <f>-'Table 5C1D-NOMMA'!AH34</f>
        <v>0</v>
      </c>
      <c r="J33" s="356">
        <f>-'Table 5C1E-LFNO'!AJ34</f>
        <v>0</v>
      </c>
      <c r="K33" s="356">
        <f>-'Table 5C1F-Lake Charles Charter'!AH34</f>
        <v>0</v>
      </c>
      <c r="L33" s="356">
        <f>-'Table 5C1G-JS Clark Academy'!AH34</f>
        <v>0</v>
      </c>
      <c r="M33" s="356">
        <f>-'Table 5C1H-Southwest LA Charter'!AH34</f>
        <v>4324</v>
      </c>
      <c r="N33" s="356">
        <f>-'Table 5C1I-LA Key Academy'!AH34</f>
        <v>0</v>
      </c>
      <c r="O33" s="356">
        <f>-'Table 5C1J-Jefferson Chamber'!AH34</f>
        <v>0</v>
      </c>
      <c r="P33" s="356">
        <f>-'Table 5C1K-Tallulah Charter'!AH34</f>
        <v>0</v>
      </c>
      <c r="Q33" s="356">
        <f>-'Table 5C1L-Northshore Charter'!AH34</f>
        <v>0</v>
      </c>
      <c r="R33" s="356">
        <f>-'Table 5C1M-B.R. Charter'!AH34</f>
        <v>0</v>
      </c>
      <c r="S33" s="356">
        <f>-'Table 5C1N-Delta Charter'!AH34</f>
        <v>0</v>
      </c>
      <c r="T33" s="356">
        <f>-'Table 5C2 - LA Virtual Admy'!AI32</f>
        <v>-3115</v>
      </c>
      <c r="U33" s="356">
        <f>-'Table 5C3 - LA Connections EBR'!AI32</f>
        <v>-265</v>
      </c>
      <c r="V33" s="356">
        <f>-'Table 5E_OJJ'!V34</f>
        <v>-975</v>
      </c>
      <c r="W33" s="1378">
        <f t="shared" si="36"/>
        <v>-31</v>
      </c>
      <c r="X33" s="717">
        <f t="shared" si="37"/>
        <v>3018510</v>
      </c>
      <c r="Y33" s="356"/>
      <c r="Z33" s="356"/>
      <c r="AA33" s="356"/>
      <c r="AB33" s="356">
        <f>'Table 5C1A-Madison Prep'!AN34</f>
        <v>0</v>
      </c>
      <c r="AC33" s="356">
        <f>'Table 5C1B-DArbonne'!AN34</f>
        <v>0</v>
      </c>
      <c r="AD33" s="356">
        <f>'Table 5C1C-Intl_VIBE'!AN34</f>
        <v>0</v>
      </c>
      <c r="AE33" s="356">
        <f>'Table 5C1D-NOMMA'!AN34</f>
        <v>0</v>
      </c>
      <c r="AF33" s="356">
        <f>'Table 5C1E-LFNO'!AP34</f>
        <v>0</v>
      </c>
      <c r="AG33" s="356">
        <f>'Table 5C1F-Lake Charles Charter'!AN34</f>
        <v>0</v>
      </c>
      <c r="AH33" s="356">
        <f>'Table 5C1G-JS Clark Academy'!AN34</f>
        <v>0</v>
      </c>
      <c r="AI33" s="356">
        <f>'Table 5C1H-Southwest LA Charter'!AN34</f>
        <v>65.02</v>
      </c>
      <c r="AJ33" s="356">
        <f>'Table 5C1I-LA Key Academy'!AN34</f>
        <v>0</v>
      </c>
      <c r="AK33" s="356">
        <f>'Table 5C1J-Jefferson Chamber'!AN34</f>
        <v>0</v>
      </c>
      <c r="AL33" s="356">
        <f>'Table 5C1K-Tallulah Charter'!AN34</f>
        <v>0</v>
      </c>
      <c r="AM33" s="356">
        <f>'Table 5C1L-Northshore Charter'!AN34</f>
        <v>0</v>
      </c>
      <c r="AN33" s="356">
        <f>'Table 5C1M-B.R. Charter'!AN34</f>
        <v>0</v>
      </c>
      <c r="AO33" s="356">
        <f>'Table 5C1N-Delta Charter'!AN34</f>
        <v>0</v>
      </c>
      <c r="AP33" s="356">
        <f>'Table 5C2 - LA Virtual Admy'!AO32</f>
        <v>-55.277375000000006</v>
      </c>
      <c r="AQ33" s="356">
        <f>'Table 5C3 - LA Connections EBR'!AO32</f>
        <v>14.201250000000002</v>
      </c>
      <c r="AR33" s="717">
        <f t="shared" si="38"/>
        <v>3018533.9438749999</v>
      </c>
      <c r="AS33" s="47"/>
      <c r="AY33"/>
      <c r="BH33"/>
    </row>
    <row r="34" spans="1:60">
      <c r="A34" s="99">
        <v>28</v>
      </c>
      <c r="B34" s="301" t="s">
        <v>119</v>
      </c>
      <c r="C34" s="310">
        <f>'Table 2_State Distrib and Adjs'!AD35</f>
        <v>9825538</v>
      </c>
      <c r="D34" s="356"/>
      <c r="E34" s="356"/>
      <c r="F34" s="356">
        <f>-'Table 5C1A-Madison Prep'!AH35</f>
        <v>0</v>
      </c>
      <c r="G34" s="356">
        <f>-'Table 5C1B-DArbonne'!AH35</f>
        <v>0</v>
      </c>
      <c r="H34" s="356">
        <f>-'Table 5C1C-Intl_VIBE'!AH35</f>
        <v>0</v>
      </c>
      <c r="I34" s="356">
        <f>-'Table 5C1D-NOMMA'!AH35</f>
        <v>0</v>
      </c>
      <c r="J34" s="356">
        <f>-'Table 5C1E-LFNO'!AJ35</f>
        <v>0</v>
      </c>
      <c r="K34" s="356">
        <f>-'Table 5C1F-Lake Charles Charter'!AH35</f>
        <v>0</v>
      </c>
      <c r="L34" s="356">
        <f>-'Table 5C1G-JS Clark Academy'!AH35</f>
        <v>-664</v>
      </c>
      <c r="M34" s="356">
        <f>-'Table 5C1H-Southwest LA Charter'!AH35</f>
        <v>0</v>
      </c>
      <c r="N34" s="356">
        <f>-'Table 5C1I-LA Key Academy'!AH35</f>
        <v>0</v>
      </c>
      <c r="O34" s="356">
        <f>-'Table 5C1J-Jefferson Chamber'!AH35</f>
        <v>0</v>
      </c>
      <c r="P34" s="356">
        <f>-'Table 5C1K-Tallulah Charter'!AH35</f>
        <v>0</v>
      </c>
      <c r="Q34" s="356">
        <f>-'Table 5C1L-Northshore Charter'!AH35</f>
        <v>0</v>
      </c>
      <c r="R34" s="356">
        <f>-'Table 5C1M-B.R. Charter'!AH35</f>
        <v>0</v>
      </c>
      <c r="S34" s="356">
        <f>-'Table 5C1N-Delta Charter'!AH35</f>
        <v>0</v>
      </c>
      <c r="T34" s="356">
        <f>-'Table 5C2 - LA Virtual Admy'!AI33</f>
        <v>-46917</v>
      </c>
      <c r="U34" s="356">
        <f>-'Table 5C3 - LA Connections EBR'!AI33</f>
        <v>-31548</v>
      </c>
      <c r="V34" s="356">
        <f>-'Table 5E_OJJ'!V35</f>
        <v>-2724</v>
      </c>
      <c r="W34" s="1378">
        <f t="shared" si="36"/>
        <v>-81853</v>
      </c>
      <c r="X34" s="717">
        <f t="shared" si="37"/>
        <v>9743685</v>
      </c>
      <c r="Y34" s="356"/>
      <c r="Z34" s="356"/>
      <c r="AA34" s="356"/>
      <c r="AB34" s="356">
        <f>'Table 5C1A-Madison Prep'!AN35</f>
        <v>0</v>
      </c>
      <c r="AC34" s="356">
        <f>'Table 5C1B-DArbonne'!AN35</f>
        <v>0</v>
      </c>
      <c r="AD34" s="356">
        <f>'Table 5C1C-Intl_VIBE'!AN35</f>
        <v>0</v>
      </c>
      <c r="AE34" s="356">
        <f>'Table 5C1D-NOMMA'!AN35</f>
        <v>0</v>
      </c>
      <c r="AF34" s="356">
        <f>'Table 5C1E-LFNO'!AP35</f>
        <v>0</v>
      </c>
      <c r="AG34" s="356">
        <f>'Table 5C1F-Lake Charles Charter'!AN35</f>
        <v>0</v>
      </c>
      <c r="AH34" s="356">
        <f>'Table 5C1G-JS Clark Academy'!AN35</f>
        <v>6.3412500000000005</v>
      </c>
      <c r="AI34" s="356">
        <f>'Table 5C1H-Southwest LA Charter'!AN35</f>
        <v>0</v>
      </c>
      <c r="AJ34" s="356">
        <f>'Table 5C1I-LA Key Academy'!AN35</f>
        <v>0</v>
      </c>
      <c r="AK34" s="356">
        <f>'Table 5C1J-Jefferson Chamber'!AN35</f>
        <v>0</v>
      </c>
      <c r="AL34" s="356">
        <f>'Table 5C1K-Tallulah Charter'!AN35</f>
        <v>0</v>
      </c>
      <c r="AM34" s="356">
        <f>'Table 5C1L-Northshore Charter'!AN35</f>
        <v>0</v>
      </c>
      <c r="AN34" s="356">
        <f>'Table 5C1M-B.R. Charter'!AN35</f>
        <v>0</v>
      </c>
      <c r="AO34" s="356">
        <f>'Table 5C1N-Delta Charter'!AN35</f>
        <v>0</v>
      </c>
      <c r="AP34" s="356">
        <f>'Table 5C2 - LA Virtual Admy'!AO33</f>
        <v>-590.93012500000009</v>
      </c>
      <c r="AQ34" s="356">
        <f>'Table 5C3 - LA Connections EBR'!AO33</f>
        <v>-131.1105</v>
      </c>
      <c r="AR34" s="717">
        <f t="shared" si="38"/>
        <v>9742969.3006250001</v>
      </c>
      <c r="AS34" s="47"/>
      <c r="AY34"/>
      <c r="BH34"/>
    </row>
    <row r="35" spans="1:60">
      <c r="A35" s="99">
        <v>29</v>
      </c>
      <c r="B35" s="301" t="s">
        <v>120</v>
      </c>
      <c r="C35" s="310">
        <f>'Table 2_State Distrib and Adjs'!AD36</f>
        <v>5602524</v>
      </c>
      <c r="D35" s="356"/>
      <c r="E35" s="356"/>
      <c r="F35" s="356">
        <f>-'Table 5C1A-Madison Prep'!AH36</f>
        <v>0</v>
      </c>
      <c r="G35" s="356">
        <f>-'Table 5C1B-DArbonne'!AH36</f>
        <v>0</v>
      </c>
      <c r="H35" s="356">
        <f>-'Table 5C1C-Intl_VIBE'!AH36</f>
        <v>0</v>
      </c>
      <c r="I35" s="356">
        <f>-'Table 5C1D-NOMMA'!AH36</f>
        <v>0</v>
      </c>
      <c r="J35" s="356">
        <f>-'Table 5C1E-LFNO'!AJ36</f>
        <v>-448</v>
      </c>
      <c r="K35" s="356">
        <f>-'Table 5C1F-Lake Charles Charter'!AH36</f>
        <v>0</v>
      </c>
      <c r="L35" s="356">
        <f>-'Table 5C1G-JS Clark Academy'!AH36</f>
        <v>0</v>
      </c>
      <c r="M35" s="356">
        <f>-'Table 5C1H-Southwest LA Charter'!AH36</f>
        <v>0</v>
      </c>
      <c r="N35" s="356">
        <f>-'Table 5C1I-LA Key Academy'!AH36</f>
        <v>0</v>
      </c>
      <c r="O35" s="356">
        <f>-'Table 5C1J-Jefferson Chamber'!AH36</f>
        <v>0</v>
      </c>
      <c r="P35" s="356">
        <f>-'Table 5C1K-Tallulah Charter'!AH36</f>
        <v>0</v>
      </c>
      <c r="Q35" s="356">
        <f>-'Table 5C1L-Northshore Charter'!AH36</f>
        <v>0</v>
      </c>
      <c r="R35" s="356">
        <f>-'Table 5C1M-B.R. Charter'!AH36</f>
        <v>0</v>
      </c>
      <c r="S35" s="356">
        <f>-'Table 5C1N-Delta Charter'!AH36</f>
        <v>0</v>
      </c>
      <c r="T35" s="356">
        <f>-'Table 5C2 - LA Virtual Admy'!AI34</f>
        <v>-7517</v>
      </c>
      <c r="U35" s="356">
        <f>-'Table 5C3 - LA Connections EBR'!AI34</f>
        <v>2453</v>
      </c>
      <c r="V35" s="356">
        <f>-'Table 5E_OJJ'!V36</f>
        <v>-3011</v>
      </c>
      <c r="W35" s="1378">
        <f t="shared" si="36"/>
        <v>-8523</v>
      </c>
      <c r="X35" s="717">
        <f t="shared" si="37"/>
        <v>5594001</v>
      </c>
      <c r="Y35" s="356"/>
      <c r="Z35" s="356"/>
      <c r="AA35" s="356"/>
      <c r="AB35" s="356">
        <f>'Table 5C1A-Madison Prep'!AN36</f>
        <v>0</v>
      </c>
      <c r="AC35" s="356">
        <f>'Table 5C1B-DArbonne'!AN36</f>
        <v>0</v>
      </c>
      <c r="AD35" s="356">
        <f>'Table 5C1C-Intl_VIBE'!AN36</f>
        <v>0</v>
      </c>
      <c r="AE35" s="356">
        <f>'Table 5C1D-NOMMA'!AN36</f>
        <v>0</v>
      </c>
      <c r="AF35" s="356">
        <f>'Table 5C1E-LFNO'!AP36</f>
        <v>-12.065</v>
      </c>
      <c r="AG35" s="356">
        <f>'Table 5C1F-Lake Charles Charter'!AN36</f>
        <v>0</v>
      </c>
      <c r="AH35" s="356">
        <f>'Table 5C1G-JS Clark Academy'!AN36</f>
        <v>0</v>
      </c>
      <c r="AI35" s="356">
        <f>'Table 5C1H-Southwest LA Charter'!AN36</f>
        <v>0</v>
      </c>
      <c r="AJ35" s="356">
        <f>'Table 5C1I-LA Key Academy'!AN36</f>
        <v>0</v>
      </c>
      <c r="AK35" s="356">
        <f>'Table 5C1J-Jefferson Chamber'!AN36</f>
        <v>0</v>
      </c>
      <c r="AL35" s="356">
        <f>'Table 5C1K-Tallulah Charter'!AN36</f>
        <v>0</v>
      </c>
      <c r="AM35" s="356">
        <f>'Table 5C1L-Northshore Charter'!AN36</f>
        <v>0</v>
      </c>
      <c r="AN35" s="356">
        <f>'Table 5C1M-B.R. Charter'!AN36</f>
        <v>0</v>
      </c>
      <c r="AO35" s="356">
        <f>'Table 5C1N-Delta Charter'!AN36</f>
        <v>0</v>
      </c>
      <c r="AP35" s="356">
        <f>'Table 5C2 - LA Virtual Admy'!AO34</f>
        <v>-120.74550000000002</v>
      </c>
      <c r="AQ35" s="356">
        <f>'Table 5C3 - LA Connections EBR'!AO34</f>
        <v>53.424499999999995</v>
      </c>
      <c r="AR35" s="717">
        <f t="shared" si="38"/>
        <v>5593921.6139999991</v>
      </c>
      <c r="AS35" s="47"/>
      <c r="AY35"/>
      <c r="BH35"/>
    </row>
    <row r="36" spans="1:60">
      <c r="A36" s="100">
        <v>30</v>
      </c>
      <c r="B36" s="302" t="s">
        <v>121</v>
      </c>
      <c r="C36" s="318">
        <f>'Table 2_State Distrib and Adjs'!AD37</f>
        <v>1330687</v>
      </c>
      <c r="D36" s="357"/>
      <c r="E36" s="357"/>
      <c r="F36" s="357">
        <f>-'Table 5C1A-Madison Prep'!AH37</f>
        <v>0</v>
      </c>
      <c r="G36" s="357">
        <f>-'Table 5C1B-DArbonne'!AH37</f>
        <v>0</v>
      </c>
      <c r="H36" s="357">
        <f>-'Table 5C1C-Intl_VIBE'!AH37</f>
        <v>0</v>
      </c>
      <c r="I36" s="357">
        <f>-'Table 5C1D-NOMMA'!AH37</f>
        <v>0</v>
      </c>
      <c r="J36" s="357">
        <f>-'Table 5C1E-LFNO'!AJ37</f>
        <v>0</v>
      </c>
      <c r="K36" s="357">
        <f>-'Table 5C1F-Lake Charles Charter'!AH37</f>
        <v>0</v>
      </c>
      <c r="L36" s="357">
        <f>-'Table 5C1G-JS Clark Academy'!AH37</f>
        <v>0</v>
      </c>
      <c r="M36" s="357">
        <f>-'Table 5C1H-Southwest LA Charter'!AH37</f>
        <v>0</v>
      </c>
      <c r="N36" s="357">
        <f>-'Table 5C1I-LA Key Academy'!AH37</f>
        <v>0</v>
      </c>
      <c r="O36" s="357">
        <f>-'Table 5C1J-Jefferson Chamber'!AH37</f>
        <v>0</v>
      </c>
      <c r="P36" s="357">
        <f>-'Table 5C1K-Tallulah Charter'!AH37</f>
        <v>0</v>
      </c>
      <c r="Q36" s="357">
        <f>-'Table 5C1L-Northshore Charter'!AH37</f>
        <v>0</v>
      </c>
      <c r="R36" s="357">
        <f>-'Table 5C1M-B.R. Charter'!AH37</f>
        <v>0</v>
      </c>
      <c r="S36" s="357">
        <f>-'Table 5C1N-Delta Charter'!AH37</f>
        <v>0</v>
      </c>
      <c r="T36" s="357">
        <f>-'Table 5C2 - LA Virtual Admy'!AI35</f>
        <v>-379</v>
      </c>
      <c r="U36" s="357">
        <f>-'Table 5C3 - LA Connections EBR'!AI35</f>
        <v>-1385</v>
      </c>
      <c r="V36" s="357">
        <f>-'Table 5E_OJJ'!V37</f>
        <v>0</v>
      </c>
      <c r="W36" s="357">
        <f t="shared" si="36"/>
        <v>-1764</v>
      </c>
      <c r="X36" s="718">
        <f t="shared" si="37"/>
        <v>1328923</v>
      </c>
      <c r="Y36" s="357"/>
      <c r="Z36" s="357"/>
      <c r="AA36" s="357"/>
      <c r="AB36" s="357">
        <f>'Table 5C1A-Madison Prep'!AN37</f>
        <v>0</v>
      </c>
      <c r="AC36" s="357">
        <f>'Table 5C1B-DArbonne'!AN37</f>
        <v>0</v>
      </c>
      <c r="AD36" s="357">
        <f>'Table 5C1C-Intl_VIBE'!AN37</f>
        <v>0</v>
      </c>
      <c r="AE36" s="357">
        <f>'Table 5C1D-NOMMA'!AN37</f>
        <v>0</v>
      </c>
      <c r="AF36" s="357">
        <f>'Table 5C1E-LFNO'!AP37</f>
        <v>0</v>
      </c>
      <c r="AG36" s="357">
        <f>'Table 5C1F-Lake Charles Charter'!AN37</f>
        <v>0</v>
      </c>
      <c r="AH36" s="357">
        <f>'Table 5C1G-JS Clark Academy'!AN37</f>
        <v>0</v>
      </c>
      <c r="AI36" s="357">
        <f>'Table 5C1H-Southwest LA Charter'!AN37</f>
        <v>0</v>
      </c>
      <c r="AJ36" s="357">
        <f>'Table 5C1I-LA Key Academy'!AN37</f>
        <v>0</v>
      </c>
      <c r="AK36" s="357">
        <f>'Table 5C1J-Jefferson Chamber'!AN37</f>
        <v>0</v>
      </c>
      <c r="AL36" s="357">
        <f>'Table 5C1K-Tallulah Charter'!AN37</f>
        <v>0</v>
      </c>
      <c r="AM36" s="357">
        <f>'Table 5C1L-Northshore Charter'!AN37</f>
        <v>0</v>
      </c>
      <c r="AN36" s="357">
        <f>'Table 5C1M-B.R. Charter'!AN37</f>
        <v>0</v>
      </c>
      <c r="AO36" s="357">
        <f>'Table 5C1N-Delta Charter'!AN37</f>
        <v>0</v>
      </c>
      <c r="AP36" s="357">
        <f>'Table 5C2 - LA Virtual Admy'!AO35</f>
        <v>-4.019874999999999</v>
      </c>
      <c r="AQ36" s="357">
        <f>'Table 5C3 - LA Connections EBR'!AO35</f>
        <v>-8.5856250000000003</v>
      </c>
      <c r="AR36" s="718">
        <f t="shared" si="38"/>
        <v>1328910.3944999999</v>
      </c>
      <c r="AS36" s="47"/>
      <c r="AY36"/>
      <c r="BH36"/>
    </row>
    <row r="37" spans="1:60">
      <c r="A37" s="99">
        <v>31</v>
      </c>
      <c r="B37" s="301" t="s">
        <v>122</v>
      </c>
      <c r="C37" s="310">
        <f>'Table 2_State Distrib and Adjs'!AD38</f>
        <v>2621126</v>
      </c>
      <c r="D37" s="356"/>
      <c r="E37" s="356"/>
      <c r="F37" s="356">
        <f>-'Table 5C1A-Madison Prep'!AH38</f>
        <v>0</v>
      </c>
      <c r="G37" s="356">
        <f>-'Table 5C1B-DArbonne'!AH38</f>
        <v>-6767</v>
      </c>
      <c r="H37" s="356">
        <f>-'Table 5C1C-Intl_VIBE'!AH38</f>
        <v>0</v>
      </c>
      <c r="I37" s="356">
        <f>-'Table 5C1D-NOMMA'!AH38</f>
        <v>0</v>
      </c>
      <c r="J37" s="356">
        <f>-'Table 5C1E-LFNO'!AJ38</f>
        <v>0</v>
      </c>
      <c r="K37" s="356">
        <f>-'Table 5C1F-Lake Charles Charter'!AH38</f>
        <v>0</v>
      </c>
      <c r="L37" s="356">
        <f>-'Table 5C1G-JS Clark Academy'!AH38</f>
        <v>0</v>
      </c>
      <c r="M37" s="356">
        <f>-'Table 5C1H-Southwest LA Charter'!AH38</f>
        <v>0</v>
      </c>
      <c r="N37" s="356">
        <f>-'Table 5C1I-LA Key Academy'!AH38</f>
        <v>0</v>
      </c>
      <c r="O37" s="356">
        <f>-'Table 5C1J-Jefferson Chamber'!AH38</f>
        <v>0</v>
      </c>
      <c r="P37" s="356">
        <f>-'Table 5C1K-Tallulah Charter'!AH38</f>
        <v>0</v>
      </c>
      <c r="Q37" s="356">
        <f>-'Table 5C1L-Northshore Charter'!AH38</f>
        <v>0</v>
      </c>
      <c r="R37" s="356">
        <f>-'Table 5C1M-B.R. Charter'!AH38</f>
        <v>0</v>
      </c>
      <c r="S37" s="356">
        <f>-'Table 5C1N-Delta Charter'!AH38</f>
        <v>0</v>
      </c>
      <c r="T37" s="356">
        <f>-'Table 5C2 - LA Virtual Admy'!AI36</f>
        <v>-501</v>
      </c>
      <c r="U37" s="356">
        <f>-'Table 5C3 - LA Connections EBR'!AI36</f>
        <v>-980</v>
      </c>
      <c r="V37" s="356">
        <f>-'Table 5E_OJJ'!V38</f>
        <v>-442</v>
      </c>
      <c r="W37" s="1378">
        <f t="shared" si="36"/>
        <v>-8690</v>
      </c>
      <c r="X37" s="717">
        <f t="shared" si="37"/>
        <v>2612436</v>
      </c>
      <c r="Y37" s="356"/>
      <c r="Z37" s="356"/>
      <c r="AA37" s="356"/>
      <c r="AB37" s="356">
        <f>'Table 5C1A-Madison Prep'!AN38</f>
        <v>0</v>
      </c>
      <c r="AC37" s="356">
        <f>'Table 5C1B-DArbonne'!AN38</f>
        <v>-51.129999999999995</v>
      </c>
      <c r="AD37" s="356">
        <f>'Table 5C1C-Intl_VIBE'!AN38</f>
        <v>0</v>
      </c>
      <c r="AE37" s="356">
        <f>'Table 5C1D-NOMMA'!AN38</f>
        <v>0</v>
      </c>
      <c r="AF37" s="356">
        <f>'Table 5C1E-LFNO'!AP38</f>
        <v>0</v>
      </c>
      <c r="AG37" s="356">
        <f>'Table 5C1F-Lake Charles Charter'!AN38</f>
        <v>0</v>
      </c>
      <c r="AH37" s="356">
        <f>'Table 5C1G-JS Clark Academy'!AN38</f>
        <v>0</v>
      </c>
      <c r="AI37" s="356">
        <f>'Table 5C1H-Southwest LA Charter'!AN38</f>
        <v>0</v>
      </c>
      <c r="AJ37" s="356">
        <f>'Table 5C1I-LA Key Academy'!AN38</f>
        <v>0</v>
      </c>
      <c r="AK37" s="356">
        <f>'Table 5C1J-Jefferson Chamber'!AN38</f>
        <v>0</v>
      </c>
      <c r="AL37" s="356">
        <f>'Table 5C1K-Tallulah Charter'!AN38</f>
        <v>0</v>
      </c>
      <c r="AM37" s="356">
        <f>'Table 5C1L-Northshore Charter'!AN38</f>
        <v>0</v>
      </c>
      <c r="AN37" s="356">
        <f>'Table 5C1M-B.R. Charter'!AN38</f>
        <v>0</v>
      </c>
      <c r="AO37" s="356">
        <f>'Table 5C1N-Delta Charter'!AN38</f>
        <v>0</v>
      </c>
      <c r="AP37" s="356">
        <f>'Table 5C2 - LA Virtual Admy'!AO36</f>
        <v>-22.109000000000009</v>
      </c>
      <c r="AQ37" s="356">
        <f>'Table 5C3 - LA Connections EBR'!AO36</f>
        <v>4.4046249999999958</v>
      </c>
      <c r="AR37" s="717">
        <f t="shared" si="38"/>
        <v>2612367.1656249999</v>
      </c>
      <c r="AS37" s="47"/>
      <c r="AY37"/>
      <c r="BH37"/>
    </row>
    <row r="38" spans="1:60">
      <c r="A38" s="99">
        <v>32</v>
      </c>
      <c r="B38" s="301" t="s">
        <v>123</v>
      </c>
      <c r="C38" s="310">
        <f>'Table 2_State Distrib and Adjs'!AD39</f>
        <v>13147532</v>
      </c>
      <c r="D38" s="356"/>
      <c r="E38" s="356"/>
      <c r="F38" s="356">
        <f>-'Table 5C1A-Madison Prep'!AH39</f>
        <v>19</v>
      </c>
      <c r="G38" s="356">
        <f>-'Table 5C1B-DArbonne'!AH39</f>
        <v>0</v>
      </c>
      <c r="H38" s="356">
        <f>-'Table 5C1C-Intl_VIBE'!AH39</f>
        <v>0</v>
      </c>
      <c r="I38" s="356">
        <f>-'Table 5C1D-NOMMA'!AH39</f>
        <v>0</v>
      </c>
      <c r="J38" s="356">
        <f>-'Table 5C1E-LFNO'!AJ39</f>
        <v>0</v>
      </c>
      <c r="K38" s="356">
        <f>-'Table 5C1F-Lake Charles Charter'!AH39</f>
        <v>0</v>
      </c>
      <c r="L38" s="356">
        <f>-'Table 5C1G-JS Clark Academy'!AH39</f>
        <v>0</v>
      </c>
      <c r="M38" s="356">
        <f>-'Table 5C1H-Southwest LA Charter'!AH39</f>
        <v>0</v>
      </c>
      <c r="N38" s="356">
        <f>-'Table 5C1I-LA Key Academy'!AH39</f>
        <v>-482</v>
      </c>
      <c r="O38" s="356">
        <f>-'Table 5C1J-Jefferson Chamber'!AH39</f>
        <v>0</v>
      </c>
      <c r="P38" s="356">
        <f>-'Table 5C1K-Tallulah Charter'!AH39</f>
        <v>0</v>
      </c>
      <c r="Q38" s="356">
        <f>-'Table 5C1L-Northshore Charter'!AH39</f>
        <v>0</v>
      </c>
      <c r="R38" s="356">
        <f>-'Table 5C1M-B.R. Charter'!AH39</f>
        <v>-259</v>
      </c>
      <c r="S38" s="356">
        <f>-'Table 5C1N-Delta Charter'!AH39</f>
        <v>0</v>
      </c>
      <c r="T38" s="356">
        <f>-'Table 5C2 - LA Virtual Admy'!AI37</f>
        <v>-15594</v>
      </c>
      <c r="U38" s="356">
        <f>-'Table 5C3 - LA Connections EBR'!AI37</f>
        <v>-9533</v>
      </c>
      <c r="V38" s="356">
        <f>-'Table 5E_OJJ'!V39</f>
        <v>-365</v>
      </c>
      <c r="W38" s="1378">
        <f t="shared" si="36"/>
        <v>-26214</v>
      </c>
      <c r="X38" s="717">
        <f t="shared" si="37"/>
        <v>13121318</v>
      </c>
      <c r="Y38" s="356"/>
      <c r="Z38" s="356"/>
      <c r="AA38" s="356"/>
      <c r="AB38" s="356">
        <f>'Table 5C1A-Madison Prep'!AN39</f>
        <v>0</v>
      </c>
      <c r="AC38" s="356">
        <f>'Table 5C1B-DArbonne'!AN39</f>
        <v>0</v>
      </c>
      <c r="AD38" s="356">
        <f>'Table 5C1C-Intl_VIBE'!AN39</f>
        <v>0</v>
      </c>
      <c r="AE38" s="356">
        <f>'Table 5C1D-NOMMA'!AN39</f>
        <v>0</v>
      </c>
      <c r="AF38" s="356">
        <f>'Table 5C1E-LFNO'!AP39</f>
        <v>0</v>
      </c>
      <c r="AG38" s="356">
        <f>'Table 5C1F-Lake Charles Charter'!AN39</f>
        <v>0</v>
      </c>
      <c r="AH38" s="356">
        <f>'Table 5C1G-JS Clark Academy'!AN39</f>
        <v>0</v>
      </c>
      <c r="AI38" s="356">
        <f>'Table 5C1H-Southwest LA Charter'!AN39</f>
        <v>0</v>
      </c>
      <c r="AJ38" s="356">
        <f>'Table 5C1I-LA Key Academy'!AN39</f>
        <v>5.7100000000000009</v>
      </c>
      <c r="AK38" s="356">
        <f>'Table 5C1J-Jefferson Chamber'!AN39</f>
        <v>0</v>
      </c>
      <c r="AL38" s="356">
        <f>'Table 5C1K-Tallulah Charter'!AN39</f>
        <v>0</v>
      </c>
      <c r="AM38" s="356">
        <f>'Table 5C1L-Northshore Charter'!AN39</f>
        <v>0</v>
      </c>
      <c r="AN38" s="356">
        <f>'Table 5C1M-B.R. Charter'!AN39</f>
        <v>-2.5925000000000002</v>
      </c>
      <c r="AO38" s="356">
        <f>'Table 5C1N-Delta Charter'!AN39</f>
        <v>0</v>
      </c>
      <c r="AP38" s="356">
        <f>'Table 5C2 - LA Virtual Admy'!AO37</f>
        <v>-207.32050000000004</v>
      </c>
      <c r="AQ38" s="356">
        <f>'Table 5C3 - LA Connections EBR'!AO37</f>
        <v>25.011999999999944</v>
      </c>
      <c r="AR38" s="717">
        <f t="shared" si="38"/>
        <v>13121138.809000002</v>
      </c>
      <c r="AS38" s="47"/>
      <c r="AY38"/>
      <c r="BH38"/>
    </row>
    <row r="39" spans="1:60">
      <c r="A39" s="99">
        <v>33</v>
      </c>
      <c r="B39" s="301" t="s">
        <v>124</v>
      </c>
      <c r="C39" s="310">
        <f>'Table 2_State Distrib and Adjs'!AD40</f>
        <v>520938</v>
      </c>
      <c r="D39" s="356"/>
      <c r="E39" s="356"/>
      <c r="F39" s="356">
        <f>-'Table 5C1A-Madison Prep'!AH40</f>
        <v>0</v>
      </c>
      <c r="G39" s="356">
        <f>-'Table 5C1B-DArbonne'!AH40</f>
        <v>0</v>
      </c>
      <c r="H39" s="356">
        <f>-'Table 5C1C-Intl_VIBE'!AH40</f>
        <v>0</v>
      </c>
      <c r="I39" s="356">
        <f>-'Table 5C1D-NOMMA'!AH40</f>
        <v>0</v>
      </c>
      <c r="J39" s="356">
        <f>-'Table 5C1E-LFNO'!AJ40</f>
        <v>0</v>
      </c>
      <c r="K39" s="356">
        <f>-'Table 5C1F-Lake Charles Charter'!AH40</f>
        <v>0</v>
      </c>
      <c r="L39" s="356">
        <f>-'Table 5C1G-JS Clark Academy'!AH40</f>
        <v>0</v>
      </c>
      <c r="M39" s="356">
        <f>-'Table 5C1H-Southwest LA Charter'!AH40</f>
        <v>0</v>
      </c>
      <c r="N39" s="356">
        <f>-'Table 5C1I-LA Key Academy'!AH40</f>
        <v>0</v>
      </c>
      <c r="O39" s="356">
        <f>-'Table 5C1J-Jefferson Chamber'!AH40</f>
        <v>0</v>
      </c>
      <c r="P39" s="356">
        <f>-'Table 5C1K-Tallulah Charter'!AH40</f>
        <v>-126556</v>
      </c>
      <c r="Q39" s="356">
        <f>-'Table 5C1L-Northshore Charter'!AH40</f>
        <v>0</v>
      </c>
      <c r="R39" s="356">
        <f>-'Table 5C1M-B.R. Charter'!AH40</f>
        <v>0</v>
      </c>
      <c r="S39" s="356">
        <f>-'Table 5C1N-Delta Charter'!AH40</f>
        <v>0</v>
      </c>
      <c r="T39" s="356">
        <f>-'Table 5C2 - LA Virtual Admy'!AI38</f>
        <v>299</v>
      </c>
      <c r="U39" s="356">
        <f>-'Table 5C3 - LA Connections EBR'!AI38</f>
        <v>1586</v>
      </c>
      <c r="V39" s="356">
        <f>-'Table 5E_OJJ'!V40</f>
        <v>-624</v>
      </c>
      <c r="W39" s="1378">
        <f t="shared" ref="W39:W70" si="39">SUM(D39:V39)</f>
        <v>-125295</v>
      </c>
      <c r="X39" s="717">
        <f t="shared" ref="X39:X70" si="40">C39+W39</f>
        <v>395643</v>
      </c>
      <c r="Y39" s="356"/>
      <c r="Z39" s="356"/>
      <c r="AA39" s="356"/>
      <c r="AB39" s="356">
        <f>'Table 5C1A-Madison Prep'!AN40</f>
        <v>0</v>
      </c>
      <c r="AC39" s="356">
        <f>'Table 5C1B-DArbonne'!AN40</f>
        <v>0</v>
      </c>
      <c r="AD39" s="356">
        <f>'Table 5C1C-Intl_VIBE'!AN40</f>
        <v>0</v>
      </c>
      <c r="AE39" s="356">
        <f>'Table 5C1D-NOMMA'!AN40</f>
        <v>0</v>
      </c>
      <c r="AF39" s="356">
        <f>'Table 5C1E-LFNO'!AP40</f>
        <v>0</v>
      </c>
      <c r="AG39" s="356">
        <f>'Table 5C1F-Lake Charles Charter'!AN40</f>
        <v>0</v>
      </c>
      <c r="AH39" s="356">
        <f>'Table 5C1G-JS Clark Academy'!AN40</f>
        <v>0</v>
      </c>
      <c r="AI39" s="356">
        <f>'Table 5C1H-Southwest LA Charter'!AN40</f>
        <v>0</v>
      </c>
      <c r="AJ39" s="356">
        <f>'Table 5C1I-LA Key Academy'!AN40</f>
        <v>0</v>
      </c>
      <c r="AK39" s="356">
        <f>'Table 5C1J-Jefferson Chamber'!AN40</f>
        <v>0</v>
      </c>
      <c r="AL39" s="356">
        <f>'Table 5C1K-Tallulah Charter'!AN40</f>
        <v>-1058.69625</v>
      </c>
      <c r="AM39" s="356">
        <f>'Table 5C1L-Northshore Charter'!AN40</f>
        <v>0</v>
      </c>
      <c r="AN39" s="356">
        <f>'Table 5C1M-B.R. Charter'!AN40</f>
        <v>0</v>
      </c>
      <c r="AO39" s="356">
        <f>'Table 5C1N-Delta Charter'!AN40</f>
        <v>0</v>
      </c>
      <c r="AP39" s="356">
        <f>'Table 5C2 - LA Virtual Admy'!AO38</f>
        <v>0.1841249999999981</v>
      </c>
      <c r="AQ39" s="356">
        <f>'Table 5C3 - LA Connections EBR'!AO38</f>
        <v>24</v>
      </c>
      <c r="AR39" s="717">
        <f t="shared" ref="AR39:AR70" si="41">SUM(X39:AQ39)</f>
        <v>394608.48787500005</v>
      </c>
      <c r="AS39" s="47"/>
      <c r="AY39"/>
      <c r="BH39"/>
    </row>
    <row r="40" spans="1:60">
      <c r="A40" s="99">
        <v>34</v>
      </c>
      <c r="B40" s="301" t="s">
        <v>125</v>
      </c>
      <c r="C40" s="310">
        <f>'Table 2_State Distrib and Adjs'!AD41</f>
        <v>2591067</v>
      </c>
      <c r="D40" s="356"/>
      <c r="E40" s="356"/>
      <c r="F40" s="356">
        <f>-'Table 5C1A-Madison Prep'!AH41</f>
        <v>0</v>
      </c>
      <c r="G40" s="356">
        <f>-'Table 5C1B-DArbonne'!AH41</f>
        <v>0</v>
      </c>
      <c r="H40" s="356">
        <f>-'Table 5C1C-Intl_VIBE'!AH41</f>
        <v>0</v>
      </c>
      <c r="I40" s="356">
        <f>-'Table 5C1D-NOMMA'!AH41</f>
        <v>0</v>
      </c>
      <c r="J40" s="356">
        <f>-'Table 5C1E-LFNO'!AJ41</f>
        <v>0</v>
      </c>
      <c r="K40" s="356">
        <f>-'Table 5C1F-Lake Charles Charter'!AH41</f>
        <v>0</v>
      </c>
      <c r="L40" s="356">
        <f>-'Table 5C1G-JS Clark Academy'!AH41</f>
        <v>0</v>
      </c>
      <c r="M40" s="356">
        <f>-'Table 5C1H-Southwest LA Charter'!AH41</f>
        <v>0</v>
      </c>
      <c r="N40" s="356">
        <f>-'Table 5C1I-LA Key Academy'!AH41</f>
        <v>0</v>
      </c>
      <c r="O40" s="356">
        <f>-'Table 5C1J-Jefferson Chamber'!AH41</f>
        <v>0</v>
      </c>
      <c r="P40" s="356">
        <f>-'Table 5C1K-Tallulah Charter'!AH41</f>
        <v>0</v>
      </c>
      <c r="Q40" s="356">
        <f>-'Table 5C1L-Northshore Charter'!AH41</f>
        <v>0</v>
      </c>
      <c r="R40" s="356">
        <f>-'Table 5C1M-B.R. Charter'!AH41</f>
        <v>0</v>
      </c>
      <c r="S40" s="356">
        <f>-'Table 5C1N-Delta Charter'!AH41</f>
        <v>0</v>
      </c>
      <c r="T40" s="356">
        <f>-'Table 5C2 - LA Virtual Admy'!AI39</f>
        <v>-4047</v>
      </c>
      <c r="U40" s="356">
        <f>-'Table 5C3 - LA Connections EBR'!AI39</f>
        <v>461</v>
      </c>
      <c r="V40" s="356">
        <f>-'Table 5E_OJJ'!V41</f>
        <v>-557</v>
      </c>
      <c r="W40" s="1378">
        <f t="shared" si="39"/>
        <v>-4143</v>
      </c>
      <c r="X40" s="717">
        <f t="shared" si="40"/>
        <v>2586924</v>
      </c>
      <c r="Y40" s="356"/>
      <c r="Z40" s="356"/>
      <c r="AA40" s="356"/>
      <c r="AB40" s="356">
        <f>'Table 5C1A-Madison Prep'!AN41</f>
        <v>0</v>
      </c>
      <c r="AC40" s="356">
        <f>'Table 5C1B-DArbonne'!AN41</f>
        <v>0</v>
      </c>
      <c r="AD40" s="356">
        <f>'Table 5C1C-Intl_VIBE'!AN41</f>
        <v>0</v>
      </c>
      <c r="AE40" s="356">
        <f>'Table 5C1D-NOMMA'!AN41</f>
        <v>0</v>
      </c>
      <c r="AF40" s="356">
        <f>'Table 5C1E-LFNO'!AP41</f>
        <v>0</v>
      </c>
      <c r="AG40" s="356">
        <f>'Table 5C1F-Lake Charles Charter'!AN41</f>
        <v>0</v>
      </c>
      <c r="AH40" s="356">
        <f>'Table 5C1G-JS Clark Academy'!AN41</f>
        <v>0</v>
      </c>
      <c r="AI40" s="356">
        <f>'Table 5C1H-Southwest LA Charter'!AN41</f>
        <v>0</v>
      </c>
      <c r="AJ40" s="356">
        <f>'Table 5C1I-LA Key Academy'!AN41</f>
        <v>0</v>
      </c>
      <c r="AK40" s="356">
        <f>'Table 5C1J-Jefferson Chamber'!AN41</f>
        <v>0</v>
      </c>
      <c r="AL40" s="356">
        <f>'Table 5C1K-Tallulah Charter'!AN41</f>
        <v>0</v>
      </c>
      <c r="AM40" s="356">
        <f>'Table 5C1L-Northshore Charter'!AN41</f>
        <v>0</v>
      </c>
      <c r="AN40" s="356">
        <f>'Table 5C1M-B.R. Charter'!AN41</f>
        <v>0</v>
      </c>
      <c r="AO40" s="356">
        <f>'Table 5C1N-Delta Charter'!AN41</f>
        <v>0</v>
      </c>
      <c r="AP40" s="356">
        <f>'Table 5C2 - LA Virtual Admy'!AO39</f>
        <v>-54.687999999999988</v>
      </c>
      <c r="AQ40" s="356">
        <f>'Table 5C3 - LA Connections EBR'!AO39</f>
        <v>19.051999999999996</v>
      </c>
      <c r="AR40" s="717">
        <f t="shared" si="41"/>
        <v>2586888.3640000001</v>
      </c>
      <c r="AS40" s="47"/>
      <c r="AY40"/>
      <c r="BH40"/>
    </row>
    <row r="41" spans="1:60">
      <c r="A41" s="100">
        <v>35</v>
      </c>
      <c r="B41" s="302" t="s">
        <v>126</v>
      </c>
      <c r="C41" s="318">
        <f>'Table 2_State Distrib and Adjs'!AD42</f>
        <v>2708577</v>
      </c>
      <c r="D41" s="357"/>
      <c r="E41" s="357"/>
      <c r="F41" s="357">
        <f>-'Table 5C1A-Madison Prep'!AH42</f>
        <v>0</v>
      </c>
      <c r="G41" s="357">
        <f>-'Table 5C1B-DArbonne'!AH42</f>
        <v>0</v>
      </c>
      <c r="H41" s="357">
        <f>-'Table 5C1C-Intl_VIBE'!AH42</f>
        <v>0</v>
      </c>
      <c r="I41" s="357">
        <f>-'Table 5C1D-NOMMA'!AH42</f>
        <v>0</v>
      </c>
      <c r="J41" s="357">
        <f>-'Table 5C1E-LFNO'!AJ42</f>
        <v>0</v>
      </c>
      <c r="K41" s="357">
        <f>-'Table 5C1F-Lake Charles Charter'!AH42</f>
        <v>0</v>
      </c>
      <c r="L41" s="357">
        <f>-'Table 5C1G-JS Clark Academy'!AH42</f>
        <v>0</v>
      </c>
      <c r="M41" s="357">
        <f>-'Table 5C1H-Southwest LA Charter'!AH42</f>
        <v>0</v>
      </c>
      <c r="N41" s="357">
        <f>-'Table 5C1I-LA Key Academy'!AH42</f>
        <v>0</v>
      </c>
      <c r="O41" s="357">
        <f>-'Table 5C1J-Jefferson Chamber'!AH42</f>
        <v>0</v>
      </c>
      <c r="P41" s="357">
        <f>-'Table 5C1K-Tallulah Charter'!AH42</f>
        <v>0</v>
      </c>
      <c r="Q41" s="357">
        <f>-'Table 5C1L-Northshore Charter'!AH42</f>
        <v>0</v>
      </c>
      <c r="R41" s="357">
        <f>-'Table 5C1M-B.R. Charter'!AH42</f>
        <v>0</v>
      </c>
      <c r="S41" s="357">
        <f>-'Table 5C1N-Delta Charter'!AH42</f>
        <v>-783</v>
      </c>
      <c r="T41" s="357">
        <f>-'Table 5C2 - LA Virtual Admy'!AI40</f>
        <v>-4206</v>
      </c>
      <c r="U41" s="357">
        <f>-'Table 5C3 - LA Connections EBR'!AI40</f>
        <v>-4437</v>
      </c>
      <c r="V41" s="357">
        <f>-'Table 5E_OJJ'!V42</f>
        <v>-1316</v>
      </c>
      <c r="W41" s="357">
        <f t="shared" si="39"/>
        <v>-10742</v>
      </c>
      <c r="X41" s="718">
        <f t="shared" si="40"/>
        <v>2697835</v>
      </c>
      <c r="Y41" s="357"/>
      <c r="Z41" s="357"/>
      <c r="AA41" s="357"/>
      <c r="AB41" s="357">
        <f>'Table 5C1A-Madison Prep'!AN42</f>
        <v>0</v>
      </c>
      <c r="AC41" s="357">
        <f>'Table 5C1B-DArbonne'!AN42</f>
        <v>0</v>
      </c>
      <c r="AD41" s="357">
        <f>'Table 5C1C-Intl_VIBE'!AN42</f>
        <v>0</v>
      </c>
      <c r="AE41" s="357">
        <f>'Table 5C1D-NOMMA'!AN42</f>
        <v>0</v>
      </c>
      <c r="AF41" s="357">
        <f>'Table 5C1E-LFNO'!AP42</f>
        <v>0</v>
      </c>
      <c r="AG41" s="357">
        <f>'Table 5C1F-Lake Charles Charter'!AN42</f>
        <v>0</v>
      </c>
      <c r="AH41" s="357">
        <f>'Table 5C1G-JS Clark Academy'!AN42</f>
        <v>0</v>
      </c>
      <c r="AI41" s="357">
        <f>'Table 5C1H-Southwest LA Charter'!AN42</f>
        <v>0</v>
      </c>
      <c r="AJ41" s="357">
        <f>'Table 5C1I-LA Key Academy'!AN42</f>
        <v>0</v>
      </c>
      <c r="AK41" s="357">
        <f>'Table 5C1J-Jefferson Chamber'!AN42</f>
        <v>0</v>
      </c>
      <c r="AL41" s="357">
        <f>'Table 5C1K-Tallulah Charter'!AN42</f>
        <v>0</v>
      </c>
      <c r="AM41" s="357">
        <f>'Table 5C1L-Northshore Charter'!AN42</f>
        <v>0</v>
      </c>
      <c r="AN41" s="357">
        <f>'Table 5C1M-B.R. Charter'!AN42</f>
        <v>0</v>
      </c>
      <c r="AO41" s="357">
        <f>'Table 5C1N-Delta Charter'!AN42</f>
        <v>-7.8500000000000005</v>
      </c>
      <c r="AP41" s="357">
        <f>'Table 5C2 - LA Virtual Admy'!AO40</f>
        <v>-1.1700000000000017</v>
      </c>
      <c r="AQ41" s="357">
        <f>'Table 5C3 - LA Connections EBR'!AO40</f>
        <v>-4.6375000000000028</v>
      </c>
      <c r="AR41" s="718">
        <f t="shared" si="41"/>
        <v>2697821.3424999998</v>
      </c>
      <c r="AS41" s="47"/>
      <c r="AY41"/>
      <c r="BH41"/>
    </row>
    <row r="42" spans="1:60">
      <c r="A42" s="99">
        <v>36</v>
      </c>
      <c r="B42" s="301" t="s">
        <v>127</v>
      </c>
      <c r="C42" s="310">
        <f>'Table 2_State Distrib and Adjs'!AD43</f>
        <v>5069565</v>
      </c>
      <c r="D42" s="356"/>
      <c r="E42" s="915">
        <f>-'Table 5B1_RSD_Orleans'!AK70</f>
        <v>-11870796</v>
      </c>
      <c r="F42" s="356">
        <f>-'Table 5C1A-Madison Prep'!AH43</f>
        <v>0</v>
      </c>
      <c r="G42" s="356">
        <f>-'Table 5C1B-DArbonne'!AH43</f>
        <v>0</v>
      </c>
      <c r="H42" s="356">
        <f>-'Table 5C1C-Intl_VIBE'!AH43</f>
        <v>-171057</v>
      </c>
      <c r="I42" s="356">
        <f>-'Table 5C1D-NOMMA'!AH43</f>
        <v>-77032</v>
      </c>
      <c r="J42" s="356">
        <f>-'Table 5C1E-LFNO'!AJ43</f>
        <v>-105700</v>
      </c>
      <c r="K42" s="356">
        <f>-'Table 5C1F-Lake Charles Charter'!AH43</f>
        <v>0</v>
      </c>
      <c r="L42" s="356">
        <f>-'Table 5C1G-JS Clark Academy'!AH43</f>
        <v>0</v>
      </c>
      <c r="M42" s="356">
        <f>-'Table 5C1H-Southwest LA Charter'!AH43</f>
        <v>0</v>
      </c>
      <c r="N42" s="356">
        <f>-'Table 5C1I-LA Key Academy'!AH43</f>
        <v>0</v>
      </c>
      <c r="O42" s="356">
        <f>-'Table 5C1J-Jefferson Chamber'!AH43</f>
        <v>1136</v>
      </c>
      <c r="P42" s="356">
        <f>-'Table 5C1K-Tallulah Charter'!AH43</f>
        <v>0</v>
      </c>
      <c r="Q42" s="356">
        <f>-'Table 5C1L-Northshore Charter'!AH43</f>
        <v>0</v>
      </c>
      <c r="R42" s="356">
        <f>-'Table 5C1M-B.R. Charter'!AH43</f>
        <v>0</v>
      </c>
      <c r="S42" s="356">
        <f>-'Table 5C1N-Delta Charter'!AH43</f>
        <v>0</v>
      </c>
      <c r="T42" s="356">
        <f>-'Table 5C2 - LA Virtual Admy'!AI41</f>
        <v>-12289</v>
      </c>
      <c r="U42" s="356">
        <f>-'Table 5C3 - LA Connections EBR'!AI41</f>
        <v>-5843</v>
      </c>
      <c r="V42" s="356">
        <f>-'Table 5E_OJJ'!V43</f>
        <v>-14526</v>
      </c>
      <c r="W42" s="1378">
        <f t="shared" si="39"/>
        <v>-12256107</v>
      </c>
      <c r="X42" s="717">
        <f t="shared" si="40"/>
        <v>-7186542</v>
      </c>
      <c r="Y42" s="356"/>
      <c r="Z42" s="356"/>
      <c r="AA42" s="356">
        <v>-18101</v>
      </c>
      <c r="AB42" s="356">
        <f>'Table 5C1A-Madison Prep'!AN43</f>
        <v>0</v>
      </c>
      <c r="AC42" s="356">
        <f>'Table 5C1B-DArbonne'!AN43</f>
        <v>0</v>
      </c>
      <c r="AD42" s="356">
        <f>'Table 5C1C-Intl_VIBE'!AN43</f>
        <v>-212.03499999999985</v>
      </c>
      <c r="AE42" s="356">
        <f>'Table 5C1D-NOMMA'!AN43</f>
        <v>-711.00125000000003</v>
      </c>
      <c r="AF42" s="356">
        <f>'Table 5C1E-LFNO'!AP43</f>
        <v>-1056.5149999999999</v>
      </c>
      <c r="AG42" s="356">
        <f>'Table 5C1F-Lake Charles Charter'!AN43</f>
        <v>0</v>
      </c>
      <c r="AH42" s="356">
        <f>'Table 5C1G-JS Clark Academy'!AN43</f>
        <v>0</v>
      </c>
      <c r="AI42" s="356">
        <f>'Table 5C1H-Southwest LA Charter'!AN43</f>
        <v>0</v>
      </c>
      <c r="AJ42" s="356">
        <f>'Table 5C1I-LA Key Academy'!AN43</f>
        <v>0</v>
      </c>
      <c r="AK42" s="356">
        <f>'Table 5C1J-Jefferson Chamber'!AN43</f>
        <v>34.056250000000006</v>
      </c>
      <c r="AL42" s="356">
        <f>'Table 5C1K-Tallulah Charter'!AN43</f>
        <v>0</v>
      </c>
      <c r="AM42" s="356">
        <f>'Table 5C1L-Northshore Charter'!AN43</f>
        <v>0</v>
      </c>
      <c r="AN42" s="356">
        <f>'Table 5C1M-B.R. Charter'!AN43</f>
        <v>0</v>
      </c>
      <c r="AO42" s="356">
        <f>'Table 5C1N-Delta Charter'!AN43</f>
        <v>0</v>
      </c>
      <c r="AP42" s="356">
        <f>'Table 5C2 - LA Virtual Admy'!AO41</f>
        <v>-200.36112500000002</v>
      </c>
      <c r="AQ42" s="356">
        <f>'Table 5C3 - LA Connections EBR'!AO41</f>
        <v>116.48762499999998</v>
      </c>
      <c r="AR42" s="717">
        <f t="shared" si="41"/>
        <v>-7206672.3684999989</v>
      </c>
      <c r="AS42" s="711"/>
      <c r="AU42" s="711"/>
      <c r="AV42" s="711"/>
      <c r="AW42" s="711"/>
      <c r="AY42"/>
      <c r="BH42"/>
    </row>
    <row r="43" spans="1:60">
      <c r="A43" s="99">
        <v>37</v>
      </c>
      <c r="B43" s="301" t="s">
        <v>128</v>
      </c>
      <c r="C43" s="310">
        <f>'Table 2_State Distrib and Adjs'!AD44</f>
        <v>9852414</v>
      </c>
      <c r="D43" s="356"/>
      <c r="E43" s="356"/>
      <c r="F43" s="356">
        <f>-'Table 5C1A-Madison Prep'!AH44</f>
        <v>0</v>
      </c>
      <c r="G43" s="356">
        <f>-'Table 5C1B-DArbonne'!AH44</f>
        <v>4415</v>
      </c>
      <c r="H43" s="356">
        <f>-'Table 5C1C-Intl_VIBE'!AH44</f>
        <v>0</v>
      </c>
      <c r="I43" s="356">
        <f>-'Table 5C1D-NOMMA'!AH44</f>
        <v>0</v>
      </c>
      <c r="J43" s="356">
        <f>-'Table 5C1E-LFNO'!AJ44</f>
        <v>0</v>
      </c>
      <c r="K43" s="356">
        <f>-'Table 5C1F-Lake Charles Charter'!AH44</f>
        <v>0</v>
      </c>
      <c r="L43" s="356">
        <f>-'Table 5C1G-JS Clark Academy'!AH44</f>
        <v>0</v>
      </c>
      <c r="M43" s="356">
        <f>-'Table 5C1H-Southwest LA Charter'!AH44</f>
        <v>0</v>
      </c>
      <c r="N43" s="356">
        <f>-'Table 5C1I-LA Key Academy'!AH44</f>
        <v>0</v>
      </c>
      <c r="O43" s="356">
        <f>-'Table 5C1J-Jefferson Chamber'!AH44</f>
        <v>0</v>
      </c>
      <c r="P43" s="356">
        <f>-'Table 5C1K-Tallulah Charter'!AH44</f>
        <v>0</v>
      </c>
      <c r="Q43" s="356">
        <f>-'Table 5C1L-Northshore Charter'!AH44</f>
        <v>0</v>
      </c>
      <c r="R43" s="356">
        <f>-'Table 5C1M-B.R. Charter'!AH44</f>
        <v>0</v>
      </c>
      <c r="S43" s="356">
        <f>-'Table 5C1N-Delta Charter'!AH44</f>
        <v>-1238</v>
      </c>
      <c r="T43" s="356">
        <f>-'Table 5C2 - LA Virtual Admy'!AI42</f>
        <v>-20351</v>
      </c>
      <c r="U43" s="356">
        <f>-'Table 5C3 - LA Connections EBR'!AI42</f>
        <v>-12593</v>
      </c>
      <c r="V43" s="356">
        <f>-'Table 5E_OJJ'!V44</f>
        <v>-1209</v>
      </c>
      <c r="W43" s="1378">
        <f t="shared" si="39"/>
        <v>-30976</v>
      </c>
      <c r="X43" s="717">
        <f t="shared" si="40"/>
        <v>9821438</v>
      </c>
      <c r="Y43" s="356"/>
      <c r="Z43" s="356"/>
      <c r="AA43" s="356"/>
      <c r="AB43" s="356">
        <f>'Table 5C1A-Madison Prep'!AN44</f>
        <v>0</v>
      </c>
      <c r="AC43" s="356">
        <f>'Table 5C1B-DArbonne'!AN44</f>
        <v>-0.62249999999999872</v>
      </c>
      <c r="AD43" s="356">
        <f>'Table 5C1C-Intl_VIBE'!AN44</f>
        <v>0</v>
      </c>
      <c r="AE43" s="356">
        <f>'Table 5C1D-NOMMA'!AN44</f>
        <v>0</v>
      </c>
      <c r="AF43" s="356">
        <f>'Table 5C1E-LFNO'!AP44</f>
        <v>0</v>
      </c>
      <c r="AG43" s="356">
        <f>'Table 5C1F-Lake Charles Charter'!AN44</f>
        <v>0</v>
      </c>
      <c r="AH43" s="356">
        <f>'Table 5C1G-JS Clark Academy'!AN44</f>
        <v>0</v>
      </c>
      <c r="AI43" s="356">
        <f>'Table 5C1H-Southwest LA Charter'!AN44</f>
        <v>0</v>
      </c>
      <c r="AJ43" s="356">
        <f>'Table 5C1I-LA Key Academy'!AN44</f>
        <v>0</v>
      </c>
      <c r="AK43" s="356">
        <f>'Table 5C1J-Jefferson Chamber'!AN44</f>
        <v>0</v>
      </c>
      <c r="AL43" s="356">
        <f>'Table 5C1K-Tallulah Charter'!AN44</f>
        <v>0</v>
      </c>
      <c r="AM43" s="356">
        <f>'Table 5C1L-Northshore Charter'!AN44</f>
        <v>0</v>
      </c>
      <c r="AN43" s="356">
        <f>'Table 5C1M-B.R. Charter'!AN44</f>
        <v>0</v>
      </c>
      <c r="AO43" s="356">
        <f>'Table 5C1N-Delta Charter'!AN44</f>
        <v>-12.4125</v>
      </c>
      <c r="AP43" s="356">
        <f>'Table 5C2 - LA Virtual Admy'!AO42</f>
        <v>-133.16500000000002</v>
      </c>
      <c r="AQ43" s="356">
        <f>'Table 5C3 - LA Connections EBR'!AO42</f>
        <v>-85.53</v>
      </c>
      <c r="AR43" s="717">
        <f t="shared" si="41"/>
        <v>9821206.2700000014</v>
      </c>
      <c r="AS43" s="711"/>
      <c r="AU43" s="711"/>
      <c r="AV43" s="711"/>
      <c r="AW43" s="711"/>
      <c r="AY43"/>
      <c r="BH43"/>
    </row>
    <row r="44" spans="1:60">
      <c r="A44" s="99">
        <v>38</v>
      </c>
      <c r="B44" s="301" t="s">
        <v>129</v>
      </c>
      <c r="C44" s="310">
        <f>'Table 2_State Distrib and Adjs'!AD45</f>
        <v>1001754</v>
      </c>
      <c r="D44" s="356"/>
      <c r="E44" s="356"/>
      <c r="F44" s="356">
        <f>-'Table 5C1A-Madison Prep'!AH45</f>
        <v>0</v>
      </c>
      <c r="G44" s="356">
        <f>-'Table 5C1B-DArbonne'!AH45</f>
        <v>0</v>
      </c>
      <c r="H44" s="356">
        <f>-'Table 5C1C-Intl_VIBE'!AH45</f>
        <v>0</v>
      </c>
      <c r="I44" s="356">
        <f>-'Table 5C1D-NOMMA'!AH45</f>
        <v>-9741</v>
      </c>
      <c r="J44" s="356">
        <f>-'Table 5C1E-LFNO'!AJ45</f>
        <v>-5345</v>
      </c>
      <c r="K44" s="356">
        <f>-'Table 5C1F-Lake Charles Charter'!AH45</f>
        <v>0</v>
      </c>
      <c r="L44" s="356">
        <f>-'Table 5C1G-JS Clark Academy'!AH45</f>
        <v>0</v>
      </c>
      <c r="M44" s="356">
        <f>-'Table 5C1H-Southwest LA Charter'!AH45</f>
        <v>0</v>
      </c>
      <c r="N44" s="356">
        <f>-'Table 5C1I-LA Key Academy'!AH45</f>
        <v>0</v>
      </c>
      <c r="O44" s="356">
        <f>-'Table 5C1J-Jefferson Chamber'!AH45</f>
        <v>0</v>
      </c>
      <c r="P44" s="356">
        <f>-'Table 5C1K-Tallulah Charter'!AH45</f>
        <v>0</v>
      </c>
      <c r="Q44" s="356">
        <f>-'Table 5C1L-Northshore Charter'!AH45</f>
        <v>0</v>
      </c>
      <c r="R44" s="356">
        <f>-'Table 5C1M-B.R. Charter'!AH45</f>
        <v>0</v>
      </c>
      <c r="S44" s="356">
        <f>-'Table 5C1N-Delta Charter'!AH45</f>
        <v>0</v>
      </c>
      <c r="T44" s="356">
        <f>-'Table 5C2 - LA Virtual Admy'!AI43</f>
        <v>-5744</v>
      </c>
      <c r="U44" s="356">
        <f>-'Table 5C3 - LA Connections EBR'!AI43</f>
        <v>-7105</v>
      </c>
      <c r="V44" s="356">
        <f>-'Table 5E_OJJ'!V45</f>
        <v>-287</v>
      </c>
      <c r="W44" s="1378">
        <f t="shared" si="39"/>
        <v>-28222</v>
      </c>
      <c r="X44" s="717">
        <f t="shared" si="40"/>
        <v>973532</v>
      </c>
      <c r="Y44" s="356"/>
      <c r="Z44" s="356"/>
      <c r="AA44" s="356"/>
      <c r="AB44" s="356">
        <f>'Table 5C1A-Madison Prep'!AN45</f>
        <v>0</v>
      </c>
      <c r="AC44" s="356">
        <f>'Table 5C1B-DArbonne'!AN45</f>
        <v>0</v>
      </c>
      <c r="AD44" s="356">
        <f>'Table 5C1C-Intl_VIBE'!AN45</f>
        <v>0</v>
      </c>
      <c r="AE44" s="356">
        <f>'Table 5C1D-NOMMA'!AN45</f>
        <v>-80.033750000000026</v>
      </c>
      <c r="AF44" s="356">
        <f>'Table 5C1E-LFNO'!AP45</f>
        <v>-43.70750000000001</v>
      </c>
      <c r="AG44" s="356">
        <f>'Table 5C1F-Lake Charles Charter'!AN45</f>
        <v>0</v>
      </c>
      <c r="AH44" s="356">
        <f>'Table 5C1G-JS Clark Academy'!AN45</f>
        <v>0</v>
      </c>
      <c r="AI44" s="356">
        <f>'Table 5C1H-Southwest LA Charter'!AN45</f>
        <v>0</v>
      </c>
      <c r="AJ44" s="356">
        <f>'Table 5C1I-LA Key Academy'!AN45</f>
        <v>0</v>
      </c>
      <c r="AK44" s="356">
        <f>'Table 5C1J-Jefferson Chamber'!AN45</f>
        <v>0</v>
      </c>
      <c r="AL44" s="356">
        <f>'Table 5C1K-Tallulah Charter'!AN45</f>
        <v>0</v>
      </c>
      <c r="AM44" s="356">
        <f>'Table 5C1L-Northshore Charter'!AN45</f>
        <v>0</v>
      </c>
      <c r="AN44" s="356">
        <f>'Table 5C1M-B.R. Charter'!AN45</f>
        <v>0</v>
      </c>
      <c r="AO44" s="356">
        <f>'Table 5C1N-Delta Charter'!AN45</f>
        <v>0</v>
      </c>
      <c r="AP44" s="356">
        <f>'Table 5C2 - LA Virtual Admy'!AO43</f>
        <v>-105.94737499999999</v>
      </c>
      <c r="AQ44" s="356">
        <f>'Table 5C3 - LA Connections EBR'!AO43</f>
        <v>-22.033499999999975</v>
      </c>
      <c r="AR44" s="717">
        <f t="shared" si="41"/>
        <v>973280.27787500003</v>
      </c>
      <c r="AS44" s="711"/>
      <c r="AU44" s="711"/>
      <c r="AV44" s="711"/>
      <c r="AW44" s="711"/>
      <c r="AY44"/>
      <c r="BH44"/>
    </row>
    <row r="45" spans="1:60">
      <c r="A45" s="99">
        <v>39</v>
      </c>
      <c r="B45" s="301" t="s">
        <v>130</v>
      </c>
      <c r="C45" s="310">
        <f>'Table 2_State Distrib and Adjs'!AD46</f>
        <v>960353</v>
      </c>
      <c r="D45" s="356">
        <f>-'Table 5B2_RSD_LA'!AN23</f>
        <v>-60955</v>
      </c>
      <c r="E45" s="356"/>
      <c r="F45" s="356">
        <f>-'Table 5C1A-Madison Prep'!AH46</f>
        <v>0</v>
      </c>
      <c r="G45" s="356">
        <f>-'Table 5C1B-DArbonne'!AH46</f>
        <v>0</v>
      </c>
      <c r="H45" s="356">
        <f>-'Table 5C1C-Intl_VIBE'!AH46</f>
        <v>0</v>
      </c>
      <c r="I45" s="356">
        <f>-'Table 5C1D-NOMMA'!AH46</f>
        <v>0</v>
      </c>
      <c r="J45" s="356">
        <f>-'Table 5C1E-LFNO'!AJ46</f>
        <v>0</v>
      </c>
      <c r="K45" s="356">
        <f>-'Table 5C1F-Lake Charles Charter'!AH46</f>
        <v>0</v>
      </c>
      <c r="L45" s="356">
        <f>-'Table 5C1G-JS Clark Academy'!AH46</f>
        <v>0</v>
      </c>
      <c r="M45" s="356">
        <f>-'Table 5C1H-Southwest LA Charter'!AH46</f>
        <v>0</v>
      </c>
      <c r="N45" s="356">
        <f>-'Table 5C1I-LA Key Academy'!AH46</f>
        <v>-553</v>
      </c>
      <c r="O45" s="356">
        <f>-'Table 5C1J-Jefferson Chamber'!AH46</f>
        <v>0</v>
      </c>
      <c r="P45" s="356">
        <f>-'Table 5C1K-Tallulah Charter'!AH46</f>
        <v>0</v>
      </c>
      <c r="Q45" s="356">
        <f>-'Table 5C1L-Northshore Charter'!AH46</f>
        <v>0</v>
      </c>
      <c r="R45" s="356">
        <f>-'Table 5C1M-B.R. Charter'!AH46</f>
        <v>0</v>
      </c>
      <c r="S45" s="356">
        <f>-'Table 5C1N-Delta Charter'!AH46</f>
        <v>0</v>
      </c>
      <c r="T45" s="356">
        <f>-'Table 5C2 - LA Virtual Admy'!AI44</f>
        <v>839</v>
      </c>
      <c r="U45" s="356">
        <f>-'Table 5C3 - LA Connections EBR'!AI44</f>
        <v>-6224</v>
      </c>
      <c r="V45" s="356">
        <f>-'Table 5E_OJJ'!V46</f>
        <v>-2005</v>
      </c>
      <c r="W45" s="1378">
        <f t="shared" si="39"/>
        <v>-68898</v>
      </c>
      <c r="X45" s="717">
        <f t="shared" si="40"/>
        <v>891455</v>
      </c>
      <c r="Y45" s="356" t="str">
        <f>'Table 5B2_RSD_LA'!AE23</f>
        <v>N/A</v>
      </c>
      <c r="Z45" s="356" t="str">
        <f>'Table 5B2_RSD_LA'!AF23</f>
        <v>N/A</v>
      </c>
      <c r="AA45" s="356"/>
      <c r="AB45" s="356">
        <f>'Table 5C1A-Madison Prep'!AN46</f>
        <v>0</v>
      </c>
      <c r="AC45" s="356">
        <f>'Table 5C1B-DArbonne'!AN46</f>
        <v>0</v>
      </c>
      <c r="AD45" s="356">
        <f>'Table 5C1C-Intl_VIBE'!AN46</f>
        <v>0</v>
      </c>
      <c r="AE45" s="356">
        <f>'Table 5C1D-NOMMA'!AN46</f>
        <v>0</v>
      </c>
      <c r="AF45" s="356">
        <f>'Table 5C1E-LFNO'!AP46</f>
        <v>0</v>
      </c>
      <c r="AG45" s="356">
        <f>'Table 5C1F-Lake Charles Charter'!AN46</f>
        <v>0</v>
      </c>
      <c r="AH45" s="356">
        <f>'Table 5C1G-JS Clark Academy'!AN46</f>
        <v>0</v>
      </c>
      <c r="AI45" s="356">
        <f>'Table 5C1H-Southwest LA Charter'!AN46</f>
        <v>0</v>
      </c>
      <c r="AJ45" s="356">
        <f>'Table 5C1I-LA Key Academy'!AN46</f>
        <v>-5.5449999999999999</v>
      </c>
      <c r="AK45" s="356">
        <f>'Table 5C1J-Jefferson Chamber'!AN46</f>
        <v>0</v>
      </c>
      <c r="AL45" s="356">
        <f>'Table 5C1K-Tallulah Charter'!AN46</f>
        <v>0</v>
      </c>
      <c r="AM45" s="356">
        <f>'Table 5C1L-Northshore Charter'!AN46</f>
        <v>0</v>
      </c>
      <c r="AN45" s="356">
        <f>'Table 5C1M-B.R. Charter'!AN46</f>
        <v>0</v>
      </c>
      <c r="AO45" s="356">
        <f>'Table 5C1N-Delta Charter'!AN46</f>
        <v>0</v>
      </c>
      <c r="AP45" s="356">
        <f>'Table 5C2 - LA Virtual Admy'!AO44</f>
        <v>-25.895500000000006</v>
      </c>
      <c r="AQ45" s="356">
        <f>'Table 5C3 - LA Connections EBR'!AO44</f>
        <v>-45.819500000000005</v>
      </c>
      <c r="AR45" s="717">
        <f t="shared" si="41"/>
        <v>891377.74</v>
      </c>
      <c r="AS45" s="719"/>
      <c r="AU45" s="544"/>
      <c r="AV45" s="544"/>
      <c r="AW45" s="544"/>
      <c r="AY45"/>
      <c r="BH45"/>
    </row>
    <row r="46" spans="1:60">
      <c r="A46" s="100">
        <v>40</v>
      </c>
      <c r="B46" s="302" t="s">
        <v>131</v>
      </c>
      <c r="C46" s="318">
        <f>'Table 2_State Distrib and Adjs'!AD47</f>
        <v>10904616</v>
      </c>
      <c r="D46" s="357"/>
      <c r="E46" s="357"/>
      <c r="F46" s="357">
        <f>-'Table 5C1A-Madison Prep'!AH47</f>
        <v>0</v>
      </c>
      <c r="G46" s="357">
        <f>-'Table 5C1B-DArbonne'!AH47</f>
        <v>0</v>
      </c>
      <c r="H46" s="357">
        <f>-'Table 5C1C-Intl_VIBE'!AH47</f>
        <v>0</v>
      </c>
      <c r="I46" s="357">
        <f>-'Table 5C1D-NOMMA'!AH47</f>
        <v>0</v>
      </c>
      <c r="J46" s="357">
        <f>-'Table 5C1E-LFNO'!AJ47</f>
        <v>0</v>
      </c>
      <c r="K46" s="357">
        <f>-'Table 5C1F-Lake Charles Charter'!AH47</f>
        <v>0</v>
      </c>
      <c r="L46" s="357">
        <f>-'Table 5C1G-JS Clark Academy'!AH47</f>
        <v>0</v>
      </c>
      <c r="M46" s="357">
        <f>-'Table 5C1H-Southwest LA Charter'!AH47</f>
        <v>0</v>
      </c>
      <c r="N46" s="357">
        <f>-'Table 5C1I-LA Key Academy'!AH47</f>
        <v>0</v>
      </c>
      <c r="O46" s="357">
        <f>-'Table 5C1J-Jefferson Chamber'!AH47</f>
        <v>0</v>
      </c>
      <c r="P46" s="357">
        <f>-'Table 5C1K-Tallulah Charter'!AH47</f>
        <v>0</v>
      </c>
      <c r="Q46" s="357">
        <f>-'Table 5C1L-Northshore Charter'!AH47</f>
        <v>0</v>
      </c>
      <c r="R46" s="357">
        <f>-'Table 5C1M-B.R. Charter'!AH47</f>
        <v>0</v>
      </c>
      <c r="S46" s="357">
        <f>-'Table 5C1N-Delta Charter'!AH47</f>
        <v>0</v>
      </c>
      <c r="T46" s="357">
        <f>-'Table 5C2 - LA Virtual Admy'!AI45</f>
        <v>-13316</v>
      </c>
      <c r="U46" s="357">
        <f>-'Table 5C3 - LA Connections EBR'!AI45</f>
        <v>-11228</v>
      </c>
      <c r="V46" s="357">
        <f>-'Table 5E_OJJ'!V47</f>
        <v>-2028</v>
      </c>
      <c r="W46" s="357">
        <f t="shared" si="39"/>
        <v>-26572</v>
      </c>
      <c r="X46" s="718">
        <f t="shared" si="40"/>
        <v>10878044</v>
      </c>
      <c r="Y46" s="357"/>
      <c r="Z46" s="357"/>
      <c r="AA46" s="357"/>
      <c r="AB46" s="357">
        <f>'Table 5C1A-Madison Prep'!AN47</f>
        <v>0</v>
      </c>
      <c r="AC46" s="357">
        <f>'Table 5C1B-DArbonne'!AN47</f>
        <v>0</v>
      </c>
      <c r="AD46" s="357">
        <f>'Table 5C1C-Intl_VIBE'!AN47</f>
        <v>0</v>
      </c>
      <c r="AE46" s="357">
        <f>'Table 5C1D-NOMMA'!AN47</f>
        <v>0</v>
      </c>
      <c r="AF46" s="357">
        <f>'Table 5C1E-LFNO'!AP47</f>
        <v>0</v>
      </c>
      <c r="AG46" s="357">
        <f>'Table 5C1F-Lake Charles Charter'!AN47</f>
        <v>0</v>
      </c>
      <c r="AH46" s="357">
        <f>'Table 5C1G-JS Clark Academy'!AN47</f>
        <v>0</v>
      </c>
      <c r="AI46" s="357">
        <f>'Table 5C1H-Southwest LA Charter'!AN47</f>
        <v>0</v>
      </c>
      <c r="AJ46" s="357">
        <f>'Table 5C1I-LA Key Academy'!AN47</f>
        <v>0</v>
      </c>
      <c r="AK46" s="357">
        <f>'Table 5C1J-Jefferson Chamber'!AN47</f>
        <v>0</v>
      </c>
      <c r="AL46" s="357">
        <f>'Table 5C1K-Tallulah Charter'!AN47</f>
        <v>0</v>
      </c>
      <c r="AM46" s="357">
        <f>'Table 5C1L-Northshore Charter'!AN47</f>
        <v>0</v>
      </c>
      <c r="AN46" s="357">
        <f>'Table 5C1M-B.R. Charter'!AN47</f>
        <v>0</v>
      </c>
      <c r="AO46" s="357">
        <f>'Table 5C1N-Delta Charter'!AN47</f>
        <v>0</v>
      </c>
      <c r="AP46" s="357">
        <f>'Table 5C2 - LA Virtual Admy'!AO45</f>
        <v>-183.77224999999999</v>
      </c>
      <c r="AQ46" s="357">
        <f>'Table 5C3 - LA Connections EBR'!AO45</f>
        <v>-51.349874999999997</v>
      </c>
      <c r="AR46" s="718">
        <f t="shared" si="41"/>
        <v>10877808.877875</v>
      </c>
      <c r="AS46" s="47"/>
      <c r="AY46"/>
      <c r="BH46"/>
    </row>
    <row r="47" spans="1:60">
      <c r="A47" s="99">
        <v>41</v>
      </c>
      <c r="B47" s="301" t="s">
        <v>132</v>
      </c>
      <c r="C47" s="310">
        <f>'Table 2_State Distrib and Adjs'!AD48</f>
        <v>320024</v>
      </c>
      <c r="D47" s="356"/>
      <c r="E47" s="356"/>
      <c r="F47" s="356">
        <f>-'Table 5C1A-Madison Prep'!AH48</f>
        <v>0</v>
      </c>
      <c r="G47" s="356">
        <f>-'Table 5C1B-DArbonne'!AH48</f>
        <v>0</v>
      </c>
      <c r="H47" s="356">
        <f>-'Table 5C1C-Intl_VIBE'!AH48</f>
        <v>0</v>
      </c>
      <c r="I47" s="356">
        <f>-'Table 5C1D-NOMMA'!AH48</f>
        <v>0</v>
      </c>
      <c r="J47" s="356">
        <f>-'Table 5C1E-LFNO'!AJ48</f>
        <v>0</v>
      </c>
      <c r="K47" s="356">
        <f>-'Table 5C1F-Lake Charles Charter'!AH48</f>
        <v>0</v>
      </c>
      <c r="L47" s="356">
        <f>-'Table 5C1G-JS Clark Academy'!AH48</f>
        <v>0</v>
      </c>
      <c r="M47" s="356">
        <f>-'Table 5C1H-Southwest LA Charter'!AH48</f>
        <v>0</v>
      </c>
      <c r="N47" s="356">
        <f>-'Table 5C1I-LA Key Academy'!AH48</f>
        <v>0</v>
      </c>
      <c r="O47" s="356">
        <f>-'Table 5C1J-Jefferson Chamber'!AH48</f>
        <v>0</v>
      </c>
      <c r="P47" s="356">
        <f>-'Table 5C1K-Tallulah Charter'!AH48</f>
        <v>0</v>
      </c>
      <c r="Q47" s="356">
        <f>-'Table 5C1L-Northshore Charter'!AH48</f>
        <v>0</v>
      </c>
      <c r="R47" s="356">
        <f>-'Table 5C1M-B.R. Charter'!AH48</f>
        <v>0</v>
      </c>
      <c r="S47" s="356">
        <f>-'Table 5C1N-Delta Charter'!AH48</f>
        <v>0</v>
      </c>
      <c r="T47" s="356">
        <f>-'Table 5C2 - LA Virtual Admy'!AI46</f>
        <v>1578</v>
      </c>
      <c r="U47" s="356">
        <f>-'Table 5C3 - LA Connections EBR'!AI46</f>
        <v>1360</v>
      </c>
      <c r="V47" s="356">
        <f>-'Table 5E_OJJ'!V48</f>
        <v>0</v>
      </c>
      <c r="W47" s="1378">
        <f t="shared" si="39"/>
        <v>2938</v>
      </c>
      <c r="X47" s="717">
        <f t="shared" si="40"/>
        <v>322962</v>
      </c>
      <c r="Y47" s="356"/>
      <c r="Z47" s="356"/>
      <c r="AA47" s="356"/>
      <c r="AB47" s="356">
        <f>'Table 5C1A-Madison Prep'!AN48</f>
        <v>0</v>
      </c>
      <c r="AC47" s="356">
        <f>'Table 5C1B-DArbonne'!AN48</f>
        <v>0</v>
      </c>
      <c r="AD47" s="356">
        <f>'Table 5C1C-Intl_VIBE'!AN48</f>
        <v>0</v>
      </c>
      <c r="AE47" s="356">
        <f>'Table 5C1D-NOMMA'!AN48</f>
        <v>0</v>
      </c>
      <c r="AF47" s="356">
        <f>'Table 5C1E-LFNO'!AP48</f>
        <v>0</v>
      </c>
      <c r="AG47" s="356">
        <f>'Table 5C1F-Lake Charles Charter'!AN48</f>
        <v>0</v>
      </c>
      <c r="AH47" s="356">
        <f>'Table 5C1G-JS Clark Academy'!AN48</f>
        <v>0</v>
      </c>
      <c r="AI47" s="356">
        <f>'Table 5C1H-Southwest LA Charter'!AN48</f>
        <v>0</v>
      </c>
      <c r="AJ47" s="356">
        <f>'Table 5C1I-LA Key Academy'!AN48</f>
        <v>0</v>
      </c>
      <c r="AK47" s="356">
        <f>'Table 5C1J-Jefferson Chamber'!AN48</f>
        <v>0</v>
      </c>
      <c r="AL47" s="356">
        <f>'Table 5C1K-Tallulah Charter'!AN48</f>
        <v>0</v>
      </c>
      <c r="AM47" s="356">
        <f>'Table 5C1L-Northshore Charter'!AN48</f>
        <v>0</v>
      </c>
      <c r="AN47" s="356">
        <f>'Table 5C1M-B.R. Charter'!AN48</f>
        <v>0</v>
      </c>
      <c r="AO47" s="356">
        <f>'Table 5C1N-Delta Charter'!AN48</f>
        <v>0</v>
      </c>
      <c r="AP47" s="356">
        <f>'Table 5C2 - LA Virtual Admy'!AO46</f>
        <v>9.9154999999999998</v>
      </c>
      <c r="AQ47" s="356">
        <f>'Table 5C3 - LA Connections EBR'!AO46</f>
        <v>20</v>
      </c>
      <c r="AR47" s="717">
        <f t="shared" si="41"/>
        <v>322991.9155</v>
      </c>
      <c r="AS47" s="47"/>
      <c r="AY47"/>
      <c r="BH47"/>
    </row>
    <row r="48" spans="1:60">
      <c r="A48" s="99">
        <v>42</v>
      </c>
      <c r="B48" s="301" t="s">
        <v>133</v>
      </c>
      <c r="C48" s="310">
        <f>'Table 2_State Distrib and Adjs'!AD49</f>
        <v>1359273</v>
      </c>
      <c r="D48" s="356"/>
      <c r="E48" s="356"/>
      <c r="F48" s="356">
        <f>-'Table 5C1A-Madison Prep'!AH49</f>
        <v>0</v>
      </c>
      <c r="G48" s="356">
        <f>-'Table 5C1B-DArbonne'!AH49</f>
        <v>0</v>
      </c>
      <c r="H48" s="356">
        <f>-'Table 5C1C-Intl_VIBE'!AH49</f>
        <v>0</v>
      </c>
      <c r="I48" s="356">
        <f>-'Table 5C1D-NOMMA'!AH49</f>
        <v>0</v>
      </c>
      <c r="J48" s="356">
        <f>-'Table 5C1E-LFNO'!AJ49</f>
        <v>0</v>
      </c>
      <c r="K48" s="356">
        <f>-'Table 5C1F-Lake Charles Charter'!AH49</f>
        <v>0</v>
      </c>
      <c r="L48" s="356">
        <f>-'Table 5C1G-JS Clark Academy'!AH49</f>
        <v>0</v>
      </c>
      <c r="M48" s="356">
        <f>-'Table 5C1H-Southwest LA Charter'!AH49</f>
        <v>0</v>
      </c>
      <c r="N48" s="356">
        <f>-'Table 5C1I-LA Key Academy'!AH49</f>
        <v>0</v>
      </c>
      <c r="O48" s="356">
        <f>-'Table 5C1J-Jefferson Chamber'!AH49</f>
        <v>0</v>
      </c>
      <c r="P48" s="356">
        <f>-'Table 5C1K-Tallulah Charter'!AH49</f>
        <v>78</v>
      </c>
      <c r="Q48" s="356">
        <f>-'Table 5C1L-Northshore Charter'!AH49</f>
        <v>0</v>
      </c>
      <c r="R48" s="356">
        <f>-'Table 5C1M-B.R. Charter'!AH49</f>
        <v>0</v>
      </c>
      <c r="S48" s="356">
        <f>-'Table 5C1N-Delta Charter'!AH49</f>
        <v>0</v>
      </c>
      <c r="T48" s="356">
        <f>-'Table 5C2 - LA Virtual Admy'!AI47</f>
        <v>1365</v>
      </c>
      <c r="U48" s="356">
        <f>-'Table 5C3 - LA Connections EBR'!AI47</f>
        <v>-1823</v>
      </c>
      <c r="V48" s="356">
        <f>-'Table 5E_OJJ'!V49</f>
        <v>-158</v>
      </c>
      <c r="W48" s="1378">
        <f t="shared" si="39"/>
        <v>-538</v>
      </c>
      <c r="X48" s="717">
        <f t="shared" si="40"/>
        <v>1358735</v>
      </c>
      <c r="Y48" s="356"/>
      <c r="Z48" s="356"/>
      <c r="AA48" s="356"/>
      <c r="AB48" s="356">
        <f>'Table 5C1A-Madison Prep'!AN49</f>
        <v>0</v>
      </c>
      <c r="AC48" s="356">
        <f>'Table 5C1B-DArbonne'!AN49</f>
        <v>0</v>
      </c>
      <c r="AD48" s="356">
        <f>'Table 5C1C-Intl_VIBE'!AN49</f>
        <v>0</v>
      </c>
      <c r="AE48" s="356">
        <f>'Table 5C1D-NOMMA'!AN49</f>
        <v>0</v>
      </c>
      <c r="AF48" s="356">
        <f>'Table 5C1E-LFNO'!AP49</f>
        <v>0</v>
      </c>
      <c r="AG48" s="356">
        <f>'Table 5C1F-Lake Charles Charter'!AN49</f>
        <v>0</v>
      </c>
      <c r="AH48" s="356">
        <f>'Table 5C1G-JS Clark Academy'!AN49</f>
        <v>0</v>
      </c>
      <c r="AI48" s="356">
        <f>'Table 5C1H-Southwest LA Charter'!AN49</f>
        <v>0</v>
      </c>
      <c r="AJ48" s="356">
        <f>'Table 5C1I-LA Key Academy'!AN49</f>
        <v>0</v>
      </c>
      <c r="AK48" s="356">
        <f>'Table 5C1J-Jefferson Chamber'!AN49</f>
        <v>0</v>
      </c>
      <c r="AL48" s="356">
        <f>'Table 5C1K-Tallulah Charter'!AN49</f>
        <v>0</v>
      </c>
      <c r="AM48" s="356">
        <f>'Table 5C1L-Northshore Charter'!AN49</f>
        <v>0</v>
      </c>
      <c r="AN48" s="356">
        <f>'Table 5C1M-B.R. Charter'!AN49</f>
        <v>0</v>
      </c>
      <c r="AO48" s="356">
        <f>'Table 5C1N-Delta Charter'!AN49</f>
        <v>0</v>
      </c>
      <c r="AP48" s="356">
        <f>'Table 5C2 - LA Virtual Admy'!AO47</f>
        <v>1.254374999999996</v>
      </c>
      <c r="AQ48" s="356">
        <f>'Table 5C3 - LA Connections EBR'!AO47</f>
        <v>-7.7687500000000043</v>
      </c>
      <c r="AR48" s="717">
        <f t="shared" si="41"/>
        <v>1358728.485625</v>
      </c>
      <c r="AS48" s="47"/>
      <c r="AY48"/>
      <c r="BH48"/>
    </row>
    <row r="49" spans="1:60">
      <c r="A49" s="99">
        <v>43</v>
      </c>
      <c r="B49" s="301" t="s">
        <v>134</v>
      </c>
      <c r="C49" s="310">
        <f>'Table 2_State Distrib and Adjs'!AD50</f>
        <v>1878159</v>
      </c>
      <c r="D49" s="356"/>
      <c r="E49" s="356"/>
      <c r="F49" s="356">
        <f>-'Table 5C1A-Madison Prep'!AH50</f>
        <v>0</v>
      </c>
      <c r="G49" s="356">
        <f>-'Table 5C1B-DArbonne'!AH50</f>
        <v>0</v>
      </c>
      <c r="H49" s="356">
        <f>-'Table 5C1C-Intl_VIBE'!AH50</f>
        <v>0</v>
      </c>
      <c r="I49" s="356">
        <f>-'Table 5C1D-NOMMA'!AH50</f>
        <v>0</v>
      </c>
      <c r="J49" s="356">
        <f>-'Table 5C1E-LFNO'!AJ50</f>
        <v>0</v>
      </c>
      <c r="K49" s="356">
        <f>-'Table 5C1F-Lake Charles Charter'!AH50</f>
        <v>0</v>
      </c>
      <c r="L49" s="356">
        <f>-'Table 5C1G-JS Clark Academy'!AH50</f>
        <v>0</v>
      </c>
      <c r="M49" s="356">
        <f>-'Table 5C1H-Southwest LA Charter'!AH50</f>
        <v>0</v>
      </c>
      <c r="N49" s="356">
        <f>-'Table 5C1I-LA Key Academy'!AH50</f>
        <v>0</v>
      </c>
      <c r="O49" s="356">
        <f>-'Table 5C1J-Jefferson Chamber'!AH50</f>
        <v>0</v>
      </c>
      <c r="P49" s="356">
        <f>-'Table 5C1K-Tallulah Charter'!AH50</f>
        <v>0</v>
      </c>
      <c r="Q49" s="356">
        <f>-'Table 5C1L-Northshore Charter'!AH50</f>
        <v>0</v>
      </c>
      <c r="R49" s="356">
        <f>-'Table 5C1M-B.R. Charter'!AH50</f>
        <v>0</v>
      </c>
      <c r="S49" s="356">
        <f>-'Table 5C1N-Delta Charter'!AH50</f>
        <v>0</v>
      </c>
      <c r="T49" s="356">
        <f>-'Table 5C2 - LA Virtual Admy'!AI48</f>
        <v>-4780</v>
      </c>
      <c r="U49" s="356">
        <f>-'Table 5C3 - LA Connections EBR'!AI48</f>
        <v>-1215</v>
      </c>
      <c r="V49" s="356">
        <f>-'Table 5E_OJJ'!V50</f>
        <v>-938</v>
      </c>
      <c r="W49" s="1378">
        <f t="shared" si="39"/>
        <v>-6933</v>
      </c>
      <c r="X49" s="717">
        <f t="shared" si="40"/>
        <v>1871226</v>
      </c>
      <c r="Y49" s="356"/>
      <c r="Z49" s="356"/>
      <c r="AA49" s="356"/>
      <c r="AB49" s="356">
        <f>'Table 5C1A-Madison Prep'!AN50</f>
        <v>0</v>
      </c>
      <c r="AC49" s="356">
        <f>'Table 5C1B-DArbonne'!AN50</f>
        <v>0</v>
      </c>
      <c r="AD49" s="356">
        <f>'Table 5C1C-Intl_VIBE'!AN50</f>
        <v>0</v>
      </c>
      <c r="AE49" s="356">
        <f>'Table 5C1D-NOMMA'!AN50</f>
        <v>0</v>
      </c>
      <c r="AF49" s="356">
        <f>'Table 5C1E-LFNO'!AP50</f>
        <v>0</v>
      </c>
      <c r="AG49" s="356">
        <f>'Table 5C1F-Lake Charles Charter'!AN50</f>
        <v>0</v>
      </c>
      <c r="AH49" s="356">
        <f>'Table 5C1G-JS Clark Academy'!AN50</f>
        <v>0</v>
      </c>
      <c r="AI49" s="356">
        <f>'Table 5C1H-Southwest LA Charter'!AN50</f>
        <v>0</v>
      </c>
      <c r="AJ49" s="356">
        <f>'Table 5C1I-LA Key Academy'!AN50</f>
        <v>0</v>
      </c>
      <c r="AK49" s="356">
        <f>'Table 5C1J-Jefferson Chamber'!AN50</f>
        <v>0</v>
      </c>
      <c r="AL49" s="356">
        <f>'Table 5C1K-Tallulah Charter'!AN50</f>
        <v>0</v>
      </c>
      <c r="AM49" s="356">
        <f>'Table 5C1L-Northshore Charter'!AN50</f>
        <v>0</v>
      </c>
      <c r="AN49" s="356">
        <f>'Table 5C1M-B.R. Charter'!AN50</f>
        <v>0</v>
      </c>
      <c r="AO49" s="356">
        <f>'Table 5C1N-Delta Charter'!AN50</f>
        <v>0</v>
      </c>
      <c r="AP49" s="356">
        <f>'Table 5C2 - LA Virtual Admy'!AO48</f>
        <v>-44.968875000000011</v>
      </c>
      <c r="AQ49" s="356">
        <f>'Table 5C3 - LA Connections EBR'!AO48</f>
        <v>3.5366249999999937</v>
      </c>
      <c r="AR49" s="717">
        <f t="shared" si="41"/>
        <v>1871184.5677499999</v>
      </c>
      <c r="AS49" s="47"/>
      <c r="AY49"/>
      <c r="BH49"/>
    </row>
    <row r="50" spans="1:60">
      <c r="A50" s="99">
        <v>44</v>
      </c>
      <c r="B50" s="301" t="s">
        <v>135</v>
      </c>
      <c r="C50" s="310">
        <f>'Table 2_State Distrib and Adjs'!AD51</f>
        <v>3269068</v>
      </c>
      <c r="D50" s="356"/>
      <c r="E50" s="356"/>
      <c r="F50" s="356">
        <f>-'Table 5C1A-Madison Prep'!AH51</f>
        <v>0</v>
      </c>
      <c r="G50" s="356">
        <f>-'Table 5C1B-DArbonne'!AH51</f>
        <v>0</v>
      </c>
      <c r="H50" s="356">
        <f>-'Table 5C1C-Intl_VIBE'!AH51</f>
        <v>876</v>
      </c>
      <c r="I50" s="356">
        <f>-'Table 5C1D-NOMMA'!AH51</f>
        <v>-244</v>
      </c>
      <c r="J50" s="356">
        <f>-'Table 5C1E-LFNO'!AJ51</f>
        <v>-2114</v>
      </c>
      <c r="K50" s="356">
        <f>-'Table 5C1F-Lake Charles Charter'!AH51</f>
        <v>0</v>
      </c>
      <c r="L50" s="356">
        <f>-'Table 5C1G-JS Clark Academy'!AH51</f>
        <v>0</v>
      </c>
      <c r="M50" s="356">
        <f>-'Table 5C1H-Southwest LA Charter'!AH51</f>
        <v>0</v>
      </c>
      <c r="N50" s="356">
        <f>-'Table 5C1I-LA Key Academy'!AH51</f>
        <v>0</v>
      </c>
      <c r="O50" s="356">
        <f>-'Table 5C1J-Jefferson Chamber'!AH51</f>
        <v>2274</v>
      </c>
      <c r="P50" s="356">
        <f>-'Table 5C1K-Tallulah Charter'!AH51</f>
        <v>0</v>
      </c>
      <c r="Q50" s="356">
        <f>-'Table 5C1L-Northshore Charter'!AH51</f>
        <v>0</v>
      </c>
      <c r="R50" s="356">
        <f>-'Table 5C1M-B.R. Charter'!AH51</f>
        <v>0</v>
      </c>
      <c r="S50" s="356">
        <f>-'Table 5C1N-Delta Charter'!AH51</f>
        <v>0</v>
      </c>
      <c r="T50" s="356">
        <f>-'Table 5C2 - LA Virtual Admy'!AI49</f>
        <v>-8789</v>
      </c>
      <c r="U50" s="356">
        <f>-'Table 5C3 - LA Connections EBR'!AI49</f>
        <v>804</v>
      </c>
      <c r="V50" s="356">
        <f>-'Table 5E_OJJ'!V51</f>
        <v>-222</v>
      </c>
      <c r="W50" s="1378">
        <f t="shared" si="39"/>
        <v>-7415</v>
      </c>
      <c r="X50" s="717">
        <f t="shared" si="40"/>
        <v>3261653</v>
      </c>
      <c r="Y50" s="356"/>
      <c r="Z50" s="356"/>
      <c r="AA50" s="356"/>
      <c r="AB50" s="356">
        <f>'Table 5C1A-Madison Prep'!AN51</f>
        <v>0</v>
      </c>
      <c r="AC50" s="356">
        <f>'Table 5C1B-DArbonne'!AN51</f>
        <v>0</v>
      </c>
      <c r="AD50" s="356">
        <f>'Table 5C1C-Intl_VIBE'!AN51</f>
        <v>23.984999999999999</v>
      </c>
      <c r="AE50" s="356">
        <f>'Table 5C1D-NOMMA'!AN51</f>
        <v>11.9925</v>
      </c>
      <c r="AF50" s="356">
        <f>'Table 5C1E-LFNO'!AP51</f>
        <v>-20.430000000000003</v>
      </c>
      <c r="AG50" s="356">
        <f>'Table 5C1F-Lake Charles Charter'!AN51</f>
        <v>0</v>
      </c>
      <c r="AH50" s="356">
        <f>'Table 5C1G-JS Clark Academy'!AN51</f>
        <v>0</v>
      </c>
      <c r="AI50" s="356">
        <f>'Table 5C1H-Southwest LA Charter'!AN51</f>
        <v>0</v>
      </c>
      <c r="AJ50" s="356">
        <f>'Table 5C1I-LA Key Academy'!AN51</f>
        <v>0</v>
      </c>
      <c r="AK50" s="356">
        <f>'Table 5C1J-Jefferson Chamber'!AN51</f>
        <v>34.200000000000003</v>
      </c>
      <c r="AL50" s="356">
        <f>'Table 5C1K-Tallulah Charter'!AN51</f>
        <v>0</v>
      </c>
      <c r="AM50" s="356">
        <f>'Table 5C1L-Northshore Charter'!AN51</f>
        <v>0</v>
      </c>
      <c r="AN50" s="356">
        <f>'Table 5C1M-B.R. Charter'!AN51</f>
        <v>0</v>
      </c>
      <c r="AO50" s="356">
        <f>'Table 5C1N-Delta Charter'!AN51</f>
        <v>0</v>
      </c>
      <c r="AP50" s="356">
        <f>'Table 5C2 - LA Virtual Admy'!AO49</f>
        <v>-100.311125</v>
      </c>
      <c r="AQ50" s="356">
        <f>'Table 5C3 - LA Connections EBR'!AO49</f>
        <v>38.502874999999996</v>
      </c>
      <c r="AR50" s="717">
        <f t="shared" si="41"/>
        <v>3261640.9392499998</v>
      </c>
      <c r="AS50" s="47"/>
      <c r="AY50"/>
      <c r="BH50"/>
    </row>
    <row r="51" spans="1:60">
      <c r="A51" s="100">
        <v>45</v>
      </c>
      <c r="B51" s="302" t="s">
        <v>136</v>
      </c>
      <c r="C51" s="318">
        <f>'Table 2_State Distrib and Adjs'!AD52</f>
        <v>2280431</v>
      </c>
      <c r="D51" s="357"/>
      <c r="E51" s="357"/>
      <c r="F51" s="357">
        <f>-'Table 5C1A-Madison Prep'!AH52</f>
        <v>0</v>
      </c>
      <c r="G51" s="357">
        <f>-'Table 5C1B-DArbonne'!AH52</f>
        <v>0</v>
      </c>
      <c r="H51" s="357">
        <f>-'Table 5C1C-Intl_VIBE'!AH52</f>
        <v>3753</v>
      </c>
      <c r="I51" s="357">
        <f>-'Table 5C1D-NOMMA'!AH52</f>
        <v>0</v>
      </c>
      <c r="J51" s="357">
        <f>-'Table 5C1E-LFNO'!AJ52</f>
        <v>-2713</v>
      </c>
      <c r="K51" s="357">
        <f>-'Table 5C1F-Lake Charles Charter'!AH52</f>
        <v>0</v>
      </c>
      <c r="L51" s="357">
        <f>-'Table 5C1G-JS Clark Academy'!AH52</f>
        <v>0</v>
      </c>
      <c r="M51" s="357">
        <f>-'Table 5C1H-Southwest LA Charter'!AH52</f>
        <v>0</v>
      </c>
      <c r="N51" s="357">
        <f>-'Table 5C1I-LA Key Academy'!AH52</f>
        <v>0</v>
      </c>
      <c r="O51" s="357">
        <f>-'Table 5C1J-Jefferson Chamber'!AH52</f>
        <v>2158</v>
      </c>
      <c r="P51" s="357">
        <f>-'Table 5C1K-Tallulah Charter'!AH52</f>
        <v>0</v>
      </c>
      <c r="Q51" s="357">
        <f>-'Table 5C1L-Northshore Charter'!AH52</f>
        <v>0</v>
      </c>
      <c r="R51" s="357">
        <f>-'Table 5C1M-B.R. Charter'!AH52</f>
        <v>0</v>
      </c>
      <c r="S51" s="357">
        <f>-'Table 5C1N-Delta Charter'!AH52</f>
        <v>0</v>
      </c>
      <c r="T51" s="357">
        <f>-'Table 5C2 - LA Virtual Admy'!AI50</f>
        <v>-12998</v>
      </c>
      <c r="U51" s="357">
        <f>-'Table 5C3 - LA Connections EBR'!AI50</f>
        <v>-933</v>
      </c>
      <c r="V51" s="357">
        <f>-'Table 5E_OJJ'!V52</f>
        <v>-1241</v>
      </c>
      <c r="W51" s="357">
        <f t="shared" si="39"/>
        <v>-11974</v>
      </c>
      <c r="X51" s="718">
        <f t="shared" si="40"/>
        <v>2268457</v>
      </c>
      <c r="Y51" s="357"/>
      <c r="Z51" s="357"/>
      <c r="AA51" s="357"/>
      <c r="AB51" s="357">
        <f>'Table 5C1A-Madison Prep'!AN52</f>
        <v>0</v>
      </c>
      <c r="AC51" s="357">
        <f>'Table 5C1B-DArbonne'!AN52</f>
        <v>0</v>
      </c>
      <c r="AD51" s="987">
        <f>'Table 5C1C-Intl_VIBE'!AN52</f>
        <v>56.43</v>
      </c>
      <c r="AE51" s="357">
        <f>'Table 5C1D-NOMMA'!AN52</f>
        <v>0</v>
      </c>
      <c r="AF51" s="357">
        <f>'Table 5C1E-LFNO'!AP52</f>
        <v>-35.745000000000005</v>
      </c>
      <c r="AG51" s="357">
        <f>'Table 5C1F-Lake Charles Charter'!AN52</f>
        <v>0</v>
      </c>
      <c r="AH51" s="357">
        <f>'Table 5C1G-JS Clark Academy'!AN52</f>
        <v>0</v>
      </c>
      <c r="AI51" s="357">
        <f>'Table 5C1H-Southwest LA Charter'!AN52</f>
        <v>0</v>
      </c>
      <c r="AJ51" s="357">
        <f>'Table 5C1I-LA Key Academy'!AN52</f>
        <v>0</v>
      </c>
      <c r="AK51" s="357">
        <f>'Table 5C1J-Jefferson Chamber'!AN52</f>
        <v>40.44</v>
      </c>
      <c r="AL51" s="357">
        <f>'Table 5C1K-Tallulah Charter'!AN52</f>
        <v>0</v>
      </c>
      <c r="AM51" s="357">
        <f>'Table 5C1L-Northshore Charter'!AN52</f>
        <v>0</v>
      </c>
      <c r="AN51" s="357">
        <f>'Table 5C1M-B.R. Charter'!AN52</f>
        <v>0</v>
      </c>
      <c r="AO51" s="357">
        <f>'Table 5C1N-Delta Charter'!AN52</f>
        <v>0</v>
      </c>
      <c r="AP51" s="357">
        <f>'Table 5C2 - LA Virtual Admy'!AO50</f>
        <v>-251.21100000000001</v>
      </c>
      <c r="AQ51" s="357">
        <f>'Table 5C3 - LA Connections EBR'!AO50</f>
        <v>151.00699999999995</v>
      </c>
      <c r="AR51" s="718">
        <f t="shared" si="41"/>
        <v>2268417.9210000001</v>
      </c>
      <c r="AS51" s="47"/>
      <c r="AY51"/>
      <c r="BH51"/>
    </row>
    <row r="52" spans="1:60">
      <c r="A52" s="99">
        <v>46</v>
      </c>
      <c r="B52" s="301" t="s">
        <v>137</v>
      </c>
      <c r="C52" s="310">
        <f>'Table 2_State Distrib and Adjs'!AD53</f>
        <v>354349</v>
      </c>
      <c r="D52" s="356">
        <f>-'Table 5B2_RSD_LA'!AN35</f>
        <v>-25961</v>
      </c>
      <c r="E52" s="356"/>
      <c r="F52" s="356">
        <f>-'Table 5C1A-Madison Prep'!AH53</f>
        <v>0</v>
      </c>
      <c r="G52" s="356">
        <f>-'Table 5C1B-DArbonne'!AH53</f>
        <v>0</v>
      </c>
      <c r="H52" s="356">
        <f>-'Table 5C1C-Intl_VIBE'!AH53</f>
        <v>0</v>
      </c>
      <c r="I52" s="356">
        <f>-'Table 5C1D-NOMMA'!AH53</f>
        <v>0</v>
      </c>
      <c r="J52" s="356">
        <f>-'Table 5C1E-LFNO'!AJ53</f>
        <v>0</v>
      </c>
      <c r="K52" s="356">
        <f>-'Table 5C1F-Lake Charles Charter'!AH53</f>
        <v>0</v>
      </c>
      <c r="L52" s="356">
        <f>-'Table 5C1G-JS Clark Academy'!AH53</f>
        <v>0</v>
      </c>
      <c r="M52" s="356">
        <f>-'Table 5C1H-Southwest LA Charter'!AH53</f>
        <v>0</v>
      </c>
      <c r="N52" s="356">
        <f>-'Table 5C1I-LA Key Academy'!AH53</f>
        <v>0</v>
      </c>
      <c r="O52" s="356">
        <f>-'Table 5C1J-Jefferson Chamber'!AH53</f>
        <v>0</v>
      </c>
      <c r="P52" s="356">
        <f>-'Table 5C1K-Tallulah Charter'!AH53</f>
        <v>0</v>
      </c>
      <c r="Q52" s="356">
        <f>-'Table 5C1L-Northshore Charter'!AH53</f>
        <v>0</v>
      </c>
      <c r="R52" s="356">
        <f>-'Table 5C1M-B.R. Charter'!AH53</f>
        <v>0</v>
      </c>
      <c r="S52" s="356">
        <f>-'Table 5C1N-Delta Charter'!AH53</f>
        <v>0</v>
      </c>
      <c r="T52" s="356">
        <f>-'Table 5C2 - LA Virtual Admy'!AI51</f>
        <v>-1204</v>
      </c>
      <c r="U52" s="356">
        <f>-'Table 5C3 - LA Connections EBR'!AI51</f>
        <v>-1655</v>
      </c>
      <c r="V52" s="356">
        <f>-'Table 5E_OJJ'!V53</f>
        <v>0</v>
      </c>
      <c r="W52" s="1378">
        <f t="shared" si="39"/>
        <v>-28820</v>
      </c>
      <c r="X52" s="717">
        <f t="shared" si="40"/>
        <v>325529</v>
      </c>
      <c r="Y52" s="356"/>
      <c r="Z52" s="356"/>
      <c r="AA52" s="356"/>
      <c r="AB52" s="356">
        <f>'Table 5C1A-Madison Prep'!AN53</f>
        <v>0</v>
      </c>
      <c r="AC52" s="356">
        <f>'Table 5C1B-DArbonne'!AN53</f>
        <v>0</v>
      </c>
      <c r="AD52" s="356">
        <f>'Table 5C1C-Intl_VIBE'!AN53</f>
        <v>0</v>
      </c>
      <c r="AE52" s="356">
        <f>'Table 5C1D-NOMMA'!AN53</f>
        <v>0</v>
      </c>
      <c r="AF52" s="356">
        <f>'Table 5C1E-LFNO'!AP53</f>
        <v>0</v>
      </c>
      <c r="AG52" s="356">
        <f>'Table 5C1F-Lake Charles Charter'!AN53</f>
        <v>0</v>
      </c>
      <c r="AH52" s="356">
        <f>'Table 5C1G-JS Clark Academy'!AN53</f>
        <v>0</v>
      </c>
      <c r="AI52" s="356">
        <f>'Table 5C1H-Southwest LA Charter'!AN53</f>
        <v>0</v>
      </c>
      <c r="AJ52" s="356">
        <f>'Table 5C1I-LA Key Academy'!AN53</f>
        <v>0</v>
      </c>
      <c r="AK52" s="356">
        <f>'Table 5C1J-Jefferson Chamber'!AN53</f>
        <v>0</v>
      </c>
      <c r="AL52" s="356">
        <f>'Table 5C1K-Tallulah Charter'!AN53</f>
        <v>0</v>
      </c>
      <c r="AM52" s="356">
        <f>'Table 5C1L-Northshore Charter'!AN53</f>
        <v>0</v>
      </c>
      <c r="AN52" s="356">
        <f>'Table 5C1M-B.R. Charter'!AN53</f>
        <v>0</v>
      </c>
      <c r="AO52" s="356">
        <f>'Table 5C1N-Delta Charter'!AN53</f>
        <v>0</v>
      </c>
      <c r="AP52" s="356">
        <f>'Table 5C2 - LA Virtual Admy'!AO51</f>
        <v>5.8377499999999927</v>
      </c>
      <c r="AQ52" s="356">
        <f>'Table 5C3 - LA Connections EBR'!AO51</f>
        <v>-8.7105000000000103</v>
      </c>
      <c r="AR52" s="717">
        <f t="shared" si="41"/>
        <v>325526.12725000002</v>
      </c>
      <c r="AS52" s="47"/>
      <c r="AY52"/>
      <c r="BH52"/>
    </row>
    <row r="53" spans="1:60">
      <c r="A53" s="99">
        <v>47</v>
      </c>
      <c r="B53" s="301" t="s">
        <v>138</v>
      </c>
      <c r="C53" s="310">
        <f>'Table 2_State Distrib and Adjs'!AD54</f>
        <v>1104803</v>
      </c>
      <c r="D53" s="356"/>
      <c r="E53" s="356"/>
      <c r="F53" s="356">
        <f>-'Table 5C1A-Madison Prep'!AH54</f>
        <v>0</v>
      </c>
      <c r="G53" s="356">
        <f>-'Table 5C1B-DArbonne'!AH54</f>
        <v>0</v>
      </c>
      <c r="H53" s="356">
        <f>-'Table 5C1C-Intl_VIBE'!AH54</f>
        <v>0</v>
      </c>
      <c r="I53" s="356">
        <f>-'Table 5C1D-NOMMA'!AH54</f>
        <v>0</v>
      </c>
      <c r="J53" s="356">
        <f>-'Table 5C1E-LFNO'!AJ54</f>
        <v>0</v>
      </c>
      <c r="K53" s="356">
        <f>-'Table 5C1F-Lake Charles Charter'!AH54</f>
        <v>0</v>
      </c>
      <c r="L53" s="356">
        <f>-'Table 5C1G-JS Clark Academy'!AH54</f>
        <v>0</v>
      </c>
      <c r="M53" s="356">
        <f>-'Table 5C1H-Southwest LA Charter'!AH54</f>
        <v>0</v>
      </c>
      <c r="N53" s="356">
        <f>-'Table 5C1I-LA Key Academy'!AH54</f>
        <v>0</v>
      </c>
      <c r="O53" s="356">
        <f>-'Table 5C1J-Jefferson Chamber'!AH54</f>
        <v>0</v>
      </c>
      <c r="P53" s="356">
        <f>-'Table 5C1K-Tallulah Charter'!AH54</f>
        <v>0</v>
      </c>
      <c r="Q53" s="356">
        <f>-'Table 5C1L-Northshore Charter'!AH54</f>
        <v>0</v>
      </c>
      <c r="R53" s="356">
        <f>-'Table 5C1M-B.R. Charter'!AH54</f>
        <v>0</v>
      </c>
      <c r="S53" s="356">
        <f>-'Table 5C1N-Delta Charter'!AH54</f>
        <v>0</v>
      </c>
      <c r="T53" s="356">
        <f>-'Table 5C2 - LA Virtual Admy'!AI52</f>
        <v>-1114</v>
      </c>
      <c r="U53" s="356">
        <f>-'Table 5C3 - LA Connections EBR'!AI52</f>
        <v>-921</v>
      </c>
      <c r="V53" s="356">
        <f>-'Table 5E_OJJ'!V54</f>
        <v>0</v>
      </c>
      <c r="W53" s="1378">
        <f t="shared" si="39"/>
        <v>-2035</v>
      </c>
      <c r="X53" s="717">
        <f t="shared" si="40"/>
        <v>1102768</v>
      </c>
      <c r="Y53" s="356"/>
      <c r="Z53" s="356"/>
      <c r="AA53" s="356"/>
      <c r="AB53" s="356">
        <f>'Table 5C1A-Madison Prep'!AN54</f>
        <v>0</v>
      </c>
      <c r="AC53" s="356">
        <f>'Table 5C1B-DArbonne'!AN54</f>
        <v>0</v>
      </c>
      <c r="AD53" s="356">
        <f>'Table 5C1C-Intl_VIBE'!AN54</f>
        <v>0</v>
      </c>
      <c r="AE53" s="356">
        <f>'Table 5C1D-NOMMA'!AN54</f>
        <v>0</v>
      </c>
      <c r="AF53" s="356">
        <f>'Table 5C1E-LFNO'!AP54</f>
        <v>0</v>
      </c>
      <c r="AG53" s="356">
        <f>'Table 5C1F-Lake Charles Charter'!AN54</f>
        <v>0</v>
      </c>
      <c r="AH53" s="356">
        <f>'Table 5C1G-JS Clark Academy'!AN54</f>
        <v>0</v>
      </c>
      <c r="AI53" s="356">
        <f>'Table 5C1H-Southwest LA Charter'!AN54</f>
        <v>0</v>
      </c>
      <c r="AJ53" s="356">
        <f>'Table 5C1I-LA Key Academy'!AN54</f>
        <v>0</v>
      </c>
      <c r="AK53" s="356">
        <f>'Table 5C1J-Jefferson Chamber'!AN54</f>
        <v>0</v>
      </c>
      <c r="AL53" s="356">
        <f>'Table 5C1K-Tallulah Charter'!AN54</f>
        <v>0</v>
      </c>
      <c r="AM53" s="356">
        <f>'Table 5C1L-Northshore Charter'!AN54</f>
        <v>0</v>
      </c>
      <c r="AN53" s="356">
        <f>'Table 5C1M-B.R. Charter'!AN54</f>
        <v>0</v>
      </c>
      <c r="AO53" s="356">
        <f>'Table 5C1N-Delta Charter'!AN54</f>
        <v>0</v>
      </c>
      <c r="AP53" s="356">
        <f>'Table 5C2 - LA Virtual Admy'!AO52</f>
        <v>1.6664999999999921</v>
      </c>
      <c r="AQ53" s="356">
        <f>'Table 5C3 - LA Connections EBR'!AO52</f>
        <v>0.83324999999999605</v>
      </c>
      <c r="AR53" s="717">
        <f t="shared" si="41"/>
        <v>1102770.49975</v>
      </c>
      <c r="AS53" s="47"/>
      <c r="AY53"/>
      <c r="BH53"/>
    </row>
    <row r="54" spans="1:60">
      <c r="A54" s="99">
        <v>48</v>
      </c>
      <c r="B54" s="301" t="s">
        <v>195</v>
      </c>
      <c r="C54" s="310">
        <f>'Table 2_State Distrib and Adjs'!AD55</f>
        <v>2424374</v>
      </c>
      <c r="D54" s="356"/>
      <c r="E54" s="356"/>
      <c r="F54" s="356">
        <f>-'Table 5C1A-Madison Prep'!AH55</f>
        <v>0</v>
      </c>
      <c r="G54" s="356">
        <f>-'Table 5C1B-DArbonne'!AH55</f>
        <v>0</v>
      </c>
      <c r="H54" s="356">
        <f>-'Table 5C1C-Intl_VIBE'!AH55</f>
        <v>-1139</v>
      </c>
      <c r="I54" s="356">
        <f>-'Table 5C1D-NOMMA'!AH55</f>
        <v>0</v>
      </c>
      <c r="J54" s="356">
        <f>-'Table 5C1E-LFNO'!AJ55</f>
        <v>0</v>
      </c>
      <c r="K54" s="356">
        <f>-'Table 5C1F-Lake Charles Charter'!AH55</f>
        <v>0</v>
      </c>
      <c r="L54" s="356">
        <f>-'Table 5C1G-JS Clark Academy'!AH55</f>
        <v>0</v>
      </c>
      <c r="M54" s="356">
        <f>-'Table 5C1H-Southwest LA Charter'!AH55</f>
        <v>0</v>
      </c>
      <c r="N54" s="356">
        <f>-'Table 5C1I-LA Key Academy'!AH55</f>
        <v>0</v>
      </c>
      <c r="O54" s="356">
        <f>-'Table 5C1J-Jefferson Chamber'!AH55</f>
        <v>-2463</v>
      </c>
      <c r="P54" s="356">
        <f>-'Table 5C1K-Tallulah Charter'!AH55</f>
        <v>0</v>
      </c>
      <c r="Q54" s="356">
        <f>-'Table 5C1L-Northshore Charter'!AH55</f>
        <v>0</v>
      </c>
      <c r="R54" s="356">
        <f>-'Table 5C1M-B.R. Charter'!AH55</f>
        <v>0</v>
      </c>
      <c r="S54" s="356">
        <f>-'Table 5C1N-Delta Charter'!AH55</f>
        <v>0</v>
      </c>
      <c r="T54" s="356">
        <f>-'Table 5C2 - LA Virtual Admy'!AI53</f>
        <v>-11900</v>
      </c>
      <c r="U54" s="356">
        <f>-'Table 5C3 - LA Connections EBR'!AI53</f>
        <v>-22524</v>
      </c>
      <c r="V54" s="356">
        <f>-'Table 5E_OJJ'!V55</f>
        <v>-677</v>
      </c>
      <c r="W54" s="1378">
        <f t="shared" si="39"/>
        <v>-38703</v>
      </c>
      <c r="X54" s="717">
        <f t="shared" si="40"/>
        <v>2385671</v>
      </c>
      <c r="Y54" s="356"/>
      <c r="Z54" s="356"/>
      <c r="AA54" s="356"/>
      <c r="AB54" s="356">
        <f>'Table 5C1A-Madison Prep'!AN55</f>
        <v>0</v>
      </c>
      <c r="AC54" s="356">
        <f>'Table 5C1B-DArbonne'!AN55</f>
        <v>0</v>
      </c>
      <c r="AD54" s="356">
        <f>'Table 5C1C-Intl_VIBE'!AN55</f>
        <v>-0.65999999999999659</v>
      </c>
      <c r="AE54" s="356">
        <f>'Table 5C1D-NOMMA'!AN55</f>
        <v>0</v>
      </c>
      <c r="AF54" s="356">
        <f>'Table 5C1E-LFNO'!AP55</f>
        <v>0</v>
      </c>
      <c r="AG54" s="356">
        <f>'Table 5C1F-Lake Charles Charter'!AN55</f>
        <v>0</v>
      </c>
      <c r="AH54" s="356">
        <f>'Table 5C1G-JS Clark Academy'!AN55</f>
        <v>0</v>
      </c>
      <c r="AI54" s="356">
        <f>'Table 5C1H-Southwest LA Charter'!AN55</f>
        <v>0</v>
      </c>
      <c r="AJ54" s="356">
        <f>'Table 5C1I-LA Key Academy'!AN55</f>
        <v>0</v>
      </c>
      <c r="AK54" s="356">
        <f>'Table 5C1J-Jefferson Chamber'!AN55</f>
        <v>-24.693750000000001</v>
      </c>
      <c r="AL54" s="356">
        <f>'Table 5C1K-Tallulah Charter'!AN55</f>
        <v>0</v>
      </c>
      <c r="AM54" s="356">
        <f>'Table 5C1L-Northshore Charter'!AN55</f>
        <v>0</v>
      </c>
      <c r="AN54" s="356">
        <f>'Table 5C1M-B.R. Charter'!AN55</f>
        <v>0</v>
      </c>
      <c r="AO54" s="356">
        <f>'Table 5C1N-Delta Charter'!AN55</f>
        <v>0</v>
      </c>
      <c r="AP54" s="356">
        <f>'Table 5C2 - LA Virtual Admy'!AO53</f>
        <v>28.369374999999991</v>
      </c>
      <c r="AQ54" s="356">
        <f>'Table 5C3 - LA Connections EBR'!AO53</f>
        <v>-139.03874999999999</v>
      </c>
      <c r="AR54" s="717">
        <f t="shared" si="41"/>
        <v>2385534.9768749997</v>
      </c>
      <c r="AS54" s="47"/>
      <c r="AY54"/>
      <c r="BH54"/>
    </row>
    <row r="55" spans="1:60">
      <c r="A55" s="99">
        <v>49</v>
      </c>
      <c r="B55" s="301" t="s">
        <v>139</v>
      </c>
      <c r="C55" s="310">
        <f>'Table 2_State Distrib and Adjs'!AD56</f>
        <v>6478418</v>
      </c>
      <c r="D55" s="356"/>
      <c r="E55" s="356"/>
      <c r="F55" s="356">
        <f>-'Table 5C1A-Madison Prep'!AH56</f>
        <v>0</v>
      </c>
      <c r="G55" s="356">
        <f>-'Table 5C1B-DArbonne'!AH56</f>
        <v>0</v>
      </c>
      <c r="H55" s="356">
        <f>-'Table 5C1C-Intl_VIBE'!AH56</f>
        <v>0</v>
      </c>
      <c r="I55" s="356">
        <f>-'Table 5C1D-NOMMA'!AH56</f>
        <v>0</v>
      </c>
      <c r="J55" s="356">
        <f>-'Table 5C1E-LFNO'!AJ56</f>
        <v>0</v>
      </c>
      <c r="K55" s="356">
        <f>-'Table 5C1F-Lake Charles Charter'!AH56</f>
        <v>0</v>
      </c>
      <c r="L55" s="356">
        <f>-'Table 5C1G-JS Clark Academy'!AH56</f>
        <v>-39328</v>
      </c>
      <c r="M55" s="356">
        <f>-'Table 5C1H-Southwest LA Charter'!AH56</f>
        <v>0</v>
      </c>
      <c r="N55" s="356">
        <f>-'Table 5C1I-LA Key Academy'!AH56</f>
        <v>0</v>
      </c>
      <c r="O55" s="356">
        <f>-'Table 5C1J-Jefferson Chamber'!AH56</f>
        <v>0</v>
      </c>
      <c r="P55" s="356">
        <f>-'Table 5C1K-Tallulah Charter'!AH56</f>
        <v>0</v>
      </c>
      <c r="Q55" s="356">
        <f>-'Table 5C1L-Northshore Charter'!AH56</f>
        <v>0</v>
      </c>
      <c r="R55" s="356">
        <f>-'Table 5C1M-B.R. Charter'!AH56</f>
        <v>0</v>
      </c>
      <c r="S55" s="356">
        <f>-'Table 5C1N-Delta Charter'!AH56</f>
        <v>0</v>
      </c>
      <c r="T55" s="356">
        <f>-'Table 5C2 - LA Virtual Admy'!AI54</f>
        <v>-10681</v>
      </c>
      <c r="U55" s="356">
        <f>-'Table 5C3 - LA Connections EBR'!AI54</f>
        <v>-7649</v>
      </c>
      <c r="V55" s="356">
        <f>-'Table 5E_OJJ'!V56</f>
        <v>-1694</v>
      </c>
      <c r="W55" s="1378">
        <f t="shared" si="39"/>
        <v>-59352</v>
      </c>
      <c r="X55" s="717">
        <f t="shared" si="40"/>
        <v>6419066</v>
      </c>
      <c r="Y55" s="356"/>
      <c r="Z55" s="356"/>
      <c r="AA55" s="356"/>
      <c r="AB55" s="356">
        <f>'Table 5C1A-Madison Prep'!AN56</f>
        <v>0</v>
      </c>
      <c r="AC55" s="356">
        <f>'Table 5C1B-DArbonne'!AN56</f>
        <v>0</v>
      </c>
      <c r="AD55" s="356">
        <f>'Table 5C1C-Intl_VIBE'!AN56</f>
        <v>0</v>
      </c>
      <c r="AE55" s="356">
        <f>'Table 5C1D-NOMMA'!AN56</f>
        <v>0</v>
      </c>
      <c r="AF55" s="356">
        <f>'Table 5C1E-LFNO'!AP56</f>
        <v>0</v>
      </c>
      <c r="AG55" s="356">
        <f>'Table 5C1F-Lake Charles Charter'!AN56</f>
        <v>0</v>
      </c>
      <c r="AH55" s="356">
        <f>'Table 5C1G-JS Clark Academy'!AN56</f>
        <v>-219.15499999999997</v>
      </c>
      <c r="AI55" s="356">
        <f>'Table 5C1H-Southwest LA Charter'!AN56</f>
        <v>0</v>
      </c>
      <c r="AJ55" s="356">
        <f>'Table 5C1I-LA Key Academy'!AN56</f>
        <v>0</v>
      </c>
      <c r="AK55" s="356">
        <f>'Table 5C1J-Jefferson Chamber'!AN56</f>
        <v>0</v>
      </c>
      <c r="AL55" s="356">
        <f>'Table 5C1K-Tallulah Charter'!AN56</f>
        <v>0</v>
      </c>
      <c r="AM55" s="356">
        <f>'Table 5C1L-Northshore Charter'!AN56</f>
        <v>0</v>
      </c>
      <c r="AN55" s="356">
        <f>'Table 5C1M-B.R. Charter'!AN56</f>
        <v>0</v>
      </c>
      <c r="AO55" s="356">
        <f>'Table 5C1N-Delta Charter'!AN56</f>
        <v>0</v>
      </c>
      <c r="AP55" s="356">
        <f>'Table 5C2 - LA Virtual Admy'!AO54</f>
        <v>-130.91050000000001</v>
      </c>
      <c r="AQ55" s="356">
        <f>'Table 5C3 - LA Connections EBR'!AO54</f>
        <v>-21.455250000000007</v>
      </c>
      <c r="AR55" s="717">
        <f t="shared" si="41"/>
        <v>6418694.4792499999</v>
      </c>
      <c r="AS55" s="47"/>
      <c r="AY55"/>
      <c r="BH55"/>
    </row>
    <row r="56" spans="1:60">
      <c r="A56" s="100">
        <v>50</v>
      </c>
      <c r="B56" s="302" t="s">
        <v>140</v>
      </c>
      <c r="C56" s="318">
        <f>'Table 2_State Distrib and Adjs'!AD57</f>
        <v>3779616</v>
      </c>
      <c r="D56" s="357"/>
      <c r="E56" s="357"/>
      <c r="F56" s="357">
        <f>-'Table 5C1A-Madison Prep'!AH57</f>
        <v>0</v>
      </c>
      <c r="G56" s="357">
        <f>-'Table 5C1B-DArbonne'!AH57</f>
        <v>0</v>
      </c>
      <c r="H56" s="357">
        <f>-'Table 5C1C-Intl_VIBE'!AH57</f>
        <v>0</v>
      </c>
      <c r="I56" s="357">
        <f>-'Table 5C1D-NOMMA'!AH57</f>
        <v>0</v>
      </c>
      <c r="J56" s="357">
        <f>-'Table 5C1E-LFNO'!AJ57</f>
        <v>0</v>
      </c>
      <c r="K56" s="357">
        <f>-'Table 5C1F-Lake Charles Charter'!AH57</f>
        <v>0</v>
      </c>
      <c r="L56" s="357">
        <f>-'Table 5C1G-JS Clark Academy'!AH57</f>
        <v>0</v>
      </c>
      <c r="M56" s="357">
        <f>-'Table 5C1H-Southwest LA Charter'!AH57</f>
        <v>0</v>
      </c>
      <c r="N56" s="357">
        <f>-'Table 5C1I-LA Key Academy'!AH57</f>
        <v>0</v>
      </c>
      <c r="O56" s="357">
        <f>-'Table 5C1J-Jefferson Chamber'!AH57</f>
        <v>0</v>
      </c>
      <c r="P56" s="357">
        <f>-'Table 5C1K-Tallulah Charter'!AH57</f>
        <v>0</v>
      </c>
      <c r="Q56" s="357">
        <f>-'Table 5C1L-Northshore Charter'!AH57</f>
        <v>0</v>
      </c>
      <c r="R56" s="357">
        <f>-'Table 5C1M-B.R. Charter'!AH57</f>
        <v>0</v>
      </c>
      <c r="S56" s="357">
        <f>-'Table 5C1N-Delta Charter'!AH57</f>
        <v>0</v>
      </c>
      <c r="T56" s="357">
        <f>-'Table 5C2 - LA Virtual Admy'!AI55</f>
        <v>-7932</v>
      </c>
      <c r="U56" s="357">
        <f>-'Table 5C3 - LA Connections EBR'!AI55</f>
        <v>378</v>
      </c>
      <c r="V56" s="357">
        <f>-'Table 5E_OJJ'!V57</f>
        <v>-1050</v>
      </c>
      <c r="W56" s="357">
        <f t="shared" si="39"/>
        <v>-8604</v>
      </c>
      <c r="X56" s="718">
        <f t="shared" si="40"/>
        <v>3771012</v>
      </c>
      <c r="Y56" s="357"/>
      <c r="Z56" s="357"/>
      <c r="AA56" s="357"/>
      <c r="AB56" s="357">
        <f>'Table 5C1A-Madison Prep'!AN57</f>
        <v>0</v>
      </c>
      <c r="AC56" s="357">
        <f>'Table 5C1B-DArbonne'!AN57</f>
        <v>0</v>
      </c>
      <c r="AD56" s="357">
        <f>'Table 5C1C-Intl_VIBE'!AN57</f>
        <v>0</v>
      </c>
      <c r="AE56" s="357">
        <f>'Table 5C1D-NOMMA'!AN57</f>
        <v>0</v>
      </c>
      <c r="AF56" s="357">
        <f>'Table 5C1E-LFNO'!AP57</f>
        <v>0</v>
      </c>
      <c r="AG56" s="357">
        <f>'Table 5C1F-Lake Charles Charter'!AN57</f>
        <v>0</v>
      </c>
      <c r="AH56" s="357">
        <f>'Table 5C1G-JS Clark Academy'!AN57</f>
        <v>0</v>
      </c>
      <c r="AI56" s="357">
        <f>'Table 5C1H-Southwest LA Charter'!AN57</f>
        <v>0</v>
      </c>
      <c r="AJ56" s="357">
        <f>'Table 5C1I-LA Key Academy'!AN57</f>
        <v>0</v>
      </c>
      <c r="AK56" s="357">
        <f>'Table 5C1J-Jefferson Chamber'!AN57</f>
        <v>0</v>
      </c>
      <c r="AL56" s="357">
        <f>'Table 5C1K-Tallulah Charter'!AN57</f>
        <v>0</v>
      </c>
      <c r="AM56" s="357">
        <f>'Table 5C1L-Northshore Charter'!AN57</f>
        <v>0</v>
      </c>
      <c r="AN56" s="357">
        <f>'Table 5C1M-B.R. Charter'!AN57</f>
        <v>0</v>
      </c>
      <c r="AO56" s="357">
        <f>'Table 5C1N-Delta Charter'!AN57</f>
        <v>0</v>
      </c>
      <c r="AP56" s="357">
        <f>'Table 5C2 - LA Virtual Admy'!AO55</f>
        <v>-96.114375000000052</v>
      </c>
      <c r="AQ56" s="357">
        <f>'Table 5C3 - LA Connections EBR'!AO55</f>
        <v>26.569499999999991</v>
      </c>
      <c r="AR56" s="718">
        <f t="shared" si="41"/>
        <v>3770942.4551250003</v>
      </c>
      <c r="AS56" s="47"/>
      <c r="AY56"/>
      <c r="BH56"/>
    </row>
    <row r="57" spans="1:60">
      <c r="A57" s="99">
        <v>51</v>
      </c>
      <c r="B57" s="301" t="s">
        <v>141</v>
      </c>
      <c r="C57" s="310">
        <f>'Table 2_State Distrib and Adjs'!AD58</f>
        <v>3669239</v>
      </c>
      <c r="D57" s="356"/>
      <c r="E57" s="356"/>
      <c r="F57" s="356">
        <f>-'Table 5C1A-Madison Prep'!AH58</f>
        <v>0</v>
      </c>
      <c r="G57" s="356">
        <f>-'Table 5C1B-DArbonne'!AH58</f>
        <v>0</v>
      </c>
      <c r="H57" s="356">
        <f>-'Table 5C1C-Intl_VIBE'!AH58</f>
        <v>0</v>
      </c>
      <c r="I57" s="356">
        <f>-'Table 5C1D-NOMMA'!AH58</f>
        <v>0</v>
      </c>
      <c r="J57" s="356">
        <f>-'Table 5C1E-LFNO'!AJ58</f>
        <v>0</v>
      </c>
      <c r="K57" s="356">
        <f>-'Table 5C1F-Lake Charles Charter'!AH58</f>
        <v>0</v>
      </c>
      <c r="L57" s="356">
        <f>-'Table 5C1G-JS Clark Academy'!AH58</f>
        <v>0</v>
      </c>
      <c r="M57" s="356">
        <f>-'Table 5C1H-Southwest LA Charter'!AH58</f>
        <v>0</v>
      </c>
      <c r="N57" s="356">
        <f>-'Table 5C1I-LA Key Academy'!AH58</f>
        <v>0</v>
      </c>
      <c r="O57" s="356">
        <f>-'Table 5C1J-Jefferson Chamber'!AH58</f>
        <v>0</v>
      </c>
      <c r="P57" s="356">
        <f>-'Table 5C1K-Tallulah Charter'!AH58</f>
        <v>0</v>
      </c>
      <c r="Q57" s="356">
        <f>-'Table 5C1L-Northshore Charter'!AH58</f>
        <v>0</v>
      </c>
      <c r="R57" s="356">
        <f>-'Table 5C1M-B.R. Charter'!AH58</f>
        <v>0</v>
      </c>
      <c r="S57" s="356">
        <f>-'Table 5C1N-Delta Charter'!AH58</f>
        <v>0</v>
      </c>
      <c r="T57" s="356">
        <f>-'Table 5C2 - LA Virtual Admy'!AI56</f>
        <v>-10040</v>
      </c>
      <c r="U57" s="356">
        <f>-'Table 5C3 - LA Connections EBR'!AI56</f>
        <v>-3784</v>
      </c>
      <c r="V57" s="356">
        <f>-'Table 5E_OJJ'!V58</f>
        <v>-1703</v>
      </c>
      <c r="W57" s="1378">
        <f t="shared" si="39"/>
        <v>-15527</v>
      </c>
      <c r="X57" s="717">
        <f t="shared" si="40"/>
        <v>3653712</v>
      </c>
      <c r="Y57" s="356"/>
      <c r="Z57" s="356"/>
      <c r="AA57" s="356"/>
      <c r="AB57" s="356">
        <f>'Table 5C1A-Madison Prep'!AN58</f>
        <v>0</v>
      </c>
      <c r="AC57" s="356">
        <f>'Table 5C1B-DArbonne'!AN58</f>
        <v>0</v>
      </c>
      <c r="AD57" s="356">
        <f>'Table 5C1C-Intl_VIBE'!AN58</f>
        <v>0</v>
      </c>
      <c r="AE57" s="356">
        <f>'Table 5C1D-NOMMA'!AN58</f>
        <v>0</v>
      </c>
      <c r="AF57" s="356">
        <f>'Table 5C1E-LFNO'!AP58</f>
        <v>0</v>
      </c>
      <c r="AG57" s="356">
        <f>'Table 5C1F-Lake Charles Charter'!AN58</f>
        <v>0</v>
      </c>
      <c r="AH57" s="356">
        <f>'Table 5C1G-JS Clark Academy'!AN58</f>
        <v>0</v>
      </c>
      <c r="AI57" s="356">
        <f>'Table 5C1H-Southwest LA Charter'!AN58</f>
        <v>0</v>
      </c>
      <c r="AJ57" s="356">
        <f>'Table 5C1I-LA Key Academy'!AN58</f>
        <v>0</v>
      </c>
      <c r="AK57" s="356">
        <f>'Table 5C1J-Jefferson Chamber'!AN58</f>
        <v>0</v>
      </c>
      <c r="AL57" s="356">
        <f>'Table 5C1K-Tallulah Charter'!AN58</f>
        <v>0</v>
      </c>
      <c r="AM57" s="356">
        <f>'Table 5C1L-Northshore Charter'!AN58</f>
        <v>0</v>
      </c>
      <c r="AN57" s="356">
        <f>'Table 5C1M-B.R. Charter'!AN58</f>
        <v>0</v>
      </c>
      <c r="AO57" s="356">
        <f>'Table 5C1N-Delta Charter'!AN58</f>
        <v>0</v>
      </c>
      <c r="AP57" s="356">
        <f>'Table 5C2 - LA Virtual Admy'!AO56</f>
        <v>-158.1525</v>
      </c>
      <c r="AQ57" s="356">
        <f>'Table 5C3 - LA Connections EBR'!AO56</f>
        <v>-35.246250000000003</v>
      </c>
      <c r="AR57" s="717">
        <f t="shared" si="41"/>
        <v>3653518.6012500003</v>
      </c>
      <c r="AS57" s="47"/>
      <c r="AY57"/>
      <c r="BH57"/>
    </row>
    <row r="58" spans="1:60">
      <c r="A58" s="99">
        <v>52</v>
      </c>
      <c r="B58" s="301" t="s">
        <v>142</v>
      </c>
      <c r="C58" s="310">
        <f>'Table 2_State Distrib and Adjs'!AD59</f>
        <v>17678177</v>
      </c>
      <c r="D58" s="356"/>
      <c r="E58" s="356"/>
      <c r="F58" s="356">
        <f>-'Table 5C1A-Madison Prep'!AH59</f>
        <v>0</v>
      </c>
      <c r="G58" s="356">
        <f>-'Table 5C1B-DArbonne'!AH59</f>
        <v>0</v>
      </c>
      <c r="H58" s="356">
        <f>-'Table 5C1C-Intl_VIBE'!AH59</f>
        <v>2438</v>
      </c>
      <c r="I58" s="356">
        <f>-'Table 5C1D-NOMMA'!AH59</f>
        <v>865</v>
      </c>
      <c r="J58" s="356">
        <f>-'Table 5C1E-LFNO'!AJ59</f>
        <v>-470</v>
      </c>
      <c r="K58" s="356">
        <f>-'Table 5C1F-Lake Charles Charter'!AH59</f>
        <v>0</v>
      </c>
      <c r="L58" s="356">
        <f>-'Table 5C1G-JS Clark Academy'!AH59</f>
        <v>0</v>
      </c>
      <c r="M58" s="356">
        <f>-'Table 5C1H-Southwest LA Charter'!AH59</f>
        <v>0</v>
      </c>
      <c r="N58" s="356">
        <f>-'Table 5C1I-LA Key Academy'!AH59</f>
        <v>0</v>
      </c>
      <c r="O58" s="356">
        <f>-'Table 5C1J-Jefferson Chamber'!AH59</f>
        <v>0</v>
      </c>
      <c r="P58" s="356">
        <f>-'Table 5C1K-Tallulah Charter'!AH59</f>
        <v>0</v>
      </c>
      <c r="Q58" s="356">
        <f>-'Table 5C1L-Northshore Charter'!AH59</f>
        <v>0</v>
      </c>
      <c r="R58" s="356">
        <f>-'Table 5C1M-B.R. Charter'!AH59</f>
        <v>0</v>
      </c>
      <c r="S58" s="356">
        <f>-'Table 5C1N-Delta Charter'!AH59</f>
        <v>0</v>
      </c>
      <c r="T58" s="356">
        <f>-'Table 5C2 - LA Virtual Admy'!AI57</f>
        <v>-40029</v>
      </c>
      <c r="U58" s="356">
        <f>-'Table 5C3 - LA Connections EBR'!AI57</f>
        <v>-34848</v>
      </c>
      <c r="V58" s="356">
        <f>-'Table 5E_OJJ'!V59</f>
        <v>-3723</v>
      </c>
      <c r="W58" s="1378">
        <f t="shared" si="39"/>
        <v>-75767</v>
      </c>
      <c r="X58" s="717">
        <f t="shared" si="40"/>
        <v>17602410</v>
      </c>
      <c r="Y58" s="356"/>
      <c r="Z58" s="356"/>
      <c r="AA58" s="356"/>
      <c r="AB58" s="356">
        <f>'Table 5C1A-Madison Prep'!AN59</f>
        <v>0</v>
      </c>
      <c r="AC58" s="356">
        <f>'Table 5C1B-DArbonne'!AN59</f>
        <v>0</v>
      </c>
      <c r="AD58" s="356">
        <f>'Table 5C1C-Intl_VIBE'!AN59</f>
        <v>36.667500000000004</v>
      </c>
      <c r="AE58" s="356">
        <f>'Table 5C1D-NOMMA'!AN59</f>
        <v>0</v>
      </c>
      <c r="AF58" s="356">
        <f>'Table 5C1E-LFNO'!AP59</f>
        <v>-0.63499999999999979</v>
      </c>
      <c r="AG58" s="356">
        <f>'Table 5C1F-Lake Charles Charter'!AN59</f>
        <v>0</v>
      </c>
      <c r="AH58" s="356">
        <f>'Table 5C1G-JS Clark Academy'!AN59</f>
        <v>0</v>
      </c>
      <c r="AI58" s="356">
        <f>'Table 5C1H-Southwest LA Charter'!AN59</f>
        <v>0</v>
      </c>
      <c r="AJ58" s="356">
        <f>'Table 5C1I-LA Key Academy'!AN59</f>
        <v>0</v>
      </c>
      <c r="AK58" s="356">
        <f>'Table 5C1J-Jefferson Chamber'!AN59</f>
        <v>0</v>
      </c>
      <c r="AL58" s="356">
        <f>'Table 5C1K-Tallulah Charter'!AN59</f>
        <v>0</v>
      </c>
      <c r="AM58" s="356">
        <f>'Table 5C1L-Northshore Charter'!AN59</f>
        <v>0</v>
      </c>
      <c r="AN58" s="356">
        <f>'Table 5C1M-B.R. Charter'!AN59</f>
        <v>0</v>
      </c>
      <c r="AO58" s="356">
        <f>'Table 5C1N-Delta Charter'!AN59</f>
        <v>0</v>
      </c>
      <c r="AP58" s="356">
        <f>'Table 5C2 - LA Virtual Admy'!AO57</f>
        <v>-345.53037499999982</v>
      </c>
      <c r="AQ58" s="356">
        <f>'Table 5C3 - LA Connections EBR'!AO57</f>
        <v>42.968499999999949</v>
      </c>
      <c r="AR58" s="717">
        <f t="shared" si="41"/>
        <v>17602143.470624998</v>
      </c>
      <c r="AS58" s="47"/>
      <c r="AY58"/>
      <c r="BH58"/>
    </row>
    <row r="59" spans="1:60">
      <c r="A59" s="99">
        <v>53</v>
      </c>
      <c r="B59" s="301" t="s">
        <v>143</v>
      </c>
      <c r="C59" s="310">
        <f>'Table 2_State Distrib and Adjs'!AD60</f>
        <v>9067022</v>
      </c>
      <c r="D59" s="356"/>
      <c r="E59" s="356"/>
      <c r="F59" s="356">
        <f>-'Table 5C1A-Madison Prep'!AH60</f>
        <v>0</v>
      </c>
      <c r="G59" s="356">
        <f>-'Table 5C1B-DArbonne'!AH60</f>
        <v>0</v>
      </c>
      <c r="H59" s="356">
        <f>-'Table 5C1C-Intl_VIBE'!AH60</f>
        <v>0</v>
      </c>
      <c r="I59" s="356">
        <f>-'Table 5C1D-NOMMA'!AH60</f>
        <v>0</v>
      </c>
      <c r="J59" s="356">
        <f>-'Table 5C1E-LFNO'!AJ60</f>
        <v>0</v>
      </c>
      <c r="K59" s="356">
        <f>-'Table 5C1F-Lake Charles Charter'!AH60</f>
        <v>0</v>
      </c>
      <c r="L59" s="356">
        <f>-'Table 5C1G-JS Clark Academy'!AH60</f>
        <v>0</v>
      </c>
      <c r="M59" s="356">
        <f>-'Table 5C1H-Southwest LA Charter'!AH60</f>
        <v>0</v>
      </c>
      <c r="N59" s="356">
        <f>-'Table 5C1I-LA Key Academy'!AH60</f>
        <v>0</v>
      </c>
      <c r="O59" s="356">
        <f>-'Table 5C1J-Jefferson Chamber'!AH60</f>
        <v>0</v>
      </c>
      <c r="P59" s="356">
        <f>-'Table 5C1K-Tallulah Charter'!AH60</f>
        <v>0</v>
      </c>
      <c r="Q59" s="356">
        <f>-'Table 5C1L-Northshore Charter'!AH60</f>
        <v>0</v>
      </c>
      <c r="R59" s="356">
        <f>-'Table 5C1M-B.R. Charter'!AH60</f>
        <v>0</v>
      </c>
      <c r="S59" s="356">
        <f>-'Table 5C1N-Delta Charter'!AH60</f>
        <v>0</v>
      </c>
      <c r="T59" s="356">
        <f>-'Table 5C2 - LA Virtual Admy'!AI58</f>
        <v>-20459</v>
      </c>
      <c r="U59" s="356">
        <f>-'Table 5C3 - LA Connections EBR'!AI58</f>
        <v>-14276</v>
      </c>
      <c r="V59" s="356">
        <f>-'Table 5E_OJJ'!V60</f>
        <v>-1787</v>
      </c>
      <c r="W59" s="1378">
        <f t="shared" si="39"/>
        <v>-36522</v>
      </c>
      <c r="X59" s="717">
        <f t="shared" si="40"/>
        <v>9030500</v>
      </c>
      <c r="Y59" s="356"/>
      <c r="Z59" s="356"/>
      <c r="AA59" s="356"/>
      <c r="AB59" s="356">
        <f>'Table 5C1A-Madison Prep'!AN60</f>
        <v>0</v>
      </c>
      <c r="AC59" s="356">
        <f>'Table 5C1B-DArbonne'!AN60</f>
        <v>0</v>
      </c>
      <c r="AD59" s="356">
        <f>'Table 5C1C-Intl_VIBE'!AN60</f>
        <v>0</v>
      </c>
      <c r="AE59" s="356">
        <f>'Table 5C1D-NOMMA'!AN60</f>
        <v>0</v>
      </c>
      <c r="AF59" s="356">
        <f>'Table 5C1E-LFNO'!AP60</f>
        <v>0</v>
      </c>
      <c r="AG59" s="356">
        <f>'Table 5C1F-Lake Charles Charter'!AN60</f>
        <v>0</v>
      </c>
      <c r="AH59" s="356">
        <f>'Table 5C1G-JS Clark Academy'!AN60</f>
        <v>0</v>
      </c>
      <c r="AI59" s="356">
        <f>'Table 5C1H-Southwest LA Charter'!AN60</f>
        <v>0</v>
      </c>
      <c r="AJ59" s="356">
        <f>'Table 5C1I-LA Key Academy'!AN60</f>
        <v>0</v>
      </c>
      <c r="AK59" s="356">
        <f>'Table 5C1J-Jefferson Chamber'!AN60</f>
        <v>0</v>
      </c>
      <c r="AL59" s="356">
        <f>'Table 5C1K-Tallulah Charter'!AN60</f>
        <v>0</v>
      </c>
      <c r="AM59" s="356">
        <f>'Table 5C1L-Northshore Charter'!AN60</f>
        <v>0</v>
      </c>
      <c r="AN59" s="356">
        <f>'Table 5C1M-B.R. Charter'!AN60</f>
        <v>0</v>
      </c>
      <c r="AO59" s="356">
        <f>'Table 5C1N-Delta Charter'!AN60</f>
        <v>0</v>
      </c>
      <c r="AP59" s="356">
        <f>'Table 5C2 - LA Virtual Admy'!AO58</f>
        <v>-231.52500000000003</v>
      </c>
      <c r="AQ59" s="356">
        <f>'Table 5C3 - LA Connections EBR'!AO58</f>
        <v>-55.931750000000022</v>
      </c>
      <c r="AR59" s="717">
        <f t="shared" si="41"/>
        <v>9030212.5432500001</v>
      </c>
      <c r="AS59" s="47"/>
      <c r="AY59"/>
      <c r="BH59"/>
    </row>
    <row r="60" spans="1:60">
      <c r="A60" s="99">
        <v>54</v>
      </c>
      <c r="B60" s="301" t="s">
        <v>144</v>
      </c>
      <c r="C60" s="310">
        <f>'Table 2_State Distrib and Adjs'!AD61</f>
        <v>345451</v>
      </c>
      <c r="D60" s="356"/>
      <c r="E60" s="356"/>
      <c r="F60" s="356">
        <f>-'Table 5C1A-Madison Prep'!AH61</f>
        <v>0</v>
      </c>
      <c r="G60" s="356">
        <f>-'Table 5C1B-DArbonne'!AH61</f>
        <v>0</v>
      </c>
      <c r="H60" s="356">
        <f>-'Table 5C1C-Intl_VIBE'!AH61</f>
        <v>0</v>
      </c>
      <c r="I60" s="356">
        <f>-'Table 5C1D-NOMMA'!AH61</f>
        <v>0</v>
      </c>
      <c r="J60" s="356">
        <f>-'Table 5C1E-LFNO'!AJ61</f>
        <v>0</v>
      </c>
      <c r="K60" s="356">
        <f>-'Table 5C1F-Lake Charles Charter'!AH61</f>
        <v>0</v>
      </c>
      <c r="L60" s="356">
        <f>-'Table 5C1G-JS Clark Academy'!AH61</f>
        <v>0</v>
      </c>
      <c r="M60" s="356">
        <f>-'Table 5C1H-Southwest LA Charter'!AH61</f>
        <v>0</v>
      </c>
      <c r="N60" s="356">
        <f>-'Table 5C1I-LA Key Academy'!AH61</f>
        <v>0</v>
      </c>
      <c r="O60" s="356">
        <f>-'Table 5C1J-Jefferson Chamber'!AH61</f>
        <v>0</v>
      </c>
      <c r="P60" s="356">
        <f>-'Table 5C1K-Tallulah Charter'!AH61</f>
        <v>0</v>
      </c>
      <c r="Q60" s="356">
        <f>-'Table 5C1L-Northshore Charter'!AH61</f>
        <v>0</v>
      </c>
      <c r="R60" s="356">
        <f>-'Table 5C1M-B.R. Charter'!AH61</f>
        <v>0</v>
      </c>
      <c r="S60" s="356">
        <f>-'Table 5C1N-Delta Charter'!AH61</f>
        <v>-7970</v>
      </c>
      <c r="T60" s="356">
        <f>-'Table 5C2 - LA Virtual Admy'!AI59</f>
        <v>0</v>
      </c>
      <c r="U60" s="356">
        <f>-'Table 5C3 - LA Connections EBR'!AI59</f>
        <v>-2303</v>
      </c>
      <c r="V60" s="356">
        <f>-'Table 5E_OJJ'!V61</f>
        <v>-737</v>
      </c>
      <c r="W60" s="1378">
        <f t="shared" si="39"/>
        <v>-11010</v>
      </c>
      <c r="X60" s="717">
        <f t="shared" si="40"/>
        <v>334441</v>
      </c>
      <c r="Y60" s="356"/>
      <c r="Z60" s="356"/>
      <c r="AA60" s="356"/>
      <c r="AB60" s="356">
        <f>'Table 5C1A-Madison Prep'!AN61</f>
        <v>0</v>
      </c>
      <c r="AC60" s="356">
        <f>'Table 5C1B-DArbonne'!AN61</f>
        <v>0</v>
      </c>
      <c r="AD60" s="356">
        <f>'Table 5C1C-Intl_VIBE'!AN61</f>
        <v>0</v>
      </c>
      <c r="AE60" s="356">
        <f>'Table 5C1D-NOMMA'!AN61</f>
        <v>0</v>
      </c>
      <c r="AF60" s="356">
        <f>'Table 5C1E-LFNO'!AP61</f>
        <v>0</v>
      </c>
      <c r="AG60" s="356">
        <f>'Table 5C1F-Lake Charles Charter'!AN61</f>
        <v>0</v>
      </c>
      <c r="AH60" s="356">
        <f>'Table 5C1G-JS Clark Academy'!AN61</f>
        <v>0</v>
      </c>
      <c r="AI60" s="356">
        <f>'Table 5C1H-Southwest LA Charter'!AN61</f>
        <v>0</v>
      </c>
      <c r="AJ60" s="356">
        <f>'Table 5C1I-LA Key Academy'!AN61</f>
        <v>0</v>
      </c>
      <c r="AK60" s="356">
        <f>'Table 5C1J-Jefferson Chamber'!AN61</f>
        <v>0</v>
      </c>
      <c r="AL60" s="356">
        <f>'Table 5C1K-Tallulah Charter'!AN61</f>
        <v>0</v>
      </c>
      <c r="AM60" s="356">
        <f>'Table 5C1L-Northshore Charter'!AN61</f>
        <v>0</v>
      </c>
      <c r="AN60" s="356">
        <f>'Table 5C1M-B.R. Charter'!AN61</f>
        <v>0</v>
      </c>
      <c r="AO60" s="356">
        <f>'Table 5C1N-Delta Charter'!AN61</f>
        <v>-79.900000000000006</v>
      </c>
      <c r="AP60" s="356">
        <f>'Table 5C2 - LA Virtual Admy'!AO59</f>
        <v>0</v>
      </c>
      <c r="AQ60" s="356">
        <f>'Table 5C3 - LA Connections EBR'!AO59</f>
        <v>-8.759999999999998</v>
      </c>
      <c r="AR60" s="717">
        <f t="shared" si="41"/>
        <v>334352.33999999997</v>
      </c>
      <c r="AS60" s="47"/>
      <c r="AY60"/>
      <c r="BH60"/>
    </row>
    <row r="61" spans="1:60">
      <c r="A61" s="100">
        <v>55</v>
      </c>
      <c r="B61" s="302" t="s">
        <v>145</v>
      </c>
      <c r="C61" s="318">
        <f>'Table 2_State Distrib and Adjs'!AD62</f>
        <v>7418100</v>
      </c>
      <c r="D61" s="357"/>
      <c r="E61" s="357"/>
      <c r="F61" s="357">
        <f>-'Table 5C1A-Madison Prep'!AH62</f>
        <v>0</v>
      </c>
      <c r="G61" s="357">
        <f>-'Table 5C1B-DArbonne'!AH62</f>
        <v>0</v>
      </c>
      <c r="H61" s="357">
        <f>-'Table 5C1C-Intl_VIBE'!AH62</f>
        <v>0</v>
      </c>
      <c r="I61" s="357">
        <f>-'Table 5C1D-NOMMA'!AH62</f>
        <v>0</v>
      </c>
      <c r="J61" s="357">
        <f>-'Table 5C1E-LFNO'!AJ62</f>
        <v>0</v>
      </c>
      <c r="K61" s="357">
        <f>-'Table 5C1F-Lake Charles Charter'!AH62</f>
        <v>0</v>
      </c>
      <c r="L61" s="357">
        <f>-'Table 5C1G-JS Clark Academy'!AH62</f>
        <v>0</v>
      </c>
      <c r="M61" s="357">
        <f>-'Table 5C1H-Southwest LA Charter'!AH62</f>
        <v>0</v>
      </c>
      <c r="N61" s="357">
        <f>-'Table 5C1I-LA Key Academy'!AH62</f>
        <v>0</v>
      </c>
      <c r="O61" s="357">
        <f>-'Table 5C1J-Jefferson Chamber'!AH62</f>
        <v>0</v>
      </c>
      <c r="P61" s="357">
        <f>-'Table 5C1K-Tallulah Charter'!AH62</f>
        <v>0</v>
      </c>
      <c r="Q61" s="357">
        <f>-'Table 5C1L-Northshore Charter'!AH62</f>
        <v>0</v>
      </c>
      <c r="R61" s="357">
        <f>-'Table 5C1M-B.R. Charter'!AH62</f>
        <v>0</v>
      </c>
      <c r="S61" s="357">
        <f>-'Table 5C1N-Delta Charter'!AH62</f>
        <v>0</v>
      </c>
      <c r="T61" s="357">
        <f>-'Table 5C2 - LA Virtual Admy'!AI60</f>
        <v>-13708</v>
      </c>
      <c r="U61" s="357">
        <f>-'Table 5C3 - LA Connections EBR'!AI60</f>
        <v>-5325</v>
      </c>
      <c r="V61" s="357">
        <f>-'Table 5E_OJJ'!V62</f>
        <v>-4627</v>
      </c>
      <c r="W61" s="357">
        <f t="shared" si="39"/>
        <v>-23660</v>
      </c>
      <c r="X61" s="718">
        <f t="shared" si="40"/>
        <v>7394440</v>
      </c>
      <c r="Y61" s="357"/>
      <c r="Z61" s="357"/>
      <c r="AA61" s="357"/>
      <c r="AB61" s="357">
        <f>'Table 5C1A-Madison Prep'!AN62</f>
        <v>0</v>
      </c>
      <c r="AC61" s="357">
        <f>'Table 5C1B-DArbonne'!AN62</f>
        <v>0</v>
      </c>
      <c r="AD61" s="357">
        <f>'Table 5C1C-Intl_VIBE'!AN62</f>
        <v>0</v>
      </c>
      <c r="AE61" s="357">
        <f>'Table 5C1D-NOMMA'!AN62</f>
        <v>0</v>
      </c>
      <c r="AF61" s="357">
        <f>'Table 5C1E-LFNO'!AP62</f>
        <v>0</v>
      </c>
      <c r="AG61" s="357">
        <f>'Table 5C1F-Lake Charles Charter'!AN62</f>
        <v>0</v>
      </c>
      <c r="AH61" s="357">
        <f>'Table 5C1G-JS Clark Academy'!AN62</f>
        <v>0</v>
      </c>
      <c r="AI61" s="357">
        <f>'Table 5C1H-Southwest LA Charter'!AN62</f>
        <v>0</v>
      </c>
      <c r="AJ61" s="357">
        <f>'Table 5C1I-LA Key Academy'!AN62</f>
        <v>0</v>
      </c>
      <c r="AK61" s="357">
        <f>'Table 5C1J-Jefferson Chamber'!AN62</f>
        <v>0</v>
      </c>
      <c r="AL61" s="357">
        <f>'Table 5C1K-Tallulah Charter'!AN62</f>
        <v>0</v>
      </c>
      <c r="AM61" s="357">
        <f>'Table 5C1L-Northshore Charter'!AN62</f>
        <v>0</v>
      </c>
      <c r="AN61" s="357">
        <f>'Table 5C1M-B.R. Charter'!AN62</f>
        <v>0</v>
      </c>
      <c r="AO61" s="357">
        <f>'Table 5C1N-Delta Charter'!AN62</f>
        <v>0</v>
      </c>
      <c r="AP61" s="357">
        <f>'Table 5C2 - LA Virtual Admy'!AO60</f>
        <v>-134.41562500000003</v>
      </c>
      <c r="AQ61" s="357">
        <f>'Table 5C3 - LA Connections EBR'!AO60</f>
        <v>38.930875000000015</v>
      </c>
      <c r="AR61" s="718">
        <f t="shared" si="41"/>
        <v>7394344.5152499992</v>
      </c>
      <c r="AS61" s="47"/>
      <c r="AY61"/>
      <c r="BH61"/>
    </row>
    <row r="62" spans="1:60">
      <c r="A62" s="99">
        <v>56</v>
      </c>
      <c r="B62" s="301" t="s">
        <v>146</v>
      </c>
      <c r="C62" s="310">
        <f>'Table 2_State Distrib and Adjs'!AD63</f>
        <v>966136</v>
      </c>
      <c r="D62" s="356"/>
      <c r="E62" s="356"/>
      <c r="F62" s="356">
        <f>-'Table 5C1A-Madison Prep'!AH63</f>
        <v>0</v>
      </c>
      <c r="G62" s="356">
        <f>-'Table 5C1B-DArbonne'!AH63</f>
        <v>-168968</v>
      </c>
      <c r="H62" s="356">
        <f>-'Table 5C1C-Intl_VIBE'!AH63</f>
        <v>0</v>
      </c>
      <c r="I62" s="356">
        <f>-'Table 5C1D-NOMMA'!AH63</f>
        <v>0</v>
      </c>
      <c r="J62" s="356">
        <f>-'Table 5C1E-LFNO'!AJ63</f>
        <v>0</v>
      </c>
      <c r="K62" s="356">
        <f>-'Table 5C1F-Lake Charles Charter'!AH63</f>
        <v>0</v>
      </c>
      <c r="L62" s="356">
        <f>-'Table 5C1G-JS Clark Academy'!AH63</f>
        <v>0</v>
      </c>
      <c r="M62" s="356">
        <f>-'Table 5C1H-Southwest LA Charter'!AH63</f>
        <v>0</v>
      </c>
      <c r="N62" s="356">
        <f>-'Table 5C1I-LA Key Academy'!AH63</f>
        <v>0</v>
      </c>
      <c r="O62" s="356">
        <f>-'Table 5C1J-Jefferson Chamber'!AH63</f>
        <v>0</v>
      </c>
      <c r="P62" s="356">
        <f>-'Table 5C1K-Tallulah Charter'!AH63</f>
        <v>0</v>
      </c>
      <c r="Q62" s="356">
        <f>-'Table 5C1L-Northshore Charter'!AH63</f>
        <v>0</v>
      </c>
      <c r="R62" s="356">
        <f>-'Table 5C1M-B.R. Charter'!AH63</f>
        <v>0</v>
      </c>
      <c r="S62" s="356">
        <f>-'Table 5C1N-Delta Charter'!AH63</f>
        <v>0</v>
      </c>
      <c r="T62" s="356">
        <f>-'Table 5C2 - LA Virtual Admy'!AI61</f>
        <v>-681</v>
      </c>
      <c r="U62" s="356">
        <f>-'Table 5C3 - LA Connections EBR'!AI61</f>
        <v>-161</v>
      </c>
      <c r="V62" s="356">
        <f>-'Table 5E_OJJ'!V63</f>
        <v>0</v>
      </c>
      <c r="W62" s="1378">
        <f t="shared" si="39"/>
        <v>-169810</v>
      </c>
      <c r="X62" s="717">
        <f t="shared" si="40"/>
        <v>796326</v>
      </c>
      <c r="Y62" s="356"/>
      <c r="Z62" s="356"/>
      <c r="AA62" s="356"/>
      <c r="AB62" s="356">
        <f>'Table 5C1A-Madison Prep'!AN63</f>
        <v>0</v>
      </c>
      <c r="AC62" s="356">
        <f>'Table 5C1B-DArbonne'!AN63</f>
        <v>-1253.7000000000003</v>
      </c>
      <c r="AD62" s="356">
        <f>'Table 5C1C-Intl_VIBE'!AN63</f>
        <v>0</v>
      </c>
      <c r="AE62" s="356">
        <f>'Table 5C1D-NOMMA'!AN63</f>
        <v>0</v>
      </c>
      <c r="AF62" s="356">
        <f>'Table 5C1E-LFNO'!AP63</f>
        <v>0</v>
      </c>
      <c r="AG62" s="356">
        <f>'Table 5C1F-Lake Charles Charter'!AN63</f>
        <v>0</v>
      </c>
      <c r="AH62" s="356">
        <f>'Table 5C1G-JS Clark Academy'!AN63</f>
        <v>0</v>
      </c>
      <c r="AI62" s="356">
        <f>'Table 5C1H-Southwest LA Charter'!AN63</f>
        <v>0</v>
      </c>
      <c r="AJ62" s="356">
        <f>'Table 5C1I-LA Key Academy'!AN63</f>
        <v>0</v>
      </c>
      <c r="AK62" s="356">
        <f>'Table 5C1J-Jefferson Chamber'!AN63</f>
        <v>0</v>
      </c>
      <c r="AL62" s="356">
        <f>'Table 5C1K-Tallulah Charter'!AN63</f>
        <v>0</v>
      </c>
      <c r="AM62" s="356">
        <f>'Table 5C1L-Northshore Charter'!AN63</f>
        <v>0</v>
      </c>
      <c r="AN62" s="356">
        <f>'Table 5C1M-B.R. Charter'!AN63</f>
        <v>0</v>
      </c>
      <c r="AO62" s="356">
        <f>'Table 5C1N-Delta Charter'!AN63</f>
        <v>0</v>
      </c>
      <c r="AP62" s="356">
        <f>'Table 5C2 - LA Virtual Admy'!AO61</f>
        <v>2.2748749999999944</v>
      </c>
      <c r="AQ62" s="356">
        <f>'Table 5C3 - LA Connections EBR'!AO61</f>
        <v>8.5326249999999995</v>
      </c>
      <c r="AR62" s="717">
        <f t="shared" si="41"/>
        <v>795083.10750000004</v>
      </c>
      <c r="AS62" s="47"/>
      <c r="AY62"/>
      <c r="BH62"/>
    </row>
    <row r="63" spans="1:60">
      <c r="A63" s="99">
        <v>57</v>
      </c>
      <c r="B63" s="301" t="s">
        <v>147</v>
      </c>
      <c r="C63" s="310">
        <f>'Table 2_State Distrib and Adjs'!AD64</f>
        <v>4088388</v>
      </c>
      <c r="D63" s="356"/>
      <c r="E63" s="356"/>
      <c r="F63" s="356">
        <f>-'Table 5C1A-Madison Prep'!AH64</f>
        <v>0</v>
      </c>
      <c r="G63" s="356">
        <f>-'Table 5C1B-DArbonne'!AH64</f>
        <v>0</v>
      </c>
      <c r="H63" s="356">
        <f>-'Table 5C1C-Intl_VIBE'!AH64</f>
        <v>0</v>
      </c>
      <c r="I63" s="356">
        <f>-'Table 5C1D-NOMMA'!AH64</f>
        <v>0</v>
      </c>
      <c r="J63" s="356">
        <f>-'Table 5C1E-LFNO'!AJ64</f>
        <v>0</v>
      </c>
      <c r="K63" s="356">
        <f>-'Table 5C1F-Lake Charles Charter'!AH64</f>
        <v>0</v>
      </c>
      <c r="L63" s="356">
        <f>-'Table 5C1G-JS Clark Academy'!AH64</f>
        <v>0</v>
      </c>
      <c r="M63" s="356">
        <f>-'Table 5C1H-Southwest LA Charter'!AH64</f>
        <v>0</v>
      </c>
      <c r="N63" s="356">
        <f>-'Table 5C1I-LA Key Academy'!AH64</f>
        <v>0</v>
      </c>
      <c r="O63" s="356">
        <f>-'Table 5C1J-Jefferson Chamber'!AH64</f>
        <v>0</v>
      </c>
      <c r="P63" s="356">
        <f>-'Table 5C1K-Tallulah Charter'!AH64</f>
        <v>0</v>
      </c>
      <c r="Q63" s="356">
        <f>-'Table 5C1L-Northshore Charter'!AH64</f>
        <v>0</v>
      </c>
      <c r="R63" s="356">
        <f>-'Table 5C1M-B.R. Charter'!AH64</f>
        <v>0</v>
      </c>
      <c r="S63" s="356">
        <f>-'Table 5C1N-Delta Charter'!AH64</f>
        <v>0</v>
      </c>
      <c r="T63" s="356">
        <f>-'Table 5C2 - LA Virtual Admy'!AI62</f>
        <v>-6590</v>
      </c>
      <c r="U63" s="356">
        <f>-'Table 5C3 - LA Connections EBR'!AI62</f>
        <v>-2203</v>
      </c>
      <c r="V63" s="356">
        <f>-'Table 5E_OJJ'!V64</f>
        <v>-624</v>
      </c>
      <c r="W63" s="1378">
        <f t="shared" si="39"/>
        <v>-9417</v>
      </c>
      <c r="X63" s="717">
        <f t="shared" si="40"/>
        <v>4078971</v>
      </c>
      <c r="Y63" s="356"/>
      <c r="Z63" s="356"/>
      <c r="AA63" s="356"/>
      <c r="AB63" s="356">
        <f>'Table 5C1A-Madison Prep'!AN64</f>
        <v>0</v>
      </c>
      <c r="AC63" s="356">
        <f>'Table 5C1B-DArbonne'!AN64</f>
        <v>0</v>
      </c>
      <c r="AD63" s="356">
        <f>'Table 5C1C-Intl_VIBE'!AN64</f>
        <v>0</v>
      </c>
      <c r="AE63" s="356">
        <f>'Table 5C1D-NOMMA'!AN64</f>
        <v>0</v>
      </c>
      <c r="AF63" s="356">
        <f>'Table 5C1E-LFNO'!AP64</f>
        <v>0</v>
      </c>
      <c r="AG63" s="356">
        <f>'Table 5C1F-Lake Charles Charter'!AN64</f>
        <v>0</v>
      </c>
      <c r="AH63" s="356">
        <f>'Table 5C1G-JS Clark Academy'!AN64</f>
        <v>0</v>
      </c>
      <c r="AI63" s="356">
        <f>'Table 5C1H-Southwest LA Charter'!AN64</f>
        <v>0</v>
      </c>
      <c r="AJ63" s="356">
        <f>'Table 5C1I-LA Key Academy'!AN64</f>
        <v>0</v>
      </c>
      <c r="AK63" s="356">
        <f>'Table 5C1J-Jefferson Chamber'!AN64</f>
        <v>0</v>
      </c>
      <c r="AL63" s="356">
        <f>'Table 5C1K-Tallulah Charter'!AN64</f>
        <v>0</v>
      </c>
      <c r="AM63" s="356">
        <f>'Table 5C1L-Northshore Charter'!AN64</f>
        <v>0</v>
      </c>
      <c r="AN63" s="356">
        <f>'Table 5C1M-B.R. Charter'!AN64</f>
        <v>0</v>
      </c>
      <c r="AO63" s="356">
        <f>'Table 5C1N-Delta Charter'!AN64</f>
        <v>0</v>
      </c>
      <c r="AP63" s="356">
        <f>'Table 5C2 - LA Virtual Admy'!AO62</f>
        <v>-108.76250000000002</v>
      </c>
      <c r="AQ63" s="356">
        <f>'Table 5C3 - LA Connections EBR'!AO62</f>
        <v>-8.0535000000000068</v>
      </c>
      <c r="AR63" s="717">
        <f t="shared" si="41"/>
        <v>4078854.1839999999</v>
      </c>
      <c r="AS63" s="47"/>
      <c r="AY63"/>
      <c r="BH63"/>
    </row>
    <row r="64" spans="1:60">
      <c r="A64" s="99">
        <v>58</v>
      </c>
      <c r="B64" s="301" t="s">
        <v>148</v>
      </c>
      <c r="C64" s="310">
        <f>'Table 2_State Distrib and Adjs'!AD65</f>
        <v>4582669</v>
      </c>
      <c r="D64" s="356"/>
      <c r="E64" s="356"/>
      <c r="F64" s="356">
        <f>-'Table 5C1A-Madison Prep'!AH65</f>
        <v>0</v>
      </c>
      <c r="G64" s="356">
        <f>-'Table 5C1B-DArbonne'!AH65</f>
        <v>0</v>
      </c>
      <c r="H64" s="356">
        <f>-'Table 5C1C-Intl_VIBE'!AH65</f>
        <v>0</v>
      </c>
      <c r="I64" s="356">
        <f>-'Table 5C1D-NOMMA'!AH65</f>
        <v>0</v>
      </c>
      <c r="J64" s="356">
        <f>-'Table 5C1E-LFNO'!AJ65</f>
        <v>0</v>
      </c>
      <c r="K64" s="356">
        <f>-'Table 5C1F-Lake Charles Charter'!AH65</f>
        <v>0</v>
      </c>
      <c r="L64" s="356">
        <f>-'Table 5C1G-JS Clark Academy'!AH65</f>
        <v>0</v>
      </c>
      <c r="M64" s="356">
        <f>-'Table 5C1H-Southwest LA Charter'!AH65</f>
        <v>0</v>
      </c>
      <c r="N64" s="356">
        <f>-'Table 5C1I-LA Key Academy'!AH65</f>
        <v>0</v>
      </c>
      <c r="O64" s="356">
        <f>-'Table 5C1J-Jefferson Chamber'!AH65</f>
        <v>0</v>
      </c>
      <c r="P64" s="356">
        <f>-'Table 5C1K-Tallulah Charter'!AH65</f>
        <v>0</v>
      </c>
      <c r="Q64" s="356">
        <f>-'Table 5C1L-Northshore Charter'!AH65</f>
        <v>0</v>
      </c>
      <c r="R64" s="356">
        <f>-'Table 5C1M-B.R. Charter'!AH65</f>
        <v>0</v>
      </c>
      <c r="S64" s="356">
        <f>-'Table 5C1N-Delta Charter'!AH65</f>
        <v>0</v>
      </c>
      <c r="T64" s="356">
        <f>-'Table 5C2 - LA Virtual Admy'!AI63</f>
        <v>-8085</v>
      </c>
      <c r="U64" s="356">
        <f>-'Table 5C3 - LA Connections EBR'!AI63</f>
        <v>-5265</v>
      </c>
      <c r="V64" s="356">
        <f>-'Table 5E_OJJ'!V65</f>
        <v>-104</v>
      </c>
      <c r="W64" s="1378">
        <f t="shared" si="39"/>
        <v>-13454</v>
      </c>
      <c r="X64" s="717">
        <f t="shared" si="40"/>
        <v>4569215</v>
      </c>
      <c r="Y64" s="356"/>
      <c r="Z64" s="356"/>
      <c r="AA64" s="356"/>
      <c r="AB64" s="356">
        <f>'Table 5C1A-Madison Prep'!AN65</f>
        <v>0</v>
      </c>
      <c r="AC64" s="356">
        <f>'Table 5C1B-DArbonne'!AN65</f>
        <v>0</v>
      </c>
      <c r="AD64" s="356">
        <f>'Table 5C1C-Intl_VIBE'!AN65</f>
        <v>0</v>
      </c>
      <c r="AE64" s="356">
        <f>'Table 5C1D-NOMMA'!AN65</f>
        <v>0</v>
      </c>
      <c r="AF64" s="356">
        <f>'Table 5C1E-LFNO'!AP65</f>
        <v>0</v>
      </c>
      <c r="AG64" s="356">
        <f>'Table 5C1F-Lake Charles Charter'!AN65</f>
        <v>0</v>
      </c>
      <c r="AH64" s="356">
        <f>'Table 5C1G-JS Clark Academy'!AN65</f>
        <v>0</v>
      </c>
      <c r="AI64" s="356">
        <f>'Table 5C1H-Southwest LA Charter'!AN65</f>
        <v>0</v>
      </c>
      <c r="AJ64" s="356">
        <f>'Table 5C1I-LA Key Academy'!AN65</f>
        <v>0</v>
      </c>
      <c r="AK64" s="356">
        <f>'Table 5C1J-Jefferson Chamber'!AN65</f>
        <v>0</v>
      </c>
      <c r="AL64" s="356">
        <f>'Table 5C1K-Tallulah Charter'!AN65</f>
        <v>0</v>
      </c>
      <c r="AM64" s="356">
        <f>'Table 5C1L-Northshore Charter'!AN65</f>
        <v>0</v>
      </c>
      <c r="AN64" s="356">
        <f>'Table 5C1M-B.R. Charter'!AN65</f>
        <v>0</v>
      </c>
      <c r="AO64" s="356">
        <f>'Table 5C1N-Delta Charter'!AN65</f>
        <v>0</v>
      </c>
      <c r="AP64" s="356">
        <f>'Table 5C2 - LA Virtual Admy'!AO63</f>
        <v>-80.537374999999997</v>
      </c>
      <c r="AQ64" s="356">
        <f>'Table 5C3 - LA Connections EBR'!AO63</f>
        <v>-8.1796249999999873</v>
      </c>
      <c r="AR64" s="717">
        <f t="shared" si="41"/>
        <v>4569126.2829999998</v>
      </c>
      <c r="AS64" s="47"/>
      <c r="AY64"/>
      <c r="BH64"/>
    </row>
    <row r="65" spans="1:60">
      <c r="A65" s="99">
        <v>59</v>
      </c>
      <c r="B65" s="301" t="s">
        <v>149</v>
      </c>
      <c r="C65" s="310">
        <f>'Table 2_State Distrib and Adjs'!AD66</f>
        <v>2850806</v>
      </c>
      <c r="D65" s="356"/>
      <c r="E65" s="356"/>
      <c r="F65" s="356">
        <f>-'Table 5C1A-Madison Prep'!AH66</f>
        <v>0</v>
      </c>
      <c r="G65" s="356">
        <f>-'Table 5C1B-DArbonne'!AH66</f>
        <v>0</v>
      </c>
      <c r="H65" s="356">
        <f>-'Table 5C1C-Intl_VIBE'!AH66</f>
        <v>0</v>
      </c>
      <c r="I65" s="356">
        <f>-'Table 5C1D-NOMMA'!AH66</f>
        <v>0</v>
      </c>
      <c r="J65" s="356">
        <f>-'Table 5C1E-LFNO'!AJ66</f>
        <v>0</v>
      </c>
      <c r="K65" s="356">
        <f>-'Table 5C1F-Lake Charles Charter'!AH66</f>
        <v>0</v>
      </c>
      <c r="L65" s="356">
        <f>-'Table 5C1G-JS Clark Academy'!AH66</f>
        <v>0</v>
      </c>
      <c r="M65" s="356">
        <f>-'Table 5C1H-Southwest LA Charter'!AH66</f>
        <v>0</v>
      </c>
      <c r="N65" s="356">
        <f>-'Table 5C1I-LA Key Academy'!AH66</f>
        <v>0</v>
      </c>
      <c r="O65" s="356">
        <f>-'Table 5C1J-Jefferson Chamber'!AH66</f>
        <v>0</v>
      </c>
      <c r="P65" s="356">
        <f>-'Table 5C1K-Tallulah Charter'!AH66</f>
        <v>0</v>
      </c>
      <c r="Q65" s="356">
        <f>-'Table 5C1L-Northshore Charter'!AH66</f>
        <v>1601</v>
      </c>
      <c r="R65" s="356">
        <f>-'Table 5C1M-B.R. Charter'!AH66</f>
        <v>0</v>
      </c>
      <c r="S65" s="356">
        <f>-'Table 5C1N-Delta Charter'!AH66</f>
        <v>0</v>
      </c>
      <c r="T65" s="356">
        <f>-'Table 5C2 - LA Virtual Admy'!AI64</f>
        <v>-5266</v>
      </c>
      <c r="U65" s="356">
        <f>-'Table 5C3 - LA Connections EBR'!AI64</f>
        <v>-1441</v>
      </c>
      <c r="V65" s="356">
        <f>-'Table 5E_OJJ'!V66</f>
        <v>-416</v>
      </c>
      <c r="W65" s="1378">
        <f t="shared" si="39"/>
        <v>-5522</v>
      </c>
      <c r="X65" s="717">
        <f t="shared" si="40"/>
        <v>2845284</v>
      </c>
      <c r="Y65" s="356"/>
      <c r="Z65" s="356"/>
      <c r="AA65" s="356"/>
      <c r="AB65" s="356">
        <f>'Table 5C1A-Madison Prep'!AN66</f>
        <v>0</v>
      </c>
      <c r="AC65" s="356">
        <f>'Table 5C1B-DArbonne'!AN66</f>
        <v>0</v>
      </c>
      <c r="AD65" s="356">
        <f>'Table 5C1C-Intl_VIBE'!AN66</f>
        <v>0</v>
      </c>
      <c r="AE65" s="356">
        <f>'Table 5C1D-NOMMA'!AN66</f>
        <v>0</v>
      </c>
      <c r="AF65" s="356">
        <f>'Table 5C1E-LFNO'!AP66</f>
        <v>0</v>
      </c>
      <c r="AG65" s="356">
        <f>'Table 5C1F-Lake Charles Charter'!AN66</f>
        <v>0</v>
      </c>
      <c r="AH65" s="356">
        <f>'Table 5C1G-JS Clark Academy'!AN66</f>
        <v>0</v>
      </c>
      <c r="AI65" s="356">
        <f>'Table 5C1H-Southwest LA Charter'!AN66</f>
        <v>0</v>
      </c>
      <c r="AJ65" s="356">
        <f>'Table 5C1I-LA Key Academy'!AN66</f>
        <v>0</v>
      </c>
      <c r="AK65" s="356">
        <f>'Table 5C1J-Jefferson Chamber'!AN66</f>
        <v>0</v>
      </c>
      <c r="AL65" s="356">
        <f>'Table 5C1K-Tallulah Charter'!AN66</f>
        <v>0</v>
      </c>
      <c r="AM65" s="356">
        <f>'Table 5C1L-Northshore Charter'!AN66</f>
        <v>399.54500000000002</v>
      </c>
      <c r="AN65" s="356">
        <f>'Table 5C1M-B.R. Charter'!AN66</f>
        <v>0</v>
      </c>
      <c r="AO65" s="356">
        <f>'Table 5C1N-Delta Charter'!AN66</f>
        <v>0</v>
      </c>
      <c r="AP65" s="356">
        <f>'Table 5C2 - LA Virtual Admy'!AO64</f>
        <v>-72.707500000000024</v>
      </c>
      <c r="AQ65" s="356">
        <f>'Table 5C3 - LA Connections EBR'!AO64</f>
        <v>-0.62812500000000426</v>
      </c>
      <c r="AR65" s="717">
        <f t="shared" si="41"/>
        <v>2845610.2093750001</v>
      </c>
      <c r="AS65" s="47"/>
      <c r="AY65"/>
      <c r="BH65"/>
    </row>
    <row r="66" spans="1:60">
      <c r="A66" s="100">
        <v>60</v>
      </c>
      <c r="B66" s="302" t="s">
        <v>150</v>
      </c>
      <c r="C66" s="318">
        <f>'Table 2_State Distrib and Adjs'!AD67</f>
        <v>2952983</v>
      </c>
      <c r="D66" s="357"/>
      <c r="E66" s="357"/>
      <c r="F66" s="357">
        <f>-'Table 5C1A-Madison Prep'!AH67</f>
        <v>0</v>
      </c>
      <c r="G66" s="357">
        <f>-'Table 5C1B-DArbonne'!AH67</f>
        <v>0</v>
      </c>
      <c r="H66" s="357">
        <f>-'Table 5C1C-Intl_VIBE'!AH67</f>
        <v>0</v>
      </c>
      <c r="I66" s="357">
        <f>-'Table 5C1D-NOMMA'!AH67</f>
        <v>0</v>
      </c>
      <c r="J66" s="357">
        <f>-'Table 5C1E-LFNO'!AJ67</f>
        <v>0</v>
      </c>
      <c r="K66" s="357">
        <f>-'Table 5C1F-Lake Charles Charter'!AH67</f>
        <v>0</v>
      </c>
      <c r="L66" s="357">
        <f>-'Table 5C1G-JS Clark Academy'!AH67</f>
        <v>0</v>
      </c>
      <c r="M66" s="357">
        <f>-'Table 5C1H-Southwest LA Charter'!AH67</f>
        <v>0</v>
      </c>
      <c r="N66" s="357">
        <f>-'Table 5C1I-LA Key Academy'!AH67</f>
        <v>0</v>
      </c>
      <c r="O66" s="357">
        <f>-'Table 5C1J-Jefferson Chamber'!AH67</f>
        <v>0</v>
      </c>
      <c r="P66" s="357">
        <f>-'Table 5C1K-Tallulah Charter'!AH67</f>
        <v>0</v>
      </c>
      <c r="Q66" s="357">
        <f>-'Table 5C1L-Northshore Charter'!AH67</f>
        <v>0</v>
      </c>
      <c r="R66" s="357">
        <f>-'Table 5C1M-B.R. Charter'!AH67</f>
        <v>0</v>
      </c>
      <c r="S66" s="357">
        <f>-'Table 5C1N-Delta Charter'!AH67</f>
        <v>0</v>
      </c>
      <c r="T66" s="357">
        <f>-'Table 5C2 - LA Virtual Admy'!AI65</f>
        <v>-354</v>
      </c>
      <c r="U66" s="357">
        <f>-'Table 5C3 - LA Connections EBR'!AI65</f>
        <v>-1026</v>
      </c>
      <c r="V66" s="357">
        <f>-'Table 5E_OJJ'!V67</f>
        <v>-1062</v>
      </c>
      <c r="W66" s="357">
        <f t="shared" si="39"/>
        <v>-2442</v>
      </c>
      <c r="X66" s="718">
        <f t="shared" si="40"/>
        <v>2950541</v>
      </c>
      <c r="Y66" s="357"/>
      <c r="Z66" s="357"/>
      <c r="AA66" s="357"/>
      <c r="AB66" s="357">
        <f>'Table 5C1A-Madison Prep'!AN67</f>
        <v>0</v>
      </c>
      <c r="AC66" s="357">
        <f>'Table 5C1B-DArbonne'!AN67</f>
        <v>0</v>
      </c>
      <c r="AD66" s="357">
        <f>'Table 5C1C-Intl_VIBE'!AN67</f>
        <v>0</v>
      </c>
      <c r="AE66" s="357">
        <f>'Table 5C1D-NOMMA'!AN67</f>
        <v>0</v>
      </c>
      <c r="AF66" s="357">
        <f>'Table 5C1E-LFNO'!AP67</f>
        <v>0</v>
      </c>
      <c r="AG66" s="357">
        <f>'Table 5C1F-Lake Charles Charter'!AN67</f>
        <v>0</v>
      </c>
      <c r="AH66" s="357">
        <f>'Table 5C1G-JS Clark Academy'!AN67</f>
        <v>0</v>
      </c>
      <c r="AI66" s="357">
        <f>'Table 5C1H-Southwest LA Charter'!AN67</f>
        <v>0</v>
      </c>
      <c r="AJ66" s="357">
        <f>'Table 5C1I-LA Key Academy'!AN67</f>
        <v>0</v>
      </c>
      <c r="AK66" s="357">
        <f>'Table 5C1J-Jefferson Chamber'!AN67</f>
        <v>0</v>
      </c>
      <c r="AL66" s="357">
        <f>'Table 5C1K-Tallulah Charter'!AN67</f>
        <v>0</v>
      </c>
      <c r="AM66" s="357">
        <f>'Table 5C1L-Northshore Charter'!AN67</f>
        <v>0</v>
      </c>
      <c r="AN66" s="357">
        <f>'Table 5C1M-B.R. Charter'!AN67</f>
        <v>0</v>
      </c>
      <c r="AO66" s="357">
        <f>'Table 5C1N-Delta Charter'!AN67</f>
        <v>0</v>
      </c>
      <c r="AP66" s="357">
        <f>'Table 5C2 - LA Virtual Admy'!AO65</f>
        <v>-13.216624999999993</v>
      </c>
      <c r="AQ66" s="357">
        <f>'Table 5C3 - LA Connections EBR'!AO65</f>
        <v>63.783374999999978</v>
      </c>
      <c r="AR66" s="718">
        <f t="shared" si="41"/>
        <v>2950591.5667500002</v>
      </c>
      <c r="AS66" s="47"/>
      <c r="AY66"/>
      <c r="BH66"/>
    </row>
    <row r="67" spans="1:60">
      <c r="A67" s="99">
        <v>61</v>
      </c>
      <c r="B67" s="301" t="s">
        <v>151</v>
      </c>
      <c r="C67" s="310">
        <f>'Table 2_State Distrib and Adjs'!AD68</f>
        <v>1129851</v>
      </c>
      <c r="D67" s="356"/>
      <c r="E67" s="356"/>
      <c r="F67" s="356">
        <f>-'Table 5C1A-Madison Prep'!AH68</f>
        <v>489</v>
      </c>
      <c r="G67" s="356">
        <f>-'Table 5C1B-DArbonne'!AH68</f>
        <v>0</v>
      </c>
      <c r="H67" s="356">
        <f>-'Table 5C1C-Intl_VIBE'!AH68</f>
        <v>0</v>
      </c>
      <c r="I67" s="356">
        <f>-'Table 5C1D-NOMMA'!AH68</f>
        <v>0</v>
      </c>
      <c r="J67" s="356">
        <f>-'Table 5C1E-LFNO'!AJ68</f>
        <v>0</v>
      </c>
      <c r="K67" s="356">
        <f>-'Table 5C1F-Lake Charles Charter'!AH68</f>
        <v>0</v>
      </c>
      <c r="L67" s="356">
        <f>-'Table 5C1G-JS Clark Academy'!AH68</f>
        <v>0</v>
      </c>
      <c r="M67" s="356">
        <f>-'Table 5C1H-Southwest LA Charter'!AH68</f>
        <v>0</v>
      </c>
      <c r="N67" s="356">
        <f>-'Table 5C1I-LA Key Academy'!AH68</f>
        <v>-823</v>
      </c>
      <c r="O67" s="356">
        <f>-'Table 5C1J-Jefferson Chamber'!AH68</f>
        <v>0</v>
      </c>
      <c r="P67" s="356">
        <f>-'Table 5C1K-Tallulah Charter'!AH68</f>
        <v>0</v>
      </c>
      <c r="Q67" s="356">
        <f>-'Table 5C1L-Northshore Charter'!AH68</f>
        <v>0</v>
      </c>
      <c r="R67" s="356">
        <f>-'Table 5C1M-B.R. Charter'!AH68</f>
        <v>0</v>
      </c>
      <c r="S67" s="356">
        <f>-'Table 5C1N-Delta Charter'!AH68</f>
        <v>0</v>
      </c>
      <c r="T67" s="356">
        <f>-'Table 5C2 - LA Virtual Admy'!AI66</f>
        <v>-3295</v>
      </c>
      <c r="U67" s="356">
        <f>-'Table 5C3 - LA Connections EBR'!AI66</f>
        <v>-5220</v>
      </c>
      <c r="V67" s="356">
        <f>-'Table 5E_OJJ'!V68</f>
        <v>-1216</v>
      </c>
      <c r="W67" s="1378">
        <f t="shared" si="39"/>
        <v>-10065</v>
      </c>
      <c r="X67" s="717">
        <f t="shared" si="40"/>
        <v>1119786</v>
      </c>
      <c r="Y67" s="356"/>
      <c r="Z67" s="356"/>
      <c r="AA67" s="356"/>
      <c r="AB67" s="356">
        <f>'Table 5C1A-Madison Prep'!AN68</f>
        <v>-7.0000000000000284E-2</v>
      </c>
      <c r="AC67" s="356">
        <f>'Table 5C1B-DArbonne'!AN68</f>
        <v>0</v>
      </c>
      <c r="AD67" s="356">
        <f>'Table 5C1C-Intl_VIBE'!AN68</f>
        <v>0</v>
      </c>
      <c r="AE67" s="356">
        <f>'Table 5C1D-NOMMA'!AN68</f>
        <v>0</v>
      </c>
      <c r="AF67" s="356">
        <f>'Table 5C1E-LFNO'!AP68</f>
        <v>0</v>
      </c>
      <c r="AG67" s="356">
        <f>'Table 5C1F-Lake Charles Charter'!AN68</f>
        <v>0</v>
      </c>
      <c r="AH67" s="356">
        <f>'Table 5C1G-JS Clark Academy'!AN68</f>
        <v>0</v>
      </c>
      <c r="AI67" s="356">
        <f>'Table 5C1H-Southwest LA Charter'!AN68</f>
        <v>0</v>
      </c>
      <c r="AJ67" s="356">
        <f>'Table 5C1I-LA Key Academy'!AN68</f>
        <v>-8.2462499999999999</v>
      </c>
      <c r="AK67" s="356">
        <f>'Table 5C1J-Jefferson Chamber'!AN68</f>
        <v>0</v>
      </c>
      <c r="AL67" s="356">
        <f>'Table 5C1K-Tallulah Charter'!AN68</f>
        <v>0</v>
      </c>
      <c r="AM67" s="356">
        <f>'Table 5C1L-Northshore Charter'!AN68</f>
        <v>0</v>
      </c>
      <c r="AN67" s="356">
        <f>'Table 5C1M-B.R. Charter'!AN68</f>
        <v>0</v>
      </c>
      <c r="AO67" s="356">
        <f>'Table 5C1N-Delta Charter'!AN68</f>
        <v>0</v>
      </c>
      <c r="AP67" s="356">
        <f>'Table 5C2 - LA Virtual Admy'!AO66</f>
        <v>-7.48112500000002</v>
      </c>
      <c r="AQ67" s="356">
        <f>'Table 5C3 - LA Connections EBR'!AO66</f>
        <v>-8.0108750000000271</v>
      </c>
      <c r="AR67" s="717">
        <f t="shared" si="41"/>
        <v>1119762.19175</v>
      </c>
      <c r="AS67" s="47"/>
      <c r="AY67"/>
      <c r="BH67"/>
    </row>
    <row r="68" spans="1:60">
      <c r="A68" s="99">
        <v>62</v>
      </c>
      <c r="B68" s="301" t="s">
        <v>152</v>
      </c>
      <c r="C68" s="310">
        <f>'Table 2_State Distrib and Adjs'!AD69</f>
        <v>1092552</v>
      </c>
      <c r="D68" s="356"/>
      <c r="E68" s="356"/>
      <c r="F68" s="356">
        <f>-'Table 5C1A-Madison Prep'!AH69</f>
        <v>0</v>
      </c>
      <c r="G68" s="356">
        <f>-'Table 5C1B-DArbonne'!AH69</f>
        <v>0</v>
      </c>
      <c r="H68" s="356">
        <f>-'Table 5C1C-Intl_VIBE'!AH69</f>
        <v>0</v>
      </c>
      <c r="I68" s="356">
        <f>-'Table 5C1D-NOMMA'!AH69</f>
        <v>0</v>
      </c>
      <c r="J68" s="356">
        <f>-'Table 5C1E-LFNO'!AJ69</f>
        <v>0</v>
      </c>
      <c r="K68" s="356">
        <f>-'Table 5C1F-Lake Charles Charter'!AH69</f>
        <v>0</v>
      </c>
      <c r="L68" s="356">
        <f>-'Table 5C1G-JS Clark Academy'!AH69</f>
        <v>0</v>
      </c>
      <c r="M68" s="356">
        <f>-'Table 5C1H-Southwest LA Charter'!AH69</f>
        <v>0</v>
      </c>
      <c r="N68" s="356">
        <f>-'Table 5C1I-LA Key Academy'!AH69</f>
        <v>0</v>
      </c>
      <c r="O68" s="356">
        <f>-'Table 5C1J-Jefferson Chamber'!AH69</f>
        <v>0</v>
      </c>
      <c r="P68" s="356">
        <f>-'Table 5C1K-Tallulah Charter'!AH69</f>
        <v>0</v>
      </c>
      <c r="Q68" s="356">
        <f>-'Table 5C1L-Northshore Charter'!AH69</f>
        <v>0</v>
      </c>
      <c r="R68" s="356">
        <f>-'Table 5C1M-B.R. Charter'!AH69</f>
        <v>0</v>
      </c>
      <c r="S68" s="356">
        <f>-'Table 5C1N-Delta Charter'!AH69</f>
        <v>0</v>
      </c>
      <c r="T68" s="356">
        <f>-'Table 5C2 - LA Virtual Admy'!AI67</f>
        <v>-1333</v>
      </c>
      <c r="U68" s="356">
        <f>-'Table 5C3 - LA Connections EBR'!AI67</f>
        <v>-158</v>
      </c>
      <c r="V68" s="356">
        <f>-'Table 5E_OJJ'!V69</f>
        <v>-12</v>
      </c>
      <c r="W68" s="1378">
        <f t="shared" si="39"/>
        <v>-1503</v>
      </c>
      <c r="X68" s="717">
        <f t="shared" si="40"/>
        <v>1091049</v>
      </c>
      <c r="Y68" s="356"/>
      <c r="Z68" s="356"/>
      <c r="AA68" s="356"/>
      <c r="AB68" s="356">
        <f>'Table 5C1A-Madison Prep'!AN69</f>
        <v>0</v>
      </c>
      <c r="AC68" s="356">
        <f>'Table 5C1B-DArbonne'!AN69</f>
        <v>0</v>
      </c>
      <c r="AD68" s="356">
        <f>'Table 5C1C-Intl_VIBE'!AN69</f>
        <v>0</v>
      </c>
      <c r="AE68" s="356">
        <f>'Table 5C1D-NOMMA'!AN69</f>
        <v>0</v>
      </c>
      <c r="AF68" s="356">
        <f>'Table 5C1E-LFNO'!AP69</f>
        <v>0</v>
      </c>
      <c r="AG68" s="356">
        <f>'Table 5C1F-Lake Charles Charter'!AN69</f>
        <v>0</v>
      </c>
      <c r="AH68" s="356">
        <f>'Table 5C1G-JS Clark Academy'!AN69</f>
        <v>0</v>
      </c>
      <c r="AI68" s="356">
        <f>'Table 5C1H-Southwest LA Charter'!AN69</f>
        <v>0</v>
      </c>
      <c r="AJ68" s="356">
        <f>'Table 5C1I-LA Key Academy'!AN69</f>
        <v>0</v>
      </c>
      <c r="AK68" s="356">
        <f>'Table 5C1J-Jefferson Chamber'!AN69</f>
        <v>0</v>
      </c>
      <c r="AL68" s="356">
        <f>'Table 5C1K-Tallulah Charter'!AN69</f>
        <v>0</v>
      </c>
      <c r="AM68" s="356">
        <f>'Table 5C1L-Northshore Charter'!AN69</f>
        <v>0</v>
      </c>
      <c r="AN68" s="356">
        <f>'Table 5C1M-B.R. Charter'!AN69</f>
        <v>0</v>
      </c>
      <c r="AO68" s="356">
        <f>'Table 5C1N-Delta Charter'!AN69</f>
        <v>0</v>
      </c>
      <c r="AP68" s="356">
        <f>'Table 5C2 - LA Virtual Admy'!AO67</f>
        <v>-31.963999999999999</v>
      </c>
      <c r="AQ68" s="356">
        <f>'Table 5C3 - LA Connections EBR'!AO67</f>
        <v>-0.49549999999999983</v>
      </c>
      <c r="AR68" s="717">
        <f t="shared" si="41"/>
        <v>1091016.5405000001</v>
      </c>
      <c r="AS68" s="47"/>
      <c r="AY68"/>
      <c r="BH68"/>
    </row>
    <row r="69" spans="1:60">
      <c r="A69" s="99">
        <v>63</v>
      </c>
      <c r="B69" s="301" t="s">
        <v>153</v>
      </c>
      <c r="C69" s="310">
        <f>'Table 2_State Distrib and Adjs'!AD70</f>
        <v>871525</v>
      </c>
      <c r="D69" s="356"/>
      <c r="E69" s="356"/>
      <c r="F69" s="356">
        <f>-'Table 5C1A-Madison Prep'!AH70</f>
        <v>0</v>
      </c>
      <c r="G69" s="356">
        <f>-'Table 5C1B-DArbonne'!AH70</f>
        <v>0</v>
      </c>
      <c r="H69" s="356">
        <f>-'Table 5C1C-Intl_VIBE'!AH70</f>
        <v>0</v>
      </c>
      <c r="I69" s="356">
        <f>-'Table 5C1D-NOMMA'!AH70</f>
        <v>0</v>
      </c>
      <c r="J69" s="356">
        <f>-'Table 5C1E-LFNO'!AJ70</f>
        <v>0</v>
      </c>
      <c r="K69" s="356">
        <f>-'Table 5C1F-Lake Charles Charter'!AH70</f>
        <v>0</v>
      </c>
      <c r="L69" s="356">
        <f>-'Table 5C1G-JS Clark Academy'!AH70</f>
        <v>0</v>
      </c>
      <c r="M69" s="356">
        <f>-'Table 5C1H-Southwest LA Charter'!AH70</f>
        <v>0</v>
      </c>
      <c r="N69" s="356">
        <f>-'Table 5C1I-LA Key Academy'!AH70</f>
        <v>0</v>
      </c>
      <c r="O69" s="356">
        <f>-'Table 5C1J-Jefferson Chamber'!AH70</f>
        <v>0</v>
      </c>
      <c r="P69" s="356">
        <f>-'Table 5C1K-Tallulah Charter'!AH70</f>
        <v>0</v>
      </c>
      <c r="Q69" s="356">
        <f>-'Table 5C1L-Northshore Charter'!AH70</f>
        <v>0</v>
      </c>
      <c r="R69" s="356">
        <f>-'Table 5C1M-B.R. Charter'!AH70</f>
        <v>0</v>
      </c>
      <c r="S69" s="356">
        <f>-'Table 5C1N-Delta Charter'!AH70</f>
        <v>0</v>
      </c>
      <c r="T69" s="356">
        <f>-'Table 5C2 - LA Virtual Admy'!AI68</f>
        <v>502</v>
      </c>
      <c r="U69" s="356">
        <f>-'Table 5C3 - LA Connections EBR'!AI68</f>
        <v>1054</v>
      </c>
      <c r="V69" s="356">
        <f>-'Table 5E_OJJ'!V70</f>
        <v>0</v>
      </c>
      <c r="W69" s="1378">
        <f t="shared" si="39"/>
        <v>1556</v>
      </c>
      <c r="X69" s="717">
        <f t="shared" si="40"/>
        <v>873081</v>
      </c>
      <c r="Y69" s="356"/>
      <c r="Z69" s="356"/>
      <c r="AA69" s="356"/>
      <c r="AB69" s="356">
        <f>'Table 5C1A-Madison Prep'!AN70</f>
        <v>0</v>
      </c>
      <c r="AC69" s="356">
        <f>'Table 5C1B-DArbonne'!AN70</f>
        <v>0</v>
      </c>
      <c r="AD69" s="356">
        <f>'Table 5C1C-Intl_VIBE'!AN70</f>
        <v>0</v>
      </c>
      <c r="AE69" s="356">
        <f>'Table 5C1D-NOMMA'!AN70</f>
        <v>0</v>
      </c>
      <c r="AF69" s="356">
        <f>'Table 5C1E-LFNO'!AP70</f>
        <v>0</v>
      </c>
      <c r="AG69" s="356">
        <f>'Table 5C1F-Lake Charles Charter'!AN70</f>
        <v>0</v>
      </c>
      <c r="AH69" s="356">
        <f>'Table 5C1G-JS Clark Academy'!AN70</f>
        <v>0</v>
      </c>
      <c r="AI69" s="356">
        <f>'Table 5C1H-Southwest LA Charter'!AN70</f>
        <v>0</v>
      </c>
      <c r="AJ69" s="356">
        <f>'Table 5C1I-LA Key Academy'!AN70</f>
        <v>0</v>
      </c>
      <c r="AK69" s="356">
        <f>'Table 5C1J-Jefferson Chamber'!AN70</f>
        <v>0</v>
      </c>
      <c r="AL69" s="356">
        <f>'Table 5C1K-Tallulah Charter'!AN70</f>
        <v>0</v>
      </c>
      <c r="AM69" s="356">
        <f>'Table 5C1L-Northshore Charter'!AN70</f>
        <v>0</v>
      </c>
      <c r="AN69" s="356">
        <f>'Table 5C1M-B.R. Charter'!AN70</f>
        <v>0</v>
      </c>
      <c r="AO69" s="356">
        <f>'Table 5C1N-Delta Charter'!AN70</f>
        <v>0</v>
      </c>
      <c r="AP69" s="356">
        <f>'Table 5C2 - LA Virtual Admy'!AO68</f>
        <v>-49.889250000000004</v>
      </c>
      <c r="AQ69" s="356">
        <f>'Table 5C3 - LA Connections EBR'!AO68</f>
        <v>16</v>
      </c>
      <c r="AR69" s="717">
        <f t="shared" si="41"/>
        <v>873047.11074999999</v>
      </c>
      <c r="AS69" s="47"/>
      <c r="AY69"/>
      <c r="BH69"/>
    </row>
    <row r="70" spans="1:60">
      <c r="A70" s="99">
        <v>64</v>
      </c>
      <c r="B70" s="301" t="s">
        <v>154</v>
      </c>
      <c r="C70" s="310">
        <f>'Table 2_State Distrib and Adjs'!AD71</f>
        <v>1270689</v>
      </c>
      <c r="D70" s="356"/>
      <c r="E70" s="356"/>
      <c r="F70" s="356">
        <f>-'Table 5C1A-Madison Prep'!AH71</f>
        <v>0</v>
      </c>
      <c r="G70" s="356">
        <f>-'Table 5C1B-DArbonne'!AH71</f>
        <v>0</v>
      </c>
      <c r="H70" s="356">
        <f>-'Table 5C1C-Intl_VIBE'!AH71</f>
        <v>0</v>
      </c>
      <c r="I70" s="356">
        <f>-'Table 5C1D-NOMMA'!AH71</f>
        <v>0</v>
      </c>
      <c r="J70" s="356">
        <f>-'Table 5C1E-LFNO'!AJ71</f>
        <v>0</v>
      </c>
      <c r="K70" s="356">
        <f>-'Table 5C1F-Lake Charles Charter'!AH71</f>
        <v>0</v>
      </c>
      <c r="L70" s="356">
        <f>-'Table 5C1G-JS Clark Academy'!AH71</f>
        <v>0</v>
      </c>
      <c r="M70" s="356">
        <f>-'Table 5C1H-Southwest LA Charter'!AH71</f>
        <v>0</v>
      </c>
      <c r="N70" s="356">
        <f>-'Table 5C1I-LA Key Academy'!AH71</f>
        <v>0</v>
      </c>
      <c r="O70" s="356">
        <f>-'Table 5C1J-Jefferson Chamber'!AH71</f>
        <v>0</v>
      </c>
      <c r="P70" s="356">
        <f>-'Table 5C1K-Tallulah Charter'!AH71</f>
        <v>0</v>
      </c>
      <c r="Q70" s="356">
        <f>-'Table 5C1L-Northshore Charter'!AH71</f>
        <v>0</v>
      </c>
      <c r="R70" s="356">
        <f>-'Table 5C1M-B.R. Charter'!AH71</f>
        <v>0</v>
      </c>
      <c r="S70" s="356">
        <f>-'Table 5C1N-Delta Charter'!AH71</f>
        <v>0</v>
      </c>
      <c r="T70" s="356">
        <f>-'Table 5C2 - LA Virtual Admy'!AI69</f>
        <v>-1301</v>
      </c>
      <c r="U70" s="356">
        <f>-'Table 5C3 - LA Connections EBR'!AI69</f>
        <v>-869</v>
      </c>
      <c r="V70" s="356">
        <f>-'Table 5E_OJJ'!V71</f>
        <v>-128</v>
      </c>
      <c r="W70" s="1378">
        <f t="shared" si="39"/>
        <v>-2298</v>
      </c>
      <c r="X70" s="717">
        <f t="shared" si="40"/>
        <v>1268391</v>
      </c>
      <c r="Y70" s="356"/>
      <c r="Z70" s="356"/>
      <c r="AA70" s="356"/>
      <c r="AB70" s="356">
        <f>'Table 5C1A-Madison Prep'!AN71</f>
        <v>0</v>
      </c>
      <c r="AC70" s="356">
        <f>'Table 5C1B-DArbonne'!AN71</f>
        <v>0</v>
      </c>
      <c r="AD70" s="356">
        <f>'Table 5C1C-Intl_VIBE'!AN71</f>
        <v>0</v>
      </c>
      <c r="AE70" s="356">
        <f>'Table 5C1D-NOMMA'!AN71</f>
        <v>0</v>
      </c>
      <c r="AF70" s="356">
        <f>'Table 5C1E-LFNO'!AP71</f>
        <v>0</v>
      </c>
      <c r="AG70" s="356">
        <f>'Table 5C1F-Lake Charles Charter'!AN71</f>
        <v>0</v>
      </c>
      <c r="AH70" s="356">
        <f>'Table 5C1G-JS Clark Academy'!AN71</f>
        <v>0</v>
      </c>
      <c r="AI70" s="356">
        <f>'Table 5C1H-Southwest LA Charter'!AN71</f>
        <v>0</v>
      </c>
      <c r="AJ70" s="356">
        <f>'Table 5C1I-LA Key Academy'!AN71</f>
        <v>0</v>
      </c>
      <c r="AK70" s="356">
        <f>'Table 5C1J-Jefferson Chamber'!AN71</f>
        <v>0</v>
      </c>
      <c r="AL70" s="356">
        <f>'Table 5C1K-Tallulah Charter'!AN71</f>
        <v>0</v>
      </c>
      <c r="AM70" s="356">
        <f>'Table 5C1L-Northshore Charter'!AN71</f>
        <v>0</v>
      </c>
      <c r="AN70" s="356">
        <f>'Table 5C1M-B.R. Charter'!AN71</f>
        <v>0</v>
      </c>
      <c r="AO70" s="356">
        <f>'Table 5C1N-Delta Charter'!AN71</f>
        <v>0</v>
      </c>
      <c r="AP70" s="356">
        <f>'Table 5C2 - LA Virtual Admy'!AO69</f>
        <v>-22.382750000000005</v>
      </c>
      <c r="AQ70" s="356">
        <f>'Table 5C3 - LA Connections EBR'!AO69</f>
        <v>-0.1180000000000021</v>
      </c>
      <c r="AR70" s="717">
        <f t="shared" si="41"/>
        <v>1268368.4992499999</v>
      </c>
      <c r="AS70" s="47"/>
      <c r="AY70"/>
      <c r="BH70"/>
    </row>
    <row r="71" spans="1:60">
      <c r="A71" s="100">
        <v>65</v>
      </c>
      <c r="B71" s="302" t="s">
        <v>155</v>
      </c>
      <c r="C71" s="318">
        <f>'Table 2_State Distrib and Adjs'!AD72</f>
        <v>3587784</v>
      </c>
      <c r="D71" s="357"/>
      <c r="E71" s="357"/>
      <c r="F71" s="357">
        <f>-'Table 5C1A-Madison Prep'!AH72</f>
        <v>0</v>
      </c>
      <c r="G71" s="357">
        <f>-'Table 5C1B-DArbonne'!AH72</f>
        <v>-3359</v>
      </c>
      <c r="H71" s="357">
        <f>-'Table 5C1C-Intl_VIBE'!AH72</f>
        <v>0</v>
      </c>
      <c r="I71" s="357">
        <f>-'Table 5C1D-NOMMA'!AH72</f>
        <v>0</v>
      </c>
      <c r="J71" s="357">
        <f>-'Table 5C1E-LFNO'!AJ72</f>
        <v>0</v>
      </c>
      <c r="K71" s="357">
        <f>-'Table 5C1F-Lake Charles Charter'!AH72</f>
        <v>0</v>
      </c>
      <c r="L71" s="357">
        <f>-'Table 5C1G-JS Clark Academy'!AH72</f>
        <v>0</v>
      </c>
      <c r="M71" s="357">
        <f>-'Table 5C1H-Southwest LA Charter'!AH72</f>
        <v>0</v>
      </c>
      <c r="N71" s="357">
        <f>-'Table 5C1I-LA Key Academy'!AH72</f>
        <v>0</v>
      </c>
      <c r="O71" s="357">
        <f>-'Table 5C1J-Jefferson Chamber'!AH72</f>
        <v>0</v>
      </c>
      <c r="P71" s="357">
        <f>-'Table 5C1K-Tallulah Charter'!AH72</f>
        <v>0</v>
      </c>
      <c r="Q71" s="357">
        <f>-'Table 5C1L-Northshore Charter'!AH72</f>
        <v>0</v>
      </c>
      <c r="R71" s="357">
        <f>-'Table 5C1M-B.R. Charter'!AH72</f>
        <v>0</v>
      </c>
      <c r="S71" s="357">
        <f>-'Table 5C1N-Delta Charter'!AH72</f>
        <v>0</v>
      </c>
      <c r="T71" s="357">
        <f>-'Table 5C2 - LA Virtual Admy'!AI70</f>
        <v>6966</v>
      </c>
      <c r="U71" s="357">
        <f>-'Table 5C3 - LA Connections EBR'!AI70</f>
        <v>2994</v>
      </c>
      <c r="V71" s="357">
        <f>-'Table 5E_OJJ'!V72</f>
        <v>-303</v>
      </c>
      <c r="W71" s="357">
        <f t="shared" ref="W71:W75" si="42">SUM(D71:V71)</f>
        <v>6298</v>
      </c>
      <c r="X71" s="718">
        <f t="shared" ref="X71:X75" si="43">C71+W71</f>
        <v>3594082</v>
      </c>
      <c r="Y71" s="357"/>
      <c r="Z71" s="357"/>
      <c r="AA71" s="357"/>
      <c r="AB71" s="357">
        <f>'Table 5C1A-Madison Prep'!AN72</f>
        <v>0</v>
      </c>
      <c r="AC71" s="357">
        <f>'Table 5C1B-DArbonne'!AN72</f>
        <v>1.3350000000000009</v>
      </c>
      <c r="AD71" s="357">
        <f>'Table 5C1C-Intl_VIBE'!AN72</f>
        <v>0</v>
      </c>
      <c r="AE71" s="357">
        <f>'Table 5C1D-NOMMA'!AN72</f>
        <v>0</v>
      </c>
      <c r="AF71" s="357">
        <f>'Table 5C1E-LFNO'!AP72</f>
        <v>0</v>
      </c>
      <c r="AG71" s="357">
        <f>'Table 5C1F-Lake Charles Charter'!AN72</f>
        <v>0</v>
      </c>
      <c r="AH71" s="357">
        <f>'Table 5C1G-JS Clark Academy'!AN72</f>
        <v>0</v>
      </c>
      <c r="AI71" s="357">
        <f>'Table 5C1H-Southwest LA Charter'!AN72</f>
        <v>0</v>
      </c>
      <c r="AJ71" s="357">
        <f>'Table 5C1I-LA Key Academy'!AN72</f>
        <v>0</v>
      </c>
      <c r="AK71" s="357">
        <f>'Table 5C1J-Jefferson Chamber'!AN72</f>
        <v>0</v>
      </c>
      <c r="AL71" s="357">
        <f>'Table 5C1K-Tallulah Charter'!AN72</f>
        <v>0</v>
      </c>
      <c r="AM71" s="357">
        <f>'Table 5C1L-Northshore Charter'!AN72</f>
        <v>0</v>
      </c>
      <c r="AN71" s="357">
        <f>'Table 5C1M-B.R. Charter'!AN72</f>
        <v>0</v>
      </c>
      <c r="AO71" s="357">
        <f>'Table 5C1N-Delta Charter'!AN72</f>
        <v>0</v>
      </c>
      <c r="AP71" s="357">
        <f>'Table 5C2 - LA Virtual Admy'!AO70</f>
        <v>0</v>
      </c>
      <c r="AQ71" s="357">
        <f>'Table 5C3 - LA Connections EBR'!AO70</f>
        <v>45</v>
      </c>
      <c r="AR71" s="718">
        <f t="shared" ref="AR71:AR75" si="44">SUM(X71:AQ71)</f>
        <v>3594128.335</v>
      </c>
      <c r="AS71" s="47"/>
      <c r="AY71"/>
      <c r="BH71"/>
    </row>
    <row r="72" spans="1:60">
      <c r="A72" s="134">
        <v>66</v>
      </c>
      <c r="B72" s="303" t="s">
        <v>156</v>
      </c>
      <c r="C72" s="312">
        <f>'Table 2_State Distrib and Adjs'!AD73</f>
        <v>990730</v>
      </c>
      <c r="D72" s="358"/>
      <c r="E72" s="358"/>
      <c r="F72" s="358">
        <f>-'Table 5C1A-Madison Prep'!AH73</f>
        <v>0</v>
      </c>
      <c r="G72" s="358">
        <f>-'Table 5C1B-DArbonne'!AH73</f>
        <v>0</v>
      </c>
      <c r="H72" s="358">
        <f>-'Table 5C1C-Intl_VIBE'!AH73</f>
        <v>0</v>
      </c>
      <c r="I72" s="358">
        <f>-'Table 5C1D-NOMMA'!AH73</f>
        <v>0</v>
      </c>
      <c r="J72" s="358">
        <f>-'Table 5C1E-LFNO'!AJ73</f>
        <v>0</v>
      </c>
      <c r="K72" s="358">
        <f>-'Table 5C1F-Lake Charles Charter'!AH73</f>
        <v>0</v>
      </c>
      <c r="L72" s="358">
        <f>-'Table 5C1G-JS Clark Academy'!AH73</f>
        <v>0</v>
      </c>
      <c r="M72" s="358">
        <f>-'Table 5C1H-Southwest LA Charter'!AH73</f>
        <v>0</v>
      </c>
      <c r="N72" s="358">
        <f>-'Table 5C1I-LA Key Academy'!AH73</f>
        <v>0</v>
      </c>
      <c r="O72" s="358">
        <f>-'Table 5C1J-Jefferson Chamber'!AH73</f>
        <v>0</v>
      </c>
      <c r="P72" s="358">
        <f>-'Table 5C1K-Tallulah Charter'!AH73</f>
        <v>0</v>
      </c>
      <c r="Q72" s="358">
        <f>-'Table 5C1L-Northshore Charter'!AH73</f>
        <v>-51897</v>
      </c>
      <c r="R72" s="358">
        <f>-'Table 5C1M-B.R. Charter'!AH73</f>
        <v>0</v>
      </c>
      <c r="S72" s="358">
        <f>-'Table 5C1N-Delta Charter'!AH73</f>
        <v>0</v>
      </c>
      <c r="T72" s="358">
        <f>-'Table 5C2 - LA Virtual Admy'!AI71</f>
        <v>-4417</v>
      </c>
      <c r="U72" s="358">
        <f>-'Table 5C3 - LA Connections EBR'!AI71</f>
        <v>-1470</v>
      </c>
      <c r="V72" s="358">
        <f>-'Table 5E_OJJ'!V73</f>
        <v>-220</v>
      </c>
      <c r="W72" s="1379">
        <f t="shared" si="42"/>
        <v>-58004</v>
      </c>
      <c r="X72" s="720">
        <f t="shared" si="43"/>
        <v>932726</v>
      </c>
      <c r="Y72" s="358"/>
      <c r="Z72" s="358"/>
      <c r="AA72" s="358"/>
      <c r="AB72" s="358">
        <f>'Table 5C1A-Madison Prep'!AN73</f>
        <v>0</v>
      </c>
      <c r="AC72" s="358">
        <f>'Table 5C1B-DArbonne'!AN73</f>
        <v>0</v>
      </c>
      <c r="AD72" s="358">
        <f>'Table 5C1C-Intl_VIBE'!AN73</f>
        <v>0</v>
      </c>
      <c r="AE72" s="358">
        <f>'Table 5C1D-NOMMA'!AN73</f>
        <v>0</v>
      </c>
      <c r="AF72" s="358">
        <f>'Table 5C1E-LFNO'!AP73</f>
        <v>0</v>
      </c>
      <c r="AG72" s="358">
        <f>'Table 5C1F-Lake Charles Charter'!AN73</f>
        <v>0</v>
      </c>
      <c r="AH72" s="358">
        <f>'Table 5C1G-JS Clark Academy'!AN73</f>
        <v>0</v>
      </c>
      <c r="AI72" s="358">
        <f>'Table 5C1H-Southwest LA Charter'!AN73</f>
        <v>0</v>
      </c>
      <c r="AJ72" s="358">
        <f>'Table 5C1I-LA Key Academy'!AN73</f>
        <v>0</v>
      </c>
      <c r="AK72" s="358">
        <f>'Table 5C1J-Jefferson Chamber'!AN73</f>
        <v>0</v>
      </c>
      <c r="AL72" s="358">
        <f>'Table 5C1K-Tallulah Charter'!AN73</f>
        <v>0</v>
      </c>
      <c r="AM72" s="358">
        <f>'Table 5C1L-Northshore Charter'!AN73</f>
        <v>-410.16750000000002</v>
      </c>
      <c r="AN72" s="358">
        <f>'Table 5C1M-B.R. Charter'!AN73</f>
        <v>0</v>
      </c>
      <c r="AO72" s="358">
        <f>'Table 5C1N-Delta Charter'!AN73</f>
        <v>0</v>
      </c>
      <c r="AP72" s="358">
        <f>'Table 5C2 - LA Virtual Admy'!AO71</f>
        <v>-52.325499999999991</v>
      </c>
      <c r="AQ72" s="358">
        <f>'Table 5C3 - LA Connections EBR'!AO71</f>
        <v>-4.8225000000000016</v>
      </c>
      <c r="AR72" s="720">
        <f t="shared" si="44"/>
        <v>932258.68449999997</v>
      </c>
      <c r="AS72" s="47"/>
      <c r="AY72"/>
      <c r="BH72"/>
    </row>
    <row r="73" spans="1:60">
      <c r="A73" s="351">
        <v>67</v>
      </c>
      <c r="B73" s="304" t="s">
        <v>32</v>
      </c>
      <c r="C73" s="310">
        <f>'Table 2_State Distrib and Adjs'!AD74</f>
        <v>2668312</v>
      </c>
      <c r="D73" s="356"/>
      <c r="E73" s="356"/>
      <c r="F73" s="356">
        <f>-'Table 5C1A-Madison Prep'!AH74</f>
        <v>-1134</v>
      </c>
      <c r="G73" s="356">
        <f>-'Table 5C1B-DArbonne'!AH74</f>
        <v>0</v>
      </c>
      <c r="H73" s="356">
        <f>-'Table 5C1C-Intl_VIBE'!AH74</f>
        <v>0</v>
      </c>
      <c r="I73" s="356">
        <f>-'Table 5C1D-NOMMA'!AH74</f>
        <v>0</v>
      </c>
      <c r="J73" s="356">
        <f>-'Table 5C1E-LFNO'!AJ74</f>
        <v>0</v>
      </c>
      <c r="K73" s="356">
        <f>-'Table 5C1F-Lake Charles Charter'!AH74</f>
        <v>0</v>
      </c>
      <c r="L73" s="356">
        <f>-'Table 5C1G-JS Clark Academy'!AH74</f>
        <v>0</v>
      </c>
      <c r="M73" s="356">
        <f>-'Table 5C1H-Southwest LA Charter'!AH74</f>
        <v>0</v>
      </c>
      <c r="N73" s="356">
        <f>-'Table 5C1I-LA Key Academy'!AH74</f>
        <v>0</v>
      </c>
      <c r="O73" s="356">
        <f>-'Table 5C1J-Jefferson Chamber'!AH74</f>
        <v>0</v>
      </c>
      <c r="P73" s="356">
        <f>-'Table 5C1K-Tallulah Charter'!AH74</f>
        <v>0</v>
      </c>
      <c r="Q73" s="356">
        <f>-'Table 5C1L-Northshore Charter'!AH74</f>
        <v>0</v>
      </c>
      <c r="R73" s="356">
        <f>-'Table 5C1M-B.R. Charter'!AH74</f>
        <v>0</v>
      </c>
      <c r="S73" s="356">
        <f>-'Table 5C1N-Delta Charter'!AH74</f>
        <v>0</v>
      </c>
      <c r="T73" s="356">
        <f>-'Table 5C2 - LA Virtual Admy'!AI72</f>
        <v>-2135</v>
      </c>
      <c r="U73" s="356">
        <f>-'Table 5C3 - LA Connections EBR'!AI72</f>
        <v>2344</v>
      </c>
      <c r="V73" s="356">
        <f>-'Table 5E_OJJ'!V74</f>
        <v>0</v>
      </c>
      <c r="W73" s="1378">
        <f t="shared" si="42"/>
        <v>-925</v>
      </c>
      <c r="X73" s="717">
        <f t="shared" si="43"/>
        <v>2667387</v>
      </c>
      <c r="Y73" s="356"/>
      <c r="Z73" s="356"/>
      <c r="AA73" s="356"/>
      <c r="AB73" s="356">
        <f>'Table 5C1A-Madison Prep'!AN74</f>
        <v>-11.447500000000002</v>
      </c>
      <c r="AC73" s="356">
        <f>'Table 5C1B-DArbonne'!AN74</f>
        <v>0</v>
      </c>
      <c r="AD73" s="356">
        <f>'Table 5C1C-Intl_VIBE'!AN74</f>
        <v>0</v>
      </c>
      <c r="AE73" s="356">
        <f>'Table 5C1D-NOMMA'!AN74</f>
        <v>0</v>
      </c>
      <c r="AF73" s="356">
        <f>'Table 5C1E-LFNO'!AP74</f>
        <v>0</v>
      </c>
      <c r="AG73" s="356">
        <f>'Table 5C1F-Lake Charles Charter'!AN74</f>
        <v>0</v>
      </c>
      <c r="AH73" s="356">
        <f>'Table 5C1G-JS Clark Academy'!AN74</f>
        <v>0</v>
      </c>
      <c r="AI73" s="356">
        <f>'Table 5C1H-Southwest LA Charter'!AN74</f>
        <v>0</v>
      </c>
      <c r="AJ73" s="356">
        <f>'Table 5C1I-LA Key Academy'!AN74</f>
        <v>0</v>
      </c>
      <c r="AK73" s="356">
        <f>'Table 5C1J-Jefferson Chamber'!AN74</f>
        <v>0</v>
      </c>
      <c r="AL73" s="356">
        <f>'Table 5C1K-Tallulah Charter'!AN74</f>
        <v>0</v>
      </c>
      <c r="AM73" s="356">
        <f>'Table 5C1L-Northshore Charter'!AN74</f>
        <v>0</v>
      </c>
      <c r="AN73" s="356">
        <f>'Table 5C1M-B.R. Charter'!AN74</f>
        <v>0</v>
      </c>
      <c r="AO73" s="356">
        <f>'Table 5C1N-Delta Charter'!AN74</f>
        <v>0</v>
      </c>
      <c r="AP73" s="356">
        <f>'Table 5C2 - LA Virtual Admy'!AO72</f>
        <v>-21.797250000000005</v>
      </c>
      <c r="AQ73" s="356">
        <f>'Table 5C3 - LA Connections EBR'!AO72</f>
        <v>35</v>
      </c>
      <c r="AR73" s="717">
        <f t="shared" si="44"/>
        <v>2667388.7552500004</v>
      </c>
      <c r="AS73" s="47"/>
      <c r="AY73"/>
      <c r="BH73"/>
    </row>
    <row r="74" spans="1:60">
      <c r="A74" s="99">
        <v>68</v>
      </c>
      <c r="B74" s="301" t="s">
        <v>30</v>
      </c>
      <c r="C74" s="310">
        <f>'Table 2_State Distrib and Adjs'!AD75</f>
        <v>817135</v>
      </c>
      <c r="D74" s="356"/>
      <c r="E74" s="356"/>
      <c r="F74" s="356">
        <f>-'Table 5C1A-Madison Prep'!AH75</f>
        <v>-2404</v>
      </c>
      <c r="G74" s="356">
        <f>-'Table 5C1B-DArbonne'!AH75</f>
        <v>0</v>
      </c>
      <c r="H74" s="356">
        <f>-'Table 5C1C-Intl_VIBE'!AH75</f>
        <v>0</v>
      </c>
      <c r="I74" s="356">
        <f>-'Table 5C1D-NOMMA'!AH75</f>
        <v>0</v>
      </c>
      <c r="J74" s="356">
        <f>-'Table 5C1E-LFNO'!AJ75</f>
        <v>0</v>
      </c>
      <c r="K74" s="356">
        <f>-'Table 5C1F-Lake Charles Charter'!AH75</f>
        <v>0</v>
      </c>
      <c r="L74" s="356">
        <f>-'Table 5C1G-JS Clark Academy'!AH75</f>
        <v>0</v>
      </c>
      <c r="M74" s="356">
        <f>-'Table 5C1H-Southwest LA Charter'!AH75</f>
        <v>0</v>
      </c>
      <c r="N74" s="356">
        <f>-'Table 5C1I-LA Key Academy'!AH75</f>
        <v>0</v>
      </c>
      <c r="O74" s="356">
        <f>-'Table 5C1J-Jefferson Chamber'!AH75</f>
        <v>0</v>
      </c>
      <c r="P74" s="356">
        <f>-'Table 5C1K-Tallulah Charter'!AH75</f>
        <v>0</v>
      </c>
      <c r="Q74" s="356">
        <f>-'Table 5C1L-Northshore Charter'!AH75</f>
        <v>0</v>
      </c>
      <c r="R74" s="356">
        <f>-'Table 5C1M-B.R. Charter'!AH75</f>
        <v>955</v>
      </c>
      <c r="S74" s="356">
        <f>-'Table 5C1N-Delta Charter'!AH75</f>
        <v>0</v>
      </c>
      <c r="T74" s="356">
        <f>-'Table 5C2 - LA Virtual Admy'!AI73</f>
        <v>-836</v>
      </c>
      <c r="U74" s="356">
        <f>-'Table 5C3 - LA Connections EBR'!AI73</f>
        <v>4412</v>
      </c>
      <c r="V74" s="356">
        <f>-'Table 5E_OJJ'!V75</f>
        <v>0</v>
      </c>
      <c r="W74" s="1378">
        <f t="shared" si="42"/>
        <v>2127</v>
      </c>
      <c r="X74" s="717">
        <f t="shared" si="43"/>
        <v>819262</v>
      </c>
      <c r="Y74" s="356"/>
      <c r="Z74" s="356"/>
      <c r="AA74" s="356"/>
      <c r="AB74" s="356">
        <f>'Table 5C1A-Madison Prep'!AN75</f>
        <v>-24.422500000000003</v>
      </c>
      <c r="AC74" s="356">
        <f>'Table 5C1B-DArbonne'!AN75</f>
        <v>0</v>
      </c>
      <c r="AD74" s="356">
        <f>'Table 5C1C-Intl_VIBE'!AN75</f>
        <v>0</v>
      </c>
      <c r="AE74" s="356">
        <f>'Table 5C1D-NOMMA'!AN75</f>
        <v>0</v>
      </c>
      <c r="AF74" s="356">
        <f>'Table 5C1E-LFNO'!AP75</f>
        <v>0</v>
      </c>
      <c r="AG74" s="356">
        <f>'Table 5C1F-Lake Charles Charter'!AN75</f>
        <v>0</v>
      </c>
      <c r="AH74" s="356">
        <f>'Table 5C1G-JS Clark Academy'!AN75</f>
        <v>0</v>
      </c>
      <c r="AI74" s="356">
        <f>'Table 5C1H-Southwest LA Charter'!AN75</f>
        <v>0</v>
      </c>
      <c r="AJ74" s="356">
        <f>'Table 5C1I-LA Key Academy'!AN75</f>
        <v>0</v>
      </c>
      <c r="AK74" s="356">
        <f>'Table 5C1J-Jefferson Chamber'!AN75</f>
        <v>0</v>
      </c>
      <c r="AL74" s="356">
        <f>'Table 5C1K-Tallulah Charter'!AN75</f>
        <v>0</v>
      </c>
      <c r="AM74" s="356">
        <f>'Table 5C1L-Northshore Charter'!AN75</f>
        <v>0</v>
      </c>
      <c r="AN74" s="356">
        <f>'Table 5C1M-B.R. Charter'!AN75</f>
        <v>40.200000000000003</v>
      </c>
      <c r="AO74" s="356">
        <f>'Table 5C1N-Delta Charter'!AN75</f>
        <v>0</v>
      </c>
      <c r="AP74" s="356">
        <f>'Table 5C2 - LA Virtual Admy'!AO73</f>
        <v>-11.635875000000002</v>
      </c>
      <c r="AQ74" s="356">
        <f>'Table 5C3 - LA Connections EBR'!AO73</f>
        <v>66</v>
      </c>
      <c r="AR74" s="717">
        <f t="shared" si="44"/>
        <v>819332.14162499993</v>
      </c>
      <c r="AS74" s="47"/>
      <c r="AY74"/>
      <c r="BH74"/>
    </row>
    <row r="75" spans="1:60">
      <c r="A75" s="100">
        <v>69</v>
      </c>
      <c r="B75" s="302" t="s">
        <v>205</v>
      </c>
      <c r="C75" s="318">
        <f>'Table 2_State Distrib and Adjs'!AD76</f>
        <v>2369039</v>
      </c>
      <c r="D75" s="357"/>
      <c r="E75" s="357"/>
      <c r="F75" s="357">
        <f>-'Table 5C1A-Madison Prep'!AH76</f>
        <v>-849</v>
      </c>
      <c r="G75" s="357">
        <f>-'Table 5C1B-DArbonne'!AH76</f>
        <v>0</v>
      </c>
      <c r="H75" s="357">
        <f>-'Table 5C1C-Intl_VIBE'!AH76</f>
        <v>0</v>
      </c>
      <c r="I75" s="357">
        <f>-'Table 5C1D-NOMMA'!AH76</f>
        <v>0</v>
      </c>
      <c r="J75" s="357">
        <f>-'Table 5C1E-LFNO'!AJ76</f>
        <v>0</v>
      </c>
      <c r="K75" s="357">
        <f>-'Table 5C1F-Lake Charles Charter'!AH76</f>
        <v>0</v>
      </c>
      <c r="L75" s="357">
        <f>-'Table 5C1G-JS Clark Academy'!AH76</f>
        <v>0</v>
      </c>
      <c r="M75" s="357">
        <f>-'Table 5C1H-Southwest LA Charter'!AH76</f>
        <v>0</v>
      </c>
      <c r="N75" s="357">
        <f>-'Table 5C1I-LA Key Academy'!AH76</f>
        <v>-424</v>
      </c>
      <c r="O75" s="357">
        <f>-'Table 5C1J-Jefferson Chamber'!AH76</f>
        <v>0</v>
      </c>
      <c r="P75" s="357">
        <f>-'Table 5C1K-Tallulah Charter'!AH76</f>
        <v>0</v>
      </c>
      <c r="Q75" s="357">
        <f>-'Table 5C1L-Northshore Charter'!AH76</f>
        <v>0</v>
      </c>
      <c r="R75" s="357">
        <f>-'Table 5C1M-B.R. Charter'!AH76</f>
        <v>0</v>
      </c>
      <c r="S75" s="357">
        <f>-'Table 5C1N-Delta Charter'!AH76</f>
        <v>0</v>
      </c>
      <c r="T75" s="357">
        <f>-'Table 5C2 - LA Virtual Admy'!AI74</f>
        <v>-5106</v>
      </c>
      <c r="U75" s="357">
        <f>-'Table 5C3 - LA Connections EBR'!AI74</f>
        <v>976</v>
      </c>
      <c r="V75" s="357">
        <f>-'Table 5E_OJJ'!V76</f>
        <v>0</v>
      </c>
      <c r="W75" s="357">
        <f t="shared" si="42"/>
        <v>-5403</v>
      </c>
      <c r="X75" s="718">
        <f t="shared" si="43"/>
        <v>2363636</v>
      </c>
      <c r="Y75" s="357"/>
      <c r="Z75" s="357"/>
      <c r="AA75" s="357"/>
      <c r="AB75" s="357">
        <f>'Table 5C1A-Madison Prep'!AN76</f>
        <v>-8.51</v>
      </c>
      <c r="AC75" s="357">
        <f>'Table 5C1B-DArbonne'!AN76</f>
        <v>0</v>
      </c>
      <c r="AD75" s="357">
        <f>'Table 5C1C-Intl_VIBE'!AN76</f>
        <v>0</v>
      </c>
      <c r="AE75" s="357">
        <f>'Table 5C1D-NOMMA'!AN76</f>
        <v>0</v>
      </c>
      <c r="AF75" s="357">
        <f>'Table 5C1E-LFNO'!AP76</f>
        <v>0</v>
      </c>
      <c r="AG75" s="357">
        <f>'Table 5C1F-Lake Charles Charter'!AN76</f>
        <v>0</v>
      </c>
      <c r="AH75" s="357">
        <f>'Table 5C1G-JS Clark Academy'!AN76</f>
        <v>0</v>
      </c>
      <c r="AI75" s="357">
        <f>'Table 5C1H-Southwest LA Charter'!AN76</f>
        <v>0</v>
      </c>
      <c r="AJ75" s="357">
        <f>'Table 5C1I-LA Key Academy'!AN76</f>
        <v>-4.2549999999999999</v>
      </c>
      <c r="AK75" s="357">
        <f>'Table 5C1J-Jefferson Chamber'!AN76</f>
        <v>0</v>
      </c>
      <c r="AL75" s="357">
        <f>'Table 5C1K-Tallulah Charter'!AN76</f>
        <v>0</v>
      </c>
      <c r="AM75" s="357">
        <f>'Table 5C1L-Northshore Charter'!AN76</f>
        <v>0</v>
      </c>
      <c r="AN75" s="357">
        <f>'Table 5C1M-B.R. Charter'!AN76</f>
        <v>0</v>
      </c>
      <c r="AO75" s="357">
        <f>'Table 5C1N-Delta Charter'!AN76</f>
        <v>0</v>
      </c>
      <c r="AP75" s="357">
        <f>'Table 5C2 - LA Virtual Admy'!AO74</f>
        <v>-40.908000000000001</v>
      </c>
      <c r="AQ75" s="357">
        <f>'Table 5C3 - LA Connections EBR'!AO74</f>
        <v>15</v>
      </c>
      <c r="AR75" s="718">
        <f t="shared" si="44"/>
        <v>2363597.3270000005</v>
      </c>
      <c r="AS75" s="47"/>
      <c r="AY75"/>
      <c r="BH75"/>
    </row>
    <row r="76" spans="1:60" ht="13.5" thickBot="1">
      <c r="A76" s="411"/>
      <c r="B76" s="412" t="s">
        <v>157</v>
      </c>
      <c r="C76" s="721">
        <f t="shared" ref="C76:AS76" si="45">SUM(C7:C75)</f>
        <v>273973352</v>
      </c>
      <c r="D76" s="721">
        <f t="shared" si="45"/>
        <v>-1390062</v>
      </c>
      <c r="E76" s="721">
        <f t="shared" si="45"/>
        <v>-11870796</v>
      </c>
      <c r="F76" s="721">
        <f t="shared" si="45"/>
        <v>-166371</v>
      </c>
      <c r="G76" s="721">
        <f t="shared" si="45"/>
        <v>-176833</v>
      </c>
      <c r="H76" s="721">
        <f t="shared" si="45"/>
        <v>-204557</v>
      </c>
      <c r="I76" s="721">
        <f t="shared" si="45"/>
        <v>-172728</v>
      </c>
      <c r="J76" s="721">
        <f t="shared" si="45"/>
        <v>-153590</v>
      </c>
      <c r="K76" s="721">
        <f t="shared" si="45"/>
        <v>-411725</v>
      </c>
      <c r="L76" s="721">
        <f t="shared" si="45"/>
        <v>-39992</v>
      </c>
      <c r="M76" s="721">
        <f t="shared" si="45"/>
        <v>-363263</v>
      </c>
      <c r="N76" s="721">
        <f t="shared" si="45"/>
        <v>-64981</v>
      </c>
      <c r="O76" s="721">
        <f t="shared" si="45"/>
        <v>-34868</v>
      </c>
      <c r="P76" s="721">
        <f t="shared" si="45"/>
        <v>-126014</v>
      </c>
      <c r="Q76" s="721">
        <f t="shared" si="45"/>
        <v>-50296</v>
      </c>
      <c r="R76" s="721">
        <f t="shared" si="45"/>
        <v>-199275</v>
      </c>
      <c r="S76" s="721">
        <f t="shared" si="45"/>
        <v>-88866</v>
      </c>
      <c r="T76" s="721">
        <f>SUM(T7:T75)</f>
        <v>-598114</v>
      </c>
      <c r="U76" s="721">
        <f>SUM(U7:U75)</f>
        <v>-407538</v>
      </c>
      <c r="V76" s="721">
        <f t="shared" si="45"/>
        <v>-115265</v>
      </c>
      <c r="W76" s="721">
        <f t="shared" si="45"/>
        <v>-16635134</v>
      </c>
      <c r="X76" s="722">
        <f t="shared" si="45"/>
        <v>257338218</v>
      </c>
      <c r="Y76" s="721">
        <f t="shared" si="45"/>
        <v>-7121.0475000000006</v>
      </c>
      <c r="Z76" s="721">
        <f t="shared" si="45"/>
        <v>-1017.2924999999996</v>
      </c>
      <c r="AA76" s="721">
        <f>SUM(AA7:AA75)</f>
        <v>-18101</v>
      </c>
      <c r="AB76" s="721">
        <f t="shared" si="45"/>
        <v>-1094.5849999999996</v>
      </c>
      <c r="AC76" s="721">
        <f t="shared" si="45"/>
        <v>-1306.3825000000002</v>
      </c>
      <c r="AD76" s="721">
        <f t="shared" si="45"/>
        <v>-287.71249999999986</v>
      </c>
      <c r="AE76" s="721">
        <f t="shared" si="45"/>
        <v>-1879.9825000000001</v>
      </c>
      <c r="AF76" s="721">
        <f t="shared" si="45"/>
        <v>-1461.7274999999997</v>
      </c>
      <c r="AG76" s="721">
        <f t="shared" si="45"/>
        <v>-1303.8675000000003</v>
      </c>
      <c r="AH76" s="721">
        <f t="shared" si="45"/>
        <v>-212.81374999999997</v>
      </c>
      <c r="AI76" s="721">
        <f t="shared" si="45"/>
        <v>-1664.0449999999996</v>
      </c>
      <c r="AJ76" s="721">
        <f t="shared" si="45"/>
        <v>78.609999999999857</v>
      </c>
      <c r="AK76" s="721">
        <f t="shared" si="45"/>
        <v>100.82249999999993</v>
      </c>
      <c r="AL76" s="721">
        <f t="shared" si="45"/>
        <v>-1058.69625</v>
      </c>
      <c r="AM76" s="721">
        <f t="shared" si="45"/>
        <v>-10.622500000000002</v>
      </c>
      <c r="AN76" s="721">
        <f t="shared" si="45"/>
        <v>2213.0674999999997</v>
      </c>
      <c r="AO76" s="721">
        <f t="shared" si="45"/>
        <v>-192.20750000000004</v>
      </c>
      <c r="AP76" s="721">
        <f>SUM(AP7:AP75)</f>
        <v>-6682.2145</v>
      </c>
      <c r="AQ76" s="721">
        <f>SUM(AQ7:AQ75)</f>
        <v>-218.35600000000039</v>
      </c>
      <c r="AR76" s="722">
        <f t="shared" si="45"/>
        <v>257296997.94699994</v>
      </c>
      <c r="AS76" s="47">
        <f t="shared" si="45"/>
        <v>0</v>
      </c>
      <c r="AY76"/>
      <c r="BH76"/>
    </row>
    <row r="77" spans="1:60" ht="13.5" thickTop="1">
      <c r="AU77" s="97"/>
      <c r="AV77" s="97"/>
      <c r="AW77" s="97"/>
      <c r="AX77" s="97"/>
      <c r="AY77" s="97"/>
      <c r="AZ77" s="97"/>
      <c r="BA77" s="97"/>
      <c r="BB77" s="97"/>
      <c r="BC77" s="97"/>
      <c r="BF77" s="97"/>
    </row>
    <row r="78" spans="1:60">
      <c r="X78" s="49"/>
      <c r="Y78" s="49"/>
      <c r="Z78" s="49"/>
      <c r="AR78" s="49"/>
    </row>
    <row r="79" spans="1:60" ht="37.5" customHeight="1">
      <c r="AN79" s="49"/>
      <c r="AO79" s="49"/>
      <c r="AP79" s="49"/>
      <c r="AQ79" s="49"/>
      <c r="AR79" s="49"/>
      <c r="AS79" s="49"/>
      <c r="AT79" s="49"/>
      <c r="AU79" s="49"/>
      <c r="AV79" s="49"/>
      <c r="BA79" s="47"/>
      <c r="BH79"/>
    </row>
  </sheetData>
  <mergeCells count="44">
    <mergeCell ref="U1:U3"/>
    <mergeCell ref="V1:V3"/>
    <mergeCell ref="P1:P3"/>
    <mergeCell ref="Q1:Q3"/>
    <mergeCell ref="R1:R3"/>
    <mergeCell ref="S1:S3"/>
    <mergeCell ref="T1:T3"/>
    <mergeCell ref="AE1:AE4"/>
    <mergeCell ref="AF1:AF4"/>
    <mergeCell ref="AG1:AG4"/>
    <mergeCell ref="W1:W4"/>
    <mergeCell ref="D1:D3"/>
    <mergeCell ref="F1:F3"/>
    <mergeCell ref="G1:G3"/>
    <mergeCell ref="H1:H3"/>
    <mergeCell ref="I1:I3"/>
    <mergeCell ref="J1:J3"/>
    <mergeCell ref="K1:K3"/>
    <mergeCell ref="L1:L3"/>
    <mergeCell ref="M1:M3"/>
    <mergeCell ref="N1:N3"/>
    <mergeCell ref="O1:O3"/>
    <mergeCell ref="AM1:AM4"/>
    <mergeCell ref="AN1:AN4"/>
    <mergeCell ref="AO1:AO4"/>
    <mergeCell ref="AJ1:AJ4"/>
    <mergeCell ref="AK1:AK4"/>
    <mergeCell ref="AL1:AL4"/>
    <mergeCell ref="A1:A4"/>
    <mergeCell ref="B1:B4"/>
    <mergeCell ref="C1:C3"/>
    <mergeCell ref="E1:E3"/>
    <mergeCell ref="AR1:AR4"/>
    <mergeCell ref="AA1:AA4"/>
    <mergeCell ref="X1:X4"/>
    <mergeCell ref="Y1:Y4"/>
    <mergeCell ref="Z1:Z4"/>
    <mergeCell ref="AB1:AB4"/>
    <mergeCell ref="AC1:AC4"/>
    <mergeCell ref="AD1:AD4"/>
    <mergeCell ref="AP1:AP4"/>
    <mergeCell ref="AQ1:AQ4"/>
    <mergeCell ref="AH1:AH4"/>
    <mergeCell ref="AI1:AI4"/>
  </mergeCells>
  <printOptions horizontalCentered="1"/>
  <pageMargins left="0.25" right="0.33" top="1.01" bottom="0.75" header="0.3" footer="0.3"/>
  <pageSetup paperSize="5" scale="75" firstPageNumber="11" orientation="portrait" useFirstPageNumber="1" r:id="rId1"/>
  <headerFooter>
    <oddHeader xml:space="preserve">&amp;L&amp;"Arial,Bold"&amp;14Table 2A-2:  FY2013-14 Budget Letter (March 2014)
MFP Transfer Amount (Monthly Amount) </oddHeader>
    <oddFooter>&amp;R&amp;P</oddFooter>
  </headerFooter>
  <colBreaks count="5" manualBreakCount="5">
    <brk id="10" max="75" man="1"/>
    <brk id="24" max="1048575" man="1"/>
    <brk id="30" max="1048575" man="1"/>
    <brk id="36" max="75" man="1"/>
    <brk id="41" max="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871"/>
  <sheetViews>
    <sheetView view="pageBreakPreview" zoomScale="90" zoomScaleNormal="85" zoomScaleSheetLayoutView="90" workbookViewId="0">
      <pane xSplit="2" ySplit="7" topLeftCell="C8" activePane="bottomRight" state="frozen"/>
      <selection activeCell="B3" sqref="B3:B5"/>
      <selection pane="topRight" activeCell="B3" sqref="B3:B5"/>
      <selection pane="bottomLeft" activeCell="B3" sqref="B3:B5"/>
      <selection pane="bottomRight" activeCell="A5" sqref="A5"/>
    </sheetView>
  </sheetViews>
  <sheetFormatPr defaultColWidth="9.140625" defaultRowHeight="12.75"/>
  <cols>
    <col min="1" max="1" width="4.7109375" style="1" bestFit="1" customWidth="1"/>
    <col min="2" max="2" width="18.7109375" style="2" customWidth="1"/>
    <col min="3" max="3" width="20.140625" style="2" customWidth="1"/>
    <col min="4" max="4" width="17.28515625" style="2" customWidth="1"/>
    <col min="5" max="5" width="15.42578125" style="3" bestFit="1" customWidth="1"/>
    <col min="6" max="6" width="16.7109375" style="2" bestFit="1" customWidth="1"/>
    <col min="7" max="7" width="13.42578125" style="2" bestFit="1" customWidth="1"/>
    <col min="8" max="8" width="13.42578125" style="2" customWidth="1"/>
    <col min="9" max="9" width="15.140625" style="2" customWidth="1"/>
    <col min="10" max="10" width="13.42578125" style="2" customWidth="1"/>
    <col min="11" max="11" width="15" style="2" customWidth="1"/>
    <col min="12" max="12" width="15.7109375" style="2" customWidth="1"/>
    <col min="13" max="13" width="13.28515625" style="4" customWidth="1"/>
    <col min="14" max="15" width="14.85546875" style="2" customWidth="1"/>
    <col min="16" max="16" width="15.140625" style="2" bestFit="1" customWidth="1"/>
    <col min="17" max="17" width="9.85546875" style="2" bestFit="1" customWidth="1"/>
    <col min="18" max="18" width="17.7109375" style="2" customWidth="1"/>
    <col min="19" max="19" width="15.42578125" style="138" customWidth="1"/>
    <col min="20" max="20" width="15.28515625" style="138" customWidth="1"/>
    <col min="21" max="21" width="18.28515625" style="138" customWidth="1"/>
    <col min="22" max="22" width="10.7109375" style="138" bestFit="1" customWidth="1"/>
    <col min="23" max="24" width="10" style="138" customWidth="1"/>
    <col min="25" max="25" width="18.140625" style="138" customWidth="1"/>
    <col min="26" max="26" width="15.140625" style="138" customWidth="1"/>
    <col min="27" max="27" width="9.5703125" style="138" customWidth="1"/>
    <col min="28" max="28" width="14.140625" style="138" customWidth="1"/>
    <col min="29" max="29" width="14.42578125" style="138" customWidth="1"/>
    <col min="30" max="30" width="13.85546875" style="138" customWidth="1"/>
    <col min="31" max="31" width="16" style="138" customWidth="1"/>
    <col min="32" max="32" width="10.5703125" style="138" customWidth="1"/>
    <col min="33" max="33" width="15.5703125" style="138" customWidth="1"/>
    <col min="34" max="34" width="9.42578125" style="138" bestFit="1" customWidth="1"/>
    <col min="35" max="35" width="17.42578125" style="138" customWidth="1"/>
    <col min="36" max="36" width="9.42578125" style="138" bestFit="1" customWidth="1"/>
    <col min="37" max="37" width="18.85546875" style="138" customWidth="1"/>
    <col min="38" max="38" width="9.42578125" style="138" bestFit="1" customWidth="1"/>
    <col min="39" max="39" width="17.28515625" style="138" customWidth="1"/>
    <col min="40" max="40" width="9.42578125" style="138" bestFit="1" customWidth="1"/>
    <col min="41" max="41" width="17.85546875" style="138" customWidth="1"/>
    <col min="42" max="42" width="9.42578125" style="138" bestFit="1" customWidth="1"/>
    <col min="43" max="43" width="13.85546875" style="138" customWidth="1"/>
    <col min="44" max="44" width="5.7109375" style="138" bestFit="1" customWidth="1"/>
    <col min="45" max="45" width="16.28515625" style="138" customWidth="1"/>
    <col min="46" max="46" width="8.140625" style="138" bestFit="1" customWidth="1"/>
    <col min="47" max="47" width="5" style="138" bestFit="1" customWidth="1"/>
    <col min="48" max="48" width="9.85546875" style="138" bestFit="1" customWidth="1"/>
    <col min="49" max="49" width="18.5703125" style="138" customWidth="1"/>
    <col min="50" max="50" width="8.85546875" style="138" bestFit="1" customWidth="1"/>
    <col min="51" max="51" width="5" style="138" bestFit="1" customWidth="1"/>
    <col min="52" max="52" width="21.5703125" style="138" customWidth="1"/>
    <col min="53" max="53" width="17.140625" style="138" customWidth="1"/>
    <col min="54" max="54" width="9.42578125" style="138" hidden="1" customWidth="1"/>
    <col min="55" max="56" width="17.42578125" style="176" hidden="1" customWidth="1"/>
    <col min="57" max="57" width="14.28515625" style="176" hidden="1" customWidth="1"/>
    <col min="58" max="58" width="15" style="176" hidden="1" customWidth="1"/>
    <col min="59" max="59" width="13.140625" hidden="1" customWidth="1"/>
    <col min="60" max="60" width="12.7109375" hidden="1" customWidth="1"/>
    <col min="61" max="61" width="15.5703125" hidden="1" customWidth="1"/>
    <col min="62" max="62" width="16.28515625" hidden="1" customWidth="1"/>
    <col min="63" max="63" width="13.85546875" hidden="1" customWidth="1"/>
    <col min="64" max="64" width="15" hidden="1" customWidth="1"/>
    <col min="65" max="65" width="11.5703125" hidden="1" customWidth="1"/>
    <col min="66" max="66" width="10.140625" hidden="1" customWidth="1"/>
    <col min="67" max="67" width="16.7109375" hidden="1" customWidth="1"/>
    <col min="68" max="68" width="12.28515625" hidden="1" customWidth="1"/>
    <col min="69" max="69" width="10.140625" hidden="1" customWidth="1"/>
    <col min="70" max="107" width="8.85546875" hidden="1" customWidth="1"/>
    <col min="108" max="149" width="8.85546875" customWidth="1"/>
    <col min="150" max="16384" width="9.140625" style="2"/>
  </cols>
  <sheetData>
    <row r="1" spans="1:149" ht="48.75" customHeight="1" thickBot="1">
      <c r="A1" s="2183"/>
      <c r="B1" s="2184"/>
      <c r="C1" s="1083"/>
      <c r="D1" s="1158"/>
      <c r="E1" s="1158"/>
      <c r="F1" s="1083"/>
      <c r="G1" s="1083"/>
      <c r="H1" s="1083"/>
      <c r="I1" s="1083"/>
      <c r="J1" s="1083"/>
      <c r="K1" s="1083"/>
      <c r="L1" s="1083"/>
      <c r="M1" s="1083"/>
      <c r="N1" s="1083"/>
      <c r="O1" s="1083"/>
      <c r="P1" s="1083"/>
      <c r="Q1" s="1083"/>
      <c r="R1" s="1083"/>
      <c r="S1" s="236"/>
      <c r="T1" s="236"/>
      <c r="U1" s="237"/>
      <c r="V1" s="237"/>
      <c r="W1" s="237"/>
      <c r="X1" s="237"/>
      <c r="Y1" s="237"/>
      <c r="AB1" s="238"/>
      <c r="AC1" s="236"/>
      <c r="AD1" s="237"/>
      <c r="AE1" s="237"/>
      <c r="AF1" s="237"/>
    </row>
    <row r="2" spans="1:149" ht="1.5" hidden="1" customHeight="1">
      <c r="A2" s="2185"/>
      <c r="B2" s="2186"/>
      <c r="D2" s="1158"/>
      <c r="E2" s="1158"/>
      <c r="M2" s="2"/>
      <c r="S2" s="239"/>
      <c r="T2" s="239"/>
      <c r="AC2" s="240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R2" s="241"/>
      <c r="AS2" s="241"/>
      <c r="AT2" s="241"/>
      <c r="AU2" s="241"/>
      <c r="AV2" s="241"/>
      <c r="AW2" s="241"/>
      <c r="AX2" s="241"/>
      <c r="AY2" s="241"/>
      <c r="AZ2" s="241"/>
      <c r="BA2" s="241"/>
      <c r="BB2" s="241"/>
    </row>
    <row r="3" spans="1:149" s="7" customFormat="1" ht="40.5" hidden="1" customHeight="1">
      <c r="A3" s="2197"/>
      <c r="B3" s="2198"/>
      <c r="C3" s="1143" t="s">
        <v>62</v>
      </c>
      <c r="D3" s="1158"/>
      <c r="E3" s="1158"/>
      <c r="F3" s="121" t="s">
        <v>70</v>
      </c>
      <c r="G3" s="1084" t="s">
        <v>72</v>
      </c>
      <c r="H3" s="242"/>
      <c r="I3" s="242"/>
      <c r="J3" s="242"/>
      <c r="K3" s="242"/>
      <c r="L3" s="73" t="s">
        <v>186</v>
      </c>
      <c r="M3" s="73" t="s">
        <v>187</v>
      </c>
      <c r="N3" s="218" t="s">
        <v>188</v>
      </c>
      <c r="O3" s="112" t="s">
        <v>184</v>
      </c>
      <c r="P3" s="123" t="s">
        <v>190</v>
      </c>
      <c r="Q3" s="219" t="s">
        <v>22</v>
      </c>
      <c r="R3" s="233" t="s">
        <v>189</v>
      </c>
      <c r="S3" s="242"/>
      <c r="T3" s="242"/>
      <c r="U3" s="242"/>
      <c r="V3" s="242"/>
      <c r="W3" s="242"/>
      <c r="X3" s="242"/>
      <c r="Y3" s="242"/>
      <c r="Z3" s="242"/>
      <c r="AA3" s="242"/>
      <c r="AB3" s="243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4"/>
      <c r="BD3" s="244"/>
      <c r="BE3" s="176"/>
      <c r="BF3" s="176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</row>
    <row r="4" spans="1:149" s="7" customFormat="1" ht="20.25" customHeight="1" thickBot="1">
      <c r="C4" s="216"/>
      <c r="D4" s="2190">
        <v>0.22</v>
      </c>
      <c r="E4" s="2191"/>
      <c r="F4" s="2192">
        <v>0.06</v>
      </c>
      <c r="G4" s="2193"/>
      <c r="H4" s="2192">
        <v>1.5</v>
      </c>
      <c r="I4" s="2193"/>
      <c r="J4" s="2190">
        <v>0.6</v>
      </c>
      <c r="K4" s="2191"/>
      <c r="L4" s="361">
        <v>7500</v>
      </c>
      <c r="M4" s="360">
        <v>37500</v>
      </c>
      <c r="N4" s="361">
        <f>M4</f>
        <v>37500</v>
      </c>
      <c r="Q4" s="362">
        <f>ROUND(3855*1,0)</f>
        <v>3855</v>
      </c>
      <c r="S4" s="247"/>
      <c r="T4" s="363">
        <v>0.75</v>
      </c>
      <c r="U4" s="248"/>
      <c r="V4" s="249"/>
      <c r="W4" s="249"/>
      <c r="X4" s="249"/>
      <c r="Z4" s="22"/>
      <c r="AA4" s="22"/>
      <c r="AB4" s="364">
        <v>0.34</v>
      </c>
      <c r="AC4" s="22"/>
      <c r="AD4" s="365">
        <v>1.72</v>
      </c>
      <c r="AE4" s="449"/>
      <c r="AF4" s="22"/>
      <c r="AG4" s="22"/>
      <c r="AH4" s="22"/>
      <c r="AI4" s="2187" t="s">
        <v>359</v>
      </c>
      <c r="AJ4" s="2188"/>
      <c r="AK4" s="2188"/>
      <c r="AL4" s="2189"/>
      <c r="AM4" s="2199" t="s">
        <v>360</v>
      </c>
      <c r="AN4" s="2200"/>
      <c r="AO4" s="2200"/>
      <c r="AP4" s="2201"/>
      <c r="AQ4" s="22"/>
      <c r="AR4" s="22"/>
      <c r="AS4" s="22"/>
      <c r="AT4" s="22"/>
      <c r="AU4" s="22"/>
      <c r="AV4" s="22"/>
      <c r="AW4" s="22"/>
      <c r="AX4" s="22"/>
      <c r="AY4" s="22"/>
      <c r="AZ4" s="2194" t="s">
        <v>204</v>
      </c>
      <c r="BA4" s="2195"/>
      <c r="BB4" s="1078"/>
      <c r="BC4" s="176"/>
      <c r="BD4" s="176"/>
      <c r="BE4" s="176"/>
      <c r="BF4" s="176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</row>
    <row r="5" spans="1:149" s="1" customFormat="1" ht="192.75" customHeight="1">
      <c r="A5" s="46" t="s">
        <v>183</v>
      </c>
      <c r="B5" s="46" t="s">
        <v>242</v>
      </c>
      <c r="C5" s="1144" t="s">
        <v>704</v>
      </c>
      <c r="D5" s="1147" t="s">
        <v>756</v>
      </c>
      <c r="E5" s="1142" t="s">
        <v>499</v>
      </c>
      <c r="F5" s="1147" t="s">
        <v>505</v>
      </c>
      <c r="G5" s="1142" t="s">
        <v>500</v>
      </c>
      <c r="H5" s="1160" t="s">
        <v>572</v>
      </c>
      <c r="I5" s="1160" t="s">
        <v>757</v>
      </c>
      <c r="J5" s="1160" t="s">
        <v>573</v>
      </c>
      <c r="K5" s="1152" t="s">
        <v>225</v>
      </c>
      <c r="L5" s="366" t="s">
        <v>233</v>
      </c>
      <c r="M5" s="367" t="s">
        <v>232</v>
      </c>
      <c r="N5" s="355" t="s">
        <v>201</v>
      </c>
      <c r="O5" s="46" t="s">
        <v>226</v>
      </c>
      <c r="P5" s="46" t="s">
        <v>227</v>
      </c>
      <c r="Q5" s="355" t="s">
        <v>246</v>
      </c>
      <c r="R5" s="46" t="s">
        <v>207</v>
      </c>
      <c r="S5" s="264" t="s">
        <v>518</v>
      </c>
      <c r="T5" s="330" t="s">
        <v>519</v>
      </c>
      <c r="U5" s="265" t="s">
        <v>520</v>
      </c>
      <c r="V5" s="328" t="s">
        <v>521</v>
      </c>
      <c r="W5" s="331" t="s">
        <v>522</v>
      </c>
      <c r="X5" s="331" t="s">
        <v>523</v>
      </c>
      <c r="Y5" s="263" t="s">
        <v>247</v>
      </c>
      <c r="Z5" s="263" t="s">
        <v>248</v>
      </c>
      <c r="AA5" s="263" t="s">
        <v>249</v>
      </c>
      <c r="AB5" s="368" t="s">
        <v>208</v>
      </c>
      <c r="AC5" s="329" t="s">
        <v>202</v>
      </c>
      <c r="AD5" s="368" t="s">
        <v>524</v>
      </c>
      <c r="AE5" s="369" t="s">
        <v>525</v>
      </c>
      <c r="AF5" s="370" t="s">
        <v>81</v>
      </c>
      <c r="AG5" s="1149" t="s">
        <v>556</v>
      </c>
      <c r="AH5" s="46" t="s">
        <v>250</v>
      </c>
      <c r="AI5" s="425" t="s">
        <v>356</v>
      </c>
      <c r="AJ5" s="355" t="s">
        <v>250</v>
      </c>
      <c r="AK5" s="1150" t="s">
        <v>557</v>
      </c>
      <c r="AL5" s="355" t="s">
        <v>246</v>
      </c>
      <c r="AM5" s="425" t="s">
        <v>357</v>
      </c>
      <c r="AN5" s="355" t="s">
        <v>246</v>
      </c>
      <c r="AO5" s="1151" t="s">
        <v>562</v>
      </c>
      <c r="AP5" s="355" t="s">
        <v>246</v>
      </c>
      <c r="AQ5" s="332" t="s">
        <v>358</v>
      </c>
      <c r="AR5" s="332" t="s">
        <v>193</v>
      </c>
      <c r="AS5" s="329" t="s">
        <v>558</v>
      </c>
      <c r="AT5" s="329" t="s">
        <v>246</v>
      </c>
      <c r="AU5" s="329" t="s">
        <v>217</v>
      </c>
      <c r="AV5" s="329" t="s">
        <v>218</v>
      </c>
      <c r="AW5" s="263" t="s">
        <v>559</v>
      </c>
      <c r="AX5" s="263" t="s">
        <v>246</v>
      </c>
      <c r="AY5" s="263" t="s">
        <v>193</v>
      </c>
      <c r="AZ5" s="270" t="s">
        <v>560</v>
      </c>
      <c r="BA5" s="270" t="s">
        <v>561</v>
      </c>
      <c r="BB5" s="270"/>
      <c r="BC5" s="725"/>
      <c r="BD5" s="725"/>
      <c r="BE5" s="1138"/>
      <c r="BF5" s="1131"/>
      <c r="BG5" s="1131"/>
      <c r="BH5" s="1132"/>
      <c r="BI5" s="1133"/>
      <c r="BJ5" s="1134"/>
      <c r="BK5" s="1135"/>
      <c r="BL5" s="1136"/>
      <c r="BM5" s="1136"/>
      <c r="BN5" s="1136"/>
      <c r="BO5" s="1137"/>
      <c r="BP5" s="1137"/>
      <c r="BQ5" s="1137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</row>
    <row r="6" spans="1:149" s="214" customFormat="1">
      <c r="A6" s="211"/>
      <c r="B6" s="211"/>
      <c r="C6" s="213">
        <v>1</v>
      </c>
      <c r="D6" s="212" t="s">
        <v>467</v>
      </c>
      <c r="E6" s="212">
        <v>2</v>
      </c>
      <c r="F6" s="212" t="s">
        <v>212</v>
      </c>
      <c r="G6" s="212">
        <v>3</v>
      </c>
      <c r="H6" s="1153" t="s">
        <v>563</v>
      </c>
      <c r="I6" s="1153">
        <v>4</v>
      </c>
      <c r="J6" s="1153" t="s">
        <v>564</v>
      </c>
      <c r="K6" s="1153">
        <v>5</v>
      </c>
      <c r="L6" s="1153" t="s">
        <v>565</v>
      </c>
      <c r="M6" s="1159" t="s">
        <v>566</v>
      </c>
      <c r="N6" s="1153">
        <v>6</v>
      </c>
      <c r="O6" s="212">
        <f>N6+1</f>
        <v>7</v>
      </c>
      <c r="P6" s="212">
        <f t="shared" ref="P6:AP6" si="0">O6+1</f>
        <v>8</v>
      </c>
      <c r="Q6" s="212">
        <f t="shared" si="0"/>
        <v>9</v>
      </c>
      <c r="R6" s="212">
        <f t="shared" si="0"/>
        <v>10</v>
      </c>
      <c r="S6" s="212">
        <f t="shared" si="0"/>
        <v>11</v>
      </c>
      <c r="T6" s="213" t="s">
        <v>211</v>
      </c>
      <c r="U6" s="212">
        <v>12</v>
      </c>
      <c r="V6" s="212">
        <f t="shared" si="0"/>
        <v>13</v>
      </c>
      <c r="W6" s="212">
        <f t="shared" si="0"/>
        <v>14</v>
      </c>
      <c r="X6" s="212">
        <f t="shared" si="0"/>
        <v>15</v>
      </c>
      <c r="Y6" s="212">
        <f t="shared" si="0"/>
        <v>16</v>
      </c>
      <c r="Z6" s="212">
        <f t="shared" si="0"/>
        <v>17</v>
      </c>
      <c r="AA6" s="212">
        <f t="shared" si="0"/>
        <v>18</v>
      </c>
      <c r="AB6" s="212">
        <f t="shared" si="0"/>
        <v>19</v>
      </c>
      <c r="AC6" s="212">
        <f t="shared" si="0"/>
        <v>20</v>
      </c>
      <c r="AD6" s="212">
        <f t="shared" si="0"/>
        <v>21</v>
      </c>
      <c r="AE6" s="212">
        <f t="shared" si="0"/>
        <v>22</v>
      </c>
      <c r="AF6" s="212">
        <f t="shared" si="0"/>
        <v>23</v>
      </c>
      <c r="AG6" s="212">
        <f t="shared" si="0"/>
        <v>24</v>
      </c>
      <c r="AH6" s="212">
        <f t="shared" si="0"/>
        <v>25</v>
      </c>
      <c r="AI6" s="212">
        <f t="shared" si="0"/>
        <v>26</v>
      </c>
      <c r="AJ6" s="212">
        <f t="shared" si="0"/>
        <v>27</v>
      </c>
      <c r="AK6" s="212">
        <f t="shared" si="0"/>
        <v>28</v>
      </c>
      <c r="AL6" s="212">
        <f t="shared" si="0"/>
        <v>29</v>
      </c>
      <c r="AM6" s="212">
        <f t="shared" si="0"/>
        <v>30</v>
      </c>
      <c r="AN6" s="212">
        <f t="shared" si="0"/>
        <v>31</v>
      </c>
      <c r="AO6" s="212">
        <f t="shared" si="0"/>
        <v>32</v>
      </c>
      <c r="AP6" s="212">
        <f t="shared" si="0"/>
        <v>33</v>
      </c>
      <c r="AQ6" s="212">
        <f t="shared" ref="AQ6" si="1">AP6+1</f>
        <v>34</v>
      </c>
      <c r="AR6" s="212">
        <f t="shared" ref="AR6" si="2">AQ6+1</f>
        <v>35</v>
      </c>
      <c r="AS6" s="212">
        <f t="shared" ref="AS6" si="3">AR6+1</f>
        <v>36</v>
      </c>
      <c r="AT6" s="212">
        <f t="shared" ref="AT6" si="4">AS6+1</f>
        <v>37</v>
      </c>
      <c r="AU6" s="212">
        <f t="shared" ref="AU6" si="5">AT6+1</f>
        <v>38</v>
      </c>
      <c r="AV6" s="212">
        <f t="shared" ref="AV6" si="6">AU6+1</f>
        <v>39</v>
      </c>
      <c r="AW6" s="212">
        <f t="shared" ref="AW6" si="7">AV6+1</f>
        <v>40</v>
      </c>
      <c r="AX6" s="212">
        <f t="shared" ref="AX6" si="8">AW6+1</f>
        <v>41</v>
      </c>
      <c r="AY6" s="212">
        <f t="shared" ref="AY6" si="9">AX6+1</f>
        <v>42</v>
      </c>
      <c r="AZ6" s="212">
        <f t="shared" ref="AZ6" si="10">AY6+1</f>
        <v>43</v>
      </c>
      <c r="BA6" s="212">
        <f t="shared" ref="BA6" si="11">AZ6+1</f>
        <v>44</v>
      </c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5"/>
      <c r="BS6" s="215"/>
      <c r="BT6" s="215"/>
      <c r="BU6" s="215"/>
      <c r="BV6" s="215"/>
      <c r="BW6" s="215"/>
      <c r="BX6" s="215"/>
      <c r="BY6" s="215"/>
      <c r="BZ6" s="215"/>
      <c r="CA6" s="215"/>
      <c r="CB6" s="215"/>
      <c r="CC6" s="215"/>
      <c r="CD6" s="215"/>
      <c r="CE6" s="215"/>
      <c r="CF6" s="215"/>
      <c r="CG6" s="215"/>
      <c r="CH6" s="215"/>
      <c r="CI6" s="215"/>
      <c r="CJ6" s="215"/>
      <c r="CK6" s="215"/>
      <c r="CL6" s="215"/>
      <c r="CM6" s="215"/>
      <c r="CN6" s="215"/>
      <c r="CO6" s="215"/>
      <c r="CP6" s="215"/>
      <c r="CQ6" s="215"/>
      <c r="CR6" s="215"/>
      <c r="CS6" s="215"/>
      <c r="CT6" s="215"/>
      <c r="CU6" s="215"/>
      <c r="CV6" s="215"/>
      <c r="CW6" s="215"/>
      <c r="CX6" s="215"/>
      <c r="CY6" s="215"/>
      <c r="CZ6" s="215"/>
      <c r="DA6" s="215"/>
      <c r="DB6" s="215"/>
      <c r="DC6" s="215"/>
      <c r="DD6" s="215"/>
      <c r="DE6" s="215"/>
      <c r="DF6" s="215"/>
      <c r="DG6" s="215"/>
      <c r="DH6" s="215"/>
      <c r="DI6" s="215"/>
      <c r="DJ6" s="215"/>
      <c r="DK6" s="215"/>
      <c r="DL6" s="215"/>
      <c r="DM6" s="215"/>
      <c r="DN6" s="215"/>
      <c r="DO6" s="215"/>
      <c r="DP6" s="215"/>
      <c r="DQ6" s="215"/>
      <c r="DR6" s="215"/>
      <c r="DS6" s="215"/>
      <c r="DT6" s="215"/>
      <c r="DU6" s="215"/>
      <c r="DV6" s="215"/>
      <c r="DW6" s="215"/>
      <c r="DX6" s="215"/>
      <c r="DY6" s="215"/>
      <c r="DZ6" s="215"/>
      <c r="EA6" s="215"/>
      <c r="EB6" s="215"/>
      <c r="EC6" s="215"/>
      <c r="ED6" s="215"/>
      <c r="EE6" s="215"/>
      <c r="EF6" s="215"/>
      <c r="EG6" s="215"/>
      <c r="EH6" s="215"/>
      <c r="EI6" s="215"/>
      <c r="EJ6" s="215"/>
      <c r="EK6" s="215"/>
      <c r="EL6" s="215"/>
      <c r="EM6" s="215"/>
      <c r="EN6" s="215"/>
      <c r="EO6" s="215"/>
      <c r="EP6" s="215"/>
      <c r="EQ6" s="215"/>
      <c r="ER6" s="215"/>
      <c r="ES6" s="215"/>
    </row>
    <row r="7" spans="1:149" ht="0.75" customHeight="1">
      <c r="A7" s="293"/>
      <c r="B7" s="294"/>
      <c r="C7" s="295">
        <v>39114</v>
      </c>
      <c r="D7" s="296" t="s">
        <v>91</v>
      </c>
      <c r="E7" s="295">
        <v>39114</v>
      </c>
      <c r="F7" s="296" t="s">
        <v>91</v>
      </c>
      <c r="G7" s="295">
        <v>38992</v>
      </c>
      <c r="H7" s="1154"/>
      <c r="I7" s="1154"/>
      <c r="J7" s="1154"/>
      <c r="K7" s="1154"/>
      <c r="L7" s="297" t="s">
        <v>91</v>
      </c>
      <c r="M7" s="298" t="s">
        <v>91</v>
      </c>
      <c r="N7" s="294"/>
      <c r="O7" s="294"/>
      <c r="P7" s="294"/>
      <c r="Q7" s="294"/>
      <c r="R7" s="294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  <c r="AG7" s="299"/>
      <c r="AH7" s="299"/>
      <c r="AI7" s="299"/>
      <c r="AJ7" s="299"/>
      <c r="AK7" s="299"/>
      <c r="AL7" s="299"/>
      <c r="AM7" s="299"/>
      <c r="AN7" s="299"/>
      <c r="AO7" s="299"/>
      <c r="AP7" s="299"/>
      <c r="AQ7" s="299"/>
      <c r="AR7" s="299"/>
      <c r="AS7" s="299"/>
      <c r="AT7" s="299"/>
      <c r="AU7" s="299"/>
      <c r="AV7" s="299"/>
      <c r="AW7" s="299"/>
      <c r="AX7" s="299"/>
      <c r="AY7" s="299"/>
      <c r="AZ7" s="299"/>
      <c r="BA7" s="299"/>
      <c r="BC7" s="138"/>
    </row>
    <row r="8" spans="1:149" s="5" customFormat="1">
      <c r="A8" s="101">
        <v>1</v>
      </c>
      <c r="B8" s="81" t="s">
        <v>92</v>
      </c>
      <c r="C8" s="13">
        <f>'2-1-13 SIS'!S7</f>
        <v>9586</v>
      </c>
      <c r="D8" s="13">
        <f>'[6]2-1-13-Supreme Court Ruling'!AE6</f>
        <v>6654</v>
      </c>
      <c r="E8" s="13">
        <f t="shared" ref="E8:E39" si="12">ROUND($D$4*D8,0)</f>
        <v>1464</v>
      </c>
      <c r="F8" s="13">
        <f>'[7]CTE-Oct 2012-Supreme Court'!AC7</f>
        <v>2987</v>
      </c>
      <c r="G8" s="13">
        <f t="shared" ref="G8:G39" si="13">ROUND($F$4*F8,0)</f>
        <v>179</v>
      </c>
      <c r="H8" s="1155">
        <f>'[8]SWD 2-1-13 Supreme Court'!Z6</f>
        <v>928</v>
      </c>
      <c r="I8" s="1155">
        <f>$H$4*H8</f>
        <v>1392</v>
      </c>
      <c r="J8" s="1155">
        <f>'[9]GT_PS-12th Supreme Court'!T5</f>
        <v>84</v>
      </c>
      <c r="K8" s="1155">
        <f>$J$4*J8</f>
        <v>50.4</v>
      </c>
      <c r="L8" s="15">
        <f t="shared" ref="L8:L39" si="14">IF(C8&lt;$L$4,$L$4-C8,0)</f>
        <v>0</v>
      </c>
      <c r="M8" s="65">
        <f t="shared" ref="M8:M39" si="15">ROUND(L8/$M$4,5)</f>
        <v>0</v>
      </c>
      <c r="N8" s="13">
        <f t="shared" ref="N8:N39" si="16" xml:space="preserve"> ROUND(C8*M8,0)</f>
        <v>0</v>
      </c>
      <c r="O8" s="13">
        <f>E8+G8+I8+K8+N8</f>
        <v>3085.4</v>
      </c>
      <c r="P8" s="13">
        <f t="shared" ref="P8:P39" si="17">O8+C8</f>
        <v>12671.4</v>
      </c>
      <c r="Q8" s="381">
        <f>$Q$4</f>
        <v>3855</v>
      </c>
      <c r="R8" s="381">
        <f t="shared" ref="R8:R39" si="18">ROUND(P8*Q8,0)</f>
        <v>48848247</v>
      </c>
      <c r="S8" s="381">
        <f>'Table 6 (Local Deduct Calc.)'!J9</f>
        <v>11555710</v>
      </c>
      <c r="T8" s="381">
        <f>IF((S8&gt;R8*$T$4),R8*$T$4,S8)</f>
        <v>11555710</v>
      </c>
      <c r="U8" s="382">
        <f>R8-T8</f>
        <v>37292537</v>
      </c>
      <c r="V8" s="383">
        <f>ROUND(U8/R8,4)</f>
        <v>0.76339999999999997</v>
      </c>
      <c r="W8" s="383">
        <f>ROUND(T8/R8,4)</f>
        <v>0.2366</v>
      </c>
      <c r="X8" s="384">
        <f t="shared" ref="X8:X39" si="19">T8/C8</f>
        <v>1205.4777800959732</v>
      </c>
      <c r="Y8" s="381">
        <f>'Table 7 Local Revenue'!AQ8</f>
        <v>20575110</v>
      </c>
      <c r="Z8" s="381">
        <f>IF(Y8-T8&gt;0,Y8-T8,0)</f>
        <v>9019400</v>
      </c>
      <c r="AA8" s="279">
        <f>IF(Y8-T8&lt;0,Y8-T8,0)</f>
        <v>0</v>
      </c>
      <c r="AB8" s="14">
        <f>R8*$AB$4</f>
        <v>16608403.98</v>
      </c>
      <c r="AC8" s="14">
        <f>IF(Z8&lt;AB8,Z8,AB8)</f>
        <v>9019400</v>
      </c>
      <c r="AD8" s="381">
        <f>IF(AC8&gt;0,AC8*(W8*$AD$4),0)</f>
        <v>3670462.8687999998</v>
      </c>
      <c r="AE8" s="385">
        <f>IF(AC8-AD8&gt;AC8*$AE$4,AC8-AD8,AC8*$AE$4)</f>
        <v>5348937.1312000006</v>
      </c>
      <c r="AF8" s="16">
        <f>IF(AC8=0,0,ROUND(AE8/AC8,4))</f>
        <v>0.59299999999999997</v>
      </c>
      <c r="AG8" s="385">
        <f>U8+AE8</f>
        <v>42641474.131200001</v>
      </c>
      <c r="AH8" s="14">
        <f t="shared" ref="AH8:AH39" si="20">ROUND(AG8/C8,0)</f>
        <v>4448</v>
      </c>
      <c r="AI8" s="385">
        <f>'Table 4 Level 3'!O6</f>
        <v>1431007</v>
      </c>
      <c r="AJ8" s="14">
        <f t="shared" ref="AJ8:AJ39" si="21">AI8/C8</f>
        <v>149.28093052368035</v>
      </c>
      <c r="AK8" s="385">
        <f>AI8+AG8</f>
        <v>44072481.131200001</v>
      </c>
      <c r="AL8" s="14">
        <f t="shared" ref="AL8:AL39" si="22">AK8/C8</f>
        <v>4597.5882673899441</v>
      </c>
      <c r="AM8" s="499">
        <f>'Table 4 Level 3'!R6</f>
        <v>8883930.2800000012</v>
      </c>
      <c r="AN8" s="500">
        <f t="shared" ref="AN8:AN39" si="23">AM8/C8</f>
        <v>926.76093052368049</v>
      </c>
      <c r="AO8" s="385">
        <f>AG8+AM8</f>
        <v>51525404.411200002</v>
      </c>
      <c r="AP8" s="14">
        <f t="shared" ref="AP8:AP39" si="24">AO8/C8</f>
        <v>5375.0682673899437</v>
      </c>
      <c r="AQ8" s="16">
        <f>AO8/AW8</f>
        <v>0.71463296527044073</v>
      </c>
      <c r="AR8" s="386">
        <f>RANK(AQ8,$AQ$8:$AQ$76)</f>
        <v>13</v>
      </c>
      <c r="AS8" s="14">
        <f>ROUND(AC8+T8,2)</f>
        <v>20575110</v>
      </c>
      <c r="AT8" s="14">
        <f t="shared" ref="AT8:AT39" si="25">ROUND(AS8/C8,2)</f>
        <v>2146.37</v>
      </c>
      <c r="AU8" s="386">
        <f>RANK(AT8,$AT$8:$AT$76)</f>
        <v>62</v>
      </c>
      <c r="AV8" s="16">
        <f>AS8/AW8</f>
        <v>0.28536703472955927</v>
      </c>
      <c r="AW8" s="386">
        <f>AO8+AS8</f>
        <v>72100514.411200002</v>
      </c>
      <c r="AX8" s="387">
        <f t="shared" ref="AX8:AX39" si="26">AW8/C8</f>
        <v>7521.4390163989156</v>
      </c>
      <c r="AY8" s="386">
        <f>RANK(AX8,$AX$8:$AX$76)</f>
        <v>67</v>
      </c>
      <c r="AZ8" s="1076">
        <v>50486266.004192002</v>
      </c>
      <c r="BA8" s="279">
        <f>AO8-AZ8</f>
        <v>1039138.4070079997</v>
      </c>
      <c r="BB8" s="1079"/>
      <c r="BC8" s="279"/>
      <c r="BD8" s="279"/>
      <c r="BE8" s="279"/>
      <c r="BF8" s="279"/>
      <c r="BG8" s="279"/>
      <c r="BH8" s="279"/>
      <c r="BI8" s="279"/>
      <c r="BJ8" s="279"/>
      <c r="BK8" s="279"/>
      <c r="BL8" s="13"/>
      <c r="BM8" s="13"/>
      <c r="BN8" s="122"/>
      <c r="BO8" s="13"/>
      <c r="BP8" s="13"/>
      <c r="BQ8" s="122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</row>
    <row r="9" spans="1:149" s="5" customFormat="1">
      <c r="A9" s="101">
        <v>2</v>
      </c>
      <c r="B9" s="81" t="s">
        <v>93</v>
      </c>
      <c r="C9" s="81">
        <f>'2-1-13 SIS'!S8</f>
        <v>4083</v>
      </c>
      <c r="D9" s="13">
        <f>'[6]2-1-13-Supreme Court Ruling'!AE7</f>
        <v>2659</v>
      </c>
      <c r="E9" s="13">
        <f t="shared" si="12"/>
        <v>585</v>
      </c>
      <c r="F9" s="13">
        <f>'[7]CTE-Oct 2012-Supreme Court'!AC8</f>
        <v>1498</v>
      </c>
      <c r="G9" s="13">
        <f t="shared" si="13"/>
        <v>90</v>
      </c>
      <c r="H9" s="1155">
        <f>'[8]SWD 2-1-13 Supreme Court'!Z7</f>
        <v>445</v>
      </c>
      <c r="I9" s="1155">
        <f t="shared" ref="I9:I72" si="27">$H$4*H9</f>
        <v>667.5</v>
      </c>
      <c r="J9" s="1155">
        <f>'[9]GT_PS-12th Supreme Court'!T6</f>
        <v>54</v>
      </c>
      <c r="K9" s="1155">
        <f t="shared" ref="K9:K72" si="28">$J$4*J9</f>
        <v>32.4</v>
      </c>
      <c r="L9" s="13">
        <f t="shared" si="14"/>
        <v>3417</v>
      </c>
      <c r="M9" s="65">
        <f t="shared" si="15"/>
        <v>9.1120000000000007E-2</v>
      </c>
      <c r="N9" s="13">
        <f t="shared" si="16"/>
        <v>372</v>
      </c>
      <c r="O9" s="13">
        <f t="shared" ref="O9:O72" si="29">E9+G9+I9+K9+N9</f>
        <v>1746.9</v>
      </c>
      <c r="P9" s="13">
        <f t="shared" si="17"/>
        <v>5829.9</v>
      </c>
      <c r="Q9" s="381">
        <f t="shared" ref="Q9:Q72" si="30">$Q$4</f>
        <v>3855</v>
      </c>
      <c r="R9" s="381">
        <f t="shared" si="18"/>
        <v>22474265</v>
      </c>
      <c r="S9" s="381">
        <f>'Table 6 (Local Deduct Calc.)'!J10</f>
        <v>3345296</v>
      </c>
      <c r="T9" s="381">
        <f t="shared" ref="T9:T72" si="31">IF((S9&gt;R9*$T$4),R9*$T$4,S9)</f>
        <v>3345296</v>
      </c>
      <c r="U9" s="382">
        <f t="shared" ref="U9:U72" si="32">R9-T9</f>
        <v>19128969</v>
      </c>
      <c r="V9" s="383">
        <f>ROUND(U9/R9,4)</f>
        <v>0.85109999999999997</v>
      </c>
      <c r="W9" s="383">
        <f t="shared" ref="W9:W72" si="33">ROUND(T9/R9,4)</f>
        <v>0.1489</v>
      </c>
      <c r="X9" s="384">
        <f t="shared" si="19"/>
        <v>819.32304677932893</v>
      </c>
      <c r="Y9" s="381">
        <f>'Table 7 Local Revenue'!AQ9</f>
        <v>10744736</v>
      </c>
      <c r="Z9" s="381">
        <f t="shared" ref="Z9:Z72" si="34">IF(Y9-T9&gt;0,Y9-T9,0)</f>
        <v>7399440</v>
      </c>
      <c r="AA9" s="279">
        <f t="shared" ref="AA9:AA72" si="35">IF(Y9-T9&lt;0,Y9-T9,0)</f>
        <v>0</v>
      </c>
      <c r="AB9" s="14">
        <f t="shared" ref="AB9:AB72" si="36">R9*$AB$4</f>
        <v>7641250.1000000006</v>
      </c>
      <c r="AC9" s="14">
        <f t="shared" ref="AC9:AC72" si="37">IF(Z9&lt;AB9,Z9,AB9)</f>
        <v>7399440</v>
      </c>
      <c r="AD9" s="381">
        <f t="shared" ref="AD9:AD72" si="38">IF(AC9&gt;0,AC9*(W9*$AD$4),0)</f>
        <v>1895055.7795200001</v>
      </c>
      <c r="AE9" s="385">
        <f t="shared" ref="AE9:AE72" si="39">IF(AC9-AD9&gt;AC9*$AE$4,AC9-AD9,AC9*$AE$4)</f>
        <v>5504384.2204799997</v>
      </c>
      <c r="AF9" s="16">
        <f t="shared" ref="AF9:AF72" si="40">IF(AC9=0,0,ROUND(AE9/AC9,4))</f>
        <v>0.74390000000000001</v>
      </c>
      <c r="AG9" s="385">
        <f t="shared" ref="AG9:AG72" si="41">U9+AE9</f>
        <v>24633353.220479999</v>
      </c>
      <c r="AH9" s="14">
        <f t="shared" si="20"/>
        <v>6033</v>
      </c>
      <c r="AI9" s="385">
        <f>'Table 4 Level 3'!O7</f>
        <v>609514</v>
      </c>
      <c r="AJ9" s="14">
        <f t="shared" si="21"/>
        <v>149.28092089150135</v>
      </c>
      <c r="AK9" s="385">
        <f t="shared" ref="AK9:AK72" si="42">AI9+AG9</f>
        <v>25242867.220479999</v>
      </c>
      <c r="AL9" s="14">
        <f t="shared" si="22"/>
        <v>6182.4313545138375</v>
      </c>
      <c r="AM9" s="499">
        <f>'Table 4 Level 3'!R7</f>
        <v>4048706.56</v>
      </c>
      <c r="AN9" s="500">
        <f t="shared" si="23"/>
        <v>991.60092089150135</v>
      </c>
      <c r="AO9" s="385">
        <f t="shared" ref="AO9:AO72" si="43">AG9+AM9</f>
        <v>28682059.780479997</v>
      </c>
      <c r="AP9" s="14">
        <f t="shared" si="24"/>
        <v>7024.7513545138372</v>
      </c>
      <c r="AQ9" s="16">
        <f t="shared" ref="AQ9:AQ72" si="44">AO9/AW9</f>
        <v>0.72747630672742458</v>
      </c>
      <c r="AR9" s="386">
        <f t="shared" ref="AR9:AR72" si="45">RANK(AQ9,$AQ$8:$AQ$76)</f>
        <v>12</v>
      </c>
      <c r="AS9" s="14">
        <f t="shared" ref="AS9:AS72" si="46">ROUND(AC9+T9,2)</f>
        <v>10744736</v>
      </c>
      <c r="AT9" s="14">
        <f t="shared" si="25"/>
        <v>2631.58</v>
      </c>
      <c r="AU9" s="386">
        <f t="shared" ref="AU9:AU72" si="47">RANK(AT9,$AT$8:$AT$76)</f>
        <v>55</v>
      </c>
      <c r="AV9" s="16">
        <f t="shared" ref="AV9:AV72" si="48">AS9/AW9</f>
        <v>0.27252369327257536</v>
      </c>
      <c r="AW9" s="386">
        <f t="shared" ref="AW9:AW72" si="49">AO9+AS9</f>
        <v>39426795.780479997</v>
      </c>
      <c r="AX9" s="387">
        <f t="shared" si="26"/>
        <v>9656.3300956355615</v>
      </c>
      <c r="AY9" s="386">
        <f t="shared" ref="AY9:AY72" si="50">RANK(AX9,$AX$8:$AX$76)</f>
        <v>8</v>
      </c>
      <c r="AZ9" s="1076">
        <v>28090970.458928</v>
      </c>
      <c r="BA9" s="279">
        <f t="shared" ref="BA9:BA72" si="51">AO9-AZ9</f>
        <v>591089.32155199721</v>
      </c>
      <c r="BB9" s="1079"/>
      <c r="BC9" s="279"/>
      <c r="BD9" s="279"/>
      <c r="BE9" s="279"/>
      <c r="BF9" s="279"/>
      <c r="BG9" s="279"/>
      <c r="BH9" s="279"/>
      <c r="BI9" s="279"/>
      <c r="BJ9" s="279"/>
      <c r="BK9" s="279"/>
      <c r="BL9" s="81"/>
      <c r="BM9" s="81"/>
      <c r="BN9" s="861"/>
      <c r="BO9" s="81"/>
      <c r="BP9" s="81"/>
      <c r="BQ9" s="861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</row>
    <row r="10" spans="1:149" s="5" customFormat="1">
      <c r="A10" s="101">
        <v>3</v>
      </c>
      <c r="B10" s="81" t="s">
        <v>94</v>
      </c>
      <c r="C10" s="81">
        <f>'2-1-13 SIS'!S9</f>
        <v>20592</v>
      </c>
      <c r="D10" s="13">
        <f>'[6]2-1-13-Supreme Court Ruling'!AE8</f>
        <v>9983</v>
      </c>
      <c r="E10" s="13">
        <f t="shared" si="12"/>
        <v>2196</v>
      </c>
      <c r="F10" s="13">
        <f>'[7]CTE-Oct 2012-Supreme Court'!AC9</f>
        <v>7749.5</v>
      </c>
      <c r="G10" s="13">
        <f t="shared" si="13"/>
        <v>465</v>
      </c>
      <c r="H10" s="1155">
        <f>'[8]SWD 2-1-13 Supreme Court'!Z8</f>
        <v>2246</v>
      </c>
      <c r="I10" s="1155">
        <f t="shared" si="27"/>
        <v>3369</v>
      </c>
      <c r="J10" s="1155">
        <f>'[9]GT_PS-12th Supreme Court'!T7</f>
        <v>546</v>
      </c>
      <c r="K10" s="1155">
        <f t="shared" si="28"/>
        <v>327.59999999999997</v>
      </c>
      <c r="L10" s="13">
        <f t="shared" si="14"/>
        <v>0</v>
      </c>
      <c r="M10" s="65">
        <f t="shared" si="15"/>
        <v>0</v>
      </c>
      <c r="N10" s="13">
        <f t="shared" si="16"/>
        <v>0</v>
      </c>
      <c r="O10" s="13">
        <f t="shared" si="29"/>
        <v>6357.6</v>
      </c>
      <c r="P10" s="13">
        <f t="shared" si="17"/>
        <v>26949.599999999999</v>
      </c>
      <c r="Q10" s="381">
        <f t="shared" si="30"/>
        <v>3855</v>
      </c>
      <c r="R10" s="381">
        <f t="shared" si="18"/>
        <v>103890708</v>
      </c>
      <c r="S10" s="381">
        <f>'Table 6 (Local Deduct Calc.)'!J11</f>
        <v>35121591</v>
      </c>
      <c r="T10" s="381">
        <f t="shared" si="31"/>
        <v>35121591</v>
      </c>
      <c r="U10" s="382">
        <f t="shared" si="32"/>
        <v>68769117</v>
      </c>
      <c r="V10" s="383">
        <f t="shared" ref="V10:V72" si="52">ROUND(U10/R10,4)</f>
        <v>0.66190000000000004</v>
      </c>
      <c r="W10" s="383">
        <f t="shared" si="33"/>
        <v>0.33810000000000001</v>
      </c>
      <c r="X10" s="384">
        <f t="shared" si="19"/>
        <v>1705.5939685314686</v>
      </c>
      <c r="Y10" s="381">
        <f>'Table 7 Local Revenue'!AQ10</f>
        <v>103883659</v>
      </c>
      <c r="Z10" s="381">
        <f t="shared" si="34"/>
        <v>68762068</v>
      </c>
      <c r="AA10" s="279">
        <f t="shared" si="35"/>
        <v>0</v>
      </c>
      <c r="AB10" s="14">
        <f t="shared" si="36"/>
        <v>35322840.720000006</v>
      </c>
      <c r="AC10" s="14">
        <f t="shared" si="37"/>
        <v>35322840.720000006</v>
      </c>
      <c r="AD10" s="381">
        <f t="shared" si="38"/>
        <v>20541362.209583044</v>
      </c>
      <c r="AE10" s="385">
        <f t="shared" si="39"/>
        <v>14781478.510416962</v>
      </c>
      <c r="AF10" s="16">
        <f t="shared" si="40"/>
        <v>0.41849999999999998</v>
      </c>
      <c r="AG10" s="385">
        <f t="shared" si="41"/>
        <v>83550595.510416955</v>
      </c>
      <c r="AH10" s="14">
        <f t="shared" si="20"/>
        <v>4057</v>
      </c>
      <c r="AI10" s="385">
        <f>'Table 4 Level 3'!O8</f>
        <v>3073992</v>
      </c>
      <c r="AJ10" s="14">
        <f t="shared" si="21"/>
        <v>149.28088578088577</v>
      </c>
      <c r="AK10" s="385">
        <f>AI10+AG10</f>
        <v>86624587.510416955</v>
      </c>
      <c r="AL10" s="14">
        <f t="shared" si="22"/>
        <v>4206.710737685361</v>
      </c>
      <c r="AM10" s="499">
        <f>'Table 4 Level 3'!R8</f>
        <v>15364121.280000001</v>
      </c>
      <c r="AN10" s="500">
        <f t="shared" si="23"/>
        <v>746.12088578088583</v>
      </c>
      <c r="AO10" s="385">
        <f t="shared" si="43"/>
        <v>98914716.790416956</v>
      </c>
      <c r="AP10" s="14">
        <f t="shared" si="24"/>
        <v>4803.5507376853611</v>
      </c>
      <c r="AQ10" s="16">
        <f t="shared" si="44"/>
        <v>0.58405298834112229</v>
      </c>
      <c r="AR10" s="386">
        <f t="shared" si="45"/>
        <v>46</v>
      </c>
      <c r="AS10" s="14">
        <f t="shared" si="46"/>
        <v>70444431.719999999</v>
      </c>
      <c r="AT10" s="14">
        <f t="shared" si="25"/>
        <v>3420.96</v>
      </c>
      <c r="AU10" s="386">
        <f t="shared" si="47"/>
        <v>32</v>
      </c>
      <c r="AV10" s="16">
        <f t="shared" si="48"/>
        <v>0.41594701165887771</v>
      </c>
      <c r="AW10" s="386">
        <f t="shared" si="49"/>
        <v>169359148.51041695</v>
      </c>
      <c r="AX10" s="387">
        <f t="shared" si="26"/>
        <v>8224.5118740489979</v>
      </c>
      <c r="AY10" s="386">
        <f t="shared" si="50"/>
        <v>58</v>
      </c>
      <c r="AZ10" s="1076">
        <v>99168985.724354401</v>
      </c>
      <c r="BA10" s="279">
        <f t="shared" si="51"/>
        <v>-254268.93393744528</v>
      </c>
      <c r="BB10" s="1081"/>
      <c r="BC10" s="279"/>
      <c r="BD10" s="279"/>
      <c r="BE10" s="279"/>
      <c r="BF10" s="279"/>
      <c r="BG10" s="279"/>
      <c r="BH10" s="279"/>
      <c r="BI10" s="279"/>
      <c r="BJ10" s="279"/>
      <c r="BK10" s="279"/>
      <c r="BL10" s="81"/>
      <c r="BM10" s="81"/>
      <c r="BN10" s="861"/>
      <c r="BO10" s="81"/>
      <c r="BP10" s="81"/>
      <c r="BQ10" s="861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</row>
    <row r="11" spans="1:149" s="5" customFormat="1">
      <c r="A11" s="101">
        <v>4</v>
      </c>
      <c r="B11" s="81" t="s">
        <v>95</v>
      </c>
      <c r="C11" s="81">
        <f>'2-1-13 SIS'!S10</f>
        <v>3551</v>
      </c>
      <c r="D11" s="13">
        <f>'[6]2-1-13-Supreme Court Ruling'!AE9</f>
        <v>2382</v>
      </c>
      <c r="E11" s="13">
        <f t="shared" si="12"/>
        <v>524</v>
      </c>
      <c r="F11" s="13">
        <f>'[7]CTE-Oct 2012-Supreme Court'!AC10</f>
        <v>1685</v>
      </c>
      <c r="G11" s="13">
        <f t="shared" si="13"/>
        <v>101</v>
      </c>
      <c r="H11" s="1155">
        <f>'[8]SWD 2-1-13 Supreme Court'!Z9</f>
        <v>485</v>
      </c>
      <c r="I11" s="1155">
        <f t="shared" si="27"/>
        <v>727.5</v>
      </c>
      <c r="J11" s="1155">
        <f>'[9]GT_PS-12th Supreme Court'!T8</f>
        <v>90</v>
      </c>
      <c r="K11" s="1155">
        <f t="shared" si="28"/>
        <v>54</v>
      </c>
      <c r="L11" s="13">
        <f t="shared" si="14"/>
        <v>3949</v>
      </c>
      <c r="M11" s="65">
        <f t="shared" si="15"/>
        <v>0.10531</v>
      </c>
      <c r="N11" s="13">
        <f t="shared" si="16"/>
        <v>374</v>
      </c>
      <c r="O11" s="13">
        <f t="shared" si="29"/>
        <v>1780.5</v>
      </c>
      <c r="P11" s="13">
        <f t="shared" si="17"/>
        <v>5331.5</v>
      </c>
      <c r="Q11" s="381">
        <f t="shared" si="30"/>
        <v>3855</v>
      </c>
      <c r="R11" s="381">
        <f t="shared" si="18"/>
        <v>20552933</v>
      </c>
      <c r="S11" s="381">
        <f>'Table 6 (Local Deduct Calc.)'!J12</f>
        <v>4334534</v>
      </c>
      <c r="T11" s="381">
        <f t="shared" si="31"/>
        <v>4334534</v>
      </c>
      <c r="U11" s="382">
        <f t="shared" si="32"/>
        <v>16218399</v>
      </c>
      <c r="V11" s="383">
        <f t="shared" si="52"/>
        <v>0.78910000000000002</v>
      </c>
      <c r="W11" s="383">
        <f t="shared" si="33"/>
        <v>0.2109</v>
      </c>
      <c r="X11" s="384">
        <f t="shared" si="19"/>
        <v>1220.651647423261</v>
      </c>
      <c r="Y11" s="381">
        <f>'Table 7 Local Revenue'!AQ11</f>
        <v>12413215</v>
      </c>
      <c r="Z11" s="381">
        <f t="shared" si="34"/>
        <v>8078681</v>
      </c>
      <c r="AA11" s="279">
        <f t="shared" si="35"/>
        <v>0</v>
      </c>
      <c r="AB11" s="14">
        <f t="shared" si="36"/>
        <v>6987997.2200000007</v>
      </c>
      <c r="AC11" s="14">
        <f t="shared" si="37"/>
        <v>6987997.2200000007</v>
      </c>
      <c r="AD11" s="381">
        <f t="shared" si="38"/>
        <v>2534882.0155605604</v>
      </c>
      <c r="AE11" s="385">
        <f t="shared" si="39"/>
        <v>4453115.2044394407</v>
      </c>
      <c r="AF11" s="16">
        <f t="shared" si="40"/>
        <v>0.63729999999999998</v>
      </c>
      <c r="AG11" s="385">
        <f t="shared" si="41"/>
        <v>20671514.204439439</v>
      </c>
      <c r="AH11" s="14">
        <f t="shared" si="20"/>
        <v>5821</v>
      </c>
      <c r="AI11" s="385">
        <f>'Table 4 Level 3'!O9</f>
        <v>590096</v>
      </c>
      <c r="AJ11" s="14">
        <f t="shared" si="21"/>
        <v>166.17741481272881</v>
      </c>
      <c r="AK11" s="385">
        <f t="shared" si="42"/>
        <v>21261610.204439439</v>
      </c>
      <c r="AL11" s="14">
        <f t="shared" si="22"/>
        <v>5987.4993535453223</v>
      </c>
      <c r="AM11" s="499">
        <f>'Table 4 Level 3'!R9</f>
        <v>2670129.7599999998</v>
      </c>
      <c r="AN11" s="500">
        <f t="shared" si="23"/>
        <v>751.93741481272878</v>
      </c>
      <c r="AO11" s="385">
        <f t="shared" si="43"/>
        <v>23341643.964439437</v>
      </c>
      <c r="AP11" s="14">
        <f t="shared" si="24"/>
        <v>6573.2593535453216</v>
      </c>
      <c r="AQ11" s="16">
        <f t="shared" si="44"/>
        <v>0.67336504735059666</v>
      </c>
      <c r="AR11" s="386">
        <f t="shared" si="45"/>
        <v>26</v>
      </c>
      <c r="AS11" s="14">
        <f t="shared" si="46"/>
        <v>11322531.220000001</v>
      </c>
      <c r="AT11" s="14">
        <f t="shared" si="25"/>
        <v>3188.55</v>
      </c>
      <c r="AU11" s="386">
        <f t="shared" si="47"/>
        <v>36</v>
      </c>
      <c r="AV11" s="16">
        <f t="shared" si="48"/>
        <v>0.32663495264940345</v>
      </c>
      <c r="AW11" s="386">
        <f t="shared" si="49"/>
        <v>34664175.184439436</v>
      </c>
      <c r="AX11" s="387">
        <f t="shared" si="26"/>
        <v>9761.8065853110202</v>
      </c>
      <c r="AY11" s="386">
        <f t="shared" si="50"/>
        <v>6</v>
      </c>
      <c r="AZ11" s="1076">
        <v>23793975.173258767</v>
      </c>
      <c r="BA11" s="279">
        <f t="shared" si="51"/>
        <v>-452331.20881932974</v>
      </c>
      <c r="BB11" s="1079"/>
      <c r="BC11" s="279"/>
      <c r="BD11" s="279"/>
      <c r="BE11" s="279"/>
      <c r="BF11" s="279"/>
      <c r="BG11" s="279"/>
      <c r="BH11" s="279"/>
      <c r="BI11" s="279"/>
      <c r="BJ11" s="279"/>
      <c r="BK11" s="279"/>
      <c r="BL11" s="81"/>
      <c r="BM11" s="81"/>
      <c r="BN11" s="861"/>
      <c r="BO11" s="81"/>
      <c r="BP11" s="81"/>
      <c r="BQ11" s="86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</row>
    <row r="12" spans="1:149" s="21" customFormat="1">
      <c r="A12" s="102">
        <v>5</v>
      </c>
      <c r="B12" s="82" t="s">
        <v>96</v>
      </c>
      <c r="C12" s="82">
        <f>'2-1-13 SIS'!S11</f>
        <v>5757</v>
      </c>
      <c r="D12" s="19">
        <f>'[6]2-1-13-Supreme Court Ruling'!AE10</f>
        <v>4845</v>
      </c>
      <c r="E12" s="19">
        <f t="shared" si="12"/>
        <v>1066</v>
      </c>
      <c r="F12" s="19">
        <f>'[7]CTE-Oct 2012-Supreme Court'!AC11</f>
        <v>2215</v>
      </c>
      <c r="G12" s="19">
        <f t="shared" si="13"/>
        <v>133</v>
      </c>
      <c r="H12" s="19">
        <f>'[8]SWD 2-1-13 Supreme Court'!Z10</f>
        <v>553</v>
      </c>
      <c r="I12" s="19">
        <f t="shared" si="27"/>
        <v>829.5</v>
      </c>
      <c r="J12" s="19">
        <f>'[9]GT_PS-12th Supreme Court'!T9</f>
        <v>5</v>
      </c>
      <c r="K12" s="19">
        <f t="shared" si="28"/>
        <v>3</v>
      </c>
      <c r="L12" s="19">
        <f t="shared" si="14"/>
        <v>1743</v>
      </c>
      <c r="M12" s="66">
        <f t="shared" si="15"/>
        <v>4.648E-2</v>
      </c>
      <c r="N12" s="19">
        <f t="shared" si="16"/>
        <v>268</v>
      </c>
      <c r="O12" s="19">
        <f t="shared" si="29"/>
        <v>2299.5</v>
      </c>
      <c r="P12" s="13">
        <f t="shared" si="17"/>
        <v>8056.5</v>
      </c>
      <c r="Q12" s="388">
        <f t="shared" si="30"/>
        <v>3855</v>
      </c>
      <c r="R12" s="388">
        <f t="shared" si="18"/>
        <v>31057808</v>
      </c>
      <c r="S12" s="388">
        <f>'Table 6 (Local Deduct Calc.)'!J13</f>
        <v>5542489.5</v>
      </c>
      <c r="T12" s="388">
        <f t="shared" si="31"/>
        <v>5542489.5</v>
      </c>
      <c r="U12" s="389">
        <f t="shared" si="32"/>
        <v>25515318.5</v>
      </c>
      <c r="V12" s="390">
        <f t="shared" si="52"/>
        <v>0.82150000000000001</v>
      </c>
      <c r="W12" s="391">
        <f t="shared" si="33"/>
        <v>0.17849999999999999</v>
      </c>
      <c r="X12" s="392">
        <f t="shared" si="19"/>
        <v>962.73918707660243</v>
      </c>
      <c r="Y12" s="388">
        <f>'Table 7 Local Revenue'!AQ12</f>
        <v>8911093.5</v>
      </c>
      <c r="Z12" s="388">
        <f t="shared" si="34"/>
        <v>3368604</v>
      </c>
      <c r="AA12" s="280">
        <f t="shared" si="35"/>
        <v>0</v>
      </c>
      <c r="AB12" s="20">
        <f t="shared" si="36"/>
        <v>10559654.720000001</v>
      </c>
      <c r="AC12" s="20">
        <f t="shared" si="37"/>
        <v>3368604</v>
      </c>
      <c r="AD12" s="388">
        <f t="shared" si="38"/>
        <v>1034228.8000799998</v>
      </c>
      <c r="AE12" s="393">
        <f t="shared" si="39"/>
        <v>2334375.19992</v>
      </c>
      <c r="AF12" s="273">
        <f t="shared" si="40"/>
        <v>0.69299999999999995</v>
      </c>
      <c r="AG12" s="393">
        <f t="shared" si="41"/>
        <v>27849693.699919999</v>
      </c>
      <c r="AH12" s="20">
        <f t="shared" si="20"/>
        <v>4838</v>
      </c>
      <c r="AI12" s="393">
        <f>'Table 4 Level 3'!O10</f>
        <v>859410</v>
      </c>
      <c r="AJ12" s="20">
        <f t="shared" si="21"/>
        <v>149.28087545596665</v>
      </c>
      <c r="AK12" s="393">
        <f t="shared" si="42"/>
        <v>28709103.699919999</v>
      </c>
      <c r="AL12" s="20">
        <f t="shared" si="22"/>
        <v>4986.8166927080074</v>
      </c>
      <c r="AM12" s="501">
        <f>'Table 4 Level 3'!R10</f>
        <v>4059783.8699999996</v>
      </c>
      <c r="AN12" s="502">
        <f t="shared" si="23"/>
        <v>705.19087545596653</v>
      </c>
      <c r="AO12" s="393">
        <f t="shared" si="43"/>
        <v>31909477.56992</v>
      </c>
      <c r="AP12" s="20">
        <f t="shared" si="24"/>
        <v>5542.7266927080072</v>
      </c>
      <c r="AQ12" s="273">
        <f t="shared" si="44"/>
        <v>0.78170091043712908</v>
      </c>
      <c r="AR12" s="394">
        <f t="shared" si="45"/>
        <v>3</v>
      </c>
      <c r="AS12" s="20">
        <f t="shared" si="46"/>
        <v>8911093.5</v>
      </c>
      <c r="AT12" s="20">
        <f t="shared" si="25"/>
        <v>1547.87</v>
      </c>
      <c r="AU12" s="394">
        <f t="shared" si="47"/>
        <v>69</v>
      </c>
      <c r="AV12" s="273">
        <f t="shared" si="48"/>
        <v>0.21829908956287081</v>
      </c>
      <c r="AW12" s="394">
        <f t="shared" si="49"/>
        <v>40820571.069920003</v>
      </c>
      <c r="AX12" s="395">
        <f t="shared" si="26"/>
        <v>7090.5977192843502</v>
      </c>
      <c r="AY12" s="394">
        <f t="shared" si="50"/>
        <v>69</v>
      </c>
      <c r="AZ12" s="1077">
        <v>34501205.989194468</v>
      </c>
      <c r="BA12" s="280">
        <f t="shared" si="51"/>
        <v>-2591728.419274468</v>
      </c>
      <c r="BB12" s="1080"/>
      <c r="BC12" s="280"/>
      <c r="BD12" s="280"/>
      <c r="BE12" s="280"/>
      <c r="BF12" s="280"/>
      <c r="BG12" s="280"/>
      <c r="BH12" s="280"/>
      <c r="BI12" s="280"/>
      <c r="BJ12" s="280"/>
      <c r="BK12" s="280"/>
      <c r="BL12" s="82"/>
      <c r="BM12" s="82"/>
      <c r="BN12" s="862"/>
      <c r="BO12" s="82"/>
      <c r="BP12" s="82"/>
      <c r="BQ12" s="86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</row>
    <row r="13" spans="1:149" s="5" customFormat="1">
      <c r="A13" s="101">
        <v>6</v>
      </c>
      <c r="B13" s="81" t="s">
        <v>97</v>
      </c>
      <c r="C13" s="81">
        <f>'2-1-13 SIS'!S12</f>
        <v>6057</v>
      </c>
      <c r="D13" s="81">
        <f>'[6]2-1-13-Supreme Court Ruling'!AE11</f>
        <v>3285</v>
      </c>
      <c r="E13" s="81">
        <f t="shared" si="12"/>
        <v>723</v>
      </c>
      <c r="F13" s="81">
        <f>'[7]CTE-Oct 2012-Supreme Court'!AC12</f>
        <v>1850.5</v>
      </c>
      <c r="G13" s="81">
        <f t="shared" si="13"/>
        <v>111</v>
      </c>
      <c r="H13" s="1156">
        <f>'[8]SWD 2-1-13 Supreme Court'!Z11</f>
        <v>936</v>
      </c>
      <c r="I13" s="1156">
        <f t="shared" si="27"/>
        <v>1404</v>
      </c>
      <c r="J13" s="1156">
        <f>'[9]GT_PS-12th Supreme Court'!T10</f>
        <v>76</v>
      </c>
      <c r="K13" s="1156">
        <f t="shared" si="28"/>
        <v>45.6</v>
      </c>
      <c r="L13" s="13">
        <f t="shared" si="14"/>
        <v>1443</v>
      </c>
      <c r="M13" s="65">
        <f t="shared" si="15"/>
        <v>3.848E-2</v>
      </c>
      <c r="N13" s="13">
        <f t="shared" si="16"/>
        <v>233</v>
      </c>
      <c r="O13" s="13">
        <f t="shared" si="29"/>
        <v>2516.6</v>
      </c>
      <c r="P13" s="36">
        <f t="shared" si="17"/>
        <v>8573.6</v>
      </c>
      <c r="Q13" s="381">
        <f t="shared" si="30"/>
        <v>3855</v>
      </c>
      <c r="R13" s="381">
        <f t="shared" si="18"/>
        <v>33051228</v>
      </c>
      <c r="S13" s="381">
        <f>'Table 6 (Local Deduct Calc.)'!J14</f>
        <v>7828692.5</v>
      </c>
      <c r="T13" s="381">
        <f t="shared" si="31"/>
        <v>7828692.5</v>
      </c>
      <c r="U13" s="382">
        <f t="shared" si="32"/>
        <v>25222535.5</v>
      </c>
      <c r="V13" s="383">
        <f t="shared" si="52"/>
        <v>0.7631</v>
      </c>
      <c r="W13" s="383">
        <f t="shared" si="33"/>
        <v>0.2369</v>
      </c>
      <c r="X13" s="384">
        <f t="shared" si="19"/>
        <v>1292.5033019646689</v>
      </c>
      <c r="Y13" s="381">
        <f>'Table 7 Local Revenue'!AQ13</f>
        <v>22299544.5</v>
      </c>
      <c r="Z13" s="381">
        <f t="shared" si="34"/>
        <v>14470852</v>
      </c>
      <c r="AA13" s="279">
        <f t="shared" si="35"/>
        <v>0</v>
      </c>
      <c r="AB13" s="14">
        <f t="shared" si="36"/>
        <v>11237417.520000001</v>
      </c>
      <c r="AC13" s="14">
        <f t="shared" si="37"/>
        <v>11237417.520000001</v>
      </c>
      <c r="AD13" s="381">
        <f t="shared" si="38"/>
        <v>4578888.0420393609</v>
      </c>
      <c r="AE13" s="385">
        <f t="shared" si="39"/>
        <v>6658529.4779606406</v>
      </c>
      <c r="AF13" s="16">
        <f t="shared" si="40"/>
        <v>0.59250000000000003</v>
      </c>
      <c r="AG13" s="385">
        <f t="shared" si="41"/>
        <v>31881064.977960639</v>
      </c>
      <c r="AH13" s="14">
        <f t="shared" si="20"/>
        <v>5264</v>
      </c>
      <c r="AI13" s="385">
        <f>'Table 4 Level 3'!O11</f>
        <v>904194</v>
      </c>
      <c r="AJ13" s="14">
        <f t="shared" si="21"/>
        <v>149.28083209509657</v>
      </c>
      <c r="AK13" s="385">
        <f t="shared" si="42"/>
        <v>32785258.977960639</v>
      </c>
      <c r="AL13" s="14">
        <f t="shared" si="22"/>
        <v>5412.7883404260592</v>
      </c>
      <c r="AM13" s="499">
        <f>'Table 4 Level 3'!R11</f>
        <v>4208166.3599999994</v>
      </c>
      <c r="AN13" s="500">
        <f t="shared" si="23"/>
        <v>694.76083209509648</v>
      </c>
      <c r="AO13" s="385">
        <f t="shared" si="43"/>
        <v>36089231.337960638</v>
      </c>
      <c r="AP13" s="14">
        <f t="shared" si="24"/>
        <v>5958.2683404260588</v>
      </c>
      <c r="AQ13" s="16">
        <f t="shared" si="44"/>
        <v>0.65431978933354629</v>
      </c>
      <c r="AR13" s="386">
        <f t="shared" si="45"/>
        <v>33</v>
      </c>
      <c r="AS13" s="14">
        <f t="shared" si="46"/>
        <v>19066110.02</v>
      </c>
      <c r="AT13" s="14">
        <f t="shared" si="25"/>
        <v>3147.78</v>
      </c>
      <c r="AU13" s="386">
        <f t="shared" si="47"/>
        <v>39</v>
      </c>
      <c r="AV13" s="16">
        <f t="shared" si="48"/>
        <v>0.34568021066645366</v>
      </c>
      <c r="AW13" s="386">
        <f t="shared" si="49"/>
        <v>55155341.357960641</v>
      </c>
      <c r="AX13" s="387">
        <f t="shared" si="26"/>
        <v>9106.0494234704711</v>
      </c>
      <c r="AY13" s="386">
        <f t="shared" si="50"/>
        <v>22</v>
      </c>
      <c r="AZ13" s="1076">
        <v>36755881.3706204</v>
      </c>
      <c r="BA13" s="279">
        <f t="shared" si="51"/>
        <v>-666650.03265976161</v>
      </c>
      <c r="BB13" s="1081"/>
      <c r="BC13" s="279"/>
      <c r="BD13" s="279"/>
      <c r="BE13" s="279"/>
      <c r="BF13" s="279"/>
      <c r="BG13" s="279"/>
      <c r="BH13" s="279"/>
      <c r="BI13" s="279"/>
      <c r="BJ13" s="279"/>
      <c r="BK13" s="279"/>
      <c r="BL13" s="81"/>
      <c r="BM13" s="81"/>
      <c r="BN13" s="861"/>
      <c r="BO13" s="81"/>
      <c r="BP13" s="81"/>
      <c r="BQ13" s="861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</row>
    <row r="14" spans="1:149" s="5" customFormat="1">
      <c r="A14" s="101">
        <v>7</v>
      </c>
      <c r="B14" s="81" t="s">
        <v>98</v>
      </c>
      <c r="C14" s="81">
        <f>'2-1-13 SIS'!S13</f>
        <v>2203</v>
      </c>
      <c r="D14" s="81">
        <f>'[6]2-1-13-Supreme Court Ruling'!AE12</f>
        <v>1551</v>
      </c>
      <c r="E14" s="81">
        <f t="shared" si="12"/>
        <v>341</v>
      </c>
      <c r="F14" s="81">
        <f>'[7]CTE-Oct 2012-Supreme Court'!AC13</f>
        <v>751.5</v>
      </c>
      <c r="G14" s="81">
        <f t="shared" si="13"/>
        <v>45</v>
      </c>
      <c r="H14" s="1156">
        <f>'[8]SWD 2-1-13 Supreme Court'!Z12</f>
        <v>210</v>
      </c>
      <c r="I14" s="1156">
        <f t="shared" si="27"/>
        <v>315</v>
      </c>
      <c r="J14" s="1156">
        <f>'[9]GT_PS-12th Supreme Court'!T11</f>
        <v>31</v>
      </c>
      <c r="K14" s="1156">
        <f t="shared" si="28"/>
        <v>18.599999999999998</v>
      </c>
      <c r="L14" s="13">
        <f t="shared" si="14"/>
        <v>5297</v>
      </c>
      <c r="M14" s="65">
        <f t="shared" si="15"/>
        <v>0.14124999999999999</v>
      </c>
      <c r="N14" s="13">
        <f t="shared" si="16"/>
        <v>311</v>
      </c>
      <c r="O14" s="13">
        <f t="shared" si="29"/>
        <v>1030.5999999999999</v>
      </c>
      <c r="P14" s="13">
        <f t="shared" si="17"/>
        <v>3233.6</v>
      </c>
      <c r="Q14" s="381">
        <f t="shared" si="30"/>
        <v>3855</v>
      </c>
      <c r="R14" s="381">
        <f t="shared" si="18"/>
        <v>12465528</v>
      </c>
      <c r="S14" s="381">
        <f>'Table 6 (Local Deduct Calc.)'!J15</f>
        <v>8903670.5</v>
      </c>
      <c r="T14" s="381">
        <f t="shared" si="31"/>
        <v>8903670.5</v>
      </c>
      <c r="U14" s="382">
        <f t="shared" si="32"/>
        <v>3561857.5</v>
      </c>
      <c r="V14" s="383">
        <f t="shared" si="52"/>
        <v>0.28570000000000001</v>
      </c>
      <c r="W14" s="383">
        <f t="shared" si="33"/>
        <v>0.71430000000000005</v>
      </c>
      <c r="X14" s="384">
        <f t="shared" si="19"/>
        <v>4041.6116659101226</v>
      </c>
      <c r="Y14" s="381">
        <f>'Table 7 Local Revenue'!AQ14</f>
        <v>28690249.5</v>
      </c>
      <c r="Z14" s="381">
        <f t="shared" si="34"/>
        <v>19786579</v>
      </c>
      <c r="AA14" s="279">
        <f t="shared" si="35"/>
        <v>0</v>
      </c>
      <c r="AB14" s="14">
        <f t="shared" si="36"/>
        <v>4238279.5200000005</v>
      </c>
      <c r="AC14" s="14">
        <f t="shared" si="37"/>
        <v>4238279.5200000005</v>
      </c>
      <c r="AD14" s="381">
        <f t="shared" si="38"/>
        <v>5207133.2651539203</v>
      </c>
      <c r="AE14" s="385">
        <f t="shared" si="39"/>
        <v>0</v>
      </c>
      <c r="AF14" s="16">
        <f t="shared" si="40"/>
        <v>0</v>
      </c>
      <c r="AG14" s="385">
        <f t="shared" si="41"/>
        <v>3561857.5</v>
      </c>
      <c r="AH14" s="14">
        <f t="shared" si="20"/>
        <v>1617</v>
      </c>
      <c r="AI14" s="385">
        <f>'Table 4 Level 3'!O12</f>
        <v>328866</v>
      </c>
      <c r="AJ14" s="14">
        <f t="shared" si="21"/>
        <v>149.28098048116206</v>
      </c>
      <c r="AK14" s="385">
        <f t="shared" si="42"/>
        <v>3890723.5</v>
      </c>
      <c r="AL14" s="14">
        <f t="shared" si="22"/>
        <v>1766.1023604176123</v>
      </c>
      <c r="AM14" s="499">
        <f>'Table 4 Level 3'!R12</f>
        <v>1996360.7599999995</v>
      </c>
      <c r="AN14" s="500">
        <f t="shared" si="23"/>
        <v>906.20098048116188</v>
      </c>
      <c r="AO14" s="385">
        <f t="shared" si="43"/>
        <v>5558218.2599999998</v>
      </c>
      <c r="AP14" s="14">
        <f t="shared" si="24"/>
        <v>2523.0223604176122</v>
      </c>
      <c r="AQ14" s="16">
        <f t="shared" si="44"/>
        <v>0.29722824825830924</v>
      </c>
      <c r="AR14" s="386">
        <f t="shared" si="45"/>
        <v>67</v>
      </c>
      <c r="AS14" s="14">
        <f t="shared" si="46"/>
        <v>13141950.02</v>
      </c>
      <c r="AT14" s="14">
        <f t="shared" si="25"/>
        <v>5965.48</v>
      </c>
      <c r="AU14" s="386">
        <f t="shared" si="47"/>
        <v>5</v>
      </c>
      <c r="AV14" s="16">
        <f t="shared" si="48"/>
        <v>0.70277175174169071</v>
      </c>
      <c r="AW14" s="386">
        <f t="shared" si="49"/>
        <v>18700168.280000001</v>
      </c>
      <c r="AX14" s="387">
        <f t="shared" si="26"/>
        <v>8488.5012619155696</v>
      </c>
      <c r="AY14" s="386">
        <f t="shared" si="50"/>
        <v>50</v>
      </c>
      <c r="AZ14" s="1076">
        <v>5101656.9479999999</v>
      </c>
      <c r="BA14" s="279">
        <f t="shared" si="51"/>
        <v>456561.31199999992</v>
      </c>
      <c r="BB14" s="1079"/>
      <c r="BC14" s="279"/>
      <c r="BD14" s="279"/>
      <c r="BE14" s="279"/>
      <c r="BF14" s="279"/>
      <c r="BG14" s="279"/>
      <c r="BH14" s="279"/>
      <c r="BI14" s="279"/>
      <c r="BJ14" s="279"/>
      <c r="BK14" s="279"/>
      <c r="BL14" s="81"/>
      <c r="BM14" s="81"/>
      <c r="BN14" s="861"/>
      <c r="BO14" s="81"/>
      <c r="BP14" s="81"/>
      <c r="BQ14" s="861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</row>
    <row r="15" spans="1:149" s="5" customFormat="1">
      <c r="A15" s="101">
        <v>8</v>
      </c>
      <c r="B15" s="81" t="s">
        <v>99</v>
      </c>
      <c r="C15" s="81">
        <f>'2-1-13 SIS'!S14</f>
        <v>21190</v>
      </c>
      <c r="D15" s="81">
        <f>'[6]2-1-13-Supreme Court Ruling'!AE13</f>
        <v>9893</v>
      </c>
      <c r="E15" s="81">
        <f t="shared" si="12"/>
        <v>2176</v>
      </c>
      <c r="F15" s="81">
        <f>'[7]CTE-Oct 2012-Supreme Court'!AC14</f>
        <v>6694</v>
      </c>
      <c r="G15" s="81">
        <f t="shared" si="13"/>
        <v>402</v>
      </c>
      <c r="H15" s="1156">
        <f>'[8]SWD 2-1-13 Supreme Court'!Z13</f>
        <v>2471</v>
      </c>
      <c r="I15" s="1156">
        <f t="shared" si="27"/>
        <v>3706.5</v>
      </c>
      <c r="J15" s="1156">
        <f>'[9]GT_PS-12th Supreme Court'!T12</f>
        <v>963</v>
      </c>
      <c r="K15" s="1156">
        <f t="shared" si="28"/>
        <v>577.79999999999995</v>
      </c>
      <c r="L15" s="13">
        <f t="shared" si="14"/>
        <v>0</v>
      </c>
      <c r="M15" s="65">
        <f t="shared" si="15"/>
        <v>0</v>
      </c>
      <c r="N15" s="13">
        <f t="shared" si="16"/>
        <v>0</v>
      </c>
      <c r="O15" s="13">
        <f t="shared" si="29"/>
        <v>6862.3</v>
      </c>
      <c r="P15" s="13">
        <f t="shared" si="17"/>
        <v>28052.3</v>
      </c>
      <c r="Q15" s="381">
        <f t="shared" si="30"/>
        <v>3855</v>
      </c>
      <c r="R15" s="381">
        <f t="shared" si="18"/>
        <v>108141617</v>
      </c>
      <c r="S15" s="381">
        <f>'Table 6 (Local Deduct Calc.)'!J16</f>
        <v>36129477</v>
      </c>
      <c r="T15" s="381">
        <f t="shared" si="31"/>
        <v>36129477</v>
      </c>
      <c r="U15" s="382">
        <f t="shared" si="32"/>
        <v>72012140</v>
      </c>
      <c r="V15" s="383">
        <f t="shared" si="52"/>
        <v>0.66590000000000005</v>
      </c>
      <c r="W15" s="383">
        <f t="shared" si="33"/>
        <v>0.33410000000000001</v>
      </c>
      <c r="X15" s="384">
        <f t="shared" si="19"/>
        <v>1705.0248702218028</v>
      </c>
      <c r="Y15" s="381">
        <f>'Table 7 Local Revenue'!AQ15</f>
        <v>90863515</v>
      </c>
      <c r="Z15" s="381">
        <f t="shared" si="34"/>
        <v>54734038</v>
      </c>
      <c r="AA15" s="279">
        <f t="shared" si="35"/>
        <v>0</v>
      </c>
      <c r="AB15" s="14">
        <f t="shared" si="36"/>
        <v>36768149.780000001</v>
      </c>
      <c r="AC15" s="14">
        <f t="shared" si="37"/>
        <v>36768149.780000001</v>
      </c>
      <c r="AD15" s="381">
        <f t="shared" si="38"/>
        <v>21128890.807376564</v>
      </c>
      <c r="AE15" s="385">
        <f t="shared" si="39"/>
        <v>15639258.972623438</v>
      </c>
      <c r="AF15" s="16">
        <f t="shared" si="40"/>
        <v>0.42530000000000001</v>
      </c>
      <c r="AG15" s="385">
        <f t="shared" si="41"/>
        <v>87651398.972623438</v>
      </c>
      <c r="AH15" s="14">
        <f t="shared" si="20"/>
        <v>4136</v>
      </c>
      <c r="AI15" s="385">
        <f>'Table 4 Level 3'!O13</f>
        <v>3243262</v>
      </c>
      <c r="AJ15" s="14">
        <f t="shared" si="21"/>
        <v>153.05625294950448</v>
      </c>
      <c r="AK15" s="385">
        <f t="shared" si="42"/>
        <v>90894660.972623438</v>
      </c>
      <c r="AL15" s="14">
        <f t="shared" si="22"/>
        <v>4289.5073606712331</v>
      </c>
      <c r="AM15" s="499">
        <f>'Table 4 Level 3'!R13</f>
        <v>18622116.399999999</v>
      </c>
      <c r="AN15" s="500">
        <f t="shared" si="23"/>
        <v>878.81625294950436</v>
      </c>
      <c r="AO15" s="385">
        <f t="shared" si="43"/>
        <v>106273515.37262344</v>
      </c>
      <c r="AP15" s="14">
        <f t="shared" si="24"/>
        <v>5015.2673606712342</v>
      </c>
      <c r="AQ15" s="16">
        <f t="shared" si="44"/>
        <v>0.59313968809830109</v>
      </c>
      <c r="AR15" s="386">
        <f t="shared" si="45"/>
        <v>44</v>
      </c>
      <c r="AS15" s="14">
        <f t="shared" si="46"/>
        <v>72897626.780000001</v>
      </c>
      <c r="AT15" s="14">
        <f t="shared" si="25"/>
        <v>3440.19</v>
      </c>
      <c r="AU15" s="386">
        <f t="shared" si="47"/>
        <v>30</v>
      </c>
      <c r="AV15" s="16">
        <f t="shared" si="48"/>
        <v>0.40686031190169886</v>
      </c>
      <c r="AW15" s="386">
        <f t="shared" si="49"/>
        <v>179171142.15262344</v>
      </c>
      <c r="AX15" s="387">
        <f t="shared" si="26"/>
        <v>8455.4573927618421</v>
      </c>
      <c r="AY15" s="386">
        <f t="shared" si="50"/>
        <v>51</v>
      </c>
      <c r="AZ15" s="1076">
        <v>98935116.1643444</v>
      </c>
      <c r="BA15" s="279">
        <f t="shared" si="51"/>
        <v>7338399.2082790434</v>
      </c>
      <c r="BB15" s="1081"/>
      <c r="BC15" s="279"/>
      <c r="BD15" s="279"/>
      <c r="BE15" s="279"/>
      <c r="BF15" s="279"/>
      <c r="BG15" s="279"/>
      <c r="BH15" s="279"/>
      <c r="BI15" s="279"/>
      <c r="BJ15" s="279"/>
      <c r="BK15" s="279"/>
      <c r="BL15" s="81"/>
      <c r="BM15" s="81"/>
      <c r="BN15" s="861"/>
      <c r="BO15" s="81"/>
      <c r="BP15" s="81"/>
      <c r="BQ15" s="861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</row>
    <row r="16" spans="1:149" s="5" customFormat="1">
      <c r="A16" s="101">
        <v>9</v>
      </c>
      <c r="B16" s="81" t="s">
        <v>100</v>
      </c>
      <c r="C16" s="579">
        <f>'2-1-13 SIS'!S15</f>
        <v>40876</v>
      </c>
      <c r="D16" s="579">
        <f>'[6]2-1-13-Supreme Court Ruling'!AE14</f>
        <v>27222</v>
      </c>
      <c r="E16" s="579">
        <f t="shared" si="12"/>
        <v>5989</v>
      </c>
      <c r="F16" s="579">
        <f>'[7]CTE-Oct 2012-Supreme Court'!AC15</f>
        <v>11432.5</v>
      </c>
      <c r="G16" s="579">
        <f t="shared" si="13"/>
        <v>686</v>
      </c>
      <c r="H16" s="1157">
        <f>'[8]SWD 2-1-13 Supreme Court'!Z14</f>
        <v>4040</v>
      </c>
      <c r="I16" s="1157">
        <f t="shared" si="27"/>
        <v>6060</v>
      </c>
      <c r="J16" s="1157">
        <f>'[9]GT_PS-12th Supreme Court'!T13</f>
        <v>1727</v>
      </c>
      <c r="K16" s="1157">
        <f t="shared" si="28"/>
        <v>1036.2</v>
      </c>
      <c r="L16" s="13">
        <f t="shared" si="14"/>
        <v>0</v>
      </c>
      <c r="M16" s="65">
        <f t="shared" si="15"/>
        <v>0</v>
      </c>
      <c r="N16" s="13">
        <f t="shared" si="16"/>
        <v>0</v>
      </c>
      <c r="O16" s="13">
        <f t="shared" si="29"/>
        <v>13771.2</v>
      </c>
      <c r="P16" s="13">
        <f t="shared" si="17"/>
        <v>54647.199999999997</v>
      </c>
      <c r="Q16" s="381">
        <f t="shared" si="30"/>
        <v>3855</v>
      </c>
      <c r="R16" s="381">
        <f t="shared" si="18"/>
        <v>210664956</v>
      </c>
      <c r="S16" s="381">
        <f>'Table 6 (Local Deduct Calc.)'!J17</f>
        <v>68774093</v>
      </c>
      <c r="T16" s="381">
        <f t="shared" si="31"/>
        <v>68774093</v>
      </c>
      <c r="U16" s="382">
        <f t="shared" si="32"/>
        <v>141890863</v>
      </c>
      <c r="V16" s="383">
        <f t="shared" si="52"/>
        <v>0.67349999999999999</v>
      </c>
      <c r="W16" s="383">
        <f t="shared" si="33"/>
        <v>0.32650000000000001</v>
      </c>
      <c r="X16" s="384">
        <f t="shared" si="19"/>
        <v>1682.5054555240238</v>
      </c>
      <c r="Y16" s="381">
        <f>'Table 7 Local Revenue'!AQ16</f>
        <v>195657015</v>
      </c>
      <c r="Z16" s="381">
        <f t="shared" si="34"/>
        <v>126882922</v>
      </c>
      <c r="AA16" s="279">
        <f t="shared" si="35"/>
        <v>0</v>
      </c>
      <c r="AB16" s="14">
        <f t="shared" si="36"/>
        <v>71626085.040000007</v>
      </c>
      <c r="AC16" s="14">
        <f t="shared" si="37"/>
        <v>71626085.040000007</v>
      </c>
      <c r="AD16" s="381">
        <f t="shared" si="38"/>
        <v>40223776.836763203</v>
      </c>
      <c r="AE16" s="385">
        <f t="shared" si="39"/>
        <v>31402308.203236803</v>
      </c>
      <c r="AF16" s="16">
        <f t="shared" si="40"/>
        <v>0.43840000000000001</v>
      </c>
      <c r="AG16" s="385">
        <f t="shared" si="41"/>
        <v>173293171.20323682</v>
      </c>
      <c r="AH16" s="14">
        <f t="shared" si="20"/>
        <v>4239</v>
      </c>
      <c r="AI16" s="385">
        <f>'Table 4 Level 3'!O14</f>
        <v>6382006</v>
      </c>
      <c r="AJ16" s="14">
        <f t="shared" si="21"/>
        <v>156.13088364810648</v>
      </c>
      <c r="AK16" s="385">
        <f t="shared" si="42"/>
        <v>179675177.20323682</v>
      </c>
      <c r="AL16" s="14">
        <f t="shared" si="22"/>
        <v>4395.6154516889328</v>
      </c>
      <c r="AM16" s="499">
        <f>'Table 4 Level 3'!R14</f>
        <v>36824815.759999998</v>
      </c>
      <c r="AN16" s="500">
        <f t="shared" si="23"/>
        <v>900.89088364810641</v>
      </c>
      <c r="AO16" s="385">
        <f t="shared" si="43"/>
        <v>210117986.96323681</v>
      </c>
      <c r="AP16" s="14">
        <f t="shared" si="24"/>
        <v>5140.375451688933</v>
      </c>
      <c r="AQ16" s="16">
        <f t="shared" si="44"/>
        <v>0.59944963754245528</v>
      </c>
      <c r="AR16" s="386">
        <f t="shared" si="45"/>
        <v>43</v>
      </c>
      <c r="AS16" s="14">
        <f t="shared" si="46"/>
        <v>140400178.03999999</v>
      </c>
      <c r="AT16" s="14">
        <f t="shared" si="25"/>
        <v>3434.78</v>
      </c>
      <c r="AU16" s="386">
        <f t="shared" si="47"/>
        <v>31</v>
      </c>
      <c r="AV16" s="16">
        <f t="shared" si="48"/>
        <v>0.40055036245754483</v>
      </c>
      <c r="AW16" s="386">
        <f t="shared" si="49"/>
        <v>350518165.00323677</v>
      </c>
      <c r="AX16" s="387">
        <f t="shared" si="26"/>
        <v>8575.1581613474118</v>
      </c>
      <c r="AY16" s="386">
        <f t="shared" si="50"/>
        <v>46</v>
      </c>
      <c r="AZ16" s="1076">
        <v>207752402.7456744</v>
      </c>
      <c r="BA16" s="279">
        <f t="shared" si="51"/>
        <v>2365584.2175624073</v>
      </c>
      <c r="BB16" s="1081"/>
      <c r="BC16" s="279"/>
      <c r="BD16" s="279"/>
      <c r="BE16" s="279"/>
      <c r="BF16" s="279"/>
      <c r="BG16" s="279"/>
      <c r="BH16" s="279"/>
      <c r="BI16" s="279"/>
      <c r="BJ16" s="279"/>
      <c r="BK16" s="279"/>
      <c r="BL16" s="561"/>
      <c r="BM16" s="561"/>
      <c r="BN16" s="863"/>
      <c r="BO16" s="561"/>
      <c r="BP16" s="561"/>
      <c r="BQ16" s="863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</row>
    <row r="17" spans="1:149" s="21" customFormat="1">
      <c r="A17" s="102">
        <v>10</v>
      </c>
      <c r="B17" s="82" t="s">
        <v>101</v>
      </c>
      <c r="C17" s="749">
        <f>'2-1-13 SIS'!S16</f>
        <v>32046</v>
      </c>
      <c r="D17" s="749">
        <f>'[6]2-1-13-Supreme Court Ruling'!AE15</f>
        <v>18965</v>
      </c>
      <c r="E17" s="749">
        <f t="shared" si="12"/>
        <v>4172</v>
      </c>
      <c r="F17" s="749">
        <f>'[7]CTE-Oct 2012-Supreme Court'!AC16</f>
        <v>8022.5</v>
      </c>
      <c r="G17" s="749">
        <f t="shared" si="13"/>
        <v>481</v>
      </c>
      <c r="H17" s="749">
        <f>'[8]SWD 2-1-13 Supreme Court'!Z15</f>
        <v>4952</v>
      </c>
      <c r="I17" s="749">
        <f t="shared" si="27"/>
        <v>7428</v>
      </c>
      <c r="J17" s="749">
        <f>'[9]GT_PS-12th Supreme Court'!T14</f>
        <v>1285</v>
      </c>
      <c r="K17" s="749">
        <f t="shared" si="28"/>
        <v>771</v>
      </c>
      <c r="L17" s="19">
        <f t="shared" si="14"/>
        <v>0</v>
      </c>
      <c r="M17" s="66">
        <f t="shared" si="15"/>
        <v>0</v>
      </c>
      <c r="N17" s="19">
        <f t="shared" si="16"/>
        <v>0</v>
      </c>
      <c r="O17" s="19">
        <f t="shared" si="29"/>
        <v>12852</v>
      </c>
      <c r="P17" s="13">
        <f t="shared" si="17"/>
        <v>44898</v>
      </c>
      <c r="Q17" s="388">
        <f t="shared" si="30"/>
        <v>3855</v>
      </c>
      <c r="R17" s="388">
        <f t="shared" si="18"/>
        <v>173081790</v>
      </c>
      <c r="S17" s="388">
        <f>'Table 6 (Local Deduct Calc.)'!J18</f>
        <v>63684463</v>
      </c>
      <c r="T17" s="388">
        <f t="shared" si="31"/>
        <v>63684463</v>
      </c>
      <c r="U17" s="389">
        <f t="shared" si="32"/>
        <v>109397327</v>
      </c>
      <c r="V17" s="390">
        <f t="shared" si="52"/>
        <v>0.6321</v>
      </c>
      <c r="W17" s="391">
        <f t="shared" si="33"/>
        <v>0.3679</v>
      </c>
      <c r="X17" s="392">
        <f t="shared" si="19"/>
        <v>1987.2827497971666</v>
      </c>
      <c r="Y17" s="388">
        <f>'Table 7 Local Revenue'!AQ17</f>
        <v>142522641</v>
      </c>
      <c r="Z17" s="735">
        <f>IF(Y17-T17&gt;0,Y17-T17,0)</f>
        <v>78838178</v>
      </c>
      <c r="AA17" s="280">
        <f t="shared" si="35"/>
        <v>0</v>
      </c>
      <c r="AB17" s="20">
        <f t="shared" si="36"/>
        <v>58847808.600000001</v>
      </c>
      <c r="AC17" s="20">
        <f t="shared" si="37"/>
        <v>58847808.600000001</v>
      </c>
      <c r="AD17" s="388">
        <f t="shared" si="38"/>
        <v>37238187.108376801</v>
      </c>
      <c r="AE17" s="393">
        <f t="shared" si="39"/>
        <v>21609621.4916232</v>
      </c>
      <c r="AF17" s="273">
        <f t="shared" si="40"/>
        <v>0.36720000000000003</v>
      </c>
      <c r="AG17" s="393">
        <f t="shared" si="41"/>
        <v>131006948.49162319</v>
      </c>
      <c r="AH17" s="20">
        <f t="shared" si="20"/>
        <v>4088</v>
      </c>
      <c r="AI17" s="393">
        <f>'Table 4 Level 3'!O15</f>
        <v>5303855</v>
      </c>
      <c r="AJ17" s="20">
        <f t="shared" si="21"/>
        <v>165.50755164451101</v>
      </c>
      <c r="AK17" s="393">
        <f t="shared" si="42"/>
        <v>136310803.49162319</v>
      </c>
      <c r="AL17" s="20">
        <f t="shared" si="22"/>
        <v>4253.5980618992444</v>
      </c>
      <c r="AM17" s="501">
        <f>'Table 4 Level 3'!R15</f>
        <v>24789104.840000004</v>
      </c>
      <c r="AN17" s="502">
        <f t="shared" si="23"/>
        <v>773.54755164451115</v>
      </c>
      <c r="AO17" s="393">
        <f t="shared" si="43"/>
        <v>155796053.3316232</v>
      </c>
      <c r="AP17" s="20">
        <f t="shared" si="24"/>
        <v>4861.6380618992443</v>
      </c>
      <c r="AQ17" s="273">
        <f t="shared" si="44"/>
        <v>0.5597563717954237</v>
      </c>
      <c r="AR17" s="394">
        <f t="shared" si="45"/>
        <v>51</v>
      </c>
      <c r="AS17" s="20">
        <f t="shared" si="46"/>
        <v>122532271.59999999</v>
      </c>
      <c r="AT17" s="20">
        <f t="shared" si="25"/>
        <v>3823.64</v>
      </c>
      <c r="AU17" s="394">
        <f t="shared" si="47"/>
        <v>22</v>
      </c>
      <c r="AV17" s="273">
        <f t="shared" si="48"/>
        <v>0.44024362820457613</v>
      </c>
      <c r="AW17" s="394">
        <f t="shared" si="49"/>
        <v>278328324.93162322</v>
      </c>
      <c r="AX17" s="395">
        <f t="shared" si="26"/>
        <v>8685.2750711983772</v>
      </c>
      <c r="AY17" s="394">
        <f t="shared" si="50"/>
        <v>40</v>
      </c>
      <c r="AZ17" s="1077">
        <v>155645604.21761</v>
      </c>
      <c r="BA17" s="280">
        <f t="shared" si="51"/>
        <v>150449.11401319504</v>
      </c>
      <c r="BB17" s="1080"/>
      <c r="BC17" s="280"/>
      <c r="BD17" s="280"/>
      <c r="BE17" s="280"/>
      <c r="BF17" s="280"/>
      <c r="BG17" s="280"/>
      <c r="BH17" s="280"/>
      <c r="BI17" s="280"/>
      <c r="BJ17" s="280"/>
      <c r="BK17" s="280"/>
      <c r="BL17" s="82"/>
      <c r="BM17" s="82"/>
      <c r="BN17" s="862"/>
      <c r="BO17" s="82"/>
      <c r="BP17" s="82"/>
      <c r="BQ17" s="862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</row>
    <row r="18" spans="1:149" s="5" customFormat="1">
      <c r="A18" s="101">
        <v>11</v>
      </c>
      <c r="B18" s="81" t="s">
        <v>102</v>
      </c>
      <c r="C18" s="579">
        <f>'2-1-13 SIS'!S17</f>
        <v>1552</v>
      </c>
      <c r="D18" s="579">
        <f>'[6]2-1-13-Supreme Court Ruling'!AE16</f>
        <v>1038</v>
      </c>
      <c r="E18" s="579">
        <f t="shared" si="12"/>
        <v>228</v>
      </c>
      <c r="F18" s="579">
        <f>'[7]CTE-Oct 2012-Supreme Court'!AC17</f>
        <v>623.5</v>
      </c>
      <c r="G18" s="579">
        <f t="shared" si="13"/>
        <v>37</v>
      </c>
      <c r="H18" s="1157">
        <f>'[8]SWD 2-1-13 Supreme Court'!Z16</f>
        <v>303</v>
      </c>
      <c r="I18" s="1157">
        <f t="shared" si="27"/>
        <v>454.5</v>
      </c>
      <c r="J18" s="1157">
        <f>'[9]GT_PS-12th Supreme Court'!T15</f>
        <v>27</v>
      </c>
      <c r="K18" s="1157">
        <f t="shared" si="28"/>
        <v>16.2</v>
      </c>
      <c r="L18" s="13">
        <f t="shared" si="14"/>
        <v>5948</v>
      </c>
      <c r="M18" s="65">
        <f t="shared" si="15"/>
        <v>0.15861</v>
      </c>
      <c r="N18" s="13">
        <f t="shared" si="16"/>
        <v>246</v>
      </c>
      <c r="O18" s="13">
        <f t="shared" si="29"/>
        <v>981.7</v>
      </c>
      <c r="P18" s="36">
        <f t="shared" si="17"/>
        <v>2533.6999999999998</v>
      </c>
      <c r="Q18" s="381">
        <f t="shared" si="30"/>
        <v>3855</v>
      </c>
      <c r="R18" s="381">
        <f t="shared" si="18"/>
        <v>9767414</v>
      </c>
      <c r="S18" s="381">
        <f>'Table 6 (Local Deduct Calc.)'!J19</f>
        <v>1693838.5</v>
      </c>
      <c r="T18" s="381">
        <f t="shared" si="31"/>
        <v>1693838.5</v>
      </c>
      <c r="U18" s="382">
        <f t="shared" si="32"/>
        <v>8073575.5</v>
      </c>
      <c r="V18" s="383">
        <f t="shared" si="52"/>
        <v>0.8266</v>
      </c>
      <c r="W18" s="383">
        <f t="shared" si="33"/>
        <v>0.1734</v>
      </c>
      <c r="X18" s="384">
        <f t="shared" si="19"/>
        <v>1091.3907860824743</v>
      </c>
      <c r="Y18" s="381">
        <f>'Table 7 Local Revenue'!AQ18</f>
        <v>5529175.5</v>
      </c>
      <c r="Z18" s="381">
        <f t="shared" si="34"/>
        <v>3835337</v>
      </c>
      <c r="AA18" s="279">
        <f t="shared" si="35"/>
        <v>0</v>
      </c>
      <c r="AB18" s="14">
        <f t="shared" si="36"/>
        <v>3320920.7600000002</v>
      </c>
      <c r="AC18" s="14">
        <f t="shared" si="37"/>
        <v>3320920.7600000002</v>
      </c>
      <c r="AD18" s="381">
        <f t="shared" si="38"/>
        <v>990457.97482848016</v>
      </c>
      <c r="AE18" s="385">
        <f t="shared" si="39"/>
        <v>2330462.78517152</v>
      </c>
      <c r="AF18" s="16">
        <f t="shared" si="40"/>
        <v>0.70179999999999998</v>
      </c>
      <c r="AG18" s="385">
        <f t="shared" si="41"/>
        <v>10404038.28517152</v>
      </c>
      <c r="AH18" s="14">
        <f t="shared" si="20"/>
        <v>6704</v>
      </c>
      <c r="AI18" s="385">
        <f>'Table 4 Level 3'!O16</f>
        <v>231684</v>
      </c>
      <c r="AJ18" s="14">
        <f t="shared" si="21"/>
        <v>149.28092783505156</v>
      </c>
      <c r="AK18" s="385">
        <f t="shared" si="42"/>
        <v>10635722.28517152</v>
      </c>
      <c r="AL18" s="14">
        <f t="shared" si="22"/>
        <v>6852.9138435383502</v>
      </c>
      <c r="AM18" s="499">
        <f>'Table 4 Level 3'!R16</f>
        <v>1328249.5999999999</v>
      </c>
      <c r="AN18" s="500">
        <f t="shared" si="23"/>
        <v>855.83092783505151</v>
      </c>
      <c r="AO18" s="385">
        <f t="shared" si="43"/>
        <v>11732287.88517152</v>
      </c>
      <c r="AP18" s="14">
        <f t="shared" si="24"/>
        <v>7559.4638435383504</v>
      </c>
      <c r="AQ18" s="16">
        <f t="shared" si="44"/>
        <v>0.70055859898586081</v>
      </c>
      <c r="AR18" s="386">
        <f t="shared" si="45"/>
        <v>16</v>
      </c>
      <c r="AS18" s="14">
        <f t="shared" si="46"/>
        <v>5014759.26</v>
      </c>
      <c r="AT18" s="14">
        <f t="shared" si="25"/>
        <v>3231.16</v>
      </c>
      <c r="AU18" s="386">
        <f t="shared" si="47"/>
        <v>35</v>
      </c>
      <c r="AV18" s="16">
        <f t="shared" si="48"/>
        <v>0.29944140101413919</v>
      </c>
      <c r="AW18" s="386">
        <f t="shared" si="49"/>
        <v>16747047.145171519</v>
      </c>
      <c r="AX18" s="387">
        <f t="shared" si="26"/>
        <v>10790.623160548659</v>
      </c>
      <c r="AY18" s="386">
        <f t="shared" si="50"/>
        <v>1</v>
      </c>
      <c r="AZ18" s="1076">
        <v>11743394.40289057</v>
      </c>
      <c r="BA18" s="279">
        <f t="shared" si="51"/>
        <v>-11106.517719050869</v>
      </c>
      <c r="BB18" s="1081"/>
      <c r="BC18" s="279"/>
      <c r="BD18" s="279"/>
      <c r="BE18" s="279"/>
      <c r="BF18" s="279"/>
      <c r="BG18" s="279"/>
      <c r="BH18" s="279"/>
      <c r="BI18" s="279"/>
      <c r="BJ18" s="279"/>
      <c r="BK18" s="279"/>
      <c r="BL18" s="81"/>
      <c r="BM18" s="81"/>
      <c r="BN18" s="861"/>
      <c r="BO18" s="81"/>
      <c r="BP18" s="81"/>
      <c r="BQ18" s="861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</row>
    <row r="19" spans="1:149" s="5" customFormat="1">
      <c r="A19" s="101">
        <v>12</v>
      </c>
      <c r="B19" s="81" t="s">
        <v>103</v>
      </c>
      <c r="C19" s="579">
        <f>'2-1-13 SIS'!S18</f>
        <v>1213</v>
      </c>
      <c r="D19" s="579">
        <f>'[6]2-1-13-Supreme Court Ruling'!AE17</f>
        <v>559</v>
      </c>
      <c r="E19" s="579">
        <f t="shared" si="12"/>
        <v>123</v>
      </c>
      <c r="F19" s="579">
        <f>'[7]CTE-Oct 2012-Supreme Court'!AC18</f>
        <v>513</v>
      </c>
      <c r="G19" s="579">
        <f t="shared" si="13"/>
        <v>31</v>
      </c>
      <c r="H19" s="1157">
        <f>'[8]SWD 2-1-13 Supreme Court'!Z17</f>
        <v>148</v>
      </c>
      <c r="I19" s="1157">
        <f t="shared" si="27"/>
        <v>222</v>
      </c>
      <c r="J19" s="1157">
        <f>'[9]GT_PS-12th Supreme Court'!T16</f>
        <v>91</v>
      </c>
      <c r="K19" s="1157">
        <f t="shared" si="28"/>
        <v>54.6</v>
      </c>
      <c r="L19" s="13">
        <f t="shared" si="14"/>
        <v>6287</v>
      </c>
      <c r="M19" s="65">
        <f t="shared" si="15"/>
        <v>0.16764999999999999</v>
      </c>
      <c r="N19" s="13">
        <f t="shared" si="16"/>
        <v>203</v>
      </c>
      <c r="O19" s="13">
        <f t="shared" si="29"/>
        <v>633.6</v>
      </c>
      <c r="P19" s="13">
        <f t="shared" si="17"/>
        <v>1846.6</v>
      </c>
      <c r="Q19" s="381">
        <f t="shared" si="30"/>
        <v>3855</v>
      </c>
      <c r="R19" s="381">
        <f t="shared" si="18"/>
        <v>7118643</v>
      </c>
      <c r="S19" s="381">
        <f>'Table 6 (Local Deduct Calc.)'!J20</f>
        <v>5236493.5</v>
      </c>
      <c r="T19" s="381">
        <f t="shared" si="31"/>
        <v>5236493.5</v>
      </c>
      <c r="U19" s="382">
        <f t="shared" si="32"/>
        <v>1882149.5</v>
      </c>
      <c r="V19" s="383">
        <f t="shared" si="52"/>
        <v>0.26440000000000002</v>
      </c>
      <c r="W19" s="383">
        <f t="shared" si="33"/>
        <v>0.73560000000000003</v>
      </c>
      <c r="X19" s="384">
        <f t="shared" si="19"/>
        <v>4316.9773289365212</v>
      </c>
      <c r="Y19" s="381">
        <f>'Table 7 Local Revenue'!AQ19</f>
        <v>14809096.5</v>
      </c>
      <c r="Z19" s="381">
        <f t="shared" si="34"/>
        <v>9572603</v>
      </c>
      <c r="AA19" s="279">
        <f t="shared" si="35"/>
        <v>0</v>
      </c>
      <c r="AB19" s="14">
        <f t="shared" si="36"/>
        <v>2420338.62</v>
      </c>
      <c r="AC19" s="14">
        <f t="shared" si="37"/>
        <v>2420338.62</v>
      </c>
      <c r="AD19" s="381">
        <f t="shared" si="38"/>
        <v>3062289.8728598403</v>
      </c>
      <c r="AE19" s="385">
        <f t="shared" si="39"/>
        <v>0</v>
      </c>
      <c r="AF19" s="16">
        <f t="shared" si="40"/>
        <v>0</v>
      </c>
      <c r="AG19" s="385">
        <f t="shared" si="41"/>
        <v>1882149.5</v>
      </c>
      <c r="AH19" s="14">
        <f t="shared" si="20"/>
        <v>1552</v>
      </c>
      <c r="AI19" s="385">
        <f>'Table 4 Level 3'!O17</f>
        <v>221078</v>
      </c>
      <c r="AJ19" s="14">
        <f t="shared" si="21"/>
        <v>182.25721352019787</v>
      </c>
      <c r="AK19" s="385">
        <f t="shared" si="42"/>
        <v>2103227.5</v>
      </c>
      <c r="AL19" s="14">
        <f t="shared" si="22"/>
        <v>1733.9056059356967</v>
      </c>
      <c r="AM19" s="499">
        <f>'Table 4 Level 3'!R17</f>
        <v>1510873.03</v>
      </c>
      <c r="AN19" s="500">
        <f t="shared" si="23"/>
        <v>1245.5672135201978</v>
      </c>
      <c r="AO19" s="385">
        <f t="shared" si="43"/>
        <v>3393022.5300000003</v>
      </c>
      <c r="AP19" s="14">
        <f t="shared" si="24"/>
        <v>2797.2156059356967</v>
      </c>
      <c r="AQ19" s="16">
        <f t="shared" si="44"/>
        <v>0.30706490152791288</v>
      </c>
      <c r="AR19" s="386">
        <f t="shared" si="45"/>
        <v>66</v>
      </c>
      <c r="AS19" s="14">
        <f t="shared" si="46"/>
        <v>7656832.1200000001</v>
      </c>
      <c r="AT19" s="14">
        <f t="shared" si="25"/>
        <v>6312.31</v>
      </c>
      <c r="AU19" s="386">
        <f t="shared" si="47"/>
        <v>2</v>
      </c>
      <c r="AV19" s="16">
        <f t="shared" si="48"/>
        <v>0.69293509847208712</v>
      </c>
      <c r="AW19" s="386">
        <f t="shared" si="49"/>
        <v>11049854.65</v>
      </c>
      <c r="AX19" s="387">
        <f t="shared" si="26"/>
        <v>9109.5256801319047</v>
      </c>
      <c r="AY19" s="386">
        <f t="shared" si="50"/>
        <v>21</v>
      </c>
      <c r="AZ19" s="1076">
        <v>3484419.588</v>
      </c>
      <c r="BA19" s="279">
        <f t="shared" si="51"/>
        <v>-91397.057999999728</v>
      </c>
      <c r="BB19" s="1081"/>
      <c r="BC19" s="279"/>
      <c r="BD19" s="279"/>
      <c r="BE19" s="279"/>
      <c r="BF19" s="279"/>
      <c r="BG19" s="279"/>
      <c r="BH19" s="279"/>
      <c r="BI19" s="279"/>
      <c r="BJ19" s="279"/>
      <c r="BK19" s="279"/>
      <c r="BL19" s="81"/>
      <c r="BM19" s="81"/>
      <c r="BN19" s="861"/>
      <c r="BO19" s="81"/>
      <c r="BP19" s="81"/>
      <c r="BQ19" s="861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</row>
    <row r="20" spans="1:149" s="5" customFormat="1">
      <c r="A20" s="101">
        <v>13</v>
      </c>
      <c r="B20" s="81" t="s">
        <v>104</v>
      </c>
      <c r="C20" s="579">
        <f>'2-1-13 SIS'!S19</f>
        <v>1516</v>
      </c>
      <c r="D20" s="579">
        <f>'[6]2-1-13-Supreme Court Ruling'!AE18</f>
        <v>1160</v>
      </c>
      <c r="E20" s="579">
        <f t="shared" si="12"/>
        <v>255</v>
      </c>
      <c r="F20" s="579">
        <f>'[7]CTE-Oct 2012-Supreme Court'!AC19</f>
        <v>729</v>
      </c>
      <c r="G20" s="579">
        <f t="shared" si="13"/>
        <v>44</v>
      </c>
      <c r="H20" s="1157">
        <f>'[8]SWD 2-1-13 Supreme Court'!Z18</f>
        <v>170</v>
      </c>
      <c r="I20" s="1157">
        <f t="shared" si="27"/>
        <v>255</v>
      </c>
      <c r="J20" s="1157">
        <f>'[9]GT_PS-12th Supreme Court'!T17</f>
        <v>30</v>
      </c>
      <c r="K20" s="1157">
        <f t="shared" si="28"/>
        <v>18</v>
      </c>
      <c r="L20" s="13">
        <f t="shared" si="14"/>
        <v>5984</v>
      </c>
      <c r="M20" s="65">
        <f t="shared" si="15"/>
        <v>0.15956999999999999</v>
      </c>
      <c r="N20" s="13">
        <f t="shared" si="16"/>
        <v>242</v>
      </c>
      <c r="O20" s="13">
        <f t="shared" si="29"/>
        <v>814</v>
      </c>
      <c r="P20" s="13">
        <f t="shared" si="17"/>
        <v>2330</v>
      </c>
      <c r="Q20" s="381">
        <f t="shared" si="30"/>
        <v>3855</v>
      </c>
      <c r="R20" s="381">
        <f t="shared" si="18"/>
        <v>8982150</v>
      </c>
      <c r="S20" s="381">
        <f>'Table 6 (Local Deduct Calc.)'!J21</f>
        <v>1449979.5</v>
      </c>
      <c r="T20" s="381">
        <f t="shared" si="31"/>
        <v>1449979.5</v>
      </c>
      <c r="U20" s="382">
        <f t="shared" si="32"/>
        <v>7532170.5</v>
      </c>
      <c r="V20" s="383">
        <f t="shared" si="52"/>
        <v>0.83860000000000001</v>
      </c>
      <c r="W20" s="383">
        <f t="shared" si="33"/>
        <v>0.16139999999999999</v>
      </c>
      <c r="X20" s="384">
        <f t="shared" si="19"/>
        <v>956.45085751978888</v>
      </c>
      <c r="Y20" s="381">
        <f>'Table 7 Local Revenue'!AQ20</f>
        <v>3834794.5</v>
      </c>
      <c r="Z20" s="381">
        <f t="shared" si="34"/>
        <v>2384815</v>
      </c>
      <c r="AA20" s="279">
        <f t="shared" si="35"/>
        <v>0</v>
      </c>
      <c r="AB20" s="14">
        <f t="shared" si="36"/>
        <v>3053931</v>
      </c>
      <c r="AC20" s="14">
        <f t="shared" si="37"/>
        <v>2384815</v>
      </c>
      <c r="AD20" s="381">
        <f t="shared" si="38"/>
        <v>662043.72251999995</v>
      </c>
      <c r="AE20" s="385">
        <f t="shared" si="39"/>
        <v>1722771.2774800002</v>
      </c>
      <c r="AF20" s="16">
        <f t="shared" si="40"/>
        <v>0.72240000000000004</v>
      </c>
      <c r="AG20" s="385">
        <f t="shared" si="41"/>
        <v>9254941.7774800006</v>
      </c>
      <c r="AH20" s="14">
        <f t="shared" si="20"/>
        <v>6105</v>
      </c>
      <c r="AI20" s="385">
        <f>'Table 4 Level 3'!O18</f>
        <v>226310</v>
      </c>
      <c r="AJ20" s="14">
        <f t="shared" si="21"/>
        <v>149.28100263852244</v>
      </c>
      <c r="AK20" s="385">
        <f t="shared" si="42"/>
        <v>9481251.7774800006</v>
      </c>
      <c r="AL20" s="14">
        <f t="shared" si="22"/>
        <v>6254.1238637730876</v>
      </c>
      <c r="AM20" s="499">
        <f>'Table 4 Level 3'!R18</f>
        <v>1362445.8800000001</v>
      </c>
      <c r="AN20" s="500">
        <f t="shared" si="23"/>
        <v>898.71100263852247</v>
      </c>
      <c r="AO20" s="385">
        <f t="shared" si="43"/>
        <v>10617387.657480001</v>
      </c>
      <c r="AP20" s="14">
        <f t="shared" si="24"/>
        <v>7003.5538637730879</v>
      </c>
      <c r="AQ20" s="16">
        <f t="shared" si="44"/>
        <v>0.73465636827617553</v>
      </c>
      <c r="AR20" s="386">
        <f t="shared" si="45"/>
        <v>11</v>
      </c>
      <c r="AS20" s="14">
        <f t="shared" si="46"/>
        <v>3834794.5</v>
      </c>
      <c r="AT20" s="14">
        <f t="shared" si="25"/>
        <v>2529.5500000000002</v>
      </c>
      <c r="AU20" s="386">
        <f t="shared" si="47"/>
        <v>56</v>
      </c>
      <c r="AV20" s="16">
        <f t="shared" si="48"/>
        <v>0.26534363172382441</v>
      </c>
      <c r="AW20" s="386">
        <f t="shared" si="49"/>
        <v>14452182.157480001</v>
      </c>
      <c r="AX20" s="387">
        <f t="shared" si="26"/>
        <v>9533.1016869920859</v>
      </c>
      <c r="AY20" s="386">
        <f t="shared" si="50"/>
        <v>9</v>
      </c>
      <c r="AZ20" s="1076">
        <v>10442244.713172</v>
      </c>
      <c r="BA20" s="279">
        <f t="shared" si="51"/>
        <v>175142.94430800155</v>
      </c>
      <c r="BB20" s="1079"/>
      <c r="BC20" s="279"/>
      <c r="BD20" s="279"/>
      <c r="BE20" s="279"/>
      <c r="BF20" s="279"/>
      <c r="BG20" s="279"/>
      <c r="BH20" s="279"/>
      <c r="BI20" s="279"/>
      <c r="BJ20" s="279"/>
      <c r="BK20" s="279"/>
      <c r="BL20" s="81"/>
      <c r="BM20" s="81"/>
      <c r="BN20" s="861"/>
      <c r="BO20" s="81"/>
      <c r="BP20" s="81"/>
      <c r="BQ20" s="861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</row>
    <row r="21" spans="1:149" s="5" customFormat="1">
      <c r="A21" s="101">
        <v>14</v>
      </c>
      <c r="B21" s="81" t="s">
        <v>105</v>
      </c>
      <c r="C21" s="579">
        <f>'2-1-13 SIS'!S20</f>
        <v>1870</v>
      </c>
      <c r="D21" s="579">
        <f>'[6]2-1-13-Supreme Court Ruling'!AE19</f>
        <v>1492</v>
      </c>
      <c r="E21" s="579">
        <f t="shared" si="12"/>
        <v>328</v>
      </c>
      <c r="F21" s="579">
        <f>'[7]CTE-Oct 2012-Supreme Court'!AC20</f>
        <v>518</v>
      </c>
      <c r="G21" s="579">
        <f t="shared" si="13"/>
        <v>31</v>
      </c>
      <c r="H21" s="1157">
        <f>'[8]SWD 2-1-13 Supreme Court'!Z19</f>
        <v>347</v>
      </c>
      <c r="I21" s="1157">
        <f t="shared" si="27"/>
        <v>520.5</v>
      </c>
      <c r="J21" s="1157">
        <f>'[9]GT_PS-12th Supreme Court'!T18</f>
        <v>104</v>
      </c>
      <c r="K21" s="1157">
        <f t="shared" si="28"/>
        <v>62.4</v>
      </c>
      <c r="L21" s="13">
        <f t="shared" si="14"/>
        <v>5630</v>
      </c>
      <c r="M21" s="65">
        <f t="shared" si="15"/>
        <v>0.15013000000000001</v>
      </c>
      <c r="N21" s="13">
        <f t="shared" si="16"/>
        <v>281</v>
      </c>
      <c r="O21" s="13">
        <f t="shared" si="29"/>
        <v>1222.9000000000001</v>
      </c>
      <c r="P21" s="13">
        <f t="shared" si="17"/>
        <v>3092.9</v>
      </c>
      <c r="Q21" s="381">
        <f t="shared" si="30"/>
        <v>3855</v>
      </c>
      <c r="R21" s="381">
        <f t="shared" si="18"/>
        <v>11923130</v>
      </c>
      <c r="S21" s="381">
        <f>'Table 6 (Local Deduct Calc.)'!J22</f>
        <v>3824486</v>
      </c>
      <c r="T21" s="381">
        <f t="shared" si="31"/>
        <v>3824486</v>
      </c>
      <c r="U21" s="382">
        <f t="shared" si="32"/>
        <v>8098644</v>
      </c>
      <c r="V21" s="383">
        <f t="shared" si="52"/>
        <v>0.67920000000000003</v>
      </c>
      <c r="W21" s="383">
        <f t="shared" si="33"/>
        <v>0.32079999999999997</v>
      </c>
      <c r="X21" s="384">
        <f t="shared" si="19"/>
        <v>2045.1796791443851</v>
      </c>
      <c r="Y21" s="381">
        <f>'Table 7 Local Revenue'!AQ21</f>
        <v>7570178</v>
      </c>
      <c r="Z21" s="381">
        <f t="shared" si="34"/>
        <v>3745692</v>
      </c>
      <c r="AA21" s="279">
        <f t="shared" si="35"/>
        <v>0</v>
      </c>
      <c r="AB21" s="14">
        <f t="shared" si="36"/>
        <v>4053864.2</v>
      </c>
      <c r="AC21" s="14">
        <f t="shared" si="37"/>
        <v>3745692</v>
      </c>
      <c r="AD21" s="381">
        <f t="shared" si="38"/>
        <v>2066782.9489919997</v>
      </c>
      <c r="AE21" s="385">
        <f t="shared" si="39"/>
        <v>1678909.0510080003</v>
      </c>
      <c r="AF21" s="16">
        <f t="shared" si="40"/>
        <v>0.44819999999999999</v>
      </c>
      <c r="AG21" s="385">
        <f t="shared" si="41"/>
        <v>9777553.051008001</v>
      </c>
      <c r="AH21" s="14">
        <f t="shared" si="20"/>
        <v>5229</v>
      </c>
      <c r="AI21" s="385">
        <f>'Table 4 Level 3'!O19</f>
        <v>279155</v>
      </c>
      <c r="AJ21" s="14">
        <f t="shared" si="21"/>
        <v>149.2807486631016</v>
      </c>
      <c r="AK21" s="385">
        <f t="shared" si="42"/>
        <v>10056708.051008001</v>
      </c>
      <c r="AL21" s="14">
        <f t="shared" si="22"/>
        <v>5377.9187438545459</v>
      </c>
      <c r="AM21" s="499">
        <f>'Table 4 Level 3'!R19</f>
        <v>1793817.5999999999</v>
      </c>
      <c r="AN21" s="500">
        <f t="shared" si="23"/>
        <v>959.26074866310148</v>
      </c>
      <c r="AO21" s="385">
        <f t="shared" si="43"/>
        <v>11571370.651008001</v>
      </c>
      <c r="AP21" s="14">
        <f t="shared" si="24"/>
        <v>6187.8987438545455</v>
      </c>
      <c r="AQ21" s="16">
        <f t="shared" si="44"/>
        <v>0.6045159073583446</v>
      </c>
      <c r="AR21" s="386">
        <f t="shared" si="45"/>
        <v>42</v>
      </c>
      <c r="AS21" s="14">
        <f t="shared" si="46"/>
        <v>7570178</v>
      </c>
      <c r="AT21" s="14">
        <f t="shared" si="25"/>
        <v>4048.22</v>
      </c>
      <c r="AU21" s="386">
        <f t="shared" si="47"/>
        <v>18</v>
      </c>
      <c r="AV21" s="16">
        <f t="shared" si="48"/>
        <v>0.39548409264165524</v>
      </c>
      <c r="AW21" s="386">
        <f t="shared" si="49"/>
        <v>19141548.651008002</v>
      </c>
      <c r="AX21" s="387">
        <f t="shared" si="26"/>
        <v>10236.122273266312</v>
      </c>
      <c r="AY21" s="386">
        <f t="shared" si="50"/>
        <v>4</v>
      </c>
      <c r="AZ21" s="1076">
        <v>11919638.323311999</v>
      </c>
      <c r="BA21" s="279">
        <f t="shared" si="51"/>
        <v>-348267.67230399884</v>
      </c>
      <c r="BB21" s="1079"/>
      <c r="BC21" s="279"/>
      <c r="BD21" s="279"/>
      <c r="BE21" s="279"/>
      <c r="BF21" s="279"/>
      <c r="BG21" s="279"/>
      <c r="BH21" s="279"/>
      <c r="BI21" s="279"/>
      <c r="BJ21" s="279"/>
      <c r="BK21" s="279"/>
      <c r="BL21" s="81"/>
      <c r="BM21" s="81"/>
      <c r="BN21" s="861"/>
      <c r="BO21" s="81"/>
      <c r="BP21" s="81"/>
      <c r="BQ21" s="86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</row>
    <row r="22" spans="1:149" s="21" customFormat="1">
      <c r="A22" s="102">
        <v>15</v>
      </c>
      <c r="B22" s="82" t="s">
        <v>106</v>
      </c>
      <c r="C22" s="749">
        <f>'2-1-13 SIS'!S21</f>
        <v>3627</v>
      </c>
      <c r="D22" s="749">
        <f>'[6]2-1-13-Supreme Court Ruling'!AE20</f>
        <v>2783</v>
      </c>
      <c r="E22" s="749">
        <f t="shared" si="12"/>
        <v>612</v>
      </c>
      <c r="F22" s="749">
        <f>'[7]CTE-Oct 2012-Supreme Court'!AC21</f>
        <v>1246.5</v>
      </c>
      <c r="G22" s="749">
        <f t="shared" si="13"/>
        <v>75</v>
      </c>
      <c r="H22" s="749">
        <f>'[8]SWD 2-1-13 Supreme Court'!Z20</f>
        <v>356</v>
      </c>
      <c r="I22" s="749">
        <f t="shared" si="27"/>
        <v>534</v>
      </c>
      <c r="J22" s="749">
        <f>'[9]GT_PS-12th Supreme Court'!T19</f>
        <v>83</v>
      </c>
      <c r="K22" s="749">
        <f t="shared" si="28"/>
        <v>49.8</v>
      </c>
      <c r="L22" s="19">
        <f t="shared" si="14"/>
        <v>3873</v>
      </c>
      <c r="M22" s="66">
        <f t="shared" si="15"/>
        <v>0.10328</v>
      </c>
      <c r="N22" s="19">
        <f t="shared" si="16"/>
        <v>375</v>
      </c>
      <c r="O22" s="19">
        <f t="shared" si="29"/>
        <v>1645.8</v>
      </c>
      <c r="P22" s="13">
        <f t="shared" si="17"/>
        <v>5272.8</v>
      </c>
      <c r="Q22" s="388">
        <f t="shared" si="30"/>
        <v>3855</v>
      </c>
      <c r="R22" s="388">
        <f t="shared" si="18"/>
        <v>20326644</v>
      </c>
      <c r="S22" s="388">
        <f>'Table 6 (Local Deduct Calc.)'!J23</f>
        <v>4393616</v>
      </c>
      <c r="T22" s="388">
        <f t="shared" si="31"/>
        <v>4393616</v>
      </c>
      <c r="U22" s="389">
        <f t="shared" si="32"/>
        <v>15933028</v>
      </c>
      <c r="V22" s="390">
        <f t="shared" si="52"/>
        <v>0.78380000000000005</v>
      </c>
      <c r="W22" s="391">
        <f t="shared" si="33"/>
        <v>0.2162</v>
      </c>
      <c r="X22" s="392">
        <f t="shared" si="19"/>
        <v>1211.3636614281775</v>
      </c>
      <c r="Y22" s="388">
        <f>'Table 7 Local Revenue'!AQ22</f>
        <v>10198332</v>
      </c>
      <c r="Z22" s="388">
        <f t="shared" si="34"/>
        <v>5804716</v>
      </c>
      <c r="AA22" s="280">
        <f t="shared" si="35"/>
        <v>0</v>
      </c>
      <c r="AB22" s="20">
        <f t="shared" si="36"/>
        <v>6911058.9600000009</v>
      </c>
      <c r="AC22" s="20">
        <f t="shared" si="37"/>
        <v>5804716</v>
      </c>
      <c r="AD22" s="388">
        <f t="shared" si="38"/>
        <v>2158564.9106239998</v>
      </c>
      <c r="AE22" s="393">
        <f t="shared" si="39"/>
        <v>3646151.0893760002</v>
      </c>
      <c r="AF22" s="273">
        <f t="shared" si="40"/>
        <v>0.62809999999999999</v>
      </c>
      <c r="AG22" s="393">
        <f t="shared" si="41"/>
        <v>19579179.089375999</v>
      </c>
      <c r="AH22" s="20">
        <f t="shared" si="20"/>
        <v>5398</v>
      </c>
      <c r="AI22" s="393">
        <f>'Table 4 Level 3'!O20</f>
        <v>470025</v>
      </c>
      <c r="AJ22" s="20">
        <f t="shared" si="21"/>
        <v>129.59057071960297</v>
      </c>
      <c r="AK22" s="393">
        <f t="shared" si="42"/>
        <v>20049204.089375999</v>
      </c>
      <c r="AL22" s="20">
        <f t="shared" si="22"/>
        <v>5527.7651197617861</v>
      </c>
      <c r="AM22" s="501">
        <f>'Table 4 Level 3'!R20</f>
        <v>2478657.5999999996</v>
      </c>
      <c r="AN22" s="502">
        <f t="shared" si="23"/>
        <v>683.39057071960292</v>
      </c>
      <c r="AO22" s="393">
        <f t="shared" si="43"/>
        <v>22057836.689375997</v>
      </c>
      <c r="AP22" s="20">
        <f t="shared" si="24"/>
        <v>6081.5651197617854</v>
      </c>
      <c r="AQ22" s="273">
        <f t="shared" si="44"/>
        <v>0.68383312667387686</v>
      </c>
      <c r="AR22" s="394">
        <f t="shared" si="45"/>
        <v>22</v>
      </c>
      <c r="AS22" s="20">
        <f t="shared" si="46"/>
        <v>10198332</v>
      </c>
      <c r="AT22" s="20">
        <f t="shared" si="25"/>
        <v>2811.78</v>
      </c>
      <c r="AU22" s="394">
        <f t="shared" si="47"/>
        <v>52</v>
      </c>
      <c r="AV22" s="273">
        <f t="shared" si="48"/>
        <v>0.31616687332612314</v>
      </c>
      <c r="AW22" s="394">
        <f t="shared" si="49"/>
        <v>32256168.689375997</v>
      </c>
      <c r="AX22" s="395">
        <f t="shared" si="26"/>
        <v>8893.3467574789065</v>
      </c>
      <c r="AY22" s="394">
        <f t="shared" si="50"/>
        <v>31</v>
      </c>
      <c r="AZ22" s="1077">
        <v>21711191.832992002</v>
      </c>
      <c r="BA22" s="280">
        <f t="shared" si="51"/>
        <v>346644.85638399422</v>
      </c>
      <c r="BB22" s="1080"/>
      <c r="BC22" s="280"/>
      <c r="BD22" s="280"/>
      <c r="BE22" s="280"/>
      <c r="BF22" s="280"/>
      <c r="BG22" s="280"/>
      <c r="BH22" s="280"/>
      <c r="BI22" s="280"/>
      <c r="BJ22" s="280"/>
      <c r="BK22" s="280"/>
      <c r="BL22" s="82"/>
      <c r="BM22" s="82"/>
      <c r="BN22" s="862"/>
      <c r="BO22" s="82"/>
      <c r="BP22" s="82"/>
      <c r="BQ22" s="86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</row>
    <row r="23" spans="1:149" s="5" customFormat="1">
      <c r="A23" s="101">
        <v>16</v>
      </c>
      <c r="B23" s="81" t="s">
        <v>107</v>
      </c>
      <c r="C23" s="579">
        <f>'2-1-13 SIS'!S22</f>
        <v>4954</v>
      </c>
      <c r="D23" s="579">
        <f>'[6]2-1-13-Supreme Court Ruling'!AE21</f>
        <v>3183</v>
      </c>
      <c r="E23" s="579">
        <f t="shared" si="12"/>
        <v>700</v>
      </c>
      <c r="F23" s="579">
        <f>'[7]CTE-Oct 2012-Supreme Court'!AC22</f>
        <v>1918</v>
      </c>
      <c r="G23" s="579">
        <f t="shared" si="13"/>
        <v>115</v>
      </c>
      <c r="H23" s="1157">
        <f>'[8]SWD 2-1-13 Supreme Court'!Z21</f>
        <v>565</v>
      </c>
      <c r="I23" s="1157">
        <f t="shared" si="27"/>
        <v>847.5</v>
      </c>
      <c r="J23" s="1157">
        <f>'[9]GT_PS-12th Supreme Court'!T20</f>
        <v>210</v>
      </c>
      <c r="K23" s="1157">
        <f t="shared" si="28"/>
        <v>126</v>
      </c>
      <c r="L23" s="13">
        <f t="shared" si="14"/>
        <v>2546</v>
      </c>
      <c r="M23" s="65">
        <f t="shared" si="15"/>
        <v>6.7890000000000006E-2</v>
      </c>
      <c r="N23" s="13">
        <f t="shared" si="16"/>
        <v>336</v>
      </c>
      <c r="O23" s="13">
        <f t="shared" si="29"/>
        <v>2124.5</v>
      </c>
      <c r="P23" s="36">
        <f t="shared" si="17"/>
        <v>7078.5</v>
      </c>
      <c r="Q23" s="381">
        <f t="shared" si="30"/>
        <v>3855</v>
      </c>
      <c r="R23" s="381">
        <f t="shared" si="18"/>
        <v>27287618</v>
      </c>
      <c r="S23" s="381">
        <f>'Table 6 (Local Deduct Calc.)'!J24</f>
        <v>24494716.5</v>
      </c>
      <c r="T23" s="381">
        <f t="shared" si="31"/>
        <v>20465713.5</v>
      </c>
      <c r="U23" s="382">
        <f t="shared" si="32"/>
        <v>6821904.5</v>
      </c>
      <c r="V23" s="383">
        <f t="shared" si="52"/>
        <v>0.25</v>
      </c>
      <c r="W23" s="383">
        <f t="shared" si="33"/>
        <v>0.75</v>
      </c>
      <c r="X23" s="384">
        <f t="shared" si="19"/>
        <v>4131.1492733144933</v>
      </c>
      <c r="Y23" s="381">
        <f>'Table 7 Local Revenue'!AQ23</f>
        <v>76151542.5</v>
      </c>
      <c r="Z23" s="381">
        <f t="shared" si="34"/>
        <v>55685829</v>
      </c>
      <c r="AA23" s="279">
        <f t="shared" si="35"/>
        <v>0</v>
      </c>
      <c r="AB23" s="14">
        <f t="shared" si="36"/>
        <v>9277790.120000001</v>
      </c>
      <c r="AC23" s="14">
        <f t="shared" si="37"/>
        <v>9277790.120000001</v>
      </c>
      <c r="AD23" s="381">
        <f t="shared" si="38"/>
        <v>11968349.254800001</v>
      </c>
      <c r="AE23" s="385">
        <f t="shared" si="39"/>
        <v>0</v>
      </c>
      <c r="AF23" s="16">
        <f t="shared" si="40"/>
        <v>0</v>
      </c>
      <c r="AG23" s="385">
        <f t="shared" si="41"/>
        <v>6821904.5</v>
      </c>
      <c r="AH23" s="14">
        <f t="shared" si="20"/>
        <v>1377</v>
      </c>
      <c r="AI23" s="385">
        <f>'Table 4 Level 3'!O21</f>
        <v>759538</v>
      </c>
      <c r="AJ23" s="14">
        <f t="shared" si="21"/>
        <v>153.31812676624949</v>
      </c>
      <c r="AK23" s="385">
        <f t="shared" si="42"/>
        <v>7581442.5</v>
      </c>
      <c r="AL23" s="14">
        <f t="shared" si="22"/>
        <v>1530.3678845377474</v>
      </c>
      <c r="AM23" s="499">
        <f>'Table 4 Level 3'!R21</f>
        <v>4161598.42</v>
      </c>
      <c r="AN23" s="500">
        <f t="shared" si="23"/>
        <v>840.04812676624942</v>
      </c>
      <c r="AO23" s="385">
        <f t="shared" si="43"/>
        <v>10983502.92</v>
      </c>
      <c r="AP23" s="14">
        <f t="shared" si="24"/>
        <v>2217.0978845377472</v>
      </c>
      <c r="AQ23" s="16">
        <f t="shared" si="44"/>
        <v>0.26968598610881361</v>
      </c>
      <c r="AR23" s="386">
        <f t="shared" si="45"/>
        <v>69</v>
      </c>
      <c r="AS23" s="14">
        <f t="shared" si="46"/>
        <v>29743503.620000001</v>
      </c>
      <c r="AT23" s="14">
        <f t="shared" si="25"/>
        <v>6003.94</v>
      </c>
      <c r="AU23" s="386">
        <f t="shared" si="47"/>
        <v>4</v>
      </c>
      <c r="AV23" s="16">
        <f t="shared" si="48"/>
        <v>0.73031401389118644</v>
      </c>
      <c r="AW23" s="386">
        <f t="shared" si="49"/>
        <v>40727006.539999999</v>
      </c>
      <c r="AX23" s="387">
        <f t="shared" si="26"/>
        <v>8221.0348284214779</v>
      </c>
      <c r="AY23" s="386">
        <f t="shared" si="50"/>
        <v>59</v>
      </c>
      <c r="AZ23" s="1076">
        <v>10472884.838</v>
      </c>
      <c r="BA23" s="279">
        <f t="shared" si="51"/>
        <v>510618.0820000004</v>
      </c>
      <c r="BB23" s="1081"/>
      <c r="BC23" s="279"/>
      <c r="BD23" s="279"/>
      <c r="BE23" s="279"/>
      <c r="BF23" s="279"/>
      <c r="BG23" s="279"/>
      <c r="BH23" s="279"/>
      <c r="BI23" s="279"/>
      <c r="BJ23" s="279"/>
      <c r="BK23" s="279"/>
      <c r="BL23" s="81"/>
      <c r="BM23" s="81"/>
      <c r="BN23" s="861"/>
      <c r="BO23" s="81"/>
      <c r="BP23" s="81"/>
      <c r="BQ23" s="861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</row>
    <row r="24" spans="1:149" s="1097" customFormat="1">
      <c r="A24" s="1086">
        <v>17</v>
      </c>
      <c r="B24" s="579" t="s">
        <v>108</v>
      </c>
      <c r="C24" s="579">
        <f>'2-1-13 SIS'!S23</f>
        <v>43026</v>
      </c>
      <c r="D24" s="579">
        <f>'[6]2-1-13-Supreme Court Ruling'!AE22</f>
        <v>36413</v>
      </c>
      <c r="E24" s="579">
        <f t="shared" si="12"/>
        <v>8011</v>
      </c>
      <c r="F24" s="579">
        <f>'[7]CTE-Oct 2012-Supreme Court'!AC23</f>
        <v>15595.5</v>
      </c>
      <c r="G24" s="579">
        <f t="shared" si="13"/>
        <v>936</v>
      </c>
      <c r="H24" s="1157">
        <f>'[8]SWD 2-1-13 Supreme Court'!Z22+25</f>
        <v>4581</v>
      </c>
      <c r="I24" s="1157">
        <f t="shared" si="27"/>
        <v>6871.5</v>
      </c>
      <c r="J24" s="1157">
        <f>'[9]GT_PS-12th Supreme Court'!T21</f>
        <v>1973</v>
      </c>
      <c r="K24" s="1157">
        <f t="shared" si="28"/>
        <v>1183.8</v>
      </c>
      <c r="L24" s="579">
        <f t="shared" si="14"/>
        <v>0</v>
      </c>
      <c r="M24" s="1087">
        <f t="shared" si="15"/>
        <v>0</v>
      </c>
      <c r="N24" s="579">
        <f t="shared" si="16"/>
        <v>0</v>
      </c>
      <c r="O24" s="579">
        <f t="shared" si="29"/>
        <v>17002.3</v>
      </c>
      <c r="P24" s="579">
        <f t="shared" si="17"/>
        <v>60028.3</v>
      </c>
      <c r="Q24" s="1088">
        <f t="shared" si="30"/>
        <v>3855</v>
      </c>
      <c r="R24" s="1088">
        <f t="shared" si="18"/>
        <v>231409097</v>
      </c>
      <c r="S24" s="1088">
        <f>'Table 6 (Local Deduct Calc.)'!J25</f>
        <v>119398655.5</v>
      </c>
      <c r="T24" s="1088">
        <f t="shared" si="31"/>
        <v>119398655.5</v>
      </c>
      <c r="U24" s="1128">
        <f t="shared" si="32"/>
        <v>112010441.5</v>
      </c>
      <c r="V24" s="1089">
        <f t="shared" si="52"/>
        <v>0.48399999999999999</v>
      </c>
      <c r="W24" s="1089">
        <f t="shared" si="33"/>
        <v>0.51600000000000001</v>
      </c>
      <c r="X24" s="1090">
        <f t="shared" si="19"/>
        <v>2775.0349904708783</v>
      </c>
      <c r="Y24" s="1088">
        <f>'Table 7 Local Revenue'!AQ24</f>
        <v>293576525.5</v>
      </c>
      <c r="Z24" s="1088">
        <f t="shared" si="34"/>
        <v>174177870</v>
      </c>
      <c r="AA24" s="1091">
        <f t="shared" si="35"/>
        <v>0</v>
      </c>
      <c r="AB24" s="572">
        <f t="shared" si="36"/>
        <v>78679092.980000004</v>
      </c>
      <c r="AC24" s="572">
        <f t="shared" si="37"/>
        <v>78679092.980000004</v>
      </c>
      <c r="AD24" s="1088">
        <f t="shared" si="38"/>
        <v>69829268.601609603</v>
      </c>
      <c r="AE24" s="574">
        <f t="shared" si="39"/>
        <v>8849824.3783904016</v>
      </c>
      <c r="AF24" s="562">
        <f t="shared" si="40"/>
        <v>0.1125</v>
      </c>
      <c r="AG24" s="574">
        <f t="shared" si="41"/>
        <v>120860265.8783904</v>
      </c>
      <c r="AH24" s="572">
        <f t="shared" si="20"/>
        <v>2809</v>
      </c>
      <c r="AI24" s="574">
        <f>'Table 4 Level 3'!O22</f>
        <v>21687739</v>
      </c>
      <c r="AJ24" s="572">
        <f t="shared" si="21"/>
        <v>504.06124203969694</v>
      </c>
      <c r="AK24" s="574">
        <f t="shared" si="42"/>
        <v>142548004.8783904</v>
      </c>
      <c r="AL24" s="572">
        <f t="shared" si="22"/>
        <v>3313.0666313017805</v>
      </c>
      <c r="AM24" s="1129">
        <f>'Table 4 Level 3'!R22</f>
        <v>56172115.257455297</v>
      </c>
      <c r="AN24" s="1092">
        <f t="shared" si="23"/>
        <v>1305.5388662077651</v>
      </c>
      <c r="AO24" s="574">
        <f t="shared" si="43"/>
        <v>177032381.13584569</v>
      </c>
      <c r="AP24" s="572">
        <f t="shared" si="24"/>
        <v>4114.5442554698484</v>
      </c>
      <c r="AQ24" s="562">
        <f t="shared" si="44"/>
        <v>0.47194774856425886</v>
      </c>
      <c r="AR24" s="1093">
        <f t="shared" si="45"/>
        <v>59</v>
      </c>
      <c r="AS24" s="572">
        <f t="shared" si="46"/>
        <v>198077748.47999999</v>
      </c>
      <c r="AT24" s="572">
        <f t="shared" si="25"/>
        <v>4603.68</v>
      </c>
      <c r="AU24" s="1093">
        <f t="shared" si="47"/>
        <v>12</v>
      </c>
      <c r="AV24" s="562">
        <f t="shared" si="48"/>
        <v>0.52805225143574108</v>
      </c>
      <c r="AW24" s="1093">
        <f t="shared" si="49"/>
        <v>375110129.61584568</v>
      </c>
      <c r="AX24" s="1094">
        <f t="shared" si="26"/>
        <v>8718.2199046122278</v>
      </c>
      <c r="AY24" s="1093">
        <f t="shared" si="50"/>
        <v>39</v>
      </c>
      <c r="AZ24" s="1130">
        <v>183217780.48914701</v>
      </c>
      <c r="BA24" s="1091">
        <f t="shared" si="51"/>
        <v>-6185399.3533013165</v>
      </c>
      <c r="BB24" s="1095"/>
      <c r="BC24" s="1091"/>
      <c r="BD24" s="1091"/>
      <c r="BE24" s="1091"/>
      <c r="BF24" s="1091"/>
      <c r="BG24" s="1091"/>
      <c r="BH24" s="1091"/>
      <c r="BI24" s="1091"/>
      <c r="BJ24" s="1091"/>
      <c r="BK24" s="1091"/>
      <c r="BL24" s="579"/>
      <c r="BM24" s="579"/>
      <c r="BN24" s="1096"/>
      <c r="BO24" s="579"/>
      <c r="BP24" s="579"/>
      <c r="BQ24" s="1096"/>
      <c r="BR24" s="694"/>
      <c r="BS24" s="694"/>
      <c r="BT24" s="694"/>
      <c r="BU24" s="694"/>
      <c r="BV24" s="694"/>
      <c r="BW24" s="694"/>
      <c r="BX24" s="694"/>
      <c r="BY24" s="694"/>
      <c r="BZ24" s="694"/>
      <c r="CA24" s="694"/>
      <c r="CB24" s="694"/>
      <c r="CC24" s="694"/>
      <c r="CD24" s="694"/>
      <c r="CE24" s="694"/>
      <c r="CF24" s="694"/>
      <c r="CG24" s="694"/>
      <c r="CH24" s="694"/>
      <c r="CI24" s="694"/>
      <c r="CJ24" s="694"/>
      <c r="CK24" s="694"/>
      <c r="CL24" s="694"/>
      <c r="CM24" s="694"/>
      <c r="CN24" s="694"/>
      <c r="CO24" s="694"/>
      <c r="CP24" s="694"/>
      <c r="CQ24" s="694"/>
      <c r="CR24" s="694"/>
      <c r="CS24" s="694"/>
      <c r="CT24" s="694"/>
      <c r="CU24" s="694"/>
      <c r="CV24" s="694"/>
      <c r="CW24" s="694"/>
      <c r="CX24" s="694"/>
      <c r="CY24" s="694"/>
      <c r="CZ24" s="694"/>
      <c r="DA24" s="694"/>
      <c r="DB24" s="694"/>
      <c r="DC24" s="694"/>
      <c r="DD24" s="694"/>
      <c r="DE24" s="694"/>
      <c r="DF24" s="694"/>
      <c r="DG24" s="694"/>
      <c r="DH24" s="694"/>
      <c r="DI24" s="694"/>
      <c r="DJ24" s="694"/>
      <c r="DK24" s="694"/>
      <c r="DL24" s="694"/>
      <c r="DM24" s="694"/>
      <c r="DN24" s="694"/>
      <c r="DO24" s="694"/>
      <c r="DP24" s="694"/>
      <c r="DQ24" s="694"/>
      <c r="DR24" s="694"/>
      <c r="DS24" s="694"/>
      <c r="DT24" s="694"/>
      <c r="DU24" s="694"/>
      <c r="DV24" s="694"/>
      <c r="DW24" s="694"/>
      <c r="DX24" s="694"/>
      <c r="DY24" s="694"/>
      <c r="DZ24" s="694"/>
      <c r="EA24" s="694"/>
      <c r="EB24" s="694"/>
      <c r="EC24" s="694"/>
      <c r="ED24" s="694"/>
      <c r="EE24" s="694"/>
      <c r="EF24" s="694"/>
      <c r="EG24" s="694"/>
      <c r="EH24" s="694"/>
      <c r="EI24" s="694"/>
      <c r="EJ24" s="694"/>
      <c r="EK24" s="694"/>
      <c r="EL24" s="694"/>
      <c r="EM24" s="694"/>
      <c r="EN24" s="694"/>
      <c r="EO24" s="694"/>
      <c r="EP24" s="694"/>
      <c r="EQ24" s="694"/>
      <c r="ER24" s="694"/>
      <c r="ES24" s="694"/>
    </row>
    <row r="25" spans="1:149" s="5" customFormat="1">
      <c r="A25" s="101">
        <v>18</v>
      </c>
      <c r="B25" s="81" t="s">
        <v>109</v>
      </c>
      <c r="C25" s="579">
        <f>'2-1-13 SIS'!S24</f>
        <v>1114</v>
      </c>
      <c r="D25" s="579">
        <f>'[6]2-1-13-Supreme Court Ruling'!AE23</f>
        <v>1039</v>
      </c>
      <c r="E25" s="579">
        <f t="shared" si="12"/>
        <v>229</v>
      </c>
      <c r="F25" s="579">
        <f>'[7]CTE-Oct 2012-Supreme Court'!AC24</f>
        <v>419.5</v>
      </c>
      <c r="G25" s="579">
        <f t="shared" si="13"/>
        <v>25</v>
      </c>
      <c r="H25" s="1157">
        <f>'[8]SWD 2-1-13 Supreme Court'!Z23</f>
        <v>121</v>
      </c>
      <c r="I25" s="1157">
        <f t="shared" si="27"/>
        <v>181.5</v>
      </c>
      <c r="J25" s="1157">
        <f>'[9]GT_PS-12th Supreme Court'!T22</f>
        <v>1</v>
      </c>
      <c r="K25" s="1157">
        <f t="shared" si="28"/>
        <v>0.6</v>
      </c>
      <c r="L25" s="13">
        <f t="shared" si="14"/>
        <v>6386</v>
      </c>
      <c r="M25" s="65">
        <f t="shared" si="15"/>
        <v>0.17029</v>
      </c>
      <c r="N25" s="13">
        <f t="shared" si="16"/>
        <v>190</v>
      </c>
      <c r="O25" s="13">
        <f t="shared" si="29"/>
        <v>626.1</v>
      </c>
      <c r="P25" s="13">
        <f t="shared" si="17"/>
        <v>1740.1</v>
      </c>
      <c r="Q25" s="381">
        <f t="shared" si="30"/>
        <v>3855</v>
      </c>
      <c r="R25" s="381">
        <f t="shared" si="18"/>
        <v>6708086</v>
      </c>
      <c r="S25" s="381">
        <f>'Table 6 (Local Deduct Calc.)'!J26</f>
        <v>1177900.5</v>
      </c>
      <c r="T25" s="381">
        <f t="shared" si="31"/>
        <v>1177900.5</v>
      </c>
      <c r="U25" s="382">
        <f t="shared" si="32"/>
        <v>5530185.5</v>
      </c>
      <c r="V25" s="383">
        <f t="shared" si="52"/>
        <v>0.82440000000000002</v>
      </c>
      <c r="W25" s="383">
        <f t="shared" si="33"/>
        <v>0.17560000000000001</v>
      </c>
      <c r="X25" s="384">
        <f t="shared" si="19"/>
        <v>1057.3613105924596</v>
      </c>
      <c r="Y25" s="381">
        <f>'Table 7 Local Revenue'!AQ25</f>
        <v>2546748.5</v>
      </c>
      <c r="Z25" s="381">
        <f t="shared" si="34"/>
        <v>1368848</v>
      </c>
      <c r="AA25" s="279">
        <f t="shared" si="35"/>
        <v>0</v>
      </c>
      <c r="AB25" s="14">
        <f t="shared" si="36"/>
        <v>2280749.2400000002</v>
      </c>
      <c r="AC25" s="14">
        <f t="shared" si="37"/>
        <v>1368848</v>
      </c>
      <c r="AD25" s="381">
        <f t="shared" si="38"/>
        <v>413435.89913600002</v>
      </c>
      <c r="AE25" s="385">
        <f t="shared" si="39"/>
        <v>955412.10086399992</v>
      </c>
      <c r="AF25" s="16">
        <f t="shared" si="40"/>
        <v>0.69799999999999995</v>
      </c>
      <c r="AG25" s="385">
        <f t="shared" si="41"/>
        <v>6485597.6008639997</v>
      </c>
      <c r="AH25" s="14">
        <f t="shared" si="20"/>
        <v>5822</v>
      </c>
      <c r="AI25" s="385">
        <f>'Table 4 Level 3'!O23</f>
        <v>186299</v>
      </c>
      <c r="AJ25" s="14">
        <f t="shared" si="21"/>
        <v>167.23429084380609</v>
      </c>
      <c r="AK25" s="385">
        <f t="shared" si="42"/>
        <v>6671896.6008639997</v>
      </c>
      <c r="AL25" s="14">
        <f t="shared" si="22"/>
        <v>5989.1351892854573</v>
      </c>
      <c r="AM25" s="499">
        <f>'Table 4 Level 3'!R23</f>
        <v>1128687.2999999998</v>
      </c>
      <c r="AN25" s="500">
        <f t="shared" si="23"/>
        <v>1013.1842908438059</v>
      </c>
      <c r="AO25" s="385">
        <f t="shared" si="43"/>
        <v>7614284.9008639995</v>
      </c>
      <c r="AP25" s="14">
        <f t="shared" si="24"/>
        <v>6835.0851892854571</v>
      </c>
      <c r="AQ25" s="16">
        <f t="shared" si="44"/>
        <v>0.7493612706967927</v>
      </c>
      <c r="AR25" s="386">
        <f t="shared" si="45"/>
        <v>7</v>
      </c>
      <c r="AS25" s="14">
        <f t="shared" si="46"/>
        <v>2546748.5</v>
      </c>
      <c r="AT25" s="14">
        <f t="shared" si="25"/>
        <v>2286.13</v>
      </c>
      <c r="AU25" s="386">
        <f t="shared" si="47"/>
        <v>59</v>
      </c>
      <c r="AV25" s="16">
        <f t="shared" si="48"/>
        <v>0.2506387293032073</v>
      </c>
      <c r="AW25" s="386">
        <f t="shared" si="49"/>
        <v>10161033.400864</v>
      </c>
      <c r="AX25" s="387">
        <f t="shared" si="26"/>
        <v>9121.2149020323159</v>
      </c>
      <c r="AY25" s="386">
        <f t="shared" si="50"/>
        <v>20</v>
      </c>
      <c r="AZ25" s="1076">
        <v>7604117.3686814159</v>
      </c>
      <c r="BA25" s="279">
        <f t="shared" si="51"/>
        <v>10167.532182583585</v>
      </c>
      <c r="BB25" s="1081"/>
      <c r="BC25" s="279"/>
      <c r="BD25" s="279"/>
      <c r="BE25" s="279"/>
      <c r="BF25" s="279"/>
      <c r="BG25" s="279"/>
      <c r="BH25" s="279"/>
      <c r="BI25" s="279"/>
      <c r="BJ25" s="279"/>
      <c r="BK25" s="279"/>
      <c r="BL25" s="81"/>
      <c r="BM25" s="81"/>
      <c r="BN25" s="861"/>
      <c r="BO25" s="81"/>
      <c r="BP25" s="81"/>
      <c r="BQ25" s="861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</row>
    <row r="26" spans="1:149" s="5" customFormat="1">
      <c r="A26" s="101">
        <v>19</v>
      </c>
      <c r="B26" s="81" t="s">
        <v>110</v>
      </c>
      <c r="C26" s="579">
        <f>'2-1-13 SIS'!S25</f>
        <v>1918</v>
      </c>
      <c r="D26" s="579">
        <f>'[6]2-1-13-Supreme Court Ruling'!AE24</f>
        <v>1594</v>
      </c>
      <c r="E26" s="579">
        <f t="shared" si="12"/>
        <v>351</v>
      </c>
      <c r="F26" s="579">
        <f>'[7]CTE-Oct 2012-Supreme Court'!AC25</f>
        <v>683</v>
      </c>
      <c r="G26" s="579">
        <f t="shared" si="13"/>
        <v>41</v>
      </c>
      <c r="H26" s="1157">
        <f>'[8]SWD 2-1-13 Supreme Court'!Z24</f>
        <v>270</v>
      </c>
      <c r="I26" s="1157">
        <f t="shared" si="27"/>
        <v>405</v>
      </c>
      <c r="J26" s="1157">
        <f>'[9]GT_PS-12th Supreme Court'!T23</f>
        <v>19</v>
      </c>
      <c r="K26" s="1157">
        <f t="shared" si="28"/>
        <v>11.4</v>
      </c>
      <c r="L26" s="13">
        <f t="shared" si="14"/>
        <v>5582</v>
      </c>
      <c r="M26" s="65">
        <f t="shared" si="15"/>
        <v>0.14885000000000001</v>
      </c>
      <c r="N26" s="13">
        <f t="shared" si="16"/>
        <v>285</v>
      </c>
      <c r="O26" s="13">
        <f t="shared" si="29"/>
        <v>1093.4000000000001</v>
      </c>
      <c r="P26" s="13">
        <f t="shared" si="17"/>
        <v>3011.4</v>
      </c>
      <c r="Q26" s="381">
        <f t="shared" si="30"/>
        <v>3855</v>
      </c>
      <c r="R26" s="381">
        <f t="shared" si="18"/>
        <v>11608947</v>
      </c>
      <c r="S26" s="381">
        <f>'Table 6 (Local Deduct Calc.)'!J27</f>
        <v>2987282.5</v>
      </c>
      <c r="T26" s="381">
        <f t="shared" si="31"/>
        <v>2987282.5</v>
      </c>
      <c r="U26" s="382">
        <f t="shared" si="32"/>
        <v>8621664.5</v>
      </c>
      <c r="V26" s="383">
        <f t="shared" si="52"/>
        <v>0.74270000000000003</v>
      </c>
      <c r="W26" s="383">
        <f t="shared" si="33"/>
        <v>0.25729999999999997</v>
      </c>
      <c r="X26" s="384">
        <f t="shared" si="19"/>
        <v>1557.4986965589155</v>
      </c>
      <c r="Y26" s="381">
        <f>'Table 7 Local Revenue'!AQ26</f>
        <v>5297638.5</v>
      </c>
      <c r="Z26" s="381">
        <f t="shared" si="34"/>
        <v>2310356</v>
      </c>
      <c r="AA26" s="279">
        <f t="shared" si="35"/>
        <v>0</v>
      </c>
      <c r="AB26" s="14">
        <f t="shared" si="36"/>
        <v>3947041.9800000004</v>
      </c>
      <c r="AC26" s="14">
        <f t="shared" si="37"/>
        <v>2310356</v>
      </c>
      <c r="AD26" s="381">
        <f t="shared" si="38"/>
        <v>1022461.9099359999</v>
      </c>
      <c r="AE26" s="385">
        <f t="shared" si="39"/>
        <v>1287894.0900640001</v>
      </c>
      <c r="AF26" s="16">
        <f t="shared" si="40"/>
        <v>0.55740000000000001</v>
      </c>
      <c r="AG26" s="385">
        <f t="shared" si="41"/>
        <v>9909558.5900640003</v>
      </c>
      <c r="AH26" s="14">
        <f t="shared" si="20"/>
        <v>5167</v>
      </c>
      <c r="AI26" s="385">
        <f>'Table 4 Level 3'!O24</f>
        <v>286321</v>
      </c>
      <c r="AJ26" s="14">
        <f t="shared" si="21"/>
        <v>149.28102189781021</v>
      </c>
      <c r="AK26" s="385">
        <f t="shared" si="42"/>
        <v>10195879.590064</v>
      </c>
      <c r="AL26" s="14">
        <f t="shared" si="22"/>
        <v>5315.8913399708035</v>
      </c>
      <c r="AM26" s="499">
        <f>'Table 4 Level 3'!R24</f>
        <v>2022935.74</v>
      </c>
      <c r="AN26" s="500">
        <f t="shared" si="23"/>
        <v>1054.7110218978103</v>
      </c>
      <c r="AO26" s="385">
        <f t="shared" si="43"/>
        <v>11932494.330064001</v>
      </c>
      <c r="AP26" s="14">
        <f t="shared" si="24"/>
        <v>6221.3213399708029</v>
      </c>
      <c r="AQ26" s="16">
        <f t="shared" si="44"/>
        <v>0.69253640977413633</v>
      </c>
      <c r="AR26" s="386">
        <f t="shared" si="45"/>
        <v>21</v>
      </c>
      <c r="AS26" s="14">
        <f t="shared" si="46"/>
        <v>5297638.5</v>
      </c>
      <c r="AT26" s="14">
        <f t="shared" si="25"/>
        <v>2762.06</v>
      </c>
      <c r="AU26" s="386">
        <f t="shared" si="47"/>
        <v>54</v>
      </c>
      <c r="AV26" s="16">
        <f t="shared" si="48"/>
        <v>0.30746359022586378</v>
      </c>
      <c r="AW26" s="386">
        <f t="shared" si="49"/>
        <v>17230132.830063999</v>
      </c>
      <c r="AX26" s="387">
        <f t="shared" si="26"/>
        <v>8983.3852085839408</v>
      </c>
      <c r="AY26" s="386">
        <f t="shared" si="50"/>
        <v>25</v>
      </c>
      <c r="AZ26" s="1076">
        <v>11978768.294307999</v>
      </c>
      <c r="BA26" s="279">
        <f t="shared" si="51"/>
        <v>-46273.964243998751</v>
      </c>
      <c r="BB26" s="1079"/>
      <c r="BC26" s="279"/>
      <c r="BD26" s="279"/>
      <c r="BE26" s="279"/>
      <c r="BF26" s="279"/>
      <c r="BG26" s="279"/>
      <c r="BH26" s="279"/>
      <c r="BI26" s="279"/>
      <c r="BJ26" s="279"/>
      <c r="BK26" s="279"/>
      <c r="BL26" s="81"/>
      <c r="BM26" s="81"/>
      <c r="BN26" s="861"/>
      <c r="BO26" s="81"/>
      <c r="BP26" s="81"/>
      <c r="BQ26" s="861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</row>
    <row r="27" spans="1:149" s="21" customFormat="1">
      <c r="A27" s="102">
        <v>20</v>
      </c>
      <c r="B27" s="82" t="s">
        <v>111</v>
      </c>
      <c r="C27" s="82">
        <f>'2-1-13 SIS'!S26</f>
        <v>5893</v>
      </c>
      <c r="D27" s="82">
        <f>'[6]2-1-13-Supreme Court Ruling'!AE25</f>
        <v>4512</v>
      </c>
      <c r="E27" s="82">
        <f t="shared" si="12"/>
        <v>993</v>
      </c>
      <c r="F27" s="82">
        <f>'[7]CTE-Oct 2012-Supreme Court'!AC26</f>
        <v>1811.5</v>
      </c>
      <c r="G27" s="82">
        <f t="shared" si="13"/>
        <v>109</v>
      </c>
      <c r="H27" s="82">
        <f>'[8]SWD 2-1-13 Supreme Court'!Z25</f>
        <v>822</v>
      </c>
      <c r="I27" s="82">
        <f t="shared" si="27"/>
        <v>1233</v>
      </c>
      <c r="J27" s="82">
        <f>'[9]GT_PS-12th Supreme Court'!T24</f>
        <v>71</v>
      </c>
      <c r="K27" s="82">
        <f t="shared" si="28"/>
        <v>42.6</v>
      </c>
      <c r="L27" s="19">
        <f t="shared" si="14"/>
        <v>1607</v>
      </c>
      <c r="M27" s="66">
        <f t="shared" si="15"/>
        <v>4.2849999999999999E-2</v>
      </c>
      <c r="N27" s="19">
        <f t="shared" si="16"/>
        <v>253</v>
      </c>
      <c r="O27" s="19">
        <f t="shared" si="29"/>
        <v>2630.6</v>
      </c>
      <c r="P27" s="13">
        <f t="shared" si="17"/>
        <v>8523.6</v>
      </c>
      <c r="Q27" s="388">
        <f t="shared" si="30"/>
        <v>3855</v>
      </c>
      <c r="R27" s="388">
        <f t="shared" si="18"/>
        <v>32858478</v>
      </c>
      <c r="S27" s="388">
        <f>'Table 6 (Local Deduct Calc.)'!J28</f>
        <v>6629569</v>
      </c>
      <c r="T27" s="388">
        <f t="shared" si="31"/>
        <v>6629569</v>
      </c>
      <c r="U27" s="389">
        <f t="shared" si="32"/>
        <v>26228909</v>
      </c>
      <c r="V27" s="390">
        <f t="shared" si="52"/>
        <v>0.79820000000000002</v>
      </c>
      <c r="W27" s="391">
        <f t="shared" si="33"/>
        <v>0.20180000000000001</v>
      </c>
      <c r="X27" s="392">
        <f t="shared" si="19"/>
        <v>1124.9904972000679</v>
      </c>
      <c r="Y27" s="388">
        <f>'Table 7 Local Revenue'!AQ27</f>
        <v>14395441</v>
      </c>
      <c r="Z27" s="388">
        <f t="shared" si="34"/>
        <v>7765872</v>
      </c>
      <c r="AA27" s="280">
        <f t="shared" si="35"/>
        <v>0</v>
      </c>
      <c r="AB27" s="20">
        <f t="shared" si="36"/>
        <v>11171882.520000001</v>
      </c>
      <c r="AC27" s="20">
        <f t="shared" si="37"/>
        <v>7765872</v>
      </c>
      <c r="AD27" s="388">
        <f t="shared" si="38"/>
        <v>2695503.1077120001</v>
      </c>
      <c r="AE27" s="393">
        <f t="shared" si="39"/>
        <v>5070368.8922879994</v>
      </c>
      <c r="AF27" s="273">
        <f t="shared" si="40"/>
        <v>0.65290000000000004</v>
      </c>
      <c r="AG27" s="393">
        <f t="shared" si="41"/>
        <v>31299277.892287999</v>
      </c>
      <c r="AH27" s="20">
        <f t="shared" si="20"/>
        <v>5311</v>
      </c>
      <c r="AI27" s="393">
        <f>'Table 4 Level 3'!O25</f>
        <v>641986</v>
      </c>
      <c r="AJ27" s="20">
        <f t="shared" si="21"/>
        <v>108.9404378075683</v>
      </c>
      <c r="AK27" s="393">
        <f t="shared" si="42"/>
        <v>31941263.892287999</v>
      </c>
      <c r="AL27" s="20">
        <f t="shared" si="22"/>
        <v>5420.2042919205833</v>
      </c>
      <c r="AM27" s="501">
        <f>'Table 4 Level 3'!R25</f>
        <v>4096285.8099999996</v>
      </c>
      <c r="AN27" s="502">
        <f t="shared" si="23"/>
        <v>695.11043780756825</v>
      </c>
      <c r="AO27" s="393">
        <f t="shared" si="43"/>
        <v>35395563.702288002</v>
      </c>
      <c r="AP27" s="20">
        <f t="shared" si="24"/>
        <v>6006.3742919205843</v>
      </c>
      <c r="AQ27" s="273">
        <f t="shared" si="44"/>
        <v>0.71088269686314443</v>
      </c>
      <c r="AR27" s="394">
        <f t="shared" si="45"/>
        <v>14</v>
      </c>
      <c r="AS27" s="20">
        <f t="shared" si="46"/>
        <v>14395441</v>
      </c>
      <c r="AT27" s="20">
        <f t="shared" si="25"/>
        <v>2442.8000000000002</v>
      </c>
      <c r="AU27" s="394">
        <f t="shared" si="47"/>
        <v>57</v>
      </c>
      <c r="AV27" s="273">
        <f t="shared" si="48"/>
        <v>0.28911730313685552</v>
      </c>
      <c r="AW27" s="394">
        <f t="shared" si="49"/>
        <v>49791004.702288002</v>
      </c>
      <c r="AX27" s="395">
        <f t="shared" si="26"/>
        <v>8449.1777875934167</v>
      </c>
      <c r="AY27" s="394">
        <f t="shared" si="50"/>
        <v>52</v>
      </c>
      <c r="AZ27" s="1077">
        <v>35076113.406792</v>
      </c>
      <c r="BA27" s="280">
        <f t="shared" si="51"/>
        <v>319450.29549600184</v>
      </c>
      <c r="BB27" s="1080"/>
      <c r="BC27" s="280"/>
      <c r="BD27" s="280"/>
      <c r="BE27" s="280"/>
      <c r="BF27" s="280"/>
      <c r="BG27" s="280"/>
      <c r="BH27" s="280"/>
      <c r="BI27" s="280"/>
      <c r="BJ27" s="280"/>
      <c r="BK27" s="280"/>
      <c r="BL27" s="82"/>
      <c r="BM27" s="82"/>
      <c r="BN27" s="862"/>
      <c r="BO27" s="82"/>
      <c r="BP27" s="82"/>
      <c r="BQ27" s="862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</row>
    <row r="28" spans="1:149" s="5" customFormat="1">
      <c r="A28" s="101">
        <v>21</v>
      </c>
      <c r="B28" s="81" t="s">
        <v>112</v>
      </c>
      <c r="C28" s="81">
        <f>'2-1-13 SIS'!S27</f>
        <v>2967</v>
      </c>
      <c r="D28" s="81">
        <f>'[6]2-1-13-Supreme Court Ruling'!AE26</f>
        <v>2473</v>
      </c>
      <c r="E28" s="81">
        <f t="shared" si="12"/>
        <v>544</v>
      </c>
      <c r="F28" s="81">
        <f>'[7]CTE-Oct 2012-Supreme Court'!AC27</f>
        <v>1179.5</v>
      </c>
      <c r="G28" s="81">
        <f t="shared" si="13"/>
        <v>71</v>
      </c>
      <c r="H28" s="1156">
        <f>'[8]SWD 2-1-13 Supreme Court'!Z26</f>
        <v>409</v>
      </c>
      <c r="I28" s="1156">
        <f t="shared" si="27"/>
        <v>613.5</v>
      </c>
      <c r="J28" s="1156">
        <f>'[9]GT_PS-12th Supreme Court'!T25</f>
        <v>25</v>
      </c>
      <c r="K28" s="1156">
        <f t="shared" si="28"/>
        <v>15</v>
      </c>
      <c r="L28" s="13">
        <f t="shared" si="14"/>
        <v>4533</v>
      </c>
      <c r="M28" s="65">
        <f t="shared" si="15"/>
        <v>0.12088</v>
      </c>
      <c r="N28" s="13">
        <f t="shared" si="16"/>
        <v>359</v>
      </c>
      <c r="O28" s="13">
        <f t="shared" si="29"/>
        <v>1602.5</v>
      </c>
      <c r="P28" s="36">
        <f t="shared" si="17"/>
        <v>4569.5</v>
      </c>
      <c r="Q28" s="381">
        <f t="shared" si="30"/>
        <v>3855</v>
      </c>
      <c r="R28" s="381">
        <f t="shared" si="18"/>
        <v>17615423</v>
      </c>
      <c r="S28" s="381">
        <f>'Table 6 (Local Deduct Calc.)'!J29</f>
        <v>3355649.5</v>
      </c>
      <c r="T28" s="381">
        <f t="shared" si="31"/>
        <v>3355649.5</v>
      </c>
      <c r="U28" s="382">
        <f t="shared" si="32"/>
        <v>14259773.5</v>
      </c>
      <c r="V28" s="383">
        <f t="shared" si="52"/>
        <v>0.8095</v>
      </c>
      <c r="W28" s="383">
        <f t="shared" si="33"/>
        <v>0.1905</v>
      </c>
      <c r="X28" s="384">
        <f t="shared" si="19"/>
        <v>1130.9907313784968</v>
      </c>
      <c r="Y28" s="381">
        <f>'Table 7 Local Revenue'!AQ28</f>
        <v>6749798.5</v>
      </c>
      <c r="Z28" s="381">
        <f t="shared" si="34"/>
        <v>3394149</v>
      </c>
      <c r="AA28" s="279">
        <f t="shared" si="35"/>
        <v>0</v>
      </c>
      <c r="AB28" s="14">
        <f t="shared" si="36"/>
        <v>5989243.8200000003</v>
      </c>
      <c r="AC28" s="14">
        <f t="shared" si="37"/>
        <v>3394149</v>
      </c>
      <c r="AD28" s="381">
        <f t="shared" si="38"/>
        <v>1112126.8613400001</v>
      </c>
      <c r="AE28" s="385">
        <f t="shared" si="39"/>
        <v>2282022.1386599997</v>
      </c>
      <c r="AF28" s="16">
        <f t="shared" si="40"/>
        <v>0.67230000000000001</v>
      </c>
      <c r="AG28" s="385">
        <f t="shared" si="41"/>
        <v>16541795.638659999</v>
      </c>
      <c r="AH28" s="14">
        <f t="shared" si="20"/>
        <v>5575</v>
      </c>
      <c r="AI28" s="385">
        <f>'Table 4 Level 3'!O26</f>
        <v>442916</v>
      </c>
      <c r="AJ28" s="14">
        <f t="shared" si="21"/>
        <v>149.28075497135154</v>
      </c>
      <c r="AK28" s="385">
        <f t="shared" si="42"/>
        <v>16984711.638659999</v>
      </c>
      <c r="AL28" s="14">
        <f t="shared" si="22"/>
        <v>5724.5404916279067</v>
      </c>
      <c r="AM28" s="499">
        <f>'Table 4 Level 3'!R26</f>
        <v>2253824.4500000002</v>
      </c>
      <c r="AN28" s="500">
        <f t="shared" si="23"/>
        <v>759.63075497135162</v>
      </c>
      <c r="AO28" s="385">
        <f t="shared" si="43"/>
        <v>18795620.088659998</v>
      </c>
      <c r="AP28" s="14">
        <f t="shared" si="24"/>
        <v>6334.8904916279062</v>
      </c>
      <c r="AQ28" s="16">
        <f t="shared" si="44"/>
        <v>0.73577264053929659</v>
      </c>
      <c r="AR28" s="386">
        <f t="shared" si="45"/>
        <v>10</v>
      </c>
      <c r="AS28" s="14">
        <f t="shared" si="46"/>
        <v>6749798.5</v>
      </c>
      <c r="AT28" s="14">
        <f t="shared" si="25"/>
        <v>2274.96</v>
      </c>
      <c r="AU28" s="386">
        <f t="shared" si="47"/>
        <v>60</v>
      </c>
      <c r="AV28" s="16">
        <f t="shared" si="48"/>
        <v>0.26422735946070341</v>
      </c>
      <c r="AW28" s="386">
        <f t="shared" si="49"/>
        <v>25545418.588659998</v>
      </c>
      <c r="AX28" s="387">
        <f t="shared" si="26"/>
        <v>8609.847855968992</v>
      </c>
      <c r="AY28" s="386">
        <f t="shared" si="50"/>
        <v>44</v>
      </c>
      <c r="AZ28" s="1076">
        <v>19219915.395076312</v>
      </c>
      <c r="BA28" s="279">
        <f t="shared" si="51"/>
        <v>-424295.3064163141</v>
      </c>
      <c r="BB28" s="1079"/>
      <c r="BC28" s="279"/>
      <c r="BD28" s="279"/>
      <c r="BE28" s="279"/>
      <c r="BF28" s="279"/>
      <c r="BG28" s="279"/>
      <c r="BH28" s="279"/>
      <c r="BI28" s="279"/>
      <c r="BJ28" s="279"/>
      <c r="BK28" s="279"/>
      <c r="BL28" s="81"/>
      <c r="BM28" s="81"/>
      <c r="BN28" s="861"/>
      <c r="BO28" s="81"/>
      <c r="BP28" s="81"/>
      <c r="BQ28" s="861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</row>
    <row r="29" spans="1:149" s="5" customFormat="1">
      <c r="A29" s="101">
        <v>22</v>
      </c>
      <c r="B29" s="81" t="s">
        <v>113</v>
      </c>
      <c r="C29" s="81">
        <f>'2-1-13 SIS'!S28</f>
        <v>3210</v>
      </c>
      <c r="D29" s="81">
        <f>'[6]2-1-13-Supreme Court Ruling'!AE27</f>
        <v>2119</v>
      </c>
      <c r="E29" s="81">
        <f t="shared" si="12"/>
        <v>466</v>
      </c>
      <c r="F29" s="81">
        <f>'[7]CTE-Oct 2012-Supreme Court'!AC28</f>
        <v>920</v>
      </c>
      <c r="G29" s="81">
        <f t="shared" si="13"/>
        <v>55</v>
      </c>
      <c r="H29" s="1156">
        <f>'[8]SWD 2-1-13 Supreme Court'!Z27</f>
        <v>500</v>
      </c>
      <c r="I29" s="1156">
        <f t="shared" si="27"/>
        <v>750</v>
      </c>
      <c r="J29" s="1156">
        <f>'[9]GT_PS-12th Supreme Court'!T26</f>
        <v>28</v>
      </c>
      <c r="K29" s="1156">
        <f t="shared" si="28"/>
        <v>16.8</v>
      </c>
      <c r="L29" s="13">
        <f t="shared" si="14"/>
        <v>4290</v>
      </c>
      <c r="M29" s="65">
        <f t="shared" si="15"/>
        <v>0.1144</v>
      </c>
      <c r="N29" s="13">
        <f t="shared" si="16"/>
        <v>367</v>
      </c>
      <c r="O29" s="13">
        <f t="shared" si="29"/>
        <v>1654.8</v>
      </c>
      <c r="P29" s="13">
        <f t="shared" si="17"/>
        <v>4864.8</v>
      </c>
      <c r="Q29" s="381">
        <f t="shared" si="30"/>
        <v>3855</v>
      </c>
      <c r="R29" s="381">
        <f t="shared" si="18"/>
        <v>18753804</v>
      </c>
      <c r="S29" s="381">
        <f>'Table 6 (Local Deduct Calc.)'!J30</f>
        <v>1960919</v>
      </c>
      <c r="T29" s="381">
        <f t="shared" si="31"/>
        <v>1960919</v>
      </c>
      <c r="U29" s="382">
        <f t="shared" si="32"/>
        <v>16792885</v>
      </c>
      <c r="V29" s="383">
        <f t="shared" si="52"/>
        <v>0.89539999999999997</v>
      </c>
      <c r="W29" s="383">
        <f t="shared" si="33"/>
        <v>0.1046</v>
      </c>
      <c r="X29" s="384">
        <f t="shared" si="19"/>
        <v>610.8781931464174</v>
      </c>
      <c r="Y29" s="381">
        <f>'Table 7 Local Revenue'!AQ29</f>
        <v>5180689</v>
      </c>
      <c r="Z29" s="381">
        <f t="shared" si="34"/>
        <v>3219770</v>
      </c>
      <c r="AA29" s="279">
        <f t="shared" si="35"/>
        <v>0</v>
      </c>
      <c r="AB29" s="14">
        <f t="shared" si="36"/>
        <v>6376293.3600000003</v>
      </c>
      <c r="AC29" s="14">
        <f t="shared" si="37"/>
        <v>3219770</v>
      </c>
      <c r="AD29" s="381">
        <f t="shared" si="38"/>
        <v>579275.26023999997</v>
      </c>
      <c r="AE29" s="385">
        <f t="shared" si="39"/>
        <v>2640494.7397600003</v>
      </c>
      <c r="AF29" s="16">
        <f t="shared" si="40"/>
        <v>0.82010000000000005</v>
      </c>
      <c r="AG29" s="385">
        <f t="shared" si="41"/>
        <v>19433379.73976</v>
      </c>
      <c r="AH29" s="14">
        <f t="shared" si="20"/>
        <v>6054</v>
      </c>
      <c r="AI29" s="385">
        <f>'Table 4 Level 3'!O27</f>
        <v>479192</v>
      </c>
      <c r="AJ29" s="14">
        <f t="shared" si="21"/>
        <v>149.2809968847352</v>
      </c>
      <c r="AK29" s="385">
        <f t="shared" si="42"/>
        <v>19912571.73976</v>
      </c>
      <c r="AL29" s="14">
        <f t="shared" si="22"/>
        <v>6203.2933768722742</v>
      </c>
      <c r="AM29" s="499">
        <f>'Table 4 Level 3'!R27</f>
        <v>2072507.6</v>
      </c>
      <c r="AN29" s="500">
        <f t="shared" si="23"/>
        <v>645.64099688473527</v>
      </c>
      <c r="AO29" s="385">
        <f t="shared" si="43"/>
        <v>21505887.339760002</v>
      </c>
      <c r="AP29" s="14">
        <f t="shared" si="24"/>
        <v>6699.6533768722747</v>
      </c>
      <c r="AQ29" s="16">
        <f t="shared" si="44"/>
        <v>0.80586910310104654</v>
      </c>
      <c r="AR29" s="386">
        <f t="shared" si="45"/>
        <v>2</v>
      </c>
      <c r="AS29" s="14">
        <f t="shared" si="46"/>
        <v>5180689</v>
      </c>
      <c r="AT29" s="14">
        <f t="shared" si="25"/>
        <v>1613.92</v>
      </c>
      <c r="AU29" s="386">
        <f t="shared" si="47"/>
        <v>67</v>
      </c>
      <c r="AV29" s="16">
        <f t="shared" si="48"/>
        <v>0.19413089689895346</v>
      </c>
      <c r="AW29" s="386">
        <f t="shared" si="49"/>
        <v>26686576.339760002</v>
      </c>
      <c r="AX29" s="387">
        <f t="shared" si="26"/>
        <v>8313.5751837258576</v>
      </c>
      <c r="AY29" s="386">
        <f t="shared" si="50"/>
        <v>56</v>
      </c>
      <c r="AZ29" s="1076">
        <v>21966422.041484002</v>
      </c>
      <c r="BA29" s="279">
        <f t="shared" si="51"/>
        <v>-460534.70172400028</v>
      </c>
      <c r="BB29" s="1081"/>
      <c r="BC29" s="279"/>
      <c r="BD29" s="279"/>
      <c r="BE29" s="279"/>
      <c r="BF29" s="279"/>
      <c r="BG29" s="279"/>
      <c r="BH29" s="279"/>
      <c r="BI29" s="279"/>
      <c r="BJ29" s="279"/>
      <c r="BK29" s="279"/>
      <c r="BL29" s="81"/>
      <c r="BM29" s="81"/>
      <c r="BN29" s="861"/>
      <c r="BO29" s="81"/>
      <c r="BP29" s="81"/>
      <c r="BQ29" s="861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</row>
    <row r="30" spans="1:149" s="5" customFormat="1">
      <c r="A30" s="101">
        <v>23</v>
      </c>
      <c r="B30" s="81" t="s">
        <v>114</v>
      </c>
      <c r="C30" s="81">
        <f>'2-1-13 SIS'!S29</f>
        <v>13428</v>
      </c>
      <c r="D30" s="81">
        <f>'[6]2-1-13-Supreme Court Ruling'!AE28</f>
        <v>9534</v>
      </c>
      <c r="E30" s="81">
        <f t="shared" si="12"/>
        <v>2097</v>
      </c>
      <c r="F30" s="81">
        <f>'[7]CTE-Oct 2012-Supreme Court'!AC29</f>
        <v>5491</v>
      </c>
      <c r="G30" s="81">
        <f t="shared" si="13"/>
        <v>329</v>
      </c>
      <c r="H30" s="1156">
        <f>'[8]SWD 2-1-13 Supreme Court'!Z28</f>
        <v>1570</v>
      </c>
      <c r="I30" s="1156">
        <f t="shared" si="27"/>
        <v>2355</v>
      </c>
      <c r="J30" s="1156">
        <f>'[9]GT_PS-12th Supreme Court'!T27</f>
        <v>407</v>
      </c>
      <c r="K30" s="1156">
        <f t="shared" si="28"/>
        <v>244.2</v>
      </c>
      <c r="L30" s="13">
        <f t="shared" si="14"/>
        <v>0</v>
      </c>
      <c r="M30" s="65">
        <f t="shared" si="15"/>
        <v>0</v>
      </c>
      <c r="N30" s="13">
        <f t="shared" si="16"/>
        <v>0</v>
      </c>
      <c r="O30" s="13">
        <f t="shared" si="29"/>
        <v>5025.2</v>
      </c>
      <c r="P30" s="13">
        <f t="shared" si="17"/>
        <v>18453.2</v>
      </c>
      <c r="Q30" s="381">
        <f t="shared" si="30"/>
        <v>3855</v>
      </c>
      <c r="R30" s="381">
        <f t="shared" si="18"/>
        <v>71137086</v>
      </c>
      <c r="S30" s="381">
        <f>'Table 6 (Local Deduct Calc.)'!J31</f>
        <v>20478155</v>
      </c>
      <c r="T30" s="381">
        <f t="shared" si="31"/>
        <v>20478155</v>
      </c>
      <c r="U30" s="382">
        <f t="shared" si="32"/>
        <v>50658931</v>
      </c>
      <c r="V30" s="383">
        <f t="shared" si="52"/>
        <v>0.71209999999999996</v>
      </c>
      <c r="W30" s="383">
        <f t="shared" si="33"/>
        <v>0.28789999999999999</v>
      </c>
      <c r="X30" s="384">
        <f t="shared" si="19"/>
        <v>1525.0338844206137</v>
      </c>
      <c r="Y30" s="381">
        <f>'Table 7 Local Revenue'!AQ30</f>
        <v>45029869</v>
      </c>
      <c r="Z30" s="381">
        <f t="shared" si="34"/>
        <v>24551714</v>
      </c>
      <c r="AA30" s="279">
        <f t="shared" si="35"/>
        <v>0</v>
      </c>
      <c r="AB30" s="14">
        <f t="shared" si="36"/>
        <v>24186609.240000002</v>
      </c>
      <c r="AC30" s="14">
        <f t="shared" si="37"/>
        <v>24186609.240000002</v>
      </c>
      <c r="AD30" s="381">
        <f t="shared" si="38"/>
        <v>11976918.65633712</v>
      </c>
      <c r="AE30" s="385">
        <f t="shared" si="39"/>
        <v>12209690.583662882</v>
      </c>
      <c r="AF30" s="16">
        <f t="shared" si="40"/>
        <v>0.50480000000000003</v>
      </c>
      <c r="AG30" s="385">
        <f t="shared" si="41"/>
        <v>62868621.583662882</v>
      </c>
      <c r="AH30" s="14">
        <f t="shared" si="20"/>
        <v>4682</v>
      </c>
      <c r="AI30" s="385">
        <f>'Table 4 Level 3'!O28</f>
        <v>2204544</v>
      </c>
      <c r="AJ30" s="14">
        <f t="shared" si="21"/>
        <v>164.1751563896336</v>
      </c>
      <c r="AK30" s="385">
        <f t="shared" si="42"/>
        <v>65073165.583662882</v>
      </c>
      <c r="AL30" s="14">
        <f t="shared" si="22"/>
        <v>4846.0802490067681</v>
      </c>
      <c r="AM30" s="499">
        <f>'Table 4 Level 3'!R28</f>
        <v>11450796.24</v>
      </c>
      <c r="AN30" s="500">
        <f t="shared" si="23"/>
        <v>852.75515638963361</v>
      </c>
      <c r="AO30" s="385">
        <f t="shared" si="43"/>
        <v>74319417.823662877</v>
      </c>
      <c r="AP30" s="14">
        <f t="shared" si="24"/>
        <v>5534.660249006768</v>
      </c>
      <c r="AQ30" s="16">
        <f t="shared" si="44"/>
        <v>0.62461594923515151</v>
      </c>
      <c r="AR30" s="386">
        <f t="shared" si="45"/>
        <v>37</v>
      </c>
      <c r="AS30" s="14">
        <f t="shared" si="46"/>
        <v>44664764.240000002</v>
      </c>
      <c r="AT30" s="14">
        <f t="shared" si="25"/>
        <v>3326.24</v>
      </c>
      <c r="AU30" s="386">
        <f t="shared" si="47"/>
        <v>34</v>
      </c>
      <c r="AV30" s="16">
        <f t="shared" si="48"/>
        <v>0.37538405076484849</v>
      </c>
      <c r="AW30" s="386">
        <f t="shared" si="49"/>
        <v>118984182.06366289</v>
      </c>
      <c r="AX30" s="387">
        <f t="shared" si="26"/>
        <v>8860.9012558581235</v>
      </c>
      <c r="AY30" s="386">
        <f t="shared" si="50"/>
        <v>33</v>
      </c>
      <c r="AZ30" s="1076">
        <v>73478072.15730764</v>
      </c>
      <c r="BA30" s="279">
        <f t="shared" si="51"/>
        <v>841345.66635523736</v>
      </c>
      <c r="BB30" s="1079"/>
      <c r="BC30" s="279"/>
      <c r="BD30" s="279"/>
      <c r="BE30" s="279"/>
      <c r="BF30" s="279"/>
      <c r="BG30" s="279"/>
      <c r="BH30" s="279"/>
      <c r="BI30" s="279"/>
      <c r="BJ30" s="279"/>
      <c r="BK30" s="279"/>
      <c r="BL30" s="81"/>
      <c r="BM30" s="81"/>
      <c r="BN30" s="861"/>
      <c r="BO30" s="81"/>
      <c r="BP30" s="81"/>
      <c r="BQ30" s="861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</row>
    <row r="31" spans="1:149" s="5" customFormat="1">
      <c r="A31" s="101">
        <v>24</v>
      </c>
      <c r="B31" s="81" t="s">
        <v>115</v>
      </c>
      <c r="C31" s="81">
        <f>'2-1-13 SIS'!S30</f>
        <v>4512</v>
      </c>
      <c r="D31" s="81">
        <f>'[6]2-1-13-Supreme Court Ruling'!AE29</f>
        <v>3734</v>
      </c>
      <c r="E31" s="81">
        <f t="shared" si="12"/>
        <v>821</v>
      </c>
      <c r="F31" s="81">
        <f>'[7]CTE-Oct 2012-Supreme Court'!AC30</f>
        <v>1153.5</v>
      </c>
      <c r="G31" s="81">
        <f t="shared" si="13"/>
        <v>69</v>
      </c>
      <c r="H31" s="1156">
        <f>'[8]SWD 2-1-13 Supreme Court'!Z29</f>
        <v>430</v>
      </c>
      <c r="I31" s="1156">
        <f t="shared" si="27"/>
        <v>645</v>
      </c>
      <c r="J31" s="1156">
        <f>'[9]GT_PS-12th Supreme Court'!T28</f>
        <v>116</v>
      </c>
      <c r="K31" s="1156">
        <f t="shared" si="28"/>
        <v>69.599999999999994</v>
      </c>
      <c r="L31" s="13">
        <f t="shared" si="14"/>
        <v>2988</v>
      </c>
      <c r="M31" s="65">
        <f t="shared" si="15"/>
        <v>7.9680000000000001E-2</v>
      </c>
      <c r="N31" s="13">
        <f t="shared" si="16"/>
        <v>360</v>
      </c>
      <c r="O31" s="13">
        <f t="shared" si="29"/>
        <v>1964.6</v>
      </c>
      <c r="P31" s="13">
        <f t="shared" si="17"/>
        <v>6476.6</v>
      </c>
      <c r="Q31" s="381">
        <f t="shared" si="30"/>
        <v>3855</v>
      </c>
      <c r="R31" s="381">
        <f t="shared" si="18"/>
        <v>24967293</v>
      </c>
      <c r="S31" s="381">
        <f>'Table 6 (Local Deduct Calc.)'!J32</f>
        <v>14831671</v>
      </c>
      <c r="T31" s="381">
        <f t="shared" si="31"/>
        <v>14831671</v>
      </c>
      <c r="U31" s="382">
        <f t="shared" si="32"/>
        <v>10135622</v>
      </c>
      <c r="V31" s="383">
        <f t="shared" si="52"/>
        <v>0.40600000000000003</v>
      </c>
      <c r="W31" s="383">
        <f t="shared" si="33"/>
        <v>0.59399999999999997</v>
      </c>
      <c r="X31" s="384">
        <f t="shared" si="19"/>
        <v>3287.161125886525</v>
      </c>
      <c r="Y31" s="381">
        <f>'Table 7 Local Revenue'!AQ31</f>
        <v>42587087</v>
      </c>
      <c r="Z31" s="381">
        <f t="shared" si="34"/>
        <v>27755416</v>
      </c>
      <c r="AA31" s="279">
        <f t="shared" si="35"/>
        <v>0</v>
      </c>
      <c r="AB31" s="14">
        <f t="shared" si="36"/>
        <v>8488879.620000001</v>
      </c>
      <c r="AC31" s="14">
        <f t="shared" si="37"/>
        <v>8488879.620000001</v>
      </c>
      <c r="AD31" s="381">
        <f t="shared" si="38"/>
        <v>8672918.5301616006</v>
      </c>
      <c r="AE31" s="385">
        <f t="shared" si="39"/>
        <v>0</v>
      </c>
      <c r="AF31" s="16">
        <f t="shared" si="40"/>
        <v>0</v>
      </c>
      <c r="AG31" s="385">
        <f t="shared" si="41"/>
        <v>10135622</v>
      </c>
      <c r="AH31" s="14">
        <f t="shared" si="20"/>
        <v>2246</v>
      </c>
      <c r="AI31" s="385">
        <f>'Table 4 Level 3'!O29</f>
        <v>2336095</v>
      </c>
      <c r="AJ31" s="14">
        <f t="shared" si="21"/>
        <v>517.7515514184397</v>
      </c>
      <c r="AK31" s="385">
        <f t="shared" si="42"/>
        <v>12471717</v>
      </c>
      <c r="AL31" s="14">
        <f t="shared" si="22"/>
        <v>2764.1216755319151</v>
      </c>
      <c r="AM31" s="499">
        <f>'Table 4 Level 3'!R29</f>
        <v>6190471</v>
      </c>
      <c r="AN31" s="500">
        <f t="shared" si="23"/>
        <v>1372.0015514184397</v>
      </c>
      <c r="AO31" s="385">
        <f t="shared" si="43"/>
        <v>16326093</v>
      </c>
      <c r="AP31" s="14">
        <f t="shared" si="24"/>
        <v>3618.3716755319151</v>
      </c>
      <c r="AQ31" s="16">
        <f t="shared" si="44"/>
        <v>0.41179004095479593</v>
      </c>
      <c r="AR31" s="386">
        <f t="shared" si="45"/>
        <v>62</v>
      </c>
      <c r="AS31" s="14">
        <f t="shared" si="46"/>
        <v>23320550.620000001</v>
      </c>
      <c r="AT31" s="14">
        <f t="shared" si="25"/>
        <v>5168.5600000000004</v>
      </c>
      <c r="AU31" s="386">
        <f t="shared" si="47"/>
        <v>8</v>
      </c>
      <c r="AV31" s="16">
        <f t="shared" si="48"/>
        <v>0.58820995904520401</v>
      </c>
      <c r="AW31" s="386">
        <f t="shared" si="49"/>
        <v>39646643.620000005</v>
      </c>
      <c r="AX31" s="387">
        <f t="shared" si="26"/>
        <v>8786.9334264184399</v>
      </c>
      <c r="AY31" s="386">
        <f t="shared" si="50"/>
        <v>37</v>
      </c>
      <c r="AZ31" s="1076">
        <v>15693690.5</v>
      </c>
      <c r="BA31" s="279">
        <f t="shared" si="51"/>
        <v>632402.5</v>
      </c>
      <c r="BB31" s="1079"/>
      <c r="BC31" s="279"/>
      <c r="BD31" s="279"/>
      <c r="BE31" s="279"/>
      <c r="BF31" s="279"/>
      <c r="BG31" s="279"/>
      <c r="BH31" s="279"/>
      <c r="BI31" s="279"/>
      <c r="BJ31" s="279"/>
      <c r="BK31" s="279"/>
      <c r="BL31" s="81"/>
      <c r="BM31" s="81"/>
      <c r="BN31" s="861"/>
      <c r="BO31" s="81"/>
      <c r="BP31" s="81"/>
      <c r="BQ31" s="86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</row>
    <row r="32" spans="1:149" s="21" customFormat="1">
      <c r="A32" s="102">
        <v>25</v>
      </c>
      <c r="B32" s="82" t="s">
        <v>116</v>
      </c>
      <c r="C32" s="82">
        <f>'2-1-13 SIS'!S31</f>
        <v>2223</v>
      </c>
      <c r="D32" s="82">
        <f>'[6]2-1-13-Supreme Court Ruling'!AE30</f>
        <v>1403</v>
      </c>
      <c r="E32" s="82">
        <f t="shared" si="12"/>
        <v>309</v>
      </c>
      <c r="F32" s="82">
        <f>'[7]CTE-Oct 2012-Supreme Court'!AC31</f>
        <v>1241.5</v>
      </c>
      <c r="G32" s="82">
        <f t="shared" si="13"/>
        <v>74</v>
      </c>
      <c r="H32" s="82">
        <f>'[8]SWD 2-1-13 Supreme Court'!Z30</f>
        <v>215</v>
      </c>
      <c r="I32" s="82">
        <f t="shared" si="27"/>
        <v>322.5</v>
      </c>
      <c r="J32" s="82">
        <f>'[9]GT_PS-12th Supreme Court'!T29</f>
        <v>86</v>
      </c>
      <c r="K32" s="82">
        <f t="shared" si="28"/>
        <v>51.6</v>
      </c>
      <c r="L32" s="19">
        <f t="shared" si="14"/>
        <v>5277</v>
      </c>
      <c r="M32" s="66">
        <f t="shared" si="15"/>
        <v>0.14072000000000001</v>
      </c>
      <c r="N32" s="19">
        <f t="shared" si="16"/>
        <v>313</v>
      </c>
      <c r="O32" s="19">
        <f t="shared" si="29"/>
        <v>1070.0999999999999</v>
      </c>
      <c r="P32" s="13">
        <f t="shared" si="17"/>
        <v>3293.1</v>
      </c>
      <c r="Q32" s="388">
        <f t="shared" si="30"/>
        <v>3855</v>
      </c>
      <c r="R32" s="388">
        <f t="shared" si="18"/>
        <v>12694901</v>
      </c>
      <c r="S32" s="388">
        <f>'Table 6 (Local Deduct Calc.)'!J33</f>
        <v>5518478</v>
      </c>
      <c r="T32" s="388">
        <f t="shared" si="31"/>
        <v>5518478</v>
      </c>
      <c r="U32" s="389">
        <f t="shared" si="32"/>
        <v>7176423</v>
      </c>
      <c r="V32" s="390">
        <f t="shared" si="52"/>
        <v>0.56530000000000002</v>
      </c>
      <c r="W32" s="391">
        <f t="shared" si="33"/>
        <v>0.43469999999999998</v>
      </c>
      <c r="X32" s="392">
        <f t="shared" si="19"/>
        <v>2482.4462438146647</v>
      </c>
      <c r="Y32" s="388">
        <f>'Table 7 Local Revenue'!AQ32</f>
        <v>12036124</v>
      </c>
      <c r="Z32" s="388">
        <f t="shared" si="34"/>
        <v>6517646</v>
      </c>
      <c r="AA32" s="280">
        <f t="shared" si="35"/>
        <v>0</v>
      </c>
      <c r="AB32" s="20">
        <f t="shared" si="36"/>
        <v>4316266.34</v>
      </c>
      <c r="AC32" s="20">
        <f t="shared" si="37"/>
        <v>4316266.34</v>
      </c>
      <c r="AD32" s="388">
        <f t="shared" si="38"/>
        <v>3227203.2821565596</v>
      </c>
      <c r="AE32" s="393">
        <f t="shared" si="39"/>
        <v>1089063.0578434402</v>
      </c>
      <c r="AF32" s="273">
        <f t="shared" si="40"/>
        <v>0.25230000000000002</v>
      </c>
      <c r="AG32" s="393">
        <f t="shared" si="41"/>
        <v>8265486.0578434402</v>
      </c>
      <c r="AH32" s="20">
        <f t="shared" si="20"/>
        <v>3718</v>
      </c>
      <c r="AI32" s="393">
        <f>'Table 4 Level 3'!O30</f>
        <v>331851</v>
      </c>
      <c r="AJ32" s="20">
        <f t="shared" si="21"/>
        <v>149.28070175438597</v>
      </c>
      <c r="AK32" s="393">
        <f t="shared" si="42"/>
        <v>8597337.0578434393</v>
      </c>
      <c r="AL32" s="20">
        <f t="shared" si="22"/>
        <v>3867.4480692053257</v>
      </c>
      <c r="AM32" s="501">
        <f>'Table 4 Level 3'!R30</f>
        <v>1785092.79</v>
      </c>
      <c r="AN32" s="502">
        <f t="shared" si="23"/>
        <v>803.01070175438599</v>
      </c>
      <c r="AO32" s="393">
        <f t="shared" si="43"/>
        <v>10050578.84784344</v>
      </c>
      <c r="AP32" s="20">
        <f t="shared" si="24"/>
        <v>4521.1780692053262</v>
      </c>
      <c r="AQ32" s="273">
        <f t="shared" si="44"/>
        <v>0.50542698013516285</v>
      </c>
      <c r="AR32" s="394">
        <f t="shared" si="45"/>
        <v>55</v>
      </c>
      <c r="AS32" s="20">
        <f t="shared" si="46"/>
        <v>9834744.3399999999</v>
      </c>
      <c r="AT32" s="20">
        <f t="shared" si="25"/>
        <v>4424.09</v>
      </c>
      <c r="AU32" s="394">
        <f t="shared" si="47"/>
        <v>14</v>
      </c>
      <c r="AV32" s="273">
        <f t="shared" si="48"/>
        <v>0.49457301986483709</v>
      </c>
      <c r="AW32" s="394">
        <f t="shared" si="49"/>
        <v>19885323.187843442</v>
      </c>
      <c r="AX32" s="395">
        <f t="shared" si="26"/>
        <v>8945.264591922376</v>
      </c>
      <c r="AY32" s="394">
        <f t="shared" si="50"/>
        <v>27</v>
      </c>
      <c r="AZ32" s="1077">
        <v>10021593.643958</v>
      </c>
      <c r="BA32" s="280">
        <f t="shared" si="51"/>
        <v>28985.203885439783</v>
      </c>
      <c r="BB32" s="1082"/>
      <c r="BC32" s="280"/>
      <c r="BD32" s="280"/>
      <c r="BE32" s="280"/>
      <c r="BF32" s="280"/>
      <c r="BG32" s="280"/>
      <c r="BH32" s="280"/>
      <c r="BI32" s="280"/>
      <c r="BJ32" s="280"/>
      <c r="BK32" s="280"/>
      <c r="BL32" s="82"/>
      <c r="BM32" s="82"/>
      <c r="BN32" s="862"/>
      <c r="BO32" s="82"/>
      <c r="BP32" s="82"/>
      <c r="BQ32" s="86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</row>
    <row r="33" spans="1:149" s="5" customFormat="1">
      <c r="A33" s="101">
        <v>26</v>
      </c>
      <c r="B33" s="81" t="s">
        <v>117</v>
      </c>
      <c r="C33" s="81">
        <f>'2-1-13 SIS'!S32</f>
        <v>43994</v>
      </c>
      <c r="D33" s="81">
        <f>'[6]2-1-13-Supreme Court Ruling'!AE31</f>
        <v>34549</v>
      </c>
      <c r="E33" s="81">
        <f t="shared" si="12"/>
        <v>7601</v>
      </c>
      <c r="F33" s="81">
        <f>'[7]CTE-Oct 2012-Supreme Court'!AC32</f>
        <v>12635</v>
      </c>
      <c r="G33" s="81">
        <f t="shared" si="13"/>
        <v>758</v>
      </c>
      <c r="H33" s="1156">
        <f>'[8]SWD 2-1-13 Supreme Court'!Z31</f>
        <v>5343</v>
      </c>
      <c r="I33" s="1156">
        <f t="shared" si="27"/>
        <v>8014.5</v>
      </c>
      <c r="J33" s="1156">
        <f>'[9]GT_PS-12th Supreme Court'!T30</f>
        <v>3456</v>
      </c>
      <c r="K33" s="1156">
        <f t="shared" si="28"/>
        <v>2073.6</v>
      </c>
      <c r="L33" s="13">
        <f t="shared" si="14"/>
        <v>0</v>
      </c>
      <c r="M33" s="65">
        <f t="shared" si="15"/>
        <v>0</v>
      </c>
      <c r="N33" s="13">
        <f t="shared" si="16"/>
        <v>0</v>
      </c>
      <c r="O33" s="13">
        <f t="shared" si="29"/>
        <v>18447.099999999999</v>
      </c>
      <c r="P33" s="36">
        <f t="shared" si="17"/>
        <v>62441.1</v>
      </c>
      <c r="Q33" s="381">
        <f t="shared" si="30"/>
        <v>3855</v>
      </c>
      <c r="R33" s="381">
        <f t="shared" si="18"/>
        <v>240710441</v>
      </c>
      <c r="S33" s="381">
        <f>'Table 6 (Local Deduct Calc.)'!J34</f>
        <v>125984793</v>
      </c>
      <c r="T33" s="381">
        <f t="shared" si="31"/>
        <v>125984793</v>
      </c>
      <c r="U33" s="382">
        <f t="shared" si="32"/>
        <v>114725648</v>
      </c>
      <c r="V33" s="383">
        <f t="shared" si="52"/>
        <v>0.47660000000000002</v>
      </c>
      <c r="W33" s="383">
        <f t="shared" si="33"/>
        <v>0.52339999999999998</v>
      </c>
      <c r="X33" s="384">
        <f t="shared" si="19"/>
        <v>2863.6812519889077</v>
      </c>
      <c r="Y33" s="381">
        <f>'Table 7 Local Revenue'!AQ33</f>
        <v>247091005</v>
      </c>
      <c r="Z33" s="381">
        <f t="shared" si="34"/>
        <v>121106212</v>
      </c>
      <c r="AA33" s="279">
        <f t="shared" si="35"/>
        <v>0</v>
      </c>
      <c r="AB33" s="14">
        <f t="shared" si="36"/>
        <v>81841549.940000013</v>
      </c>
      <c r="AC33" s="14">
        <f t="shared" si="37"/>
        <v>81841549.940000013</v>
      </c>
      <c r="AD33" s="381">
        <f t="shared" si="38"/>
        <v>73677691.650385126</v>
      </c>
      <c r="AE33" s="385">
        <f t="shared" si="39"/>
        <v>8163858.289614886</v>
      </c>
      <c r="AF33" s="16">
        <f t="shared" si="40"/>
        <v>9.98E-2</v>
      </c>
      <c r="AG33" s="385">
        <f t="shared" si="41"/>
        <v>122889506.28961489</v>
      </c>
      <c r="AH33" s="14">
        <f t="shared" si="20"/>
        <v>2793</v>
      </c>
      <c r="AI33" s="385">
        <f>'Table 4 Level 3'!O31</f>
        <v>22003920</v>
      </c>
      <c r="AJ33" s="14">
        <f t="shared" si="21"/>
        <v>500.15729417647862</v>
      </c>
      <c r="AK33" s="385">
        <f t="shared" si="42"/>
        <v>144893426.28961489</v>
      </c>
      <c r="AL33" s="14">
        <f t="shared" si="22"/>
        <v>3293.481526790355</v>
      </c>
      <c r="AM33" s="499">
        <f>'Table 4 Level 3'!R31</f>
        <v>58819419.020000003</v>
      </c>
      <c r="AN33" s="500">
        <f t="shared" si="23"/>
        <v>1336.9872941764786</v>
      </c>
      <c r="AO33" s="385">
        <f t="shared" si="43"/>
        <v>181708925.3096149</v>
      </c>
      <c r="AP33" s="14">
        <f t="shared" si="24"/>
        <v>4130.3115267903559</v>
      </c>
      <c r="AQ33" s="16">
        <f t="shared" si="44"/>
        <v>0.46647618359725901</v>
      </c>
      <c r="AR33" s="386">
        <f t="shared" si="45"/>
        <v>60</v>
      </c>
      <c r="AS33" s="14">
        <f t="shared" si="46"/>
        <v>207826342.94</v>
      </c>
      <c r="AT33" s="14">
        <f t="shared" si="25"/>
        <v>4723.97</v>
      </c>
      <c r="AU33" s="386">
        <f t="shared" si="47"/>
        <v>11</v>
      </c>
      <c r="AV33" s="16">
        <f t="shared" si="48"/>
        <v>0.53352381640274094</v>
      </c>
      <c r="AW33" s="386">
        <f t="shared" si="49"/>
        <v>389535268.24961489</v>
      </c>
      <c r="AX33" s="387">
        <f t="shared" si="26"/>
        <v>8854.2816804476715</v>
      </c>
      <c r="AY33" s="386">
        <f t="shared" si="50"/>
        <v>34</v>
      </c>
      <c r="AZ33" s="1076">
        <v>176566962.57102656</v>
      </c>
      <c r="BA33" s="279">
        <f t="shared" si="51"/>
        <v>5141962.7385883331</v>
      </c>
      <c r="BB33" s="1081"/>
      <c r="BC33" s="279"/>
      <c r="BD33" s="279"/>
      <c r="BE33" s="279"/>
      <c r="BF33" s="279"/>
      <c r="BG33" s="279"/>
      <c r="BH33" s="279"/>
      <c r="BI33" s="279"/>
      <c r="BJ33" s="279"/>
      <c r="BK33" s="279"/>
      <c r="BL33" s="81"/>
      <c r="BM33" s="81"/>
      <c r="BN33" s="861"/>
      <c r="BO33" s="81"/>
      <c r="BP33" s="81"/>
      <c r="BQ33" s="861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</row>
    <row r="34" spans="1:149" s="5" customFormat="1">
      <c r="A34" s="101">
        <v>27</v>
      </c>
      <c r="B34" s="81" t="s">
        <v>118</v>
      </c>
      <c r="C34" s="81">
        <f>'2-1-13 SIS'!S33</f>
        <v>5614</v>
      </c>
      <c r="D34" s="81">
        <f>'[6]2-1-13-Supreme Court Ruling'!AE32</f>
        <v>3354</v>
      </c>
      <c r="E34" s="81">
        <f t="shared" si="12"/>
        <v>738</v>
      </c>
      <c r="F34" s="81">
        <f>'[7]CTE-Oct 2012-Supreme Court'!AC33</f>
        <v>2317.5</v>
      </c>
      <c r="G34" s="81">
        <f t="shared" si="13"/>
        <v>139</v>
      </c>
      <c r="H34" s="1156">
        <f>'[8]SWD 2-1-13 Supreme Court'!Z32</f>
        <v>804</v>
      </c>
      <c r="I34" s="1156">
        <f t="shared" si="27"/>
        <v>1206</v>
      </c>
      <c r="J34" s="1156">
        <f>'[9]GT_PS-12th Supreme Court'!T31</f>
        <v>143</v>
      </c>
      <c r="K34" s="1156">
        <f t="shared" si="28"/>
        <v>85.8</v>
      </c>
      <c r="L34" s="13">
        <f t="shared" si="14"/>
        <v>1886</v>
      </c>
      <c r="M34" s="65">
        <f t="shared" si="15"/>
        <v>5.0290000000000001E-2</v>
      </c>
      <c r="N34" s="13">
        <f t="shared" si="16"/>
        <v>282</v>
      </c>
      <c r="O34" s="13">
        <f t="shared" si="29"/>
        <v>2450.8000000000002</v>
      </c>
      <c r="P34" s="13">
        <f t="shared" si="17"/>
        <v>8064.8</v>
      </c>
      <c r="Q34" s="381">
        <f t="shared" si="30"/>
        <v>3855</v>
      </c>
      <c r="R34" s="381">
        <f t="shared" si="18"/>
        <v>31089804</v>
      </c>
      <c r="S34" s="381">
        <f>'Table 6 (Local Deduct Calc.)'!J35</f>
        <v>6692104.5</v>
      </c>
      <c r="T34" s="381">
        <f t="shared" si="31"/>
        <v>6692104.5</v>
      </c>
      <c r="U34" s="382">
        <f t="shared" si="32"/>
        <v>24397699.5</v>
      </c>
      <c r="V34" s="383">
        <f t="shared" si="52"/>
        <v>0.78469999999999995</v>
      </c>
      <c r="W34" s="383">
        <f t="shared" si="33"/>
        <v>0.21529999999999999</v>
      </c>
      <c r="X34" s="384">
        <f t="shared" si="19"/>
        <v>1192.038564303527</v>
      </c>
      <c r="Y34" s="381">
        <f>'Table 7 Local Revenue'!AQ34</f>
        <v>17888658.5</v>
      </c>
      <c r="Z34" s="381">
        <f t="shared" si="34"/>
        <v>11196554</v>
      </c>
      <c r="AA34" s="279">
        <f t="shared" si="35"/>
        <v>0</v>
      </c>
      <c r="AB34" s="14">
        <f t="shared" si="36"/>
        <v>10570533.360000001</v>
      </c>
      <c r="AC34" s="14">
        <f t="shared" si="37"/>
        <v>10570533.360000001</v>
      </c>
      <c r="AD34" s="381">
        <f t="shared" si="38"/>
        <v>3914437.6317417603</v>
      </c>
      <c r="AE34" s="385">
        <f t="shared" si="39"/>
        <v>6656095.728258241</v>
      </c>
      <c r="AF34" s="16">
        <f t="shared" si="40"/>
        <v>0.62970000000000004</v>
      </c>
      <c r="AG34" s="385">
        <f t="shared" si="41"/>
        <v>31053795.228258241</v>
      </c>
      <c r="AH34" s="14">
        <f t="shared" si="20"/>
        <v>5531</v>
      </c>
      <c r="AI34" s="385">
        <f>'Table 4 Level 3'!O32</f>
        <v>838063</v>
      </c>
      <c r="AJ34" s="14">
        <f t="shared" si="21"/>
        <v>149.2809048806555</v>
      </c>
      <c r="AK34" s="385">
        <f t="shared" si="42"/>
        <v>31891858.228258241</v>
      </c>
      <c r="AL34" s="14">
        <f t="shared" si="22"/>
        <v>5680.7727517381973</v>
      </c>
      <c r="AM34" s="499">
        <f>'Table 4 Level 3'!R32</f>
        <v>4728901.84</v>
      </c>
      <c r="AN34" s="500">
        <f t="shared" si="23"/>
        <v>842.34090488065544</v>
      </c>
      <c r="AO34" s="385">
        <f t="shared" si="43"/>
        <v>35782697.068258241</v>
      </c>
      <c r="AP34" s="14">
        <f t="shared" si="24"/>
        <v>6373.8327517381977</v>
      </c>
      <c r="AQ34" s="16">
        <f t="shared" si="44"/>
        <v>0.67456821823545754</v>
      </c>
      <c r="AR34" s="386">
        <f t="shared" si="45"/>
        <v>25</v>
      </c>
      <c r="AS34" s="14">
        <f t="shared" si="46"/>
        <v>17262637.859999999</v>
      </c>
      <c r="AT34" s="14">
        <f t="shared" si="25"/>
        <v>3074.93</v>
      </c>
      <c r="AU34" s="386">
        <f t="shared" si="47"/>
        <v>40</v>
      </c>
      <c r="AV34" s="16">
        <f t="shared" si="48"/>
        <v>0.32543178176454252</v>
      </c>
      <c r="AW34" s="386">
        <f t="shared" si="49"/>
        <v>53045334.92825824</v>
      </c>
      <c r="AX34" s="387">
        <f t="shared" si="26"/>
        <v>9448.7593388418663</v>
      </c>
      <c r="AY34" s="386">
        <f t="shared" si="50"/>
        <v>12</v>
      </c>
      <c r="AZ34" s="1076">
        <v>35629107.845807999</v>
      </c>
      <c r="BA34" s="279">
        <f t="shared" si="51"/>
        <v>153589.22245024145</v>
      </c>
      <c r="BB34" s="1079"/>
      <c r="BC34" s="279"/>
      <c r="BD34" s="279"/>
      <c r="BE34" s="279"/>
      <c r="BF34" s="279"/>
      <c r="BG34" s="279"/>
      <c r="BH34" s="279"/>
      <c r="BI34" s="279"/>
      <c r="BJ34" s="279"/>
      <c r="BK34" s="279"/>
      <c r="BL34" s="81"/>
      <c r="BM34" s="81"/>
      <c r="BN34" s="861"/>
      <c r="BO34" s="81"/>
      <c r="BP34" s="81"/>
      <c r="BQ34" s="861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</row>
    <row r="35" spans="1:149" s="5" customFormat="1">
      <c r="A35" s="101">
        <v>28</v>
      </c>
      <c r="B35" s="81" t="s">
        <v>119</v>
      </c>
      <c r="C35" s="81">
        <f>'2-1-13 SIS'!S34</f>
        <v>30011</v>
      </c>
      <c r="D35" s="81">
        <f>'[6]2-1-13-Supreme Court Ruling'!AE33</f>
        <v>18378</v>
      </c>
      <c r="E35" s="81">
        <f t="shared" si="12"/>
        <v>4043</v>
      </c>
      <c r="F35" s="81">
        <f>'[7]CTE-Oct 2012-Supreme Court'!AC34</f>
        <v>6269</v>
      </c>
      <c r="G35" s="81">
        <f t="shared" si="13"/>
        <v>376</v>
      </c>
      <c r="H35" s="1156">
        <f>'[8]SWD 2-1-13 Supreme Court'!Z33</f>
        <v>2748</v>
      </c>
      <c r="I35" s="1156">
        <f t="shared" si="27"/>
        <v>4122</v>
      </c>
      <c r="J35" s="1156">
        <f>'[9]GT_PS-12th Supreme Court'!T32</f>
        <v>1336</v>
      </c>
      <c r="K35" s="1156">
        <f t="shared" si="28"/>
        <v>801.6</v>
      </c>
      <c r="L35" s="13">
        <f t="shared" si="14"/>
        <v>0</v>
      </c>
      <c r="M35" s="65">
        <f t="shared" si="15"/>
        <v>0</v>
      </c>
      <c r="N35" s="13">
        <f t="shared" si="16"/>
        <v>0</v>
      </c>
      <c r="O35" s="13">
        <f t="shared" si="29"/>
        <v>9342.6</v>
      </c>
      <c r="P35" s="13">
        <f t="shared" si="17"/>
        <v>39353.599999999999</v>
      </c>
      <c r="Q35" s="381">
        <f t="shared" si="30"/>
        <v>3855</v>
      </c>
      <c r="R35" s="381">
        <f t="shared" si="18"/>
        <v>151708128</v>
      </c>
      <c r="S35" s="381">
        <f>'Table 6 (Local Deduct Calc.)'!J36</f>
        <v>73026174.5</v>
      </c>
      <c r="T35" s="381">
        <f t="shared" si="31"/>
        <v>73026174.5</v>
      </c>
      <c r="U35" s="382">
        <f t="shared" si="32"/>
        <v>78681953.5</v>
      </c>
      <c r="V35" s="383">
        <f t="shared" si="52"/>
        <v>0.51859999999999995</v>
      </c>
      <c r="W35" s="383">
        <f t="shared" si="33"/>
        <v>0.48139999999999999</v>
      </c>
      <c r="X35" s="384">
        <f t="shared" si="19"/>
        <v>2433.3136016793842</v>
      </c>
      <c r="Y35" s="381">
        <f>'Table 7 Local Revenue'!AQ35</f>
        <v>161907661.5</v>
      </c>
      <c r="Z35" s="381">
        <f t="shared" si="34"/>
        <v>88881487</v>
      </c>
      <c r="AA35" s="279">
        <f t="shared" si="35"/>
        <v>0</v>
      </c>
      <c r="AB35" s="14">
        <f t="shared" si="36"/>
        <v>51580763.520000003</v>
      </c>
      <c r="AC35" s="14">
        <f t="shared" si="37"/>
        <v>51580763.520000003</v>
      </c>
      <c r="AD35" s="381">
        <f t="shared" si="38"/>
        <v>42709284.840668164</v>
      </c>
      <c r="AE35" s="385">
        <f t="shared" si="39"/>
        <v>8871478.6793318391</v>
      </c>
      <c r="AF35" s="16">
        <f t="shared" si="40"/>
        <v>0.17199999999999999</v>
      </c>
      <c r="AG35" s="385">
        <f t="shared" si="41"/>
        <v>87553432.179331839</v>
      </c>
      <c r="AH35" s="14">
        <f t="shared" si="20"/>
        <v>2917</v>
      </c>
      <c r="AI35" s="385">
        <f>'Table 4 Level 3'!O33</f>
        <v>7376446</v>
      </c>
      <c r="AJ35" s="14">
        <f t="shared" si="21"/>
        <v>245.79140981640066</v>
      </c>
      <c r="AK35" s="385">
        <f t="shared" si="42"/>
        <v>94929878.179331839</v>
      </c>
      <c r="AL35" s="14">
        <f t="shared" si="22"/>
        <v>3163.1694438483169</v>
      </c>
      <c r="AM35" s="499">
        <f>'Table 4 Level 3'!R33</f>
        <v>28216084.399999999</v>
      </c>
      <c r="AN35" s="500">
        <f t="shared" si="23"/>
        <v>940.19140981640055</v>
      </c>
      <c r="AO35" s="385">
        <f t="shared" si="43"/>
        <v>115769516.57933185</v>
      </c>
      <c r="AP35" s="14">
        <f t="shared" si="24"/>
        <v>3857.569443848317</v>
      </c>
      <c r="AQ35" s="16">
        <f t="shared" si="44"/>
        <v>0.48161753933970219</v>
      </c>
      <c r="AR35" s="386">
        <f t="shared" si="45"/>
        <v>58</v>
      </c>
      <c r="AS35" s="14">
        <f t="shared" si="46"/>
        <v>124606938.02</v>
      </c>
      <c r="AT35" s="14">
        <f t="shared" si="25"/>
        <v>4152.04</v>
      </c>
      <c r="AU35" s="386">
        <f t="shared" si="47"/>
        <v>17</v>
      </c>
      <c r="AV35" s="16">
        <f t="shared" si="48"/>
        <v>0.51838246066029781</v>
      </c>
      <c r="AW35" s="386">
        <f t="shared" si="49"/>
        <v>240376454.59933186</v>
      </c>
      <c r="AX35" s="387">
        <f t="shared" si="26"/>
        <v>8009.6116290470782</v>
      </c>
      <c r="AY35" s="386">
        <f t="shared" si="50"/>
        <v>64</v>
      </c>
      <c r="AZ35" s="1076">
        <v>115475573.66581</v>
      </c>
      <c r="BA35" s="279">
        <f t="shared" si="51"/>
        <v>293942.91352184117</v>
      </c>
      <c r="BB35" s="1079"/>
      <c r="BC35" s="279"/>
      <c r="BD35" s="279"/>
      <c r="BE35" s="279"/>
      <c r="BF35" s="279"/>
      <c r="BG35" s="279"/>
      <c r="BH35" s="279"/>
      <c r="BI35" s="279"/>
      <c r="BJ35" s="279"/>
      <c r="BK35" s="279"/>
      <c r="BL35" s="81"/>
      <c r="BM35" s="81"/>
      <c r="BN35" s="861"/>
      <c r="BO35" s="81"/>
      <c r="BP35" s="81"/>
      <c r="BQ35" s="861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</row>
    <row r="36" spans="1:149" s="5" customFormat="1">
      <c r="A36" s="101">
        <v>29</v>
      </c>
      <c r="B36" s="81" t="s">
        <v>120</v>
      </c>
      <c r="C36" s="81">
        <f>'2-1-13 SIS'!S35</f>
        <v>13679</v>
      </c>
      <c r="D36" s="81">
        <f>'[6]2-1-13-Supreme Court Ruling'!AE34</f>
        <v>8281</v>
      </c>
      <c r="E36" s="81">
        <f t="shared" si="12"/>
        <v>1822</v>
      </c>
      <c r="F36" s="81">
        <f>'[7]CTE-Oct 2012-Supreme Court'!AC35</f>
        <v>5750.5</v>
      </c>
      <c r="G36" s="81">
        <f t="shared" si="13"/>
        <v>345</v>
      </c>
      <c r="H36" s="1156">
        <f>'[8]SWD 2-1-13 Supreme Court'!Z34</f>
        <v>1121</v>
      </c>
      <c r="I36" s="1156">
        <f t="shared" si="27"/>
        <v>1681.5</v>
      </c>
      <c r="J36" s="1156">
        <f>'[9]GT_PS-12th Supreme Court'!T33</f>
        <v>217</v>
      </c>
      <c r="K36" s="1156">
        <f t="shared" si="28"/>
        <v>130.19999999999999</v>
      </c>
      <c r="L36" s="13">
        <f t="shared" si="14"/>
        <v>0</v>
      </c>
      <c r="M36" s="65">
        <f t="shared" si="15"/>
        <v>0</v>
      </c>
      <c r="N36" s="13">
        <f t="shared" si="16"/>
        <v>0</v>
      </c>
      <c r="O36" s="13">
        <f t="shared" si="29"/>
        <v>3978.7</v>
      </c>
      <c r="P36" s="13">
        <f t="shared" si="17"/>
        <v>17657.7</v>
      </c>
      <c r="Q36" s="381">
        <f t="shared" si="30"/>
        <v>3855</v>
      </c>
      <c r="R36" s="381">
        <f t="shared" si="18"/>
        <v>68070434</v>
      </c>
      <c r="S36" s="381">
        <f>'Table 6 (Local Deduct Calc.)'!J37</f>
        <v>25044133</v>
      </c>
      <c r="T36" s="381">
        <f t="shared" si="31"/>
        <v>25044133</v>
      </c>
      <c r="U36" s="382">
        <f t="shared" si="32"/>
        <v>43026301</v>
      </c>
      <c r="V36" s="383">
        <f t="shared" si="52"/>
        <v>0.6321</v>
      </c>
      <c r="W36" s="383">
        <f t="shared" si="33"/>
        <v>0.3679</v>
      </c>
      <c r="X36" s="384">
        <f t="shared" si="19"/>
        <v>1830.8453103297024</v>
      </c>
      <c r="Y36" s="381">
        <f>'Table 7 Local Revenue'!AQ36</f>
        <v>61121447</v>
      </c>
      <c r="Z36" s="381">
        <f t="shared" si="34"/>
        <v>36077314</v>
      </c>
      <c r="AA36" s="279">
        <f t="shared" si="35"/>
        <v>0</v>
      </c>
      <c r="AB36" s="14">
        <f t="shared" si="36"/>
        <v>23143947.560000002</v>
      </c>
      <c r="AC36" s="14">
        <f t="shared" si="37"/>
        <v>23143947.560000002</v>
      </c>
      <c r="AD36" s="381">
        <f t="shared" si="38"/>
        <v>14645212.288597282</v>
      </c>
      <c r="AE36" s="385">
        <f t="shared" si="39"/>
        <v>8498735.2714027204</v>
      </c>
      <c r="AF36" s="16">
        <f t="shared" si="40"/>
        <v>0.36720000000000003</v>
      </c>
      <c r="AG36" s="385">
        <f t="shared" si="41"/>
        <v>51525036.271402717</v>
      </c>
      <c r="AH36" s="14">
        <f t="shared" si="20"/>
        <v>3767</v>
      </c>
      <c r="AI36" s="385">
        <f>'Table 4 Level 3'!O34</f>
        <v>2542013</v>
      </c>
      <c r="AJ36" s="14">
        <f t="shared" si="21"/>
        <v>185.83324804444769</v>
      </c>
      <c r="AK36" s="385">
        <f t="shared" si="42"/>
        <v>54067049.271402717</v>
      </c>
      <c r="AL36" s="14">
        <f t="shared" si="22"/>
        <v>3952.5586133052648</v>
      </c>
      <c r="AM36" s="499">
        <f>'Table 4 Level 3'!R34</f>
        <v>12868974.049999999</v>
      </c>
      <c r="AN36" s="500">
        <f t="shared" si="23"/>
        <v>940.78324804444765</v>
      </c>
      <c r="AO36" s="385">
        <f t="shared" si="43"/>
        <v>64394010.321402714</v>
      </c>
      <c r="AP36" s="14">
        <f t="shared" si="24"/>
        <v>4707.5086133052646</v>
      </c>
      <c r="AQ36" s="16">
        <f t="shared" si="44"/>
        <v>0.57197383542323132</v>
      </c>
      <c r="AR36" s="386">
        <f t="shared" si="45"/>
        <v>50</v>
      </c>
      <c r="AS36" s="14">
        <f t="shared" si="46"/>
        <v>48188080.560000002</v>
      </c>
      <c r="AT36" s="14">
        <f t="shared" si="25"/>
        <v>3522.78</v>
      </c>
      <c r="AU36" s="386">
        <f t="shared" si="47"/>
        <v>26</v>
      </c>
      <c r="AV36" s="16">
        <f t="shared" si="48"/>
        <v>0.42802616457676862</v>
      </c>
      <c r="AW36" s="386">
        <f t="shared" si="49"/>
        <v>112582090.88140272</v>
      </c>
      <c r="AX36" s="387">
        <f t="shared" si="26"/>
        <v>8230.2866350904824</v>
      </c>
      <c r="AY36" s="386">
        <f t="shared" si="50"/>
        <v>57</v>
      </c>
      <c r="AZ36" s="1076">
        <v>63847348.751467213</v>
      </c>
      <c r="BA36" s="279">
        <f t="shared" si="51"/>
        <v>546661.56993550062</v>
      </c>
      <c r="BB36" s="1079"/>
      <c r="BC36" s="279"/>
      <c r="BD36" s="279"/>
      <c r="BE36" s="279"/>
      <c r="BF36" s="279"/>
      <c r="BG36" s="279"/>
      <c r="BH36" s="279"/>
      <c r="BI36" s="279"/>
      <c r="BJ36" s="279"/>
      <c r="BK36" s="279"/>
      <c r="BL36" s="81"/>
      <c r="BM36" s="81"/>
      <c r="BN36" s="861"/>
      <c r="BO36" s="81"/>
      <c r="BP36" s="81"/>
      <c r="BQ36" s="861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</row>
    <row r="37" spans="1:149" s="21" customFormat="1">
      <c r="A37" s="102">
        <v>30</v>
      </c>
      <c r="B37" s="82" t="s">
        <v>121</v>
      </c>
      <c r="C37" s="82">
        <f>'2-1-13 SIS'!S36</f>
        <v>2476</v>
      </c>
      <c r="D37" s="82">
        <f>'[6]2-1-13-Supreme Court Ruling'!AE35</f>
        <v>1351</v>
      </c>
      <c r="E37" s="82">
        <f t="shared" si="12"/>
        <v>297</v>
      </c>
      <c r="F37" s="82">
        <f>'[7]CTE-Oct 2012-Supreme Court'!AC36</f>
        <v>906.5</v>
      </c>
      <c r="G37" s="82">
        <f t="shared" si="13"/>
        <v>54</v>
      </c>
      <c r="H37" s="82">
        <f>'[8]SWD 2-1-13 Supreme Court'!Z35</f>
        <v>230</v>
      </c>
      <c r="I37" s="82">
        <f t="shared" si="27"/>
        <v>345</v>
      </c>
      <c r="J37" s="82">
        <f>'[9]GT_PS-12th Supreme Court'!T34</f>
        <v>37</v>
      </c>
      <c r="K37" s="82">
        <f t="shared" si="28"/>
        <v>22.2</v>
      </c>
      <c r="L37" s="19">
        <f t="shared" si="14"/>
        <v>5024</v>
      </c>
      <c r="M37" s="66">
        <f t="shared" si="15"/>
        <v>0.13397000000000001</v>
      </c>
      <c r="N37" s="19">
        <f t="shared" si="16"/>
        <v>332</v>
      </c>
      <c r="O37" s="19">
        <f t="shared" si="29"/>
        <v>1050.2</v>
      </c>
      <c r="P37" s="13">
        <f t="shared" si="17"/>
        <v>3526.2</v>
      </c>
      <c r="Q37" s="388">
        <f t="shared" si="30"/>
        <v>3855</v>
      </c>
      <c r="R37" s="388">
        <f t="shared" si="18"/>
        <v>13593501</v>
      </c>
      <c r="S37" s="388">
        <f>'Table 6 (Local Deduct Calc.)'!J38</f>
        <v>2901636.5</v>
      </c>
      <c r="T37" s="388">
        <f t="shared" si="31"/>
        <v>2901636.5</v>
      </c>
      <c r="U37" s="389">
        <f t="shared" si="32"/>
        <v>10691864.5</v>
      </c>
      <c r="V37" s="390">
        <f t="shared" si="52"/>
        <v>0.78649999999999998</v>
      </c>
      <c r="W37" s="391">
        <f t="shared" si="33"/>
        <v>0.2135</v>
      </c>
      <c r="X37" s="392">
        <f t="shared" si="19"/>
        <v>1171.904886914378</v>
      </c>
      <c r="Y37" s="388">
        <f>'Table 7 Local Revenue'!AQ37</f>
        <v>9436765.5</v>
      </c>
      <c r="Z37" s="388">
        <f t="shared" si="34"/>
        <v>6535129</v>
      </c>
      <c r="AA37" s="280">
        <f t="shared" si="35"/>
        <v>0</v>
      </c>
      <c r="AB37" s="20">
        <f t="shared" si="36"/>
        <v>4621790.3400000008</v>
      </c>
      <c r="AC37" s="20">
        <f t="shared" si="37"/>
        <v>4621790.3400000008</v>
      </c>
      <c r="AD37" s="388">
        <f t="shared" si="38"/>
        <v>1697213.8486548003</v>
      </c>
      <c r="AE37" s="393">
        <f t="shared" si="39"/>
        <v>2924576.4913452007</v>
      </c>
      <c r="AF37" s="273">
        <f t="shared" si="40"/>
        <v>0.63280000000000003</v>
      </c>
      <c r="AG37" s="393">
        <f t="shared" si="41"/>
        <v>13616440.991345201</v>
      </c>
      <c r="AH37" s="20">
        <f t="shared" si="20"/>
        <v>5499</v>
      </c>
      <c r="AI37" s="393">
        <f>'Table 4 Level 3'!O35</f>
        <v>369619</v>
      </c>
      <c r="AJ37" s="20">
        <f t="shared" si="21"/>
        <v>149.28069466882067</v>
      </c>
      <c r="AK37" s="393">
        <f t="shared" si="42"/>
        <v>13986059.991345201</v>
      </c>
      <c r="AL37" s="20">
        <f t="shared" si="22"/>
        <v>5648.6510465852989</v>
      </c>
      <c r="AM37" s="501">
        <f>'Table 4 Level 3'!R35</f>
        <v>2170091.92</v>
      </c>
      <c r="AN37" s="502">
        <f t="shared" si="23"/>
        <v>876.45069466882069</v>
      </c>
      <c r="AO37" s="393">
        <f t="shared" si="43"/>
        <v>15786532.911345201</v>
      </c>
      <c r="AP37" s="20">
        <f t="shared" si="24"/>
        <v>6375.821046585299</v>
      </c>
      <c r="AQ37" s="273">
        <f t="shared" si="44"/>
        <v>0.67724410851606764</v>
      </c>
      <c r="AR37" s="394">
        <f t="shared" si="45"/>
        <v>24</v>
      </c>
      <c r="AS37" s="20">
        <f t="shared" si="46"/>
        <v>7523426.8399999999</v>
      </c>
      <c r="AT37" s="20">
        <f t="shared" si="25"/>
        <v>3038.54</v>
      </c>
      <c r="AU37" s="394">
        <f t="shared" si="47"/>
        <v>41</v>
      </c>
      <c r="AV37" s="273">
        <f t="shared" si="48"/>
        <v>0.32275589148393224</v>
      </c>
      <c r="AW37" s="394">
        <f t="shared" si="49"/>
        <v>23309959.751345202</v>
      </c>
      <c r="AX37" s="395">
        <f t="shared" si="26"/>
        <v>9414.3617735642983</v>
      </c>
      <c r="AY37" s="394">
        <f t="shared" si="50"/>
        <v>14</v>
      </c>
      <c r="AZ37" s="1077">
        <v>15400251.3522336</v>
      </c>
      <c r="BA37" s="280">
        <f t="shared" si="51"/>
        <v>386281.55911160074</v>
      </c>
      <c r="BB37" s="1082"/>
      <c r="BC37" s="280"/>
      <c r="BD37" s="280"/>
      <c r="BE37" s="280"/>
      <c r="BF37" s="280"/>
      <c r="BG37" s="280"/>
      <c r="BH37" s="280"/>
      <c r="BI37" s="280"/>
      <c r="BJ37" s="280"/>
      <c r="BK37" s="280"/>
      <c r="BL37" s="82"/>
      <c r="BM37" s="82"/>
      <c r="BN37" s="862"/>
      <c r="BO37" s="82"/>
      <c r="BP37" s="82"/>
      <c r="BQ37" s="862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</row>
    <row r="38" spans="1:149" s="5" customFormat="1">
      <c r="A38" s="101">
        <v>31</v>
      </c>
      <c r="B38" s="81" t="s">
        <v>122</v>
      </c>
      <c r="C38" s="81">
        <f>'2-1-13 SIS'!S37</f>
        <v>6405</v>
      </c>
      <c r="D38" s="81">
        <f>'[6]2-1-13-Supreme Court Ruling'!AE36</f>
        <v>3895</v>
      </c>
      <c r="E38" s="81">
        <f t="shared" si="12"/>
        <v>857</v>
      </c>
      <c r="F38" s="81">
        <f>'[7]CTE-Oct 2012-Supreme Court'!AC37</f>
        <v>2323</v>
      </c>
      <c r="G38" s="81">
        <f t="shared" si="13"/>
        <v>139</v>
      </c>
      <c r="H38" s="1156">
        <f>'[8]SWD 2-1-13 Supreme Court'!Z36</f>
        <v>743</v>
      </c>
      <c r="I38" s="1156">
        <f t="shared" si="27"/>
        <v>1114.5</v>
      </c>
      <c r="J38" s="1156">
        <f>'[9]GT_PS-12th Supreme Court'!T35</f>
        <v>347</v>
      </c>
      <c r="K38" s="1156">
        <f t="shared" si="28"/>
        <v>208.2</v>
      </c>
      <c r="L38" s="13">
        <f t="shared" si="14"/>
        <v>1095</v>
      </c>
      <c r="M38" s="65">
        <f t="shared" si="15"/>
        <v>2.92E-2</v>
      </c>
      <c r="N38" s="13">
        <f t="shared" si="16"/>
        <v>187</v>
      </c>
      <c r="O38" s="13">
        <f t="shared" si="29"/>
        <v>2505.6999999999998</v>
      </c>
      <c r="P38" s="36">
        <f t="shared" si="17"/>
        <v>8910.7000000000007</v>
      </c>
      <c r="Q38" s="381">
        <f t="shared" si="30"/>
        <v>3855</v>
      </c>
      <c r="R38" s="381">
        <f t="shared" si="18"/>
        <v>34350749</v>
      </c>
      <c r="S38" s="381">
        <f>'Table 6 (Local Deduct Calc.)'!J39</f>
        <v>12072211</v>
      </c>
      <c r="T38" s="381">
        <f t="shared" si="31"/>
        <v>12072211</v>
      </c>
      <c r="U38" s="382">
        <f t="shared" si="32"/>
        <v>22278538</v>
      </c>
      <c r="V38" s="383">
        <f t="shared" si="52"/>
        <v>0.64859999999999995</v>
      </c>
      <c r="W38" s="383">
        <f t="shared" si="33"/>
        <v>0.35139999999999999</v>
      </c>
      <c r="X38" s="384">
        <f t="shared" si="19"/>
        <v>1884.8104605776737</v>
      </c>
      <c r="Y38" s="381">
        <f>'Table 7 Local Revenue'!AQ38</f>
        <v>30943994</v>
      </c>
      <c r="Z38" s="381">
        <f t="shared" si="34"/>
        <v>18871783</v>
      </c>
      <c r="AA38" s="279">
        <f t="shared" si="35"/>
        <v>0</v>
      </c>
      <c r="AB38" s="14">
        <f t="shared" si="36"/>
        <v>11679254.66</v>
      </c>
      <c r="AC38" s="14">
        <f t="shared" si="37"/>
        <v>11679254.66</v>
      </c>
      <c r="AD38" s="381">
        <f t="shared" si="38"/>
        <v>7059034.9505412793</v>
      </c>
      <c r="AE38" s="385">
        <f t="shared" si="39"/>
        <v>4620219.7094587209</v>
      </c>
      <c r="AF38" s="16">
        <f t="shared" si="40"/>
        <v>0.39560000000000001</v>
      </c>
      <c r="AG38" s="385">
        <f t="shared" si="41"/>
        <v>26898757.70945872</v>
      </c>
      <c r="AH38" s="14">
        <f t="shared" si="20"/>
        <v>4200</v>
      </c>
      <c r="AI38" s="385">
        <f>'Table 4 Level 3'!O36</f>
        <v>956144</v>
      </c>
      <c r="AJ38" s="14">
        <f t="shared" si="21"/>
        <v>149.2808743169399</v>
      </c>
      <c r="AK38" s="385">
        <f t="shared" si="42"/>
        <v>27854901.70945872</v>
      </c>
      <c r="AL38" s="14">
        <f t="shared" si="22"/>
        <v>4348.9307899232972</v>
      </c>
      <c r="AM38" s="499">
        <f>'Table 4 Level 3'!R36</f>
        <v>4932560.1500000004</v>
      </c>
      <c r="AN38" s="500">
        <f t="shared" si="23"/>
        <v>770.11087431694</v>
      </c>
      <c r="AO38" s="385">
        <f t="shared" si="43"/>
        <v>31831317.859458722</v>
      </c>
      <c r="AP38" s="14">
        <f t="shared" si="24"/>
        <v>4969.760789923298</v>
      </c>
      <c r="AQ38" s="16">
        <f t="shared" si="44"/>
        <v>0.57268304758999766</v>
      </c>
      <c r="AR38" s="386">
        <f t="shared" si="45"/>
        <v>49</v>
      </c>
      <c r="AS38" s="14">
        <f t="shared" si="46"/>
        <v>23751465.66</v>
      </c>
      <c r="AT38" s="14">
        <f t="shared" si="25"/>
        <v>3708.27</v>
      </c>
      <c r="AU38" s="386">
        <f t="shared" si="47"/>
        <v>23</v>
      </c>
      <c r="AV38" s="16">
        <f t="shared" si="48"/>
        <v>0.42731695241000223</v>
      </c>
      <c r="AW38" s="386">
        <f t="shared" si="49"/>
        <v>55582783.519458726</v>
      </c>
      <c r="AX38" s="387">
        <f t="shared" si="26"/>
        <v>8678.0302138108855</v>
      </c>
      <c r="AY38" s="386">
        <f t="shared" si="50"/>
        <v>41</v>
      </c>
      <c r="AZ38" s="1076">
        <v>30900414.246679999</v>
      </c>
      <c r="BA38" s="279">
        <f t="shared" si="51"/>
        <v>930903.61277872324</v>
      </c>
      <c r="BB38" s="1081"/>
      <c r="BC38" s="279"/>
      <c r="BD38" s="279"/>
      <c r="BE38" s="279"/>
      <c r="BF38" s="279"/>
      <c r="BG38" s="279"/>
      <c r="BH38" s="279"/>
      <c r="BI38" s="279"/>
      <c r="BJ38" s="279"/>
      <c r="BK38" s="279"/>
      <c r="BL38" s="81"/>
      <c r="BM38" s="81"/>
      <c r="BN38" s="861"/>
      <c r="BO38" s="81"/>
      <c r="BP38" s="81"/>
      <c r="BQ38" s="861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</row>
    <row r="39" spans="1:149" s="5" customFormat="1">
      <c r="A39" s="101">
        <v>32</v>
      </c>
      <c r="B39" s="81" t="s">
        <v>123</v>
      </c>
      <c r="C39" s="81">
        <f>'2-1-13 SIS'!S38</f>
        <v>24815</v>
      </c>
      <c r="D39" s="81">
        <f>'[6]2-1-13-Supreme Court Ruling'!AE37</f>
        <v>12760</v>
      </c>
      <c r="E39" s="81">
        <f t="shared" si="12"/>
        <v>2807</v>
      </c>
      <c r="F39" s="81">
        <f>'[7]CTE-Oct 2012-Supreme Court'!AC38</f>
        <v>10588</v>
      </c>
      <c r="G39" s="81">
        <f t="shared" si="13"/>
        <v>635</v>
      </c>
      <c r="H39" s="1156">
        <f>'[8]SWD 2-1-13 Supreme Court'!Z37</f>
        <v>3207</v>
      </c>
      <c r="I39" s="1156">
        <f t="shared" si="27"/>
        <v>4810.5</v>
      </c>
      <c r="J39" s="1156">
        <f>'[9]GT_PS-12th Supreme Court'!T36</f>
        <v>1158</v>
      </c>
      <c r="K39" s="1156">
        <f t="shared" si="28"/>
        <v>694.8</v>
      </c>
      <c r="L39" s="13">
        <f t="shared" si="14"/>
        <v>0</v>
      </c>
      <c r="M39" s="65">
        <f t="shared" si="15"/>
        <v>0</v>
      </c>
      <c r="N39" s="13">
        <f t="shared" si="16"/>
        <v>0</v>
      </c>
      <c r="O39" s="13">
        <f t="shared" si="29"/>
        <v>8947.2999999999993</v>
      </c>
      <c r="P39" s="13">
        <f t="shared" si="17"/>
        <v>33762.300000000003</v>
      </c>
      <c r="Q39" s="381">
        <f t="shared" si="30"/>
        <v>3855</v>
      </c>
      <c r="R39" s="381">
        <f t="shared" si="18"/>
        <v>130153667</v>
      </c>
      <c r="S39" s="381">
        <f>'Table 6 (Local Deduct Calc.)'!J40</f>
        <v>19313663.5</v>
      </c>
      <c r="T39" s="381">
        <f t="shared" si="31"/>
        <v>19313663.5</v>
      </c>
      <c r="U39" s="382">
        <f t="shared" si="32"/>
        <v>110840003.5</v>
      </c>
      <c r="V39" s="383">
        <f t="shared" si="52"/>
        <v>0.85160000000000002</v>
      </c>
      <c r="W39" s="383">
        <f t="shared" si="33"/>
        <v>0.1484</v>
      </c>
      <c r="X39" s="384">
        <f t="shared" si="19"/>
        <v>778.30600443280275</v>
      </c>
      <c r="Y39" s="381">
        <f>'Table 7 Local Revenue'!AQ39</f>
        <v>50525265.5</v>
      </c>
      <c r="Z39" s="480">
        <f>IF(Y39-T39&gt;0,Y39-T39,0)-704594</f>
        <v>30507008</v>
      </c>
      <c r="AA39" s="279">
        <f t="shared" si="35"/>
        <v>0</v>
      </c>
      <c r="AB39" s="14">
        <f t="shared" si="36"/>
        <v>44252246.780000001</v>
      </c>
      <c r="AC39" s="14">
        <f t="shared" si="37"/>
        <v>30507008</v>
      </c>
      <c r="AD39" s="381">
        <f t="shared" si="38"/>
        <v>7786852.7779840007</v>
      </c>
      <c r="AE39" s="385">
        <f t="shared" si="39"/>
        <v>22720155.222015999</v>
      </c>
      <c r="AF39" s="16">
        <f t="shared" si="40"/>
        <v>0.74480000000000002</v>
      </c>
      <c r="AG39" s="385">
        <f t="shared" si="41"/>
        <v>133560158.72201601</v>
      </c>
      <c r="AH39" s="14">
        <f t="shared" si="20"/>
        <v>5382</v>
      </c>
      <c r="AI39" s="385">
        <f>'Table 4 Level 3'!O37</f>
        <v>3704405</v>
      </c>
      <c r="AJ39" s="14">
        <f t="shared" si="21"/>
        <v>149.28087850090671</v>
      </c>
      <c r="AK39" s="385">
        <f t="shared" si="42"/>
        <v>137264563.72201601</v>
      </c>
      <c r="AL39" s="14">
        <f t="shared" si="22"/>
        <v>5531.5157655456787</v>
      </c>
      <c r="AM39" s="499">
        <f>'Table 4 Level 3'!R37</f>
        <v>17595097.549999997</v>
      </c>
      <c r="AN39" s="500">
        <f t="shared" si="23"/>
        <v>709.05087850090661</v>
      </c>
      <c r="AO39" s="385">
        <f t="shared" si="43"/>
        <v>151155256.27201599</v>
      </c>
      <c r="AP39" s="14">
        <f t="shared" si="24"/>
        <v>6091.2857655456774</v>
      </c>
      <c r="AQ39" s="16">
        <f t="shared" si="44"/>
        <v>0.75210627435681843</v>
      </c>
      <c r="AR39" s="386">
        <f t="shared" si="45"/>
        <v>6</v>
      </c>
      <c r="AS39" s="14">
        <f t="shared" si="46"/>
        <v>49820671.5</v>
      </c>
      <c r="AT39" s="14">
        <f t="shared" si="25"/>
        <v>2007.68</v>
      </c>
      <c r="AU39" s="386">
        <f t="shared" si="47"/>
        <v>63</v>
      </c>
      <c r="AV39" s="16">
        <f t="shared" si="48"/>
        <v>0.24789372564318155</v>
      </c>
      <c r="AW39" s="386">
        <f t="shared" si="49"/>
        <v>200975927.77201599</v>
      </c>
      <c r="AX39" s="387">
        <f t="shared" si="26"/>
        <v>8098.969485070159</v>
      </c>
      <c r="AY39" s="386">
        <f t="shared" si="50"/>
        <v>62</v>
      </c>
      <c r="AZ39" s="1076">
        <v>147567769.45206401</v>
      </c>
      <c r="BA39" s="279">
        <f t="shared" si="51"/>
        <v>3587486.8199519813</v>
      </c>
      <c r="BB39" s="1081"/>
      <c r="BC39" s="279"/>
      <c r="BD39" s="279"/>
      <c r="BE39" s="279"/>
      <c r="BF39" s="279"/>
      <c r="BG39" s="279"/>
      <c r="BH39" s="279"/>
      <c r="BI39" s="279"/>
      <c r="BJ39" s="279"/>
      <c r="BK39" s="279"/>
      <c r="BL39" s="81"/>
      <c r="BM39" s="81"/>
      <c r="BN39" s="861"/>
      <c r="BO39" s="81"/>
      <c r="BP39" s="81"/>
      <c r="BQ39" s="861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</row>
    <row r="40" spans="1:149" s="5" customFormat="1">
      <c r="A40" s="101">
        <v>33</v>
      </c>
      <c r="B40" s="81" t="s">
        <v>124</v>
      </c>
      <c r="C40" s="81">
        <f>'2-1-13 SIS'!S39</f>
        <v>1792</v>
      </c>
      <c r="D40" s="81">
        <f>'[6]2-1-13-Supreme Court Ruling'!AE38</f>
        <v>1634</v>
      </c>
      <c r="E40" s="81">
        <f t="shared" ref="E40:E71" si="53">ROUND($D$4*D40,0)</f>
        <v>359</v>
      </c>
      <c r="F40" s="81">
        <f>'[7]CTE-Oct 2012-Supreme Court'!AC39</f>
        <v>598</v>
      </c>
      <c r="G40" s="81">
        <f t="shared" ref="G40:G71" si="54">ROUND($F$4*F40,0)</f>
        <v>36</v>
      </c>
      <c r="H40" s="1156">
        <f>'[8]SWD 2-1-13 Supreme Court'!Z38</f>
        <v>198</v>
      </c>
      <c r="I40" s="1156">
        <f t="shared" si="27"/>
        <v>297</v>
      </c>
      <c r="J40" s="1156">
        <f>'[9]GT_PS-12th Supreme Court'!T37</f>
        <v>10</v>
      </c>
      <c r="K40" s="1156">
        <f t="shared" si="28"/>
        <v>6</v>
      </c>
      <c r="L40" s="13">
        <f t="shared" ref="L40:L76" si="55">IF(C40&lt;$L$4,$L$4-C40,0)</f>
        <v>5708</v>
      </c>
      <c r="M40" s="65">
        <f t="shared" ref="M40:M71" si="56">ROUND(L40/$M$4,5)</f>
        <v>0.15221000000000001</v>
      </c>
      <c r="N40" s="13">
        <f t="shared" ref="N40:N71" si="57" xml:space="preserve"> ROUND(C40*M40,0)</f>
        <v>273</v>
      </c>
      <c r="O40" s="13">
        <f t="shared" si="29"/>
        <v>971</v>
      </c>
      <c r="P40" s="13">
        <f t="shared" ref="P40:P71" si="58">O40+C40</f>
        <v>2763</v>
      </c>
      <c r="Q40" s="381">
        <f t="shared" si="30"/>
        <v>3855</v>
      </c>
      <c r="R40" s="381">
        <f t="shared" ref="R40:R71" si="59">ROUND(P40*Q40,0)</f>
        <v>10651365</v>
      </c>
      <c r="S40" s="381">
        <f>'Table 6 (Local Deduct Calc.)'!J41</f>
        <v>2774115</v>
      </c>
      <c r="T40" s="381">
        <f t="shared" si="31"/>
        <v>2774115</v>
      </c>
      <c r="U40" s="382">
        <f t="shared" si="32"/>
        <v>7877250</v>
      </c>
      <c r="V40" s="383">
        <f t="shared" si="52"/>
        <v>0.73960000000000004</v>
      </c>
      <c r="W40" s="383">
        <f t="shared" si="33"/>
        <v>0.26040000000000002</v>
      </c>
      <c r="X40" s="384">
        <f t="shared" ref="X40:X71" si="60">T40/C40</f>
        <v>1548.0552455357142</v>
      </c>
      <c r="Y40" s="381">
        <f>'Table 7 Local Revenue'!AQ40</f>
        <v>5320306</v>
      </c>
      <c r="Z40" s="381">
        <f t="shared" si="34"/>
        <v>2546191</v>
      </c>
      <c r="AA40" s="279">
        <f t="shared" si="35"/>
        <v>0</v>
      </c>
      <c r="AB40" s="14">
        <f t="shared" si="36"/>
        <v>3621464.1</v>
      </c>
      <c r="AC40" s="14">
        <f t="shared" si="37"/>
        <v>2546191</v>
      </c>
      <c r="AD40" s="381">
        <f t="shared" si="38"/>
        <v>1140408.3946080001</v>
      </c>
      <c r="AE40" s="385">
        <f t="shared" si="39"/>
        <v>1405782.6053919999</v>
      </c>
      <c r="AF40" s="16">
        <f t="shared" si="40"/>
        <v>0.55210000000000004</v>
      </c>
      <c r="AG40" s="385">
        <f t="shared" si="41"/>
        <v>9283032.6053919997</v>
      </c>
      <c r="AH40" s="14">
        <f t="shared" ref="AH40:AH71" si="61">ROUND(AG40/C40,0)</f>
        <v>5180</v>
      </c>
      <c r="AI40" s="385">
        <f>'Table 4 Level 3'!O38</f>
        <v>267511</v>
      </c>
      <c r="AJ40" s="14">
        <f t="shared" ref="AJ40:AJ71" si="62">AI40/C40</f>
        <v>149.28069196428572</v>
      </c>
      <c r="AK40" s="385">
        <f t="shared" si="42"/>
        <v>9550543.6053919997</v>
      </c>
      <c r="AL40" s="14">
        <f t="shared" ref="AL40:AL71" si="63">AK40/C40</f>
        <v>5329.5444226517857</v>
      </c>
      <c r="AM40" s="499">
        <f>'Table 4 Level 3'!R38</f>
        <v>1441826.52</v>
      </c>
      <c r="AN40" s="500">
        <f t="shared" ref="AN40:AN71" si="64">AM40/C40</f>
        <v>804.59069196428572</v>
      </c>
      <c r="AO40" s="385">
        <f t="shared" si="43"/>
        <v>10724859.125391999</v>
      </c>
      <c r="AP40" s="14">
        <f t="shared" ref="AP40:AP71" si="65">AO40/C40</f>
        <v>5984.8544226517852</v>
      </c>
      <c r="AQ40" s="16">
        <f t="shared" si="44"/>
        <v>0.66841687458981391</v>
      </c>
      <c r="AR40" s="386">
        <f t="shared" si="45"/>
        <v>27</v>
      </c>
      <c r="AS40" s="14">
        <f t="shared" si="46"/>
        <v>5320306</v>
      </c>
      <c r="AT40" s="14">
        <f t="shared" ref="AT40:AT71" si="66">ROUND(AS40/C40,2)</f>
        <v>2968.92</v>
      </c>
      <c r="AU40" s="386">
        <f t="shared" si="47"/>
        <v>43</v>
      </c>
      <c r="AV40" s="16">
        <f t="shared" si="48"/>
        <v>0.33158312541018614</v>
      </c>
      <c r="AW40" s="386">
        <f t="shared" si="49"/>
        <v>16045165.125391999</v>
      </c>
      <c r="AX40" s="387">
        <f t="shared" ref="AX40:AX71" si="67">AW40/C40</f>
        <v>8953.7751815803567</v>
      </c>
      <c r="AY40" s="386">
        <f t="shared" si="50"/>
        <v>26</v>
      </c>
      <c r="AZ40" s="1076">
        <v>12082954.485386116</v>
      </c>
      <c r="BA40" s="279">
        <f t="shared" si="51"/>
        <v>-1358095.3599941172</v>
      </c>
      <c r="BB40" s="1079"/>
      <c r="BC40" s="279"/>
      <c r="BD40" s="279"/>
      <c r="BE40" s="279"/>
      <c r="BF40" s="279"/>
      <c r="BG40" s="279"/>
      <c r="BH40" s="279"/>
      <c r="BI40" s="279"/>
      <c r="BJ40" s="279"/>
      <c r="BK40" s="279"/>
      <c r="BL40" s="81"/>
      <c r="BM40" s="81"/>
      <c r="BN40" s="861"/>
      <c r="BO40" s="81"/>
      <c r="BP40" s="81"/>
      <c r="BQ40" s="861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</row>
    <row r="41" spans="1:149" s="5" customFormat="1">
      <c r="A41" s="101">
        <v>34</v>
      </c>
      <c r="B41" s="81" t="s">
        <v>125</v>
      </c>
      <c r="C41" s="579">
        <f>'2-1-13 SIS'!S40</f>
        <v>4272</v>
      </c>
      <c r="D41" s="579">
        <f>'[6]2-1-13-Supreme Court Ruling'!AE39</f>
        <v>3643</v>
      </c>
      <c r="E41" s="579">
        <f t="shared" si="53"/>
        <v>801</v>
      </c>
      <c r="F41" s="579">
        <f>'[7]CTE-Oct 2012-Supreme Court'!AC40</f>
        <v>1791</v>
      </c>
      <c r="G41" s="579">
        <f t="shared" si="54"/>
        <v>107</v>
      </c>
      <c r="H41" s="1157">
        <f>'[8]SWD 2-1-13 Supreme Court'!Z39</f>
        <v>705</v>
      </c>
      <c r="I41" s="1157">
        <f t="shared" si="27"/>
        <v>1057.5</v>
      </c>
      <c r="J41" s="1157">
        <f>'[9]GT_PS-12th Supreme Court'!T38</f>
        <v>49</v>
      </c>
      <c r="K41" s="1157">
        <f t="shared" si="28"/>
        <v>29.4</v>
      </c>
      <c r="L41" s="13">
        <f t="shared" si="55"/>
        <v>3228</v>
      </c>
      <c r="M41" s="65">
        <f t="shared" si="56"/>
        <v>8.6080000000000004E-2</v>
      </c>
      <c r="N41" s="13">
        <f t="shared" si="57"/>
        <v>368</v>
      </c>
      <c r="O41" s="13">
        <f t="shared" si="29"/>
        <v>2362.9</v>
      </c>
      <c r="P41" s="13">
        <f t="shared" si="58"/>
        <v>6634.9</v>
      </c>
      <c r="Q41" s="381">
        <f t="shared" si="30"/>
        <v>3855</v>
      </c>
      <c r="R41" s="381">
        <f t="shared" si="59"/>
        <v>25577540</v>
      </c>
      <c r="S41" s="381">
        <f>'Table 6 (Local Deduct Calc.)'!J42</f>
        <v>5196048.5</v>
      </c>
      <c r="T41" s="381">
        <f t="shared" si="31"/>
        <v>5196048.5</v>
      </c>
      <c r="U41" s="382">
        <f t="shared" si="32"/>
        <v>20381491.5</v>
      </c>
      <c r="V41" s="383">
        <f t="shared" si="52"/>
        <v>0.79690000000000005</v>
      </c>
      <c r="W41" s="383">
        <f t="shared" si="33"/>
        <v>0.2031</v>
      </c>
      <c r="X41" s="384">
        <f t="shared" si="60"/>
        <v>1216.3034878277153</v>
      </c>
      <c r="Y41" s="381">
        <f>'Table 7 Local Revenue'!AQ41</f>
        <v>12309200.5</v>
      </c>
      <c r="Z41" s="381">
        <f t="shared" si="34"/>
        <v>7113152</v>
      </c>
      <c r="AA41" s="279">
        <f t="shared" si="35"/>
        <v>0</v>
      </c>
      <c r="AB41" s="14">
        <f t="shared" si="36"/>
        <v>8696363.6000000015</v>
      </c>
      <c r="AC41" s="14">
        <f t="shared" si="37"/>
        <v>7113152</v>
      </c>
      <c r="AD41" s="381">
        <f t="shared" si="38"/>
        <v>2484851.6144639999</v>
      </c>
      <c r="AE41" s="385">
        <f t="shared" si="39"/>
        <v>4628300.3855360001</v>
      </c>
      <c r="AF41" s="16">
        <f t="shared" si="40"/>
        <v>0.65069999999999995</v>
      </c>
      <c r="AG41" s="385">
        <f t="shared" si="41"/>
        <v>25009791.885536</v>
      </c>
      <c r="AH41" s="14">
        <f t="shared" si="61"/>
        <v>5854</v>
      </c>
      <c r="AI41" s="385">
        <f>'Table 4 Level 3'!O39</f>
        <v>637728</v>
      </c>
      <c r="AJ41" s="14">
        <f t="shared" si="62"/>
        <v>149.28089887640451</v>
      </c>
      <c r="AK41" s="385">
        <f t="shared" si="42"/>
        <v>25647519.885536</v>
      </c>
      <c r="AL41" s="14">
        <f t="shared" si="63"/>
        <v>6003.632932007491</v>
      </c>
      <c r="AM41" s="499">
        <f>'Table 4 Level 3'!R39</f>
        <v>3389365.9200000004</v>
      </c>
      <c r="AN41" s="500">
        <f t="shared" si="64"/>
        <v>793.39089887640455</v>
      </c>
      <c r="AO41" s="385">
        <f>AG41+AM41</f>
        <v>28399157.805536002</v>
      </c>
      <c r="AP41" s="14">
        <f t="shared" si="65"/>
        <v>6647.7429320074907</v>
      </c>
      <c r="AQ41" s="16">
        <f t="shared" si="44"/>
        <v>0.69762473820207949</v>
      </c>
      <c r="AR41" s="386">
        <f t="shared" si="45"/>
        <v>17</v>
      </c>
      <c r="AS41" s="14">
        <f t="shared" si="46"/>
        <v>12309200.5</v>
      </c>
      <c r="AT41" s="14">
        <f t="shared" si="66"/>
        <v>2881.37</v>
      </c>
      <c r="AU41" s="386">
        <f t="shared" si="47"/>
        <v>46</v>
      </c>
      <c r="AV41" s="16">
        <f t="shared" si="48"/>
        <v>0.30237526179792051</v>
      </c>
      <c r="AW41" s="386">
        <f t="shared" si="49"/>
        <v>40708358.305536002</v>
      </c>
      <c r="AX41" s="387">
        <f t="shared" si="67"/>
        <v>9529.1100902471917</v>
      </c>
      <c r="AY41" s="386">
        <f t="shared" si="50"/>
        <v>10</v>
      </c>
      <c r="AZ41" s="1076">
        <v>28118989.404115085</v>
      </c>
      <c r="BA41" s="279">
        <f t="shared" si="51"/>
        <v>280168.40142091736</v>
      </c>
      <c r="BB41" s="1079"/>
      <c r="BC41" s="279"/>
      <c r="BD41" s="279"/>
      <c r="BE41" s="279"/>
      <c r="BF41" s="279"/>
      <c r="BG41" s="279"/>
      <c r="BH41" s="279"/>
      <c r="BI41" s="279"/>
      <c r="BJ41" s="279"/>
      <c r="BK41" s="279"/>
      <c r="BL41" s="81"/>
      <c r="BM41" s="81"/>
      <c r="BN41" s="861"/>
      <c r="BO41" s="81"/>
      <c r="BP41" s="81"/>
      <c r="BQ41" s="86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</row>
    <row r="42" spans="1:149" s="21" customFormat="1">
      <c r="A42" s="102">
        <v>35</v>
      </c>
      <c r="B42" s="82" t="s">
        <v>126</v>
      </c>
      <c r="C42" s="749">
        <f>'2-1-13 SIS'!S41</f>
        <v>6490</v>
      </c>
      <c r="D42" s="749">
        <f>'[6]2-1-13-Supreme Court Ruling'!AE40</f>
        <v>4857</v>
      </c>
      <c r="E42" s="749">
        <f t="shared" si="53"/>
        <v>1069</v>
      </c>
      <c r="F42" s="749">
        <f>'[7]CTE-Oct 2012-Supreme Court'!AC41</f>
        <v>1874</v>
      </c>
      <c r="G42" s="749">
        <f t="shared" si="54"/>
        <v>112</v>
      </c>
      <c r="H42" s="749">
        <f>'[8]SWD 2-1-13 Supreme Court'!Z40</f>
        <v>740</v>
      </c>
      <c r="I42" s="749">
        <f t="shared" si="27"/>
        <v>1110</v>
      </c>
      <c r="J42" s="749">
        <f>'[9]GT_PS-12th Supreme Court'!T39</f>
        <v>224</v>
      </c>
      <c r="K42" s="749">
        <f t="shared" si="28"/>
        <v>134.4</v>
      </c>
      <c r="L42" s="19">
        <f t="shared" si="55"/>
        <v>1010</v>
      </c>
      <c r="M42" s="66">
        <f t="shared" si="56"/>
        <v>2.6929999999999999E-2</v>
      </c>
      <c r="N42" s="19">
        <f t="shared" si="57"/>
        <v>175</v>
      </c>
      <c r="O42" s="19">
        <f t="shared" si="29"/>
        <v>2600.4</v>
      </c>
      <c r="P42" s="13">
        <f t="shared" si="58"/>
        <v>9090.4</v>
      </c>
      <c r="Q42" s="388">
        <f t="shared" si="30"/>
        <v>3855</v>
      </c>
      <c r="R42" s="388">
        <f t="shared" si="59"/>
        <v>35043492</v>
      </c>
      <c r="S42" s="388">
        <f>'Table 6 (Local Deduct Calc.)'!J43</f>
        <v>11374471</v>
      </c>
      <c r="T42" s="388">
        <f t="shared" si="31"/>
        <v>11374471</v>
      </c>
      <c r="U42" s="389">
        <f t="shared" si="32"/>
        <v>23669021</v>
      </c>
      <c r="V42" s="390">
        <f t="shared" si="52"/>
        <v>0.6754</v>
      </c>
      <c r="W42" s="391">
        <f t="shared" si="33"/>
        <v>0.3246</v>
      </c>
      <c r="X42" s="392">
        <f t="shared" si="60"/>
        <v>1752.6149460708782</v>
      </c>
      <c r="Y42" s="388">
        <f>'Table 7 Local Revenue'!AQ42</f>
        <v>23572281</v>
      </c>
      <c r="Z42" s="388">
        <f t="shared" si="34"/>
        <v>12197810</v>
      </c>
      <c r="AA42" s="280">
        <f t="shared" si="35"/>
        <v>0</v>
      </c>
      <c r="AB42" s="20">
        <f t="shared" si="36"/>
        <v>11914787.280000001</v>
      </c>
      <c r="AC42" s="20">
        <f t="shared" si="37"/>
        <v>11914787.280000001</v>
      </c>
      <c r="AD42" s="388">
        <f t="shared" si="38"/>
        <v>6652168.7158713611</v>
      </c>
      <c r="AE42" s="393">
        <f t="shared" si="39"/>
        <v>5262618.5641286401</v>
      </c>
      <c r="AF42" s="273">
        <f t="shared" si="40"/>
        <v>0.44169999999999998</v>
      </c>
      <c r="AG42" s="393">
        <f t="shared" si="41"/>
        <v>28931639.564128641</v>
      </c>
      <c r="AH42" s="20">
        <f t="shared" si="61"/>
        <v>4458</v>
      </c>
      <c r="AI42" s="393">
        <f>'Table 4 Level 3'!O40</f>
        <v>968833</v>
      </c>
      <c r="AJ42" s="20">
        <f t="shared" si="62"/>
        <v>149.28089368258858</v>
      </c>
      <c r="AK42" s="393">
        <f t="shared" si="42"/>
        <v>29900472.564128641</v>
      </c>
      <c r="AL42" s="20">
        <f t="shared" si="63"/>
        <v>4607.1606416222867</v>
      </c>
      <c r="AM42" s="501">
        <f>'Table 4 Level 3'!R40</f>
        <v>4460193.4000000004</v>
      </c>
      <c r="AN42" s="502">
        <f t="shared" si="64"/>
        <v>687.24089368258865</v>
      </c>
      <c r="AO42" s="393">
        <f t="shared" si="43"/>
        <v>33391832.964128643</v>
      </c>
      <c r="AP42" s="20">
        <f t="shared" si="65"/>
        <v>5145.1206416222867</v>
      </c>
      <c r="AQ42" s="273">
        <f t="shared" si="44"/>
        <v>0.58911767983273544</v>
      </c>
      <c r="AR42" s="394">
        <f t="shared" si="45"/>
        <v>45</v>
      </c>
      <c r="AS42" s="20">
        <f t="shared" si="46"/>
        <v>23289258.280000001</v>
      </c>
      <c r="AT42" s="20">
        <f t="shared" si="66"/>
        <v>3588.48</v>
      </c>
      <c r="AU42" s="394">
        <f t="shared" si="47"/>
        <v>25</v>
      </c>
      <c r="AV42" s="273">
        <f t="shared" si="48"/>
        <v>0.41088232016726456</v>
      </c>
      <c r="AW42" s="394">
        <f t="shared" si="49"/>
        <v>56681091.244128644</v>
      </c>
      <c r="AX42" s="395">
        <f t="shared" si="67"/>
        <v>8733.6041978626563</v>
      </c>
      <c r="AY42" s="394">
        <f t="shared" si="50"/>
        <v>38</v>
      </c>
      <c r="AZ42" s="1077">
        <v>34692852.915260002</v>
      </c>
      <c r="BA42" s="280">
        <f t="shared" si="51"/>
        <v>-1301019.9511313587</v>
      </c>
      <c r="BB42" s="1080"/>
      <c r="BC42" s="280"/>
      <c r="BD42" s="280"/>
      <c r="BE42" s="280"/>
      <c r="BF42" s="280"/>
      <c r="BG42" s="280"/>
      <c r="BH42" s="280"/>
      <c r="BI42" s="280"/>
      <c r="BJ42" s="280"/>
      <c r="BK42" s="280"/>
      <c r="BL42" s="82"/>
      <c r="BM42" s="82"/>
      <c r="BN42" s="862"/>
      <c r="BO42" s="82"/>
      <c r="BP42" s="82"/>
      <c r="BQ42" s="86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</row>
    <row r="43" spans="1:149" s="5" customFormat="1">
      <c r="A43" s="101">
        <v>36</v>
      </c>
      <c r="B43" s="81" t="s">
        <v>127</v>
      </c>
      <c r="C43" s="579">
        <f>'2-1-13 SIS'!S42</f>
        <v>40704</v>
      </c>
      <c r="D43" s="579">
        <f>'[6]2-1-13-Supreme Court Ruling'!AE41</f>
        <v>34713</v>
      </c>
      <c r="E43" s="579">
        <f t="shared" si="53"/>
        <v>7637</v>
      </c>
      <c r="F43" s="579">
        <f>'[7]CTE-Oct 2012-Supreme Court'!AC42</f>
        <v>4949.5</v>
      </c>
      <c r="G43" s="579">
        <f t="shared" si="54"/>
        <v>297</v>
      </c>
      <c r="H43" s="1157">
        <f>'[8]SWD 2-1-13 Supreme Court'!Z41</f>
        <v>4700</v>
      </c>
      <c r="I43" s="1157">
        <f t="shared" si="27"/>
        <v>7050</v>
      </c>
      <c r="J43" s="1157">
        <f>'[9]GT_PS-12th Supreme Court'!T40</f>
        <v>2742</v>
      </c>
      <c r="K43" s="1157">
        <f t="shared" si="28"/>
        <v>1645.2</v>
      </c>
      <c r="L43" s="13">
        <f t="shared" si="55"/>
        <v>0</v>
      </c>
      <c r="M43" s="65">
        <f t="shared" si="56"/>
        <v>0</v>
      </c>
      <c r="N43" s="13">
        <f t="shared" si="57"/>
        <v>0</v>
      </c>
      <c r="O43" s="13">
        <f t="shared" si="29"/>
        <v>16629.2</v>
      </c>
      <c r="P43" s="36">
        <f t="shared" si="58"/>
        <v>57333.2</v>
      </c>
      <c r="Q43" s="381">
        <f t="shared" si="30"/>
        <v>3855</v>
      </c>
      <c r="R43" s="381">
        <f t="shared" si="59"/>
        <v>221019486</v>
      </c>
      <c r="S43" s="381">
        <f>'Table 6 (Local Deduct Calc.)'!J44</f>
        <v>100812512</v>
      </c>
      <c r="T43" s="381">
        <f t="shared" si="31"/>
        <v>100812512</v>
      </c>
      <c r="U43" s="382">
        <f t="shared" si="32"/>
        <v>120206974</v>
      </c>
      <c r="V43" s="383">
        <f t="shared" si="52"/>
        <v>0.54390000000000005</v>
      </c>
      <c r="W43" s="383">
        <f t="shared" si="33"/>
        <v>0.45610000000000001</v>
      </c>
      <c r="X43" s="384">
        <f t="shared" si="60"/>
        <v>2476.7224842767296</v>
      </c>
      <c r="Y43" s="381">
        <f>'Table 7 Local Revenue'!AQ43</f>
        <v>213521739</v>
      </c>
      <c r="Z43" s="381">
        <f t="shared" si="34"/>
        <v>112709227</v>
      </c>
      <c r="AA43" s="279">
        <f t="shared" si="35"/>
        <v>0</v>
      </c>
      <c r="AB43" s="14">
        <f t="shared" si="36"/>
        <v>75146625.24000001</v>
      </c>
      <c r="AC43" s="14">
        <f t="shared" si="37"/>
        <v>75146625.24000001</v>
      </c>
      <c r="AD43" s="381">
        <f t="shared" si="38"/>
        <v>58951926.327778086</v>
      </c>
      <c r="AE43" s="385">
        <f t="shared" si="39"/>
        <v>16194698.912221923</v>
      </c>
      <c r="AF43" s="16">
        <f t="shared" si="40"/>
        <v>0.2155</v>
      </c>
      <c r="AG43" s="385">
        <f t="shared" si="41"/>
        <v>136401672.91222191</v>
      </c>
      <c r="AH43" s="14">
        <f t="shared" si="61"/>
        <v>3351</v>
      </c>
      <c r="AI43" s="385">
        <f>'Table 4 Level 3'!O41</f>
        <v>6896329</v>
      </c>
      <c r="AJ43" s="14">
        <f t="shared" si="62"/>
        <v>169.42632173742138</v>
      </c>
      <c r="AK43" s="385">
        <f t="shared" si="42"/>
        <v>143298001.91222191</v>
      </c>
      <c r="AL43" s="14">
        <f t="shared" si="63"/>
        <v>3520.4894337711748</v>
      </c>
      <c r="AM43" s="499">
        <f>'Table 4 Level 3'!R41</f>
        <v>36816512.015967853</v>
      </c>
      <c r="AN43" s="500">
        <f t="shared" si="64"/>
        <v>904.49371108411594</v>
      </c>
      <c r="AO43" s="385">
        <f>AG43+AM43</f>
        <v>173218184.92818975</v>
      </c>
      <c r="AP43" s="14">
        <f t="shared" si="65"/>
        <v>4255.5568231178695</v>
      </c>
      <c r="AQ43" s="16">
        <f t="shared" si="44"/>
        <v>0.49607512839781442</v>
      </c>
      <c r="AR43" s="386">
        <f t="shared" si="45"/>
        <v>57</v>
      </c>
      <c r="AS43" s="14">
        <f t="shared" si="46"/>
        <v>175959137.24000001</v>
      </c>
      <c r="AT43" s="14">
        <f t="shared" si="66"/>
        <v>4322.8999999999996</v>
      </c>
      <c r="AU43" s="386">
        <f t="shared" si="47"/>
        <v>16</v>
      </c>
      <c r="AV43" s="16">
        <f t="shared" si="48"/>
        <v>0.50392487160218558</v>
      </c>
      <c r="AW43" s="386">
        <f t="shared" si="49"/>
        <v>349177322.16818976</v>
      </c>
      <c r="AX43" s="387">
        <f t="shared" si="67"/>
        <v>8578.4522938332775</v>
      </c>
      <c r="AY43" s="386">
        <f t="shared" si="50"/>
        <v>45</v>
      </c>
      <c r="AZ43" s="1076">
        <v>180755107.14403456</v>
      </c>
      <c r="BA43" s="279">
        <f t="shared" si="51"/>
        <v>-7536922.21584481</v>
      </c>
      <c r="BB43" s="1081"/>
      <c r="BC43" s="279"/>
      <c r="BD43" s="279"/>
      <c r="BE43" s="279"/>
      <c r="BF43" s="279"/>
      <c r="BG43" s="279"/>
      <c r="BH43" s="279"/>
      <c r="BI43" s="279"/>
      <c r="BJ43" s="279"/>
      <c r="BK43" s="279"/>
      <c r="BL43" s="478"/>
      <c r="BM43" s="478"/>
      <c r="BN43" s="864"/>
      <c r="BO43" s="478"/>
      <c r="BP43" s="478"/>
      <c r="BQ43" s="864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</row>
    <row r="44" spans="1:149" s="5" customFormat="1">
      <c r="A44" s="101">
        <v>37</v>
      </c>
      <c r="B44" s="81" t="s">
        <v>128</v>
      </c>
      <c r="C44" s="579">
        <f>'2-1-13 SIS'!S43</f>
        <v>19622</v>
      </c>
      <c r="D44" s="579">
        <f>'[6]2-1-13-Supreme Court Ruling'!AE42</f>
        <v>11606</v>
      </c>
      <c r="E44" s="579">
        <f t="shared" si="53"/>
        <v>2553</v>
      </c>
      <c r="F44" s="579">
        <f>'[7]CTE-Oct 2012-Supreme Court'!AC43</f>
        <v>3841</v>
      </c>
      <c r="G44" s="579">
        <f t="shared" si="54"/>
        <v>230</v>
      </c>
      <c r="H44" s="1157">
        <f>'[8]SWD 2-1-13 Supreme Court'!Z42</f>
        <v>2495</v>
      </c>
      <c r="I44" s="1157">
        <f t="shared" si="27"/>
        <v>3742.5</v>
      </c>
      <c r="J44" s="1157">
        <f>'[9]GT_PS-12th Supreme Court'!T41</f>
        <v>967</v>
      </c>
      <c r="K44" s="1157">
        <f t="shared" si="28"/>
        <v>580.19999999999993</v>
      </c>
      <c r="L44" s="13">
        <f t="shared" si="55"/>
        <v>0</v>
      </c>
      <c r="M44" s="65">
        <f t="shared" si="56"/>
        <v>0</v>
      </c>
      <c r="N44" s="13">
        <f t="shared" si="57"/>
        <v>0</v>
      </c>
      <c r="O44" s="13">
        <f t="shared" si="29"/>
        <v>7105.7</v>
      </c>
      <c r="P44" s="13">
        <f t="shared" si="58"/>
        <v>26727.7</v>
      </c>
      <c r="Q44" s="381">
        <f t="shared" si="30"/>
        <v>3855</v>
      </c>
      <c r="R44" s="381">
        <f t="shared" si="59"/>
        <v>103035284</v>
      </c>
      <c r="S44" s="381">
        <f>'Table 6 (Local Deduct Calc.)'!J45</f>
        <v>20838132.5</v>
      </c>
      <c r="T44" s="381">
        <f t="shared" si="31"/>
        <v>20838132.5</v>
      </c>
      <c r="U44" s="382">
        <f t="shared" si="32"/>
        <v>82197151.5</v>
      </c>
      <c r="V44" s="383">
        <f t="shared" si="52"/>
        <v>0.79779999999999995</v>
      </c>
      <c r="W44" s="383">
        <f t="shared" si="33"/>
        <v>0.20219999999999999</v>
      </c>
      <c r="X44" s="384">
        <f t="shared" si="60"/>
        <v>1061.9780093772297</v>
      </c>
      <c r="Y44" s="381">
        <f>'Table 7 Local Revenue'!AQ44</f>
        <v>62626999.5</v>
      </c>
      <c r="Z44" s="381">
        <f t="shared" si="34"/>
        <v>41788867</v>
      </c>
      <c r="AA44" s="279">
        <f t="shared" si="35"/>
        <v>0</v>
      </c>
      <c r="AB44" s="14">
        <f t="shared" si="36"/>
        <v>35031996.560000002</v>
      </c>
      <c r="AC44" s="14">
        <f t="shared" si="37"/>
        <v>35031996.560000002</v>
      </c>
      <c r="AD44" s="381">
        <f t="shared" si="38"/>
        <v>12183567.891623041</v>
      </c>
      <c r="AE44" s="385">
        <f t="shared" si="39"/>
        <v>22848428.66837696</v>
      </c>
      <c r="AF44" s="16">
        <f t="shared" si="40"/>
        <v>0.6522</v>
      </c>
      <c r="AG44" s="385">
        <f t="shared" si="41"/>
        <v>105045580.16837695</v>
      </c>
      <c r="AH44" s="14">
        <f t="shared" si="61"/>
        <v>5353</v>
      </c>
      <c r="AI44" s="385">
        <f>'Table 4 Level 3'!O42</f>
        <v>2949190</v>
      </c>
      <c r="AJ44" s="14">
        <f t="shared" si="62"/>
        <v>150.30017327489551</v>
      </c>
      <c r="AK44" s="385">
        <f t="shared" si="42"/>
        <v>107994770.16837695</v>
      </c>
      <c r="AL44" s="14">
        <f t="shared" si="63"/>
        <v>5503.7595641818853</v>
      </c>
      <c r="AM44" s="499">
        <f>'Table 4 Level 3'!R42</f>
        <v>15774325.42</v>
      </c>
      <c r="AN44" s="500">
        <f t="shared" si="64"/>
        <v>803.91017327489556</v>
      </c>
      <c r="AO44" s="385">
        <f t="shared" si="43"/>
        <v>120819905.58837695</v>
      </c>
      <c r="AP44" s="14">
        <f t="shared" si="65"/>
        <v>6157.3695641818849</v>
      </c>
      <c r="AQ44" s="16">
        <f t="shared" si="44"/>
        <v>0.68379581128508649</v>
      </c>
      <c r="AR44" s="386">
        <f t="shared" si="45"/>
        <v>23</v>
      </c>
      <c r="AS44" s="14">
        <f t="shared" si="46"/>
        <v>55870129.060000002</v>
      </c>
      <c r="AT44" s="14">
        <f t="shared" si="66"/>
        <v>2847.32</v>
      </c>
      <c r="AU44" s="386">
        <f t="shared" si="47"/>
        <v>50</v>
      </c>
      <c r="AV44" s="16">
        <f t="shared" si="48"/>
        <v>0.31620418871491357</v>
      </c>
      <c r="AW44" s="386">
        <f t="shared" si="49"/>
        <v>176690034.64837694</v>
      </c>
      <c r="AX44" s="387">
        <f t="shared" si="67"/>
        <v>9004.690380612421</v>
      </c>
      <c r="AY44" s="386">
        <f t="shared" si="50"/>
        <v>24</v>
      </c>
      <c r="AZ44" s="1076">
        <v>119155841.31940985</v>
      </c>
      <c r="BA44" s="279">
        <f t="shared" si="51"/>
        <v>1664064.2689671069</v>
      </c>
      <c r="BB44" s="1081"/>
      <c r="BC44" s="279"/>
      <c r="BD44" s="279"/>
      <c r="BE44" s="279"/>
      <c r="BF44" s="279"/>
      <c r="BG44" s="279"/>
      <c r="BH44" s="279"/>
      <c r="BI44" s="279"/>
      <c r="BJ44" s="279"/>
      <c r="BK44" s="279"/>
      <c r="BL44" s="81"/>
      <c r="BM44" s="81"/>
      <c r="BN44" s="861"/>
      <c r="BO44" s="81"/>
      <c r="BP44" s="81"/>
      <c r="BQ44" s="861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</row>
    <row r="45" spans="1:149" s="5" customFormat="1">
      <c r="A45" s="101">
        <v>38</v>
      </c>
      <c r="B45" s="81" t="s">
        <v>129</v>
      </c>
      <c r="C45" s="579">
        <f>'2-1-13 SIS'!S44</f>
        <v>3810</v>
      </c>
      <c r="D45" s="579">
        <f>'[6]2-1-13-Supreme Court Ruling'!AE43</f>
        <v>2392</v>
      </c>
      <c r="E45" s="579">
        <f t="shared" si="53"/>
        <v>526</v>
      </c>
      <c r="F45" s="579">
        <f>'[7]CTE-Oct 2012-Supreme Court'!AC44</f>
        <v>1287.5</v>
      </c>
      <c r="G45" s="579">
        <f t="shared" si="54"/>
        <v>77</v>
      </c>
      <c r="H45" s="1157">
        <f>'[8]SWD 2-1-13 Supreme Court'!Z43</f>
        <v>474</v>
      </c>
      <c r="I45" s="1157">
        <f t="shared" si="27"/>
        <v>711</v>
      </c>
      <c r="J45" s="1157">
        <f>'[9]GT_PS-12th Supreme Court'!T42</f>
        <v>202</v>
      </c>
      <c r="K45" s="1157">
        <f t="shared" si="28"/>
        <v>121.19999999999999</v>
      </c>
      <c r="L45" s="13">
        <f t="shared" si="55"/>
        <v>3690</v>
      </c>
      <c r="M45" s="65">
        <f t="shared" si="56"/>
        <v>9.8400000000000001E-2</v>
      </c>
      <c r="N45" s="13">
        <f t="shared" si="57"/>
        <v>375</v>
      </c>
      <c r="O45" s="13">
        <f t="shared" si="29"/>
        <v>1810.2</v>
      </c>
      <c r="P45" s="13">
        <f t="shared" si="58"/>
        <v>5620.2</v>
      </c>
      <c r="Q45" s="381">
        <f t="shared" si="30"/>
        <v>3855</v>
      </c>
      <c r="R45" s="381">
        <f t="shared" si="59"/>
        <v>21665871</v>
      </c>
      <c r="S45" s="381">
        <f>'Table 6 (Local Deduct Calc.)'!J46</f>
        <v>24142719.5</v>
      </c>
      <c r="T45" s="381">
        <f t="shared" si="31"/>
        <v>16249403.25</v>
      </c>
      <c r="U45" s="382">
        <f t="shared" si="32"/>
        <v>5416467.75</v>
      </c>
      <c r="V45" s="383">
        <f t="shared" si="52"/>
        <v>0.25</v>
      </c>
      <c r="W45" s="383">
        <f t="shared" si="33"/>
        <v>0.75</v>
      </c>
      <c r="X45" s="384">
        <f t="shared" si="60"/>
        <v>4264.9352362204727</v>
      </c>
      <c r="Y45" s="381">
        <f>'Table 7 Local Revenue'!AQ45</f>
        <v>42088042.5</v>
      </c>
      <c r="Z45" s="381">
        <f t="shared" si="34"/>
        <v>25838639.25</v>
      </c>
      <c r="AA45" s="279">
        <f t="shared" si="35"/>
        <v>0</v>
      </c>
      <c r="AB45" s="14">
        <f t="shared" si="36"/>
        <v>7366396.1400000006</v>
      </c>
      <c r="AC45" s="14">
        <f t="shared" si="37"/>
        <v>7366396.1400000006</v>
      </c>
      <c r="AD45" s="381">
        <f t="shared" si="38"/>
        <v>9502651.0206000004</v>
      </c>
      <c r="AE45" s="385">
        <f t="shared" si="39"/>
        <v>0</v>
      </c>
      <c r="AF45" s="16">
        <f t="shared" si="40"/>
        <v>0</v>
      </c>
      <c r="AG45" s="385">
        <f t="shared" si="41"/>
        <v>5416467.75</v>
      </c>
      <c r="AH45" s="14">
        <f t="shared" si="61"/>
        <v>1422</v>
      </c>
      <c r="AI45" s="385">
        <f>'Table 4 Level 3'!O43</f>
        <v>2937927</v>
      </c>
      <c r="AJ45" s="14">
        <f t="shared" si="62"/>
        <v>771.10944881889759</v>
      </c>
      <c r="AK45" s="385">
        <f t="shared" si="42"/>
        <v>8354394.75</v>
      </c>
      <c r="AL45" s="14">
        <f t="shared" si="63"/>
        <v>2192.7545275590551</v>
      </c>
      <c r="AM45" s="499">
        <f>'Table 4 Level 3'!R43</f>
        <v>6099922.2000000002</v>
      </c>
      <c r="AN45" s="500">
        <f t="shared" si="64"/>
        <v>1601.0294488188977</v>
      </c>
      <c r="AO45" s="385">
        <f t="shared" si="43"/>
        <v>11516389.949999999</v>
      </c>
      <c r="AP45" s="14">
        <f t="shared" si="65"/>
        <v>3022.6745275590547</v>
      </c>
      <c r="AQ45" s="16">
        <f t="shared" si="44"/>
        <v>0.32780165900130603</v>
      </c>
      <c r="AR45" s="386">
        <f t="shared" si="45"/>
        <v>65</v>
      </c>
      <c r="AS45" s="14">
        <f t="shared" si="46"/>
        <v>23615799.390000001</v>
      </c>
      <c r="AT45" s="14">
        <f t="shared" si="66"/>
        <v>6198.37</v>
      </c>
      <c r="AU45" s="386">
        <f t="shared" si="47"/>
        <v>3</v>
      </c>
      <c r="AV45" s="16">
        <f t="shared" si="48"/>
        <v>0.67219834099869391</v>
      </c>
      <c r="AW45" s="386">
        <f t="shared" si="49"/>
        <v>35132189.340000004</v>
      </c>
      <c r="AX45" s="387">
        <f t="shared" si="67"/>
        <v>9221.0470708661433</v>
      </c>
      <c r="AY45" s="386">
        <f t="shared" si="50"/>
        <v>16</v>
      </c>
      <c r="AZ45" s="1076">
        <v>12744019.095111018</v>
      </c>
      <c r="BA45" s="279">
        <f t="shared" si="51"/>
        <v>-1227629.1451110188</v>
      </c>
      <c r="BB45" s="1081"/>
      <c r="BC45" s="279"/>
      <c r="BD45" s="279"/>
      <c r="BE45" s="279"/>
      <c r="BF45" s="279"/>
      <c r="BG45" s="279"/>
      <c r="BH45" s="279"/>
      <c r="BI45" s="279"/>
      <c r="BJ45" s="279"/>
      <c r="BK45" s="279"/>
      <c r="BL45" s="81"/>
      <c r="BM45" s="81"/>
      <c r="BN45" s="861"/>
      <c r="BO45" s="81"/>
      <c r="BP45" s="81"/>
      <c r="BQ45" s="861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</row>
    <row r="46" spans="1:149" s="5" customFormat="1">
      <c r="A46" s="101">
        <v>39</v>
      </c>
      <c r="B46" s="81" t="s">
        <v>130</v>
      </c>
      <c r="C46" s="579">
        <f>'2-1-13 SIS'!S45</f>
        <v>2839</v>
      </c>
      <c r="D46" s="579">
        <f>'[6]2-1-13-Supreme Court Ruling'!AE44</f>
        <v>2417</v>
      </c>
      <c r="E46" s="579">
        <f t="shared" si="53"/>
        <v>532</v>
      </c>
      <c r="F46" s="579">
        <f>'[7]CTE-Oct 2012-Supreme Court'!AC45</f>
        <v>887.5</v>
      </c>
      <c r="G46" s="579">
        <f t="shared" si="54"/>
        <v>53</v>
      </c>
      <c r="H46" s="1157">
        <f>'[8]SWD 2-1-13 Supreme Court'!Z44+2</f>
        <v>468</v>
      </c>
      <c r="I46" s="1157">
        <f t="shared" si="27"/>
        <v>702</v>
      </c>
      <c r="J46" s="1157">
        <f>'[9]GT_PS-12th Supreme Court'!T43</f>
        <v>33</v>
      </c>
      <c r="K46" s="1157">
        <f t="shared" si="28"/>
        <v>19.8</v>
      </c>
      <c r="L46" s="13">
        <f t="shared" si="55"/>
        <v>4661</v>
      </c>
      <c r="M46" s="65">
        <f t="shared" si="56"/>
        <v>0.12429</v>
      </c>
      <c r="N46" s="13">
        <f t="shared" si="57"/>
        <v>353</v>
      </c>
      <c r="O46" s="13">
        <f t="shared" si="29"/>
        <v>1659.8</v>
      </c>
      <c r="P46" s="13">
        <f t="shared" si="58"/>
        <v>4498.8</v>
      </c>
      <c r="Q46" s="381">
        <f t="shared" si="30"/>
        <v>3855</v>
      </c>
      <c r="R46" s="381">
        <f t="shared" si="59"/>
        <v>17342874</v>
      </c>
      <c r="S46" s="381">
        <f>'Table 6 (Local Deduct Calc.)'!J47</f>
        <v>8451396</v>
      </c>
      <c r="T46" s="381">
        <f t="shared" si="31"/>
        <v>8451396</v>
      </c>
      <c r="U46" s="382">
        <f t="shared" si="32"/>
        <v>8891478</v>
      </c>
      <c r="V46" s="383">
        <f t="shared" si="52"/>
        <v>0.51270000000000004</v>
      </c>
      <c r="W46" s="383">
        <f t="shared" si="33"/>
        <v>0.48730000000000001</v>
      </c>
      <c r="X46" s="384">
        <f t="shared" si="60"/>
        <v>2976.8918633321591</v>
      </c>
      <c r="Y46" s="381">
        <f>'Table 7 Local Revenue'!AQ46</f>
        <v>12739289</v>
      </c>
      <c r="Z46" s="381">
        <f t="shared" si="34"/>
        <v>4287893</v>
      </c>
      <c r="AA46" s="279">
        <f t="shared" si="35"/>
        <v>0</v>
      </c>
      <c r="AB46" s="14">
        <f t="shared" si="36"/>
        <v>5896577.1600000001</v>
      </c>
      <c r="AC46" s="14">
        <f t="shared" si="37"/>
        <v>4287893</v>
      </c>
      <c r="AD46" s="381">
        <f t="shared" si="38"/>
        <v>3593923.2453080001</v>
      </c>
      <c r="AE46" s="385">
        <f t="shared" si="39"/>
        <v>693969.75469199987</v>
      </c>
      <c r="AF46" s="16">
        <f t="shared" si="40"/>
        <v>0.1618</v>
      </c>
      <c r="AG46" s="385">
        <f t="shared" si="41"/>
        <v>9585447.7546919994</v>
      </c>
      <c r="AH46" s="14">
        <f t="shared" si="61"/>
        <v>3376</v>
      </c>
      <c r="AI46" s="385">
        <f>'Table 4 Level 3'!O44</f>
        <v>748496</v>
      </c>
      <c r="AJ46" s="14">
        <f t="shared" si="62"/>
        <v>263.64776329693552</v>
      </c>
      <c r="AK46" s="385">
        <f t="shared" si="42"/>
        <v>10333943.754691999</v>
      </c>
      <c r="AL46" s="14">
        <f t="shared" si="63"/>
        <v>3639.9942778062696</v>
      </c>
      <c r="AM46" s="499">
        <f>'Table 4 Level 3'!R44</f>
        <v>2961938.6186844232</v>
      </c>
      <c r="AN46" s="500">
        <f t="shared" si="64"/>
        <v>1043.3034937247</v>
      </c>
      <c r="AO46" s="385">
        <f t="shared" si="43"/>
        <v>12547386.373376422</v>
      </c>
      <c r="AP46" s="14">
        <f t="shared" si="65"/>
        <v>4419.6500082340335</v>
      </c>
      <c r="AQ46" s="16">
        <f t="shared" si="44"/>
        <v>0.49620545951988559</v>
      </c>
      <c r="AR46" s="386">
        <f t="shared" si="45"/>
        <v>56</v>
      </c>
      <c r="AS46" s="14">
        <f t="shared" si="46"/>
        <v>12739289</v>
      </c>
      <c r="AT46" s="14">
        <f t="shared" si="66"/>
        <v>4487.25</v>
      </c>
      <c r="AU46" s="386">
        <f t="shared" si="47"/>
        <v>13</v>
      </c>
      <c r="AV46" s="16">
        <f t="shared" si="48"/>
        <v>0.50379454048011441</v>
      </c>
      <c r="AW46" s="386">
        <f t="shared" si="49"/>
        <v>25286675.373376422</v>
      </c>
      <c r="AX46" s="387">
        <f t="shared" si="67"/>
        <v>8906.8951649793671</v>
      </c>
      <c r="AY46" s="386">
        <f t="shared" si="50"/>
        <v>29</v>
      </c>
      <c r="AZ46" s="1076">
        <v>12869063.031965293</v>
      </c>
      <c r="BA46" s="279">
        <f t="shared" si="51"/>
        <v>-321676.65858887136</v>
      </c>
      <c r="BB46" s="1079"/>
      <c r="BC46" s="279"/>
      <c r="BD46" s="279"/>
      <c r="BE46" s="279"/>
      <c r="BF46" s="279"/>
      <c r="BG46" s="279"/>
      <c r="BH46" s="279"/>
      <c r="BI46" s="279"/>
      <c r="BJ46" s="279"/>
      <c r="BK46" s="279"/>
      <c r="BL46" s="561"/>
      <c r="BM46" s="561"/>
      <c r="BN46" s="863"/>
      <c r="BO46" s="561"/>
      <c r="BP46" s="561"/>
      <c r="BQ46" s="863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</row>
    <row r="47" spans="1:149" s="21" customFormat="1">
      <c r="A47" s="102">
        <v>40</v>
      </c>
      <c r="B47" s="82" t="s">
        <v>131</v>
      </c>
      <c r="C47" s="749">
        <f>'2-1-13 SIS'!S46</f>
        <v>22975</v>
      </c>
      <c r="D47" s="749">
        <f>'[6]2-1-13-Supreme Court Ruling'!AE45</f>
        <v>15920</v>
      </c>
      <c r="E47" s="749">
        <f t="shared" si="53"/>
        <v>3502</v>
      </c>
      <c r="F47" s="749">
        <f>'[7]CTE-Oct 2012-Supreme Court'!AC46</f>
        <v>10141</v>
      </c>
      <c r="G47" s="749">
        <f t="shared" si="54"/>
        <v>608</v>
      </c>
      <c r="H47" s="749">
        <f>'[8]SWD 2-1-13 Supreme Court'!Z45</f>
        <v>2554</v>
      </c>
      <c r="I47" s="749">
        <f t="shared" si="27"/>
        <v>3831</v>
      </c>
      <c r="J47" s="749">
        <f>'[9]GT_PS-12th Supreme Court'!T44</f>
        <v>570</v>
      </c>
      <c r="K47" s="749">
        <f t="shared" si="28"/>
        <v>342</v>
      </c>
      <c r="L47" s="19">
        <f t="shared" si="55"/>
        <v>0</v>
      </c>
      <c r="M47" s="66">
        <f t="shared" si="56"/>
        <v>0</v>
      </c>
      <c r="N47" s="19">
        <f t="shared" si="57"/>
        <v>0</v>
      </c>
      <c r="O47" s="19">
        <f t="shared" si="29"/>
        <v>8283</v>
      </c>
      <c r="P47" s="13">
        <f t="shared" si="58"/>
        <v>31258</v>
      </c>
      <c r="Q47" s="388">
        <f t="shared" si="30"/>
        <v>3855</v>
      </c>
      <c r="R47" s="388">
        <f t="shared" si="59"/>
        <v>120499590</v>
      </c>
      <c r="S47" s="388">
        <f>'Table 6 (Local Deduct Calc.)'!J48</f>
        <v>31493592</v>
      </c>
      <c r="T47" s="388">
        <f t="shared" si="31"/>
        <v>31493592</v>
      </c>
      <c r="U47" s="389">
        <f t="shared" si="32"/>
        <v>89005998</v>
      </c>
      <c r="V47" s="390">
        <f t="shared" si="52"/>
        <v>0.73860000000000003</v>
      </c>
      <c r="W47" s="391">
        <f t="shared" si="33"/>
        <v>0.26140000000000002</v>
      </c>
      <c r="X47" s="392">
        <f t="shared" si="60"/>
        <v>1370.7765832426551</v>
      </c>
      <c r="Y47" s="388">
        <f>'Table 7 Local Revenue'!AQ47</f>
        <v>69278485</v>
      </c>
      <c r="Z47" s="388">
        <f t="shared" si="34"/>
        <v>37784893</v>
      </c>
      <c r="AA47" s="280">
        <f t="shared" si="35"/>
        <v>0</v>
      </c>
      <c r="AB47" s="20">
        <f t="shared" si="36"/>
        <v>40969860.600000001</v>
      </c>
      <c r="AC47" s="20">
        <f t="shared" si="37"/>
        <v>37784893</v>
      </c>
      <c r="AD47" s="388">
        <f t="shared" si="38"/>
        <v>16988390.171944</v>
      </c>
      <c r="AE47" s="393">
        <f t="shared" si="39"/>
        <v>20796502.828056</v>
      </c>
      <c r="AF47" s="273">
        <f t="shared" si="40"/>
        <v>0.5504</v>
      </c>
      <c r="AG47" s="393">
        <f t="shared" si="41"/>
        <v>109802500.82805601</v>
      </c>
      <c r="AH47" s="20">
        <f t="shared" si="61"/>
        <v>4779</v>
      </c>
      <c r="AI47" s="393">
        <f>'Table 4 Level 3'!O45</f>
        <v>3429728</v>
      </c>
      <c r="AJ47" s="20">
        <f t="shared" si="62"/>
        <v>149.28087051142546</v>
      </c>
      <c r="AK47" s="393">
        <f t="shared" si="42"/>
        <v>113232228.82805601</v>
      </c>
      <c r="AL47" s="20">
        <f t="shared" si="63"/>
        <v>4928.4974462701202</v>
      </c>
      <c r="AM47" s="501">
        <f>'Table 4 Level 3'!R45</f>
        <v>19518431.25</v>
      </c>
      <c r="AN47" s="502">
        <f t="shared" si="64"/>
        <v>849.5508705114255</v>
      </c>
      <c r="AO47" s="393">
        <f t="shared" si="43"/>
        <v>129320932.07805601</v>
      </c>
      <c r="AP47" s="20">
        <f t="shared" si="65"/>
        <v>5628.7674462701198</v>
      </c>
      <c r="AQ47" s="273">
        <f t="shared" si="44"/>
        <v>0.65116471126009745</v>
      </c>
      <c r="AR47" s="394">
        <f t="shared" si="45"/>
        <v>34</v>
      </c>
      <c r="AS47" s="20">
        <f t="shared" si="46"/>
        <v>69278485</v>
      </c>
      <c r="AT47" s="20">
        <f t="shared" si="66"/>
        <v>3015.39</v>
      </c>
      <c r="AU47" s="394">
        <f t="shared" si="47"/>
        <v>42</v>
      </c>
      <c r="AV47" s="273">
        <f t="shared" si="48"/>
        <v>0.34883528873990255</v>
      </c>
      <c r="AW47" s="394">
        <f t="shared" si="49"/>
        <v>198599417.07805601</v>
      </c>
      <c r="AX47" s="395">
        <f t="shared" si="67"/>
        <v>8644.153082831599</v>
      </c>
      <c r="AY47" s="394">
        <f t="shared" si="50"/>
        <v>42</v>
      </c>
      <c r="AZ47" s="1077">
        <v>128436293.24095778</v>
      </c>
      <c r="BA47" s="280">
        <f t="shared" si="51"/>
        <v>884638.83709822595</v>
      </c>
      <c r="BB47" s="1080"/>
      <c r="BC47" s="280"/>
      <c r="BD47" s="280"/>
      <c r="BE47" s="280"/>
      <c r="BF47" s="280"/>
      <c r="BG47" s="280"/>
      <c r="BH47" s="280"/>
      <c r="BI47" s="280"/>
      <c r="BJ47" s="280"/>
      <c r="BK47" s="280"/>
      <c r="BL47" s="82"/>
      <c r="BM47" s="82"/>
      <c r="BN47" s="862"/>
      <c r="BO47" s="82"/>
      <c r="BP47" s="82"/>
      <c r="BQ47" s="862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</row>
    <row r="48" spans="1:149" s="5" customFormat="1">
      <c r="A48" s="101">
        <v>41</v>
      </c>
      <c r="B48" s="81" t="s">
        <v>132</v>
      </c>
      <c r="C48" s="579">
        <f>'2-1-13 SIS'!S47</f>
        <v>1411</v>
      </c>
      <c r="D48" s="579">
        <f>'[6]2-1-13-Supreme Court Ruling'!AE46</f>
        <v>1224</v>
      </c>
      <c r="E48" s="579">
        <f t="shared" si="53"/>
        <v>269</v>
      </c>
      <c r="F48" s="579">
        <f>'[7]CTE-Oct 2012-Supreme Court'!AC47</f>
        <v>841.5</v>
      </c>
      <c r="G48" s="579">
        <f t="shared" si="54"/>
        <v>50</v>
      </c>
      <c r="H48" s="1157">
        <f>'[8]SWD 2-1-13 Supreme Court'!Z46</f>
        <v>124</v>
      </c>
      <c r="I48" s="1157">
        <f t="shared" si="27"/>
        <v>186</v>
      </c>
      <c r="J48" s="1157">
        <f>'[9]GT_PS-12th Supreme Court'!T45</f>
        <v>3</v>
      </c>
      <c r="K48" s="1157">
        <f t="shared" si="28"/>
        <v>1.7999999999999998</v>
      </c>
      <c r="L48" s="13">
        <f t="shared" si="55"/>
        <v>6089</v>
      </c>
      <c r="M48" s="65">
        <f t="shared" si="56"/>
        <v>0.16236999999999999</v>
      </c>
      <c r="N48" s="13">
        <f t="shared" si="57"/>
        <v>229</v>
      </c>
      <c r="O48" s="13">
        <f t="shared" si="29"/>
        <v>735.8</v>
      </c>
      <c r="P48" s="36">
        <f t="shared" si="58"/>
        <v>2146.8000000000002</v>
      </c>
      <c r="Q48" s="381">
        <f t="shared" si="30"/>
        <v>3855</v>
      </c>
      <c r="R48" s="381">
        <f t="shared" si="59"/>
        <v>8275914</v>
      </c>
      <c r="S48" s="381">
        <f>'Table 6 (Local Deduct Calc.)'!J49</f>
        <v>6265985.5</v>
      </c>
      <c r="T48" s="381">
        <f t="shared" si="31"/>
        <v>6206935.5</v>
      </c>
      <c r="U48" s="382">
        <f t="shared" si="32"/>
        <v>2068978.5</v>
      </c>
      <c r="V48" s="383">
        <f t="shared" si="52"/>
        <v>0.25</v>
      </c>
      <c r="W48" s="383">
        <f t="shared" si="33"/>
        <v>0.75</v>
      </c>
      <c r="X48" s="384">
        <f t="shared" si="60"/>
        <v>4398.9620836286322</v>
      </c>
      <c r="Y48" s="381">
        <f>'Table 7 Local Revenue'!AQ48</f>
        <v>16622789.5</v>
      </c>
      <c r="Z48" s="381">
        <f t="shared" si="34"/>
        <v>10415854</v>
      </c>
      <c r="AA48" s="279">
        <f t="shared" si="35"/>
        <v>0</v>
      </c>
      <c r="AB48" s="14">
        <f t="shared" si="36"/>
        <v>2813810.7600000002</v>
      </c>
      <c r="AC48" s="14">
        <f t="shared" si="37"/>
        <v>2813810.7600000002</v>
      </c>
      <c r="AD48" s="381">
        <f t="shared" si="38"/>
        <v>3629815.8804000006</v>
      </c>
      <c r="AE48" s="385">
        <f t="shared" si="39"/>
        <v>0</v>
      </c>
      <c r="AF48" s="16">
        <f t="shared" si="40"/>
        <v>0</v>
      </c>
      <c r="AG48" s="385">
        <f t="shared" si="41"/>
        <v>2068978.5</v>
      </c>
      <c r="AH48" s="14">
        <f t="shared" si="61"/>
        <v>1466</v>
      </c>
      <c r="AI48" s="385">
        <f>'Table 4 Level 3'!O46</f>
        <v>210635</v>
      </c>
      <c r="AJ48" s="14">
        <f t="shared" si="62"/>
        <v>149.28065201984407</v>
      </c>
      <c r="AK48" s="385">
        <f t="shared" si="42"/>
        <v>2279613.5</v>
      </c>
      <c r="AL48" s="14">
        <f t="shared" si="63"/>
        <v>1615.6013465627216</v>
      </c>
      <c r="AM48" s="499">
        <f>'Table 4 Level 3'!R46</f>
        <v>1461091.42</v>
      </c>
      <c r="AN48" s="500">
        <f t="shared" si="64"/>
        <v>1035.500652019844</v>
      </c>
      <c r="AO48" s="385">
        <f t="shared" si="43"/>
        <v>3530069.92</v>
      </c>
      <c r="AP48" s="14">
        <f t="shared" si="65"/>
        <v>2501.8213465627214</v>
      </c>
      <c r="AQ48" s="16">
        <f t="shared" si="44"/>
        <v>0.28126218003457365</v>
      </c>
      <c r="AR48" s="386">
        <f t="shared" si="45"/>
        <v>68</v>
      </c>
      <c r="AS48" s="14">
        <f t="shared" si="46"/>
        <v>9020746.2599999998</v>
      </c>
      <c r="AT48" s="14">
        <f t="shared" si="66"/>
        <v>6393.16</v>
      </c>
      <c r="AU48" s="386">
        <f t="shared" si="47"/>
        <v>1</v>
      </c>
      <c r="AV48" s="16">
        <f t="shared" si="48"/>
        <v>0.71873781996542629</v>
      </c>
      <c r="AW48" s="386">
        <f t="shared" si="49"/>
        <v>12550816.18</v>
      </c>
      <c r="AX48" s="387">
        <f t="shared" si="67"/>
        <v>8894.9795747696662</v>
      </c>
      <c r="AY48" s="386">
        <f t="shared" si="50"/>
        <v>30</v>
      </c>
      <c r="AZ48" s="1076">
        <v>3509707.1739999996</v>
      </c>
      <c r="BA48" s="279">
        <f t="shared" si="51"/>
        <v>20362.746000000276</v>
      </c>
      <c r="BB48" s="1079"/>
      <c r="BC48" s="279"/>
      <c r="BD48" s="279"/>
      <c r="BE48" s="279"/>
      <c r="BF48" s="279"/>
      <c r="BG48" s="279"/>
      <c r="BH48" s="279"/>
      <c r="BI48" s="279"/>
      <c r="BJ48" s="279"/>
      <c r="BK48" s="279"/>
      <c r="BL48" s="81"/>
      <c r="BM48" s="81"/>
      <c r="BN48" s="861"/>
      <c r="BO48" s="81"/>
      <c r="BP48" s="81"/>
      <c r="BQ48" s="861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</row>
    <row r="49" spans="1:149" s="5" customFormat="1">
      <c r="A49" s="101">
        <v>42</v>
      </c>
      <c r="B49" s="81" t="s">
        <v>133</v>
      </c>
      <c r="C49" s="579">
        <f>'2-1-13 SIS'!S48</f>
        <v>3442</v>
      </c>
      <c r="D49" s="579">
        <f>'[6]2-1-13-Supreme Court Ruling'!AE47</f>
        <v>2897</v>
      </c>
      <c r="E49" s="579">
        <f t="shared" si="53"/>
        <v>637</v>
      </c>
      <c r="F49" s="579">
        <f>'[7]CTE-Oct 2012-Supreme Court'!AC48</f>
        <v>858.5</v>
      </c>
      <c r="G49" s="579">
        <f t="shared" si="54"/>
        <v>52</v>
      </c>
      <c r="H49" s="1157">
        <f>'[8]SWD 2-1-13 Supreme Court'!Z47</f>
        <v>378</v>
      </c>
      <c r="I49" s="1157">
        <f t="shared" si="27"/>
        <v>567</v>
      </c>
      <c r="J49" s="1157">
        <f>'[9]GT_PS-12th Supreme Court'!T46</f>
        <v>51</v>
      </c>
      <c r="K49" s="1157">
        <f t="shared" si="28"/>
        <v>30.599999999999998</v>
      </c>
      <c r="L49" s="13">
        <f t="shared" si="55"/>
        <v>4058</v>
      </c>
      <c r="M49" s="65">
        <f t="shared" si="56"/>
        <v>0.10821</v>
      </c>
      <c r="N49" s="13">
        <f t="shared" si="57"/>
        <v>372</v>
      </c>
      <c r="O49" s="13">
        <f t="shared" si="29"/>
        <v>1658.6</v>
      </c>
      <c r="P49" s="13">
        <f t="shared" si="58"/>
        <v>5100.6000000000004</v>
      </c>
      <c r="Q49" s="381">
        <f t="shared" si="30"/>
        <v>3855</v>
      </c>
      <c r="R49" s="381">
        <f t="shared" si="59"/>
        <v>19662813</v>
      </c>
      <c r="S49" s="381">
        <f>'Table 6 (Local Deduct Calc.)'!J50</f>
        <v>5278332</v>
      </c>
      <c r="T49" s="381">
        <f t="shared" si="31"/>
        <v>5278332</v>
      </c>
      <c r="U49" s="382">
        <f t="shared" si="32"/>
        <v>14384481</v>
      </c>
      <c r="V49" s="383">
        <f t="shared" si="52"/>
        <v>0.73160000000000003</v>
      </c>
      <c r="W49" s="383">
        <f t="shared" si="33"/>
        <v>0.26840000000000003</v>
      </c>
      <c r="X49" s="384">
        <f t="shared" si="60"/>
        <v>1533.5072632190586</v>
      </c>
      <c r="Y49" s="381">
        <f>'Table 7 Local Revenue'!AQ49</f>
        <v>10131618</v>
      </c>
      <c r="Z49" s="381">
        <f t="shared" si="34"/>
        <v>4853286</v>
      </c>
      <c r="AA49" s="279">
        <f t="shared" si="35"/>
        <v>0</v>
      </c>
      <c r="AB49" s="14">
        <f t="shared" si="36"/>
        <v>6685356.4200000009</v>
      </c>
      <c r="AC49" s="14">
        <f t="shared" si="37"/>
        <v>4853286</v>
      </c>
      <c r="AD49" s="381">
        <f t="shared" si="38"/>
        <v>2240509.7753280001</v>
      </c>
      <c r="AE49" s="385">
        <f t="shared" si="39"/>
        <v>2612776.2246719999</v>
      </c>
      <c r="AF49" s="16">
        <f t="shared" si="40"/>
        <v>0.53839999999999999</v>
      </c>
      <c r="AG49" s="385">
        <f t="shared" si="41"/>
        <v>16997257.224672001</v>
      </c>
      <c r="AH49" s="14">
        <f t="shared" si="61"/>
        <v>4938</v>
      </c>
      <c r="AI49" s="385">
        <f>'Table 4 Level 3'!O47</f>
        <v>513825</v>
      </c>
      <c r="AJ49" s="14">
        <f t="shared" si="62"/>
        <v>149.28094131319</v>
      </c>
      <c r="AK49" s="385">
        <f t="shared" si="42"/>
        <v>17511082.224672001</v>
      </c>
      <c r="AL49" s="14">
        <f t="shared" si="63"/>
        <v>5087.4730460987803</v>
      </c>
      <c r="AM49" s="499">
        <f>'Table 4 Level 3'!R47</f>
        <v>2352816.7599999998</v>
      </c>
      <c r="AN49" s="500">
        <f t="shared" si="64"/>
        <v>683.56094131318991</v>
      </c>
      <c r="AO49" s="385">
        <f t="shared" si="43"/>
        <v>19350073.984672002</v>
      </c>
      <c r="AP49" s="14">
        <f t="shared" si="65"/>
        <v>5621.7530460987809</v>
      </c>
      <c r="AQ49" s="16">
        <f t="shared" si="44"/>
        <v>0.65634204423316045</v>
      </c>
      <c r="AR49" s="386">
        <f t="shared" si="45"/>
        <v>32</v>
      </c>
      <c r="AS49" s="14">
        <f t="shared" si="46"/>
        <v>10131618</v>
      </c>
      <c r="AT49" s="14">
        <f t="shared" si="66"/>
        <v>2943.53</v>
      </c>
      <c r="AU49" s="386">
        <f t="shared" si="47"/>
        <v>44</v>
      </c>
      <c r="AV49" s="16">
        <f t="shared" si="48"/>
        <v>0.34365795576683961</v>
      </c>
      <c r="AW49" s="386">
        <f t="shared" si="49"/>
        <v>29481691.984672002</v>
      </c>
      <c r="AX49" s="387">
        <f t="shared" si="67"/>
        <v>8565.2794842161547</v>
      </c>
      <c r="AY49" s="386">
        <f t="shared" si="50"/>
        <v>47</v>
      </c>
      <c r="AZ49" s="1076">
        <v>22201766.148655534</v>
      </c>
      <c r="BA49" s="279">
        <f t="shared" si="51"/>
        <v>-2851692.1639835313</v>
      </c>
      <c r="BB49" s="1079"/>
      <c r="BC49" s="279"/>
      <c r="BD49" s="279"/>
      <c r="BE49" s="279"/>
      <c r="BF49" s="279"/>
      <c r="BG49" s="279"/>
      <c r="BH49" s="279"/>
      <c r="BI49" s="279"/>
      <c r="BJ49" s="279"/>
      <c r="BK49" s="279"/>
      <c r="BL49" s="81"/>
      <c r="BM49" s="81"/>
      <c r="BN49" s="861"/>
      <c r="BO49" s="81"/>
      <c r="BP49" s="81"/>
      <c r="BQ49" s="861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</row>
    <row r="50" spans="1:149" s="5" customFormat="1">
      <c r="A50" s="101">
        <v>43</v>
      </c>
      <c r="B50" s="81" t="s">
        <v>134</v>
      </c>
      <c r="C50" s="81">
        <f>'2-1-13 SIS'!S49</f>
        <v>4023</v>
      </c>
      <c r="D50" s="81">
        <f>'[6]2-1-13-Supreme Court Ruling'!AE48</f>
        <v>2750</v>
      </c>
      <c r="E50" s="81">
        <f t="shared" si="53"/>
        <v>605</v>
      </c>
      <c r="F50" s="81">
        <f>'[7]CTE-Oct 2012-Supreme Court'!AC49</f>
        <v>1513.5</v>
      </c>
      <c r="G50" s="81">
        <f t="shared" si="54"/>
        <v>91</v>
      </c>
      <c r="H50" s="1156">
        <f>'[8]SWD 2-1-13 Supreme Court'!Z48</f>
        <v>535</v>
      </c>
      <c r="I50" s="1156">
        <f t="shared" si="27"/>
        <v>802.5</v>
      </c>
      <c r="J50" s="1156">
        <f>'[9]GT_PS-12th Supreme Court'!T47</f>
        <v>108</v>
      </c>
      <c r="K50" s="1156">
        <f t="shared" si="28"/>
        <v>64.8</v>
      </c>
      <c r="L50" s="13">
        <f t="shared" si="55"/>
        <v>3477</v>
      </c>
      <c r="M50" s="65">
        <f t="shared" si="56"/>
        <v>9.2719999999999997E-2</v>
      </c>
      <c r="N50" s="13">
        <f t="shared" si="57"/>
        <v>373</v>
      </c>
      <c r="O50" s="13">
        <f t="shared" si="29"/>
        <v>1936.3</v>
      </c>
      <c r="P50" s="13">
        <f t="shared" si="58"/>
        <v>5959.3</v>
      </c>
      <c r="Q50" s="381">
        <f t="shared" si="30"/>
        <v>3855</v>
      </c>
      <c r="R50" s="381">
        <f t="shared" si="59"/>
        <v>22973102</v>
      </c>
      <c r="S50" s="381">
        <f>'Table 6 (Local Deduct Calc.)'!J51</f>
        <v>7827445.5</v>
      </c>
      <c r="T50" s="381">
        <f t="shared" si="31"/>
        <v>7827445.5</v>
      </c>
      <c r="U50" s="382">
        <f t="shared" si="32"/>
        <v>15145656.5</v>
      </c>
      <c r="V50" s="383">
        <f t="shared" si="52"/>
        <v>0.6593</v>
      </c>
      <c r="W50" s="383">
        <f t="shared" si="33"/>
        <v>0.3407</v>
      </c>
      <c r="X50" s="384">
        <f t="shared" si="60"/>
        <v>1945.6737509321401</v>
      </c>
      <c r="Y50" s="381">
        <f>'Table 7 Local Revenue'!AQ50</f>
        <v>21342622.5</v>
      </c>
      <c r="Z50" s="381">
        <f t="shared" si="34"/>
        <v>13515177</v>
      </c>
      <c r="AA50" s="279">
        <f t="shared" si="35"/>
        <v>0</v>
      </c>
      <c r="AB50" s="14">
        <f t="shared" si="36"/>
        <v>7810854.6800000006</v>
      </c>
      <c r="AC50" s="14">
        <f t="shared" si="37"/>
        <v>7810854.6800000006</v>
      </c>
      <c r="AD50" s="381">
        <f t="shared" si="38"/>
        <v>4577192.0858987197</v>
      </c>
      <c r="AE50" s="385">
        <f t="shared" si="39"/>
        <v>3233662.5941012809</v>
      </c>
      <c r="AF50" s="16">
        <f t="shared" si="40"/>
        <v>0.41399999999999998</v>
      </c>
      <c r="AG50" s="385">
        <f t="shared" si="41"/>
        <v>18379319.09410128</v>
      </c>
      <c r="AH50" s="14">
        <f t="shared" si="61"/>
        <v>4569</v>
      </c>
      <c r="AI50" s="385">
        <f>'Table 4 Level 3'!O48</f>
        <v>600557</v>
      </c>
      <c r="AJ50" s="14">
        <f t="shared" si="62"/>
        <v>149.2808849117574</v>
      </c>
      <c r="AK50" s="385">
        <f t="shared" si="42"/>
        <v>18979876.09410128</v>
      </c>
      <c r="AL50" s="14">
        <f t="shared" si="63"/>
        <v>4717.8414352725031</v>
      </c>
      <c r="AM50" s="499">
        <f>'Table 4 Level 3'!R48</f>
        <v>2912213.03</v>
      </c>
      <c r="AN50" s="500">
        <f t="shared" si="64"/>
        <v>723.89088491175733</v>
      </c>
      <c r="AO50" s="385">
        <f t="shared" si="43"/>
        <v>21291532.124101281</v>
      </c>
      <c r="AP50" s="14">
        <f t="shared" si="65"/>
        <v>5292.4514352725037</v>
      </c>
      <c r="AQ50" s="16">
        <f t="shared" si="44"/>
        <v>0.57654017892024734</v>
      </c>
      <c r="AR50" s="386">
        <f t="shared" si="45"/>
        <v>48</v>
      </c>
      <c r="AS50" s="14">
        <f t="shared" si="46"/>
        <v>15638300.18</v>
      </c>
      <c r="AT50" s="14">
        <f t="shared" si="66"/>
        <v>3887.22</v>
      </c>
      <c r="AU50" s="386">
        <f t="shared" si="47"/>
        <v>21</v>
      </c>
      <c r="AV50" s="16">
        <f t="shared" si="48"/>
        <v>0.42345982107975272</v>
      </c>
      <c r="AW50" s="386">
        <f t="shared" si="49"/>
        <v>36929832.304101281</v>
      </c>
      <c r="AX50" s="387">
        <f t="shared" si="67"/>
        <v>9179.6749450910465</v>
      </c>
      <c r="AY50" s="386">
        <f t="shared" si="50"/>
        <v>17</v>
      </c>
      <c r="AZ50" s="1076">
        <v>24566524.780017599</v>
      </c>
      <c r="BA50" s="279">
        <f t="shared" si="51"/>
        <v>-3274992.6559163183</v>
      </c>
      <c r="BB50" s="1081"/>
      <c r="BC50" s="279"/>
      <c r="BD50" s="279"/>
      <c r="BE50" s="279"/>
      <c r="BF50" s="279"/>
      <c r="BG50" s="279"/>
      <c r="BH50" s="279"/>
      <c r="BI50" s="279"/>
      <c r="BJ50" s="279"/>
      <c r="BK50" s="279"/>
      <c r="BL50" s="81"/>
      <c r="BM50" s="81"/>
      <c r="BN50" s="861"/>
      <c r="BO50" s="81"/>
      <c r="BP50" s="81"/>
      <c r="BQ50" s="861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</row>
    <row r="51" spans="1:149" s="5" customFormat="1">
      <c r="A51" s="101">
        <v>44</v>
      </c>
      <c r="B51" s="81" t="s">
        <v>135</v>
      </c>
      <c r="C51" s="81">
        <f>'2-1-13 SIS'!S50</f>
        <v>6380</v>
      </c>
      <c r="D51" s="81">
        <f>'[6]2-1-13-Supreme Court Ruling'!AE49</f>
        <v>4886</v>
      </c>
      <c r="E51" s="81">
        <f t="shared" si="53"/>
        <v>1075</v>
      </c>
      <c r="F51" s="81">
        <f>'[7]CTE-Oct 2012-Supreme Court'!AC50</f>
        <v>1797</v>
      </c>
      <c r="G51" s="81">
        <f t="shared" si="54"/>
        <v>108</v>
      </c>
      <c r="H51" s="1156">
        <f>'[8]SWD 2-1-13 Supreme Court'!Z49</f>
        <v>694</v>
      </c>
      <c r="I51" s="1156">
        <f t="shared" si="27"/>
        <v>1041</v>
      </c>
      <c r="J51" s="1156">
        <f>'[9]GT_PS-12th Supreme Court'!T48</f>
        <v>138</v>
      </c>
      <c r="K51" s="1156">
        <f t="shared" si="28"/>
        <v>82.8</v>
      </c>
      <c r="L51" s="13">
        <f t="shared" si="55"/>
        <v>1120</v>
      </c>
      <c r="M51" s="65">
        <f t="shared" si="56"/>
        <v>2.9870000000000001E-2</v>
      </c>
      <c r="N51" s="13">
        <f t="shared" si="57"/>
        <v>191</v>
      </c>
      <c r="O51" s="13">
        <f t="shared" si="29"/>
        <v>2497.8000000000002</v>
      </c>
      <c r="P51" s="13">
        <f t="shared" si="58"/>
        <v>8877.7999999999993</v>
      </c>
      <c r="Q51" s="381">
        <f t="shared" si="30"/>
        <v>3855</v>
      </c>
      <c r="R51" s="381">
        <f t="shared" si="59"/>
        <v>34223919</v>
      </c>
      <c r="S51" s="381">
        <f>'Table 6 (Local Deduct Calc.)'!J52</f>
        <v>10631620</v>
      </c>
      <c r="T51" s="381">
        <f t="shared" si="31"/>
        <v>10631620</v>
      </c>
      <c r="U51" s="382">
        <f t="shared" si="32"/>
        <v>23592299</v>
      </c>
      <c r="V51" s="383">
        <f t="shared" si="52"/>
        <v>0.68940000000000001</v>
      </c>
      <c r="W51" s="383">
        <f t="shared" si="33"/>
        <v>0.31059999999999999</v>
      </c>
      <c r="X51" s="384">
        <f t="shared" si="60"/>
        <v>1666.398119122257</v>
      </c>
      <c r="Y51" s="381">
        <f>'Table 7 Local Revenue'!AQ51</f>
        <v>26968985</v>
      </c>
      <c r="Z51" s="381">
        <f t="shared" si="34"/>
        <v>16337365</v>
      </c>
      <c r="AA51" s="279">
        <f t="shared" si="35"/>
        <v>0</v>
      </c>
      <c r="AB51" s="14">
        <f t="shared" si="36"/>
        <v>11636132.460000001</v>
      </c>
      <c r="AC51" s="14">
        <f t="shared" si="37"/>
        <v>11636132.460000001</v>
      </c>
      <c r="AD51" s="381">
        <f t="shared" si="38"/>
        <v>6216394.31637072</v>
      </c>
      <c r="AE51" s="385">
        <f t="shared" si="39"/>
        <v>5419738.1436292809</v>
      </c>
      <c r="AF51" s="16">
        <f t="shared" si="40"/>
        <v>0.46579999999999999</v>
      </c>
      <c r="AG51" s="385">
        <f t="shared" si="41"/>
        <v>29012037.143629283</v>
      </c>
      <c r="AH51" s="14">
        <f t="shared" si="61"/>
        <v>4547</v>
      </c>
      <c r="AI51" s="385">
        <f>'Table 4 Level 3'!O49</f>
        <v>952412</v>
      </c>
      <c r="AJ51" s="14">
        <f t="shared" si="62"/>
        <v>149.2808777429467</v>
      </c>
      <c r="AK51" s="385">
        <f t="shared" si="42"/>
        <v>29964449.143629283</v>
      </c>
      <c r="AL51" s="14">
        <f t="shared" si="63"/>
        <v>4696.6221228259064</v>
      </c>
      <c r="AM51" s="499">
        <f>'Table 4 Level 3'!R49</f>
        <v>5183372.8000000007</v>
      </c>
      <c r="AN51" s="500">
        <f t="shared" si="64"/>
        <v>812.44087774294678</v>
      </c>
      <c r="AO51" s="385">
        <f t="shared" si="43"/>
        <v>34195409.94362928</v>
      </c>
      <c r="AP51" s="14">
        <f t="shared" si="65"/>
        <v>5359.7821228259063</v>
      </c>
      <c r="AQ51" s="16">
        <f t="shared" si="44"/>
        <v>0.60562335667956324</v>
      </c>
      <c r="AR51" s="386">
        <f t="shared" si="45"/>
        <v>41</v>
      </c>
      <c r="AS51" s="14">
        <f t="shared" si="46"/>
        <v>22267752.460000001</v>
      </c>
      <c r="AT51" s="14">
        <f t="shared" si="66"/>
        <v>3490.24</v>
      </c>
      <c r="AU51" s="386">
        <f t="shared" si="47"/>
        <v>29</v>
      </c>
      <c r="AV51" s="16">
        <f t="shared" si="48"/>
        <v>0.39437664332043676</v>
      </c>
      <c r="AW51" s="386">
        <f t="shared" si="49"/>
        <v>56463162.403629281</v>
      </c>
      <c r="AX51" s="387">
        <f t="shared" si="67"/>
        <v>8850.025455114308</v>
      </c>
      <c r="AY51" s="386">
        <f t="shared" si="50"/>
        <v>35</v>
      </c>
      <c r="AZ51" s="1076">
        <v>28065832.11128547</v>
      </c>
      <c r="BA51" s="279">
        <f t="shared" si="51"/>
        <v>6129577.8323438093</v>
      </c>
      <c r="BB51" s="1079"/>
      <c r="BC51" s="279"/>
      <c r="BD51" s="279"/>
      <c r="BE51" s="279"/>
      <c r="BF51" s="279"/>
      <c r="BG51" s="279"/>
      <c r="BH51" s="279"/>
      <c r="BI51" s="279"/>
      <c r="BJ51" s="279"/>
      <c r="BK51" s="279"/>
      <c r="BL51" s="81"/>
      <c r="BM51" s="81"/>
      <c r="BN51" s="861"/>
      <c r="BO51" s="81"/>
      <c r="BP51" s="81"/>
      <c r="BQ51" s="86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</row>
    <row r="52" spans="1:149" s="21" customFormat="1">
      <c r="A52" s="102">
        <v>45</v>
      </c>
      <c r="B52" s="82" t="s">
        <v>136</v>
      </c>
      <c r="C52" s="82">
        <f>'2-1-13 SIS'!S51</f>
        <v>9478</v>
      </c>
      <c r="D52" s="82">
        <f>'[6]2-1-13-Supreme Court Ruling'!AE50</f>
        <v>5015</v>
      </c>
      <c r="E52" s="82">
        <f t="shared" si="53"/>
        <v>1103</v>
      </c>
      <c r="F52" s="82">
        <f>'[7]CTE-Oct 2012-Supreme Court'!AC51</f>
        <v>4040</v>
      </c>
      <c r="G52" s="82">
        <f t="shared" si="54"/>
        <v>242</v>
      </c>
      <c r="H52" s="82">
        <f>'[8]SWD 2-1-13 Supreme Court'!Z50</f>
        <v>929</v>
      </c>
      <c r="I52" s="82">
        <f t="shared" si="27"/>
        <v>1393.5</v>
      </c>
      <c r="J52" s="82">
        <f>'[9]GT_PS-12th Supreme Court'!T49</f>
        <v>492</v>
      </c>
      <c r="K52" s="82">
        <f t="shared" si="28"/>
        <v>295.2</v>
      </c>
      <c r="L52" s="19">
        <f t="shared" si="55"/>
        <v>0</v>
      </c>
      <c r="M52" s="66">
        <f t="shared" si="56"/>
        <v>0</v>
      </c>
      <c r="N52" s="19">
        <f t="shared" si="57"/>
        <v>0</v>
      </c>
      <c r="O52" s="19">
        <f t="shared" si="29"/>
        <v>3033.7</v>
      </c>
      <c r="P52" s="13">
        <f t="shared" si="58"/>
        <v>12511.7</v>
      </c>
      <c r="Q52" s="388">
        <f t="shared" si="30"/>
        <v>3855</v>
      </c>
      <c r="R52" s="388">
        <f t="shared" si="59"/>
        <v>48232604</v>
      </c>
      <c r="S52" s="388">
        <f>'Table 6 (Local Deduct Calc.)'!J53</f>
        <v>32896852</v>
      </c>
      <c r="T52" s="388">
        <f t="shared" si="31"/>
        <v>32896852</v>
      </c>
      <c r="U52" s="389">
        <f t="shared" si="32"/>
        <v>15335752</v>
      </c>
      <c r="V52" s="390">
        <f t="shared" si="52"/>
        <v>0.318</v>
      </c>
      <c r="W52" s="391">
        <f t="shared" si="33"/>
        <v>0.68200000000000005</v>
      </c>
      <c r="X52" s="392">
        <f t="shared" si="60"/>
        <v>3470.8643173665332</v>
      </c>
      <c r="Y52" s="388">
        <f>'Table 7 Local Revenue'!AQ52</f>
        <v>118117440</v>
      </c>
      <c r="Z52" s="388">
        <f t="shared" si="34"/>
        <v>85220588</v>
      </c>
      <c r="AA52" s="280">
        <f t="shared" si="35"/>
        <v>0</v>
      </c>
      <c r="AB52" s="20">
        <f t="shared" si="36"/>
        <v>16399085.360000001</v>
      </c>
      <c r="AC52" s="20">
        <f t="shared" si="37"/>
        <v>16399085.360000001</v>
      </c>
      <c r="AD52" s="388">
        <f t="shared" si="38"/>
        <v>19236783.090694401</v>
      </c>
      <c r="AE52" s="393">
        <f t="shared" si="39"/>
        <v>0</v>
      </c>
      <c r="AF52" s="273">
        <f t="shared" si="40"/>
        <v>0</v>
      </c>
      <c r="AG52" s="393">
        <f t="shared" si="41"/>
        <v>15335752</v>
      </c>
      <c r="AH52" s="20">
        <f t="shared" si="61"/>
        <v>1618</v>
      </c>
      <c r="AI52" s="393">
        <f>'Table 4 Level 3'!O50</f>
        <v>5444682</v>
      </c>
      <c r="AJ52" s="20">
        <f t="shared" si="62"/>
        <v>574.45473728634738</v>
      </c>
      <c r="AK52" s="393">
        <f t="shared" si="42"/>
        <v>20780434</v>
      </c>
      <c r="AL52" s="20">
        <f t="shared" si="63"/>
        <v>2192.4914538932262</v>
      </c>
      <c r="AM52" s="501">
        <f>'Table 4 Level 3'!R50</f>
        <v>12590714.880000003</v>
      </c>
      <c r="AN52" s="502">
        <f t="shared" si="64"/>
        <v>1328.4147372863476</v>
      </c>
      <c r="AO52" s="393">
        <f t="shared" si="43"/>
        <v>27926466.880000003</v>
      </c>
      <c r="AP52" s="20">
        <f t="shared" si="65"/>
        <v>2946.4514538932267</v>
      </c>
      <c r="AQ52" s="273">
        <f t="shared" si="44"/>
        <v>0.36163684820284997</v>
      </c>
      <c r="AR52" s="394">
        <f t="shared" si="45"/>
        <v>64</v>
      </c>
      <c r="AS52" s="20">
        <f t="shared" si="46"/>
        <v>49295937.359999999</v>
      </c>
      <c r="AT52" s="20">
        <f t="shared" si="66"/>
        <v>5201.09</v>
      </c>
      <c r="AU52" s="394">
        <f t="shared" si="47"/>
        <v>7</v>
      </c>
      <c r="AV52" s="273">
        <f t="shared" si="48"/>
        <v>0.63836315179714986</v>
      </c>
      <c r="AW52" s="394">
        <f t="shared" si="49"/>
        <v>77222404.24000001</v>
      </c>
      <c r="AX52" s="395">
        <f t="shared" si="67"/>
        <v>8147.5421228107207</v>
      </c>
      <c r="AY52" s="394">
        <f t="shared" si="50"/>
        <v>60</v>
      </c>
      <c r="AZ52" s="1077">
        <v>29871209.952447914</v>
      </c>
      <c r="BA52" s="280">
        <f t="shared" si="51"/>
        <v>-1944743.0724479109</v>
      </c>
      <c r="BB52" s="1082"/>
      <c r="BC52" s="280"/>
      <c r="BD52" s="280"/>
      <c r="BE52" s="280"/>
      <c r="BF52" s="280"/>
      <c r="BG52" s="280"/>
      <c r="BH52" s="280"/>
      <c r="BI52" s="280"/>
      <c r="BJ52" s="280"/>
      <c r="BK52" s="280"/>
      <c r="BL52" s="82"/>
      <c r="BM52" s="82"/>
      <c r="BN52" s="862"/>
      <c r="BO52" s="82"/>
      <c r="BP52" s="82"/>
      <c r="BQ52" s="86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</row>
    <row r="53" spans="1:149" s="5" customFormat="1">
      <c r="A53" s="101">
        <v>46</v>
      </c>
      <c r="B53" s="81" t="s">
        <v>137</v>
      </c>
      <c r="C53" s="579">
        <f>'2-1-13 SIS'!S52</f>
        <v>1076</v>
      </c>
      <c r="D53" s="81">
        <f>'[6]2-1-13-Supreme Court Ruling'!AE51</f>
        <v>992</v>
      </c>
      <c r="E53" s="81">
        <f t="shared" si="53"/>
        <v>218</v>
      </c>
      <c r="F53" s="81">
        <f>'[7]CTE-Oct 2012-Supreme Court'!AC52</f>
        <v>313.5</v>
      </c>
      <c r="G53" s="81">
        <f t="shared" si="54"/>
        <v>19</v>
      </c>
      <c r="H53" s="1156">
        <f>'[8]SWD 2-1-13 Supreme Court'!Z51+10</f>
        <v>145</v>
      </c>
      <c r="I53" s="1156">
        <f t="shared" si="27"/>
        <v>217.5</v>
      </c>
      <c r="J53" s="1156">
        <f>'[9]GT_PS-12th Supreme Court'!T50</f>
        <v>14</v>
      </c>
      <c r="K53" s="1156">
        <f t="shared" si="28"/>
        <v>8.4</v>
      </c>
      <c r="L53" s="13">
        <f t="shared" si="55"/>
        <v>6424</v>
      </c>
      <c r="M53" s="65">
        <f t="shared" si="56"/>
        <v>0.17130999999999999</v>
      </c>
      <c r="N53" s="13">
        <f t="shared" si="57"/>
        <v>184</v>
      </c>
      <c r="O53" s="13">
        <f t="shared" si="29"/>
        <v>646.9</v>
      </c>
      <c r="P53" s="36">
        <f t="shared" si="58"/>
        <v>1722.9</v>
      </c>
      <c r="Q53" s="381">
        <f t="shared" si="30"/>
        <v>3855</v>
      </c>
      <c r="R53" s="381">
        <f t="shared" si="59"/>
        <v>6641780</v>
      </c>
      <c r="S53" s="381">
        <f>'Table 6 (Local Deduct Calc.)'!J54</f>
        <v>1298586</v>
      </c>
      <c r="T53" s="381">
        <f t="shared" si="31"/>
        <v>1298586</v>
      </c>
      <c r="U53" s="382">
        <f t="shared" si="32"/>
        <v>5343194</v>
      </c>
      <c r="V53" s="383">
        <f t="shared" si="52"/>
        <v>0.80449999999999999</v>
      </c>
      <c r="W53" s="383">
        <f t="shared" si="33"/>
        <v>0.19550000000000001</v>
      </c>
      <c r="X53" s="384">
        <f t="shared" si="60"/>
        <v>1206.8643122676581</v>
      </c>
      <c r="Y53" s="381">
        <f>'Table 7 Local Revenue'!AQ53</f>
        <v>2157106</v>
      </c>
      <c r="Z53" s="381">
        <f t="shared" si="34"/>
        <v>858520</v>
      </c>
      <c r="AA53" s="279">
        <f t="shared" si="35"/>
        <v>0</v>
      </c>
      <c r="AB53" s="14">
        <f t="shared" si="36"/>
        <v>2258205.2000000002</v>
      </c>
      <c r="AC53" s="14">
        <f t="shared" si="37"/>
        <v>858520</v>
      </c>
      <c r="AD53" s="381">
        <f t="shared" si="38"/>
        <v>288685.93520000001</v>
      </c>
      <c r="AE53" s="385">
        <f t="shared" si="39"/>
        <v>569834.06480000005</v>
      </c>
      <c r="AF53" s="16">
        <f t="shared" si="40"/>
        <v>0.66369999999999996</v>
      </c>
      <c r="AG53" s="385">
        <f t="shared" si="41"/>
        <v>5913028.0647999998</v>
      </c>
      <c r="AH53" s="14">
        <f t="shared" si="61"/>
        <v>5495</v>
      </c>
      <c r="AI53" s="385">
        <f>'Table 4 Level 3'!O51</f>
        <v>160626</v>
      </c>
      <c r="AJ53" s="14">
        <f t="shared" si="62"/>
        <v>149.2806691449814</v>
      </c>
      <c r="AK53" s="385">
        <f t="shared" si="42"/>
        <v>6073654.0647999998</v>
      </c>
      <c r="AL53" s="14">
        <f t="shared" si="63"/>
        <v>5644.6599115241634</v>
      </c>
      <c r="AM53" s="499">
        <f>'Table 4 Level 3'!R51</f>
        <v>944018.55999999994</v>
      </c>
      <c r="AN53" s="500">
        <f t="shared" si="64"/>
        <v>877.34066914498135</v>
      </c>
      <c r="AO53" s="385">
        <f t="shared" si="43"/>
        <v>6857046.6247999994</v>
      </c>
      <c r="AP53" s="14">
        <f t="shared" si="65"/>
        <v>6372.7199115241629</v>
      </c>
      <c r="AQ53" s="16">
        <f t="shared" si="44"/>
        <v>0.76069786148669061</v>
      </c>
      <c r="AR53" s="386">
        <f t="shared" si="45"/>
        <v>5</v>
      </c>
      <c r="AS53" s="14">
        <f t="shared" si="46"/>
        <v>2157106</v>
      </c>
      <c r="AT53" s="14">
        <f t="shared" si="66"/>
        <v>2004.75</v>
      </c>
      <c r="AU53" s="386">
        <f t="shared" si="47"/>
        <v>64</v>
      </c>
      <c r="AV53" s="16">
        <f t="shared" si="48"/>
        <v>0.23930213851330928</v>
      </c>
      <c r="AW53" s="386">
        <f t="shared" si="49"/>
        <v>9014152.6248000003</v>
      </c>
      <c r="AX53" s="387">
        <f t="shared" si="67"/>
        <v>8377.465264684015</v>
      </c>
      <c r="AY53" s="386">
        <f t="shared" si="50"/>
        <v>54</v>
      </c>
      <c r="AZ53" s="1076">
        <v>7161370.2294239998</v>
      </c>
      <c r="BA53" s="279">
        <f t="shared" si="51"/>
        <v>-304323.60462400038</v>
      </c>
      <c r="BB53" s="1079"/>
      <c r="BC53" s="279"/>
      <c r="BD53" s="279"/>
      <c r="BE53" s="279"/>
      <c r="BF53" s="279"/>
      <c r="BG53" s="279"/>
      <c r="BH53" s="279"/>
      <c r="BI53" s="279"/>
      <c r="BJ53" s="279"/>
      <c r="BK53" s="279"/>
      <c r="BL53" s="561"/>
      <c r="BM53" s="561"/>
      <c r="BN53" s="863"/>
      <c r="BO53" s="561"/>
      <c r="BP53" s="561"/>
      <c r="BQ53" s="86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</row>
    <row r="54" spans="1:149" s="5" customFormat="1">
      <c r="A54" s="101">
        <v>47</v>
      </c>
      <c r="B54" s="81" t="s">
        <v>138</v>
      </c>
      <c r="C54" s="81">
        <f>'2-1-13 SIS'!S53</f>
        <v>3621</v>
      </c>
      <c r="D54" s="81">
        <f>'[6]2-1-13-Supreme Court Ruling'!AE52</f>
        <v>2579</v>
      </c>
      <c r="E54" s="81">
        <f t="shared" si="53"/>
        <v>567</v>
      </c>
      <c r="F54" s="81">
        <f>'[7]CTE-Oct 2012-Supreme Court'!AC53</f>
        <v>1639</v>
      </c>
      <c r="G54" s="81">
        <f t="shared" si="54"/>
        <v>98</v>
      </c>
      <c r="H54" s="1156">
        <f>'[8]SWD 2-1-13 Supreme Court'!Z52</f>
        <v>504</v>
      </c>
      <c r="I54" s="1156">
        <f t="shared" si="27"/>
        <v>756</v>
      </c>
      <c r="J54" s="1156">
        <f>'[9]GT_PS-12th Supreme Court'!T51</f>
        <v>74</v>
      </c>
      <c r="K54" s="1156">
        <f t="shared" si="28"/>
        <v>44.4</v>
      </c>
      <c r="L54" s="13">
        <f t="shared" si="55"/>
        <v>3879</v>
      </c>
      <c r="M54" s="65">
        <f t="shared" si="56"/>
        <v>0.10344</v>
      </c>
      <c r="N54" s="13">
        <f t="shared" si="57"/>
        <v>375</v>
      </c>
      <c r="O54" s="13">
        <f t="shared" si="29"/>
        <v>1840.4</v>
      </c>
      <c r="P54" s="13">
        <f t="shared" si="58"/>
        <v>5461.4</v>
      </c>
      <c r="Q54" s="381">
        <f t="shared" si="30"/>
        <v>3855</v>
      </c>
      <c r="R54" s="381">
        <f t="shared" si="59"/>
        <v>21053697</v>
      </c>
      <c r="S54" s="381">
        <f>'Table 6 (Local Deduct Calc.)'!J55</f>
        <v>12823711</v>
      </c>
      <c r="T54" s="381">
        <f t="shared" si="31"/>
        <v>12823711</v>
      </c>
      <c r="U54" s="382">
        <f t="shared" si="32"/>
        <v>8229986</v>
      </c>
      <c r="V54" s="383">
        <f t="shared" si="52"/>
        <v>0.39090000000000003</v>
      </c>
      <c r="W54" s="383">
        <f t="shared" si="33"/>
        <v>0.60909999999999997</v>
      </c>
      <c r="X54" s="384">
        <f t="shared" si="60"/>
        <v>3541.4832919083128</v>
      </c>
      <c r="Y54" s="381">
        <f>'Table 7 Local Revenue'!AQ54</f>
        <v>36744086</v>
      </c>
      <c r="Z54" s="381">
        <f t="shared" si="34"/>
        <v>23920375</v>
      </c>
      <c r="AA54" s="279">
        <f t="shared" si="35"/>
        <v>0</v>
      </c>
      <c r="AB54" s="14">
        <f t="shared" si="36"/>
        <v>7158256.9800000004</v>
      </c>
      <c r="AC54" s="14">
        <f t="shared" si="37"/>
        <v>7158256.9800000004</v>
      </c>
      <c r="AD54" s="381">
        <f t="shared" si="38"/>
        <v>7499362.241610961</v>
      </c>
      <c r="AE54" s="385">
        <f t="shared" si="39"/>
        <v>0</v>
      </c>
      <c r="AF54" s="16">
        <f t="shared" si="40"/>
        <v>0</v>
      </c>
      <c r="AG54" s="385">
        <f t="shared" si="41"/>
        <v>8229986</v>
      </c>
      <c r="AH54" s="14">
        <f t="shared" si="61"/>
        <v>2273</v>
      </c>
      <c r="AI54" s="385">
        <f>'Table 4 Level 3'!O52</f>
        <v>1659850</v>
      </c>
      <c r="AJ54" s="14">
        <f t="shared" si="62"/>
        <v>458.39547086440211</v>
      </c>
      <c r="AK54" s="385">
        <f t="shared" si="42"/>
        <v>9889836</v>
      </c>
      <c r="AL54" s="14">
        <f t="shared" si="63"/>
        <v>2731.2444076222037</v>
      </c>
      <c r="AM54" s="499">
        <f>'Table 4 Level 3'!R52</f>
        <v>4957711.96</v>
      </c>
      <c r="AN54" s="500">
        <f t="shared" si="64"/>
        <v>1369.1554708644021</v>
      </c>
      <c r="AO54" s="385">
        <f t="shared" si="43"/>
        <v>13187697.960000001</v>
      </c>
      <c r="AP54" s="14">
        <f t="shared" si="65"/>
        <v>3642.0044076222039</v>
      </c>
      <c r="AQ54" s="16">
        <f t="shared" si="44"/>
        <v>0.39758308039203605</v>
      </c>
      <c r="AR54" s="386">
        <f t="shared" si="45"/>
        <v>63</v>
      </c>
      <c r="AS54" s="14">
        <f t="shared" si="46"/>
        <v>19981967.98</v>
      </c>
      <c r="AT54" s="14">
        <f t="shared" si="66"/>
        <v>5518.36</v>
      </c>
      <c r="AU54" s="386">
        <f t="shared" si="47"/>
        <v>6</v>
      </c>
      <c r="AV54" s="16">
        <f t="shared" si="48"/>
        <v>0.60241691960796395</v>
      </c>
      <c r="AW54" s="386">
        <f t="shared" si="49"/>
        <v>33169665.940000001</v>
      </c>
      <c r="AX54" s="387">
        <f t="shared" si="67"/>
        <v>9160.360657276995</v>
      </c>
      <c r="AY54" s="386">
        <f t="shared" si="50"/>
        <v>19</v>
      </c>
      <c r="AZ54" s="1076">
        <v>14927937.90161714</v>
      </c>
      <c r="BA54" s="279">
        <f t="shared" si="51"/>
        <v>-1740239.9416171387</v>
      </c>
      <c r="BB54" s="1079"/>
      <c r="BC54" s="279"/>
      <c r="BD54" s="279"/>
      <c r="BE54" s="279"/>
      <c r="BF54" s="279"/>
      <c r="BG54" s="279"/>
      <c r="BH54" s="279"/>
      <c r="BI54" s="279"/>
      <c r="BJ54" s="279"/>
      <c r="BK54" s="279"/>
      <c r="BL54" s="81"/>
      <c r="BM54" s="81"/>
      <c r="BN54" s="861"/>
      <c r="BO54" s="81"/>
      <c r="BP54" s="81"/>
      <c r="BQ54" s="861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</row>
    <row r="55" spans="1:149" s="5" customFormat="1">
      <c r="A55" s="101">
        <v>48</v>
      </c>
      <c r="B55" s="81" t="s">
        <v>195</v>
      </c>
      <c r="C55" s="81">
        <f>'2-1-13 SIS'!S54</f>
        <v>5804</v>
      </c>
      <c r="D55" s="81">
        <f>'[6]2-1-13-Supreme Court Ruling'!AE53</f>
        <v>5728</v>
      </c>
      <c r="E55" s="81">
        <f t="shared" si="53"/>
        <v>1260</v>
      </c>
      <c r="F55" s="81">
        <f>'[7]CTE-Oct 2012-Supreme Court'!AC54</f>
        <v>2130.5</v>
      </c>
      <c r="G55" s="81">
        <f t="shared" si="54"/>
        <v>128</v>
      </c>
      <c r="H55" s="1156">
        <f>'[8]SWD 2-1-13 Supreme Court'!Z53</f>
        <v>847</v>
      </c>
      <c r="I55" s="1156">
        <f t="shared" si="27"/>
        <v>1270.5</v>
      </c>
      <c r="J55" s="1156">
        <f>'[9]GT_PS-12th Supreme Court'!T52</f>
        <v>124</v>
      </c>
      <c r="K55" s="1156">
        <f t="shared" si="28"/>
        <v>74.399999999999991</v>
      </c>
      <c r="L55" s="13">
        <f t="shared" si="55"/>
        <v>1696</v>
      </c>
      <c r="M55" s="65">
        <f t="shared" si="56"/>
        <v>4.5229999999999999E-2</v>
      </c>
      <c r="N55" s="13">
        <f t="shared" si="57"/>
        <v>263</v>
      </c>
      <c r="O55" s="13">
        <f t="shared" si="29"/>
        <v>2995.9</v>
      </c>
      <c r="P55" s="13">
        <f t="shared" si="58"/>
        <v>8799.9</v>
      </c>
      <c r="Q55" s="381">
        <f t="shared" si="30"/>
        <v>3855</v>
      </c>
      <c r="R55" s="381">
        <f t="shared" si="59"/>
        <v>33923615</v>
      </c>
      <c r="S55" s="381">
        <f>'Table 6 (Local Deduct Calc.)'!J56</f>
        <v>13581836.5</v>
      </c>
      <c r="T55" s="381">
        <f t="shared" si="31"/>
        <v>13581836.5</v>
      </c>
      <c r="U55" s="382">
        <f t="shared" si="32"/>
        <v>20341778.5</v>
      </c>
      <c r="V55" s="383">
        <f t="shared" si="52"/>
        <v>0.59960000000000002</v>
      </c>
      <c r="W55" s="383">
        <f t="shared" si="33"/>
        <v>0.40039999999999998</v>
      </c>
      <c r="X55" s="384">
        <f t="shared" si="60"/>
        <v>2340.0820985527221</v>
      </c>
      <c r="Y55" s="381">
        <f>'Table 7 Local Revenue'!AQ55</f>
        <v>34092702.5</v>
      </c>
      <c r="Z55" s="381">
        <f t="shared" si="34"/>
        <v>20510866</v>
      </c>
      <c r="AA55" s="279">
        <f t="shared" si="35"/>
        <v>0</v>
      </c>
      <c r="AB55" s="14">
        <f t="shared" si="36"/>
        <v>11534029.100000001</v>
      </c>
      <c r="AC55" s="14">
        <f t="shared" si="37"/>
        <v>11534029.100000001</v>
      </c>
      <c r="AD55" s="381">
        <f t="shared" si="38"/>
        <v>7943347.4328208007</v>
      </c>
      <c r="AE55" s="385">
        <f t="shared" si="39"/>
        <v>3590681.6671792008</v>
      </c>
      <c r="AF55" s="16">
        <f t="shared" si="40"/>
        <v>0.31130000000000002</v>
      </c>
      <c r="AG55" s="385">
        <f t="shared" si="41"/>
        <v>23932460.167179201</v>
      </c>
      <c r="AH55" s="14">
        <f t="shared" si="61"/>
        <v>4123</v>
      </c>
      <c r="AI55" s="385">
        <f>'Table 4 Level 3'!O53</f>
        <v>866426</v>
      </c>
      <c r="AJ55" s="14">
        <f t="shared" si="62"/>
        <v>149.28084079944867</v>
      </c>
      <c r="AK55" s="385">
        <f t="shared" si="42"/>
        <v>24798886.167179201</v>
      </c>
      <c r="AL55" s="14">
        <f t="shared" si="63"/>
        <v>4272.723323083942</v>
      </c>
      <c r="AM55" s="499">
        <f>'Table 4 Level 3'!R53</f>
        <v>5922116.2800000003</v>
      </c>
      <c r="AN55" s="500">
        <f t="shared" si="64"/>
        <v>1020.3508407994487</v>
      </c>
      <c r="AO55" s="385">
        <f t="shared" si="43"/>
        <v>29854576.447179202</v>
      </c>
      <c r="AP55" s="14">
        <f t="shared" si="65"/>
        <v>5143.7933230839426</v>
      </c>
      <c r="AQ55" s="16">
        <f t="shared" si="44"/>
        <v>0.54310235347127211</v>
      </c>
      <c r="AR55" s="386">
        <f t="shared" si="45"/>
        <v>53</v>
      </c>
      <c r="AS55" s="14">
        <f t="shared" si="46"/>
        <v>25115865.600000001</v>
      </c>
      <c r="AT55" s="14">
        <f t="shared" si="66"/>
        <v>4327.34</v>
      </c>
      <c r="AU55" s="386">
        <f t="shared" si="47"/>
        <v>15</v>
      </c>
      <c r="AV55" s="16">
        <f t="shared" si="48"/>
        <v>0.45689764652872777</v>
      </c>
      <c r="AW55" s="386">
        <f t="shared" si="49"/>
        <v>54970442.047179207</v>
      </c>
      <c r="AX55" s="387">
        <f t="shared" si="67"/>
        <v>9471.1306077152312</v>
      </c>
      <c r="AY55" s="386">
        <f t="shared" si="50"/>
        <v>11</v>
      </c>
      <c r="AZ55" s="1076">
        <v>31981966.149530765</v>
      </c>
      <c r="BA55" s="279">
        <f t="shared" si="51"/>
        <v>-2127389.7023515627</v>
      </c>
      <c r="BB55" s="1079"/>
      <c r="BC55" s="279"/>
      <c r="BD55" s="279"/>
      <c r="BE55" s="279"/>
      <c r="BF55" s="279"/>
      <c r="BG55" s="279"/>
      <c r="BH55" s="279"/>
      <c r="BI55" s="279"/>
      <c r="BJ55" s="279"/>
      <c r="BK55" s="279"/>
      <c r="BL55" s="81"/>
      <c r="BM55" s="81"/>
      <c r="BN55" s="861"/>
      <c r="BO55" s="81"/>
      <c r="BP55" s="81"/>
      <c r="BQ55" s="861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</row>
    <row r="56" spans="1:149" s="5" customFormat="1">
      <c r="A56" s="101">
        <v>49</v>
      </c>
      <c r="B56" s="81" t="s">
        <v>139</v>
      </c>
      <c r="C56" s="81">
        <f>'2-1-13 SIS'!S55</f>
        <v>14494</v>
      </c>
      <c r="D56" s="81">
        <f>'[6]2-1-13-Supreme Court Ruling'!AE54</f>
        <v>11589</v>
      </c>
      <c r="E56" s="81">
        <f t="shared" si="53"/>
        <v>2550</v>
      </c>
      <c r="F56" s="81">
        <f>'[7]CTE-Oct 2012-Supreme Court'!AC55</f>
        <v>4678</v>
      </c>
      <c r="G56" s="81">
        <f t="shared" si="54"/>
        <v>281</v>
      </c>
      <c r="H56" s="1156">
        <f>'[8]SWD 2-1-13 Supreme Court'!Z54</f>
        <v>1801</v>
      </c>
      <c r="I56" s="1156">
        <f t="shared" si="27"/>
        <v>2701.5</v>
      </c>
      <c r="J56" s="1156">
        <f>'[9]GT_PS-12th Supreme Court'!T53</f>
        <v>334</v>
      </c>
      <c r="K56" s="1156">
        <f t="shared" si="28"/>
        <v>200.4</v>
      </c>
      <c r="L56" s="13">
        <f t="shared" si="55"/>
        <v>0</v>
      </c>
      <c r="M56" s="65">
        <f t="shared" si="56"/>
        <v>0</v>
      </c>
      <c r="N56" s="13">
        <f t="shared" si="57"/>
        <v>0</v>
      </c>
      <c r="O56" s="13">
        <f t="shared" si="29"/>
        <v>5732.9</v>
      </c>
      <c r="P56" s="13">
        <f t="shared" si="58"/>
        <v>20226.900000000001</v>
      </c>
      <c r="Q56" s="381">
        <f t="shared" si="30"/>
        <v>3855</v>
      </c>
      <c r="R56" s="381">
        <f t="shared" si="59"/>
        <v>77974700</v>
      </c>
      <c r="S56" s="381">
        <f>'Table 6 (Local Deduct Calc.)'!J57</f>
        <v>19137689</v>
      </c>
      <c r="T56" s="381">
        <f t="shared" si="31"/>
        <v>19137689</v>
      </c>
      <c r="U56" s="382">
        <f t="shared" si="32"/>
        <v>58837011</v>
      </c>
      <c r="V56" s="383">
        <f t="shared" si="52"/>
        <v>0.75460000000000005</v>
      </c>
      <c r="W56" s="383">
        <f t="shared" si="33"/>
        <v>0.24540000000000001</v>
      </c>
      <c r="X56" s="384">
        <f t="shared" si="60"/>
        <v>1320.3869877190562</v>
      </c>
      <c r="Y56" s="381">
        <f>'Table 7 Local Revenue'!AQ56</f>
        <v>34750059</v>
      </c>
      <c r="Z56" s="381">
        <f t="shared" si="34"/>
        <v>15612370</v>
      </c>
      <c r="AA56" s="279">
        <f t="shared" si="35"/>
        <v>0</v>
      </c>
      <c r="AB56" s="14">
        <f t="shared" si="36"/>
        <v>26511398.000000004</v>
      </c>
      <c r="AC56" s="14">
        <f t="shared" si="37"/>
        <v>15612370</v>
      </c>
      <c r="AD56" s="381">
        <f t="shared" si="38"/>
        <v>6589794.0285600005</v>
      </c>
      <c r="AE56" s="385">
        <f t="shared" si="39"/>
        <v>9022575.9714399986</v>
      </c>
      <c r="AF56" s="16">
        <f t="shared" si="40"/>
        <v>0.57789999999999997</v>
      </c>
      <c r="AG56" s="385">
        <f t="shared" si="41"/>
        <v>67859586.971440002</v>
      </c>
      <c r="AH56" s="14">
        <f t="shared" si="61"/>
        <v>4682</v>
      </c>
      <c r="AI56" s="385">
        <f>'Table 4 Level 3'!O54</f>
        <v>2243677</v>
      </c>
      <c r="AJ56" s="14">
        <f t="shared" si="62"/>
        <v>154.80040016558576</v>
      </c>
      <c r="AK56" s="385">
        <f t="shared" si="42"/>
        <v>70103263.971440002</v>
      </c>
      <c r="AL56" s="14">
        <f t="shared" si="63"/>
        <v>4836.7092570332552</v>
      </c>
      <c r="AM56" s="499">
        <f>'Table 4 Level 3'!R54</f>
        <v>10569610.359999999</v>
      </c>
      <c r="AN56" s="500">
        <f t="shared" si="64"/>
        <v>729.2404001655857</v>
      </c>
      <c r="AO56" s="385">
        <f t="shared" si="43"/>
        <v>78429197.331440002</v>
      </c>
      <c r="AP56" s="14">
        <f t="shared" si="65"/>
        <v>5411.1492570332557</v>
      </c>
      <c r="AQ56" s="16">
        <f t="shared" si="44"/>
        <v>0.69296441656909169</v>
      </c>
      <c r="AR56" s="386">
        <f t="shared" si="45"/>
        <v>19</v>
      </c>
      <c r="AS56" s="14">
        <f t="shared" si="46"/>
        <v>34750059</v>
      </c>
      <c r="AT56" s="14">
        <f t="shared" si="66"/>
        <v>2397.5500000000002</v>
      </c>
      <c r="AU56" s="386">
        <f t="shared" si="47"/>
        <v>58</v>
      </c>
      <c r="AV56" s="16">
        <f t="shared" si="48"/>
        <v>0.30703558343090825</v>
      </c>
      <c r="AW56" s="386">
        <f t="shared" si="49"/>
        <v>113179256.33144</v>
      </c>
      <c r="AX56" s="387">
        <f t="shared" si="67"/>
        <v>7808.6971389154132</v>
      </c>
      <c r="AY56" s="386">
        <f t="shared" si="50"/>
        <v>66</v>
      </c>
      <c r="AZ56" s="1076">
        <v>77719318.075537771</v>
      </c>
      <c r="BA56" s="279">
        <f t="shared" si="51"/>
        <v>709879.25590223074</v>
      </c>
      <c r="BB56" s="1079"/>
      <c r="BC56" s="279"/>
      <c r="BD56" s="279"/>
      <c r="BE56" s="279"/>
      <c r="BF56" s="279"/>
      <c r="BG56" s="279"/>
      <c r="BH56" s="279"/>
      <c r="BI56" s="279"/>
      <c r="BJ56" s="279"/>
      <c r="BK56" s="279"/>
      <c r="BL56" s="81"/>
      <c r="BM56" s="81"/>
      <c r="BN56" s="861"/>
      <c r="BO56" s="81"/>
      <c r="BP56" s="81"/>
      <c r="BQ56" s="861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</row>
    <row r="57" spans="1:149" s="21" customFormat="1">
      <c r="A57" s="102">
        <v>50</v>
      </c>
      <c r="B57" s="82" t="s">
        <v>140</v>
      </c>
      <c r="C57" s="82">
        <f>'2-1-13 SIS'!S56</f>
        <v>7887</v>
      </c>
      <c r="D57" s="82">
        <f>'[6]2-1-13-Supreme Court Ruling'!AE55</f>
        <v>5998</v>
      </c>
      <c r="E57" s="82">
        <f t="shared" si="53"/>
        <v>1320</v>
      </c>
      <c r="F57" s="82">
        <f>'[7]CTE-Oct 2012-Supreme Court'!AC56</f>
        <v>3473.5</v>
      </c>
      <c r="G57" s="82">
        <f t="shared" si="54"/>
        <v>208</v>
      </c>
      <c r="H57" s="82">
        <f>'[8]SWD 2-1-13 Supreme Court'!Z55</f>
        <v>866</v>
      </c>
      <c r="I57" s="82">
        <f t="shared" si="27"/>
        <v>1299</v>
      </c>
      <c r="J57" s="82">
        <f>'[9]GT_PS-12th Supreme Court'!T54</f>
        <v>157</v>
      </c>
      <c r="K57" s="82">
        <f t="shared" si="28"/>
        <v>94.2</v>
      </c>
      <c r="L57" s="19">
        <f t="shared" si="55"/>
        <v>0</v>
      </c>
      <c r="M57" s="66">
        <f t="shared" si="56"/>
        <v>0</v>
      </c>
      <c r="N57" s="19">
        <f t="shared" si="57"/>
        <v>0</v>
      </c>
      <c r="O57" s="19">
        <f t="shared" si="29"/>
        <v>2921.2</v>
      </c>
      <c r="P57" s="13">
        <f t="shared" si="58"/>
        <v>10808.2</v>
      </c>
      <c r="Q57" s="388">
        <f t="shared" si="30"/>
        <v>3855</v>
      </c>
      <c r="R57" s="388">
        <f t="shared" si="59"/>
        <v>41665611</v>
      </c>
      <c r="S57" s="388">
        <f>'Table 6 (Local Deduct Calc.)'!J58</f>
        <v>10388174.5</v>
      </c>
      <c r="T57" s="388">
        <f t="shared" si="31"/>
        <v>10388174.5</v>
      </c>
      <c r="U57" s="389">
        <f t="shared" si="32"/>
        <v>31277436.5</v>
      </c>
      <c r="V57" s="390">
        <f t="shared" si="52"/>
        <v>0.75070000000000003</v>
      </c>
      <c r="W57" s="391">
        <f t="shared" si="33"/>
        <v>0.24929999999999999</v>
      </c>
      <c r="X57" s="392">
        <f t="shared" si="60"/>
        <v>1317.126220362622</v>
      </c>
      <c r="Y57" s="388">
        <f>'Table 7 Local Revenue'!AQ57</f>
        <v>22744499.5</v>
      </c>
      <c r="Z57" s="388">
        <f t="shared" si="34"/>
        <v>12356325</v>
      </c>
      <c r="AA57" s="280">
        <f t="shared" si="35"/>
        <v>0</v>
      </c>
      <c r="AB57" s="20">
        <f t="shared" si="36"/>
        <v>14166307.74</v>
      </c>
      <c r="AC57" s="20">
        <f t="shared" si="37"/>
        <v>12356325</v>
      </c>
      <c r="AD57" s="388">
        <f t="shared" si="38"/>
        <v>5298342.7346999999</v>
      </c>
      <c r="AE57" s="393">
        <f t="shared" si="39"/>
        <v>7057982.2653000001</v>
      </c>
      <c r="AF57" s="273">
        <f t="shared" si="40"/>
        <v>0.57120000000000004</v>
      </c>
      <c r="AG57" s="393">
        <f t="shared" si="41"/>
        <v>38335418.765299998</v>
      </c>
      <c r="AH57" s="20">
        <f t="shared" si="61"/>
        <v>4861</v>
      </c>
      <c r="AI57" s="393">
        <f>'Table 4 Level 3'!O55</f>
        <v>1357378</v>
      </c>
      <c r="AJ57" s="20">
        <f t="shared" si="62"/>
        <v>172.10320781032078</v>
      </c>
      <c r="AK57" s="393">
        <f t="shared" si="42"/>
        <v>39692796.765299998</v>
      </c>
      <c r="AL57" s="20">
        <f t="shared" si="63"/>
        <v>5032.6862895017111</v>
      </c>
      <c r="AM57" s="501">
        <f>'Table 4 Level 3'!R55</f>
        <v>6361364.0200000005</v>
      </c>
      <c r="AN57" s="502">
        <f t="shared" si="64"/>
        <v>806.56320781032082</v>
      </c>
      <c r="AO57" s="393">
        <f t="shared" si="43"/>
        <v>44696782.785300002</v>
      </c>
      <c r="AP57" s="20">
        <f t="shared" si="65"/>
        <v>5667.1462895017121</v>
      </c>
      <c r="AQ57" s="273">
        <f t="shared" si="44"/>
        <v>0.66275108169232488</v>
      </c>
      <c r="AR57" s="394">
        <f t="shared" si="45"/>
        <v>28</v>
      </c>
      <c r="AS57" s="20">
        <f t="shared" si="46"/>
        <v>22744499.5</v>
      </c>
      <c r="AT57" s="20">
        <f t="shared" si="66"/>
        <v>2883.8</v>
      </c>
      <c r="AU57" s="394">
        <f t="shared" si="47"/>
        <v>45</v>
      </c>
      <c r="AV57" s="273">
        <f t="shared" si="48"/>
        <v>0.33724891830767517</v>
      </c>
      <c r="AW57" s="394">
        <f t="shared" si="49"/>
        <v>67441282.285300002</v>
      </c>
      <c r="AX57" s="395">
        <f t="shared" si="67"/>
        <v>8550.9423463040457</v>
      </c>
      <c r="AY57" s="394">
        <f t="shared" si="50"/>
        <v>48</v>
      </c>
      <c r="AZ57" s="1077">
        <v>45465064.467040002</v>
      </c>
      <c r="BA57" s="280">
        <f t="shared" si="51"/>
        <v>-768281.68174000084</v>
      </c>
      <c r="BB57" s="1080"/>
      <c r="BC57" s="280"/>
      <c r="BD57" s="280"/>
      <c r="BE57" s="280"/>
      <c r="BF57" s="280"/>
      <c r="BG57" s="280"/>
      <c r="BH57" s="280"/>
      <c r="BI57" s="280"/>
      <c r="BJ57" s="280"/>
      <c r="BK57" s="280"/>
      <c r="BL57" s="82"/>
      <c r="BM57" s="82"/>
      <c r="BN57" s="862"/>
      <c r="BO57" s="82"/>
      <c r="BP57" s="82"/>
      <c r="BQ57" s="862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</row>
    <row r="58" spans="1:149" s="5" customFormat="1">
      <c r="A58" s="101">
        <v>51</v>
      </c>
      <c r="B58" s="81" t="s">
        <v>141</v>
      </c>
      <c r="C58" s="81">
        <f>'2-1-13 SIS'!S57</f>
        <v>8997</v>
      </c>
      <c r="D58" s="81">
        <f>'[6]2-1-13-Supreme Court Ruling'!AE56</f>
        <v>6563</v>
      </c>
      <c r="E58" s="81">
        <f t="shared" si="53"/>
        <v>1444</v>
      </c>
      <c r="F58" s="81">
        <f>'[7]CTE-Oct 2012-Supreme Court'!AC57</f>
        <v>3065</v>
      </c>
      <c r="G58" s="81">
        <f t="shared" si="54"/>
        <v>184</v>
      </c>
      <c r="H58" s="1156">
        <f>'[8]SWD 2-1-13 Supreme Court'!Z56</f>
        <v>1301</v>
      </c>
      <c r="I58" s="1156">
        <f t="shared" si="27"/>
        <v>1951.5</v>
      </c>
      <c r="J58" s="1156">
        <f>'[9]GT_PS-12th Supreme Court'!T55</f>
        <v>579</v>
      </c>
      <c r="K58" s="1156">
        <f t="shared" si="28"/>
        <v>347.4</v>
      </c>
      <c r="L58" s="13">
        <f t="shared" si="55"/>
        <v>0</v>
      </c>
      <c r="M58" s="65">
        <f t="shared" si="56"/>
        <v>0</v>
      </c>
      <c r="N58" s="13">
        <f t="shared" si="57"/>
        <v>0</v>
      </c>
      <c r="O58" s="13">
        <f t="shared" si="29"/>
        <v>3926.9</v>
      </c>
      <c r="P58" s="36">
        <f t="shared" si="58"/>
        <v>12923.9</v>
      </c>
      <c r="Q58" s="381">
        <f t="shared" si="30"/>
        <v>3855</v>
      </c>
      <c r="R58" s="381">
        <f t="shared" si="59"/>
        <v>49821635</v>
      </c>
      <c r="S58" s="381">
        <f>'Table 6 (Local Deduct Calc.)'!J59</f>
        <v>18868816.5</v>
      </c>
      <c r="T58" s="381">
        <f t="shared" si="31"/>
        <v>18868816.5</v>
      </c>
      <c r="U58" s="382">
        <f t="shared" si="32"/>
        <v>30952818.5</v>
      </c>
      <c r="V58" s="383">
        <f t="shared" si="52"/>
        <v>0.62129999999999996</v>
      </c>
      <c r="W58" s="383">
        <f t="shared" si="33"/>
        <v>0.37869999999999998</v>
      </c>
      <c r="X58" s="384">
        <f t="shared" si="60"/>
        <v>2097.2342447482492</v>
      </c>
      <c r="Y58" s="381">
        <f>'Table 7 Local Revenue'!AQ58</f>
        <v>38539049.5</v>
      </c>
      <c r="Z58" s="381">
        <f t="shared" si="34"/>
        <v>19670233</v>
      </c>
      <c r="AA58" s="279">
        <f t="shared" si="35"/>
        <v>0</v>
      </c>
      <c r="AB58" s="14">
        <f t="shared" si="36"/>
        <v>16939355.900000002</v>
      </c>
      <c r="AC58" s="14">
        <f t="shared" si="37"/>
        <v>16939355.900000002</v>
      </c>
      <c r="AD58" s="381">
        <f t="shared" si="38"/>
        <v>11033686.6164476</v>
      </c>
      <c r="AE58" s="385">
        <f t="shared" si="39"/>
        <v>5905669.2835524026</v>
      </c>
      <c r="AF58" s="16">
        <f t="shared" si="40"/>
        <v>0.34860000000000002</v>
      </c>
      <c r="AG58" s="385">
        <f t="shared" si="41"/>
        <v>36858487.783552401</v>
      </c>
      <c r="AH58" s="14">
        <f t="shared" si="61"/>
        <v>4097</v>
      </c>
      <c r="AI58" s="385">
        <f>'Table 4 Level 3'!O56</f>
        <v>1343080</v>
      </c>
      <c r="AJ58" s="14">
        <f t="shared" si="62"/>
        <v>149.28087140157831</v>
      </c>
      <c r="AK58" s="385">
        <f t="shared" si="42"/>
        <v>38201567.783552401</v>
      </c>
      <c r="AL58" s="14">
        <f t="shared" si="63"/>
        <v>4246.0339872793602</v>
      </c>
      <c r="AM58" s="499">
        <f>'Table 4 Level 3'!R56</f>
        <v>7700900.0199999996</v>
      </c>
      <c r="AN58" s="500">
        <f t="shared" si="64"/>
        <v>855.94087140157831</v>
      </c>
      <c r="AO58" s="385">
        <f t="shared" si="43"/>
        <v>44559387.803552404</v>
      </c>
      <c r="AP58" s="14">
        <f t="shared" si="65"/>
        <v>4952.69398727936</v>
      </c>
      <c r="AQ58" s="16">
        <f t="shared" si="44"/>
        <v>0.55444494881633588</v>
      </c>
      <c r="AR58" s="386">
        <f t="shared" si="45"/>
        <v>52</v>
      </c>
      <c r="AS58" s="14">
        <f t="shared" si="46"/>
        <v>35808172.399999999</v>
      </c>
      <c r="AT58" s="14">
        <f t="shared" si="66"/>
        <v>3980.01</v>
      </c>
      <c r="AU58" s="386">
        <f t="shared" si="47"/>
        <v>19</v>
      </c>
      <c r="AV58" s="16">
        <f t="shared" si="48"/>
        <v>0.44555505118366417</v>
      </c>
      <c r="AW58" s="386">
        <f t="shared" si="49"/>
        <v>80367560.203552395</v>
      </c>
      <c r="AX58" s="387">
        <f t="shared" si="67"/>
        <v>8932.7064803325993</v>
      </c>
      <c r="AY58" s="386">
        <f t="shared" si="50"/>
        <v>28</v>
      </c>
      <c r="AZ58" s="1076">
        <v>47545741.807326384</v>
      </c>
      <c r="BA58" s="279">
        <f t="shared" si="51"/>
        <v>-2986354.0037739798</v>
      </c>
      <c r="BB58" s="1081"/>
      <c r="BC58" s="279"/>
      <c r="BD58" s="279"/>
      <c r="BE58" s="279"/>
      <c r="BF58" s="279"/>
      <c r="BG58" s="279"/>
      <c r="BH58" s="279"/>
      <c r="BI58" s="279"/>
      <c r="BJ58" s="279"/>
      <c r="BK58" s="279"/>
      <c r="BL58" s="81"/>
      <c r="BM58" s="81"/>
      <c r="BN58" s="861"/>
      <c r="BO58" s="81"/>
      <c r="BP58" s="81"/>
      <c r="BQ58" s="861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</row>
    <row r="59" spans="1:149" s="5" customFormat="1">
      <c r="A59" s="101">
        <v>52</v>
      </c>
      <c r="B59" s="81" t="s">
        <v>142</v>
      </c>
      <c r="C59" s="81">
        <f>'2-1-13 SIS'!S58</f>
        <v>37078</v>
      </c>
      <c r="D59" s="81">
        <f>'[6]2-1-13-Supreme Court Ruling'!AE57</f>
        <v>17393</v>
      </c>
      <c r="E59" s="81">
        <f t="shared" si="53"/>
        <v>3826</v>
      </c>
      <c r="F59" s="81">
        <f>'[7]CTE-Oct 2012-Supreme Court'!AC58</f>
        <v>18242</v>
      </c>
      <c r="G59" s="81">
        <f t="shared" si="54"/>
        <v>1095</v>
      </c>
      <c r="H59" s="1156">
        <f>'[8]SWD 2-1-13 Supreme Court'!Z57</f>
        <v>6201</v>
      </c>
      <c r="I59" s="1156">
        <f t="shared" si="27"/>
        <v>9301.5</v>
      </c>
      <c r="J59" s="1156">
        <f>'[9]GT_PS-12th Supreme Court'!T56</f>
        <v>3396</v>
      </c>
      <c r="K59" s="1156">
        <f t="shared" si="28"/>
        <v>2037.6</v>
      </c>
      <c r="L59" s="13">
        <f t="shared" si="55"/>
        <v>0</v>
      </c>
      <c r="M59" s="65">
        <f t="shared" si="56"/>
        <v>0</v>
      </c>
      <c r="N59" s="13">
        <f t="shared" si="57"/>
        <v>0</v>
      </c>
      <c r="O59" s="13">
        <f t="shared" si="29"/>
        <v>16260.1</v>
      </c>
      <c r="P59" s="13">
        <f t="shared" si="58"/>
        <v>53338.1</v>
      </c>
      <c r="Q59" s="381">
        <f t="shared" si="30"/>
        <v>3855</v>
      </c>
      <c r="R59" s="381">
        <f t="shared" si="59"/>
        <v>205618376</v>
      </c>
      <c r="S59" s="381">
        <f>'Table 6 (Local Deduct Calc.)'!J60</f>
        <v>60051444</v>
      </c>
      <c r="T59" s="381">
        <f t="shared" si="31"/>
        <v>60051444</v>
      </c>
      <c r="U59" s="382">
        <f t="shared" si="32"/>
        <v>145566932</v>
      </c>
      <c r="V59" s="383">
        <f t="shared" si="52"/>
        <v>0.70789999999999997</v>
      </c>
      <c r="W59" s="383">
        <f t="shared" si="33"/>
        <v>0.29210000000000003</v>
      </c>
      <c r="X59" s="384">
        <f t="shared" si="60"/>
        <v>1619.5977129294999</v>
      </c>
      <c r="Y59" s="381">
        <f>'Table 7 Local Revenue'!AQ59</f>
        <v>186243912</v>
      </c>
      <c r="Z59" s="381">
        <f t="shared" si="34"/>
        <v>126192468</v>
      </c>
      <c r="AA59" s="279">
        <f t="shared" si="35"/>
        <v>0</v>
      </c>
      <c r="AB59" s="14">
        <f t="shared" si="36"/>
        <v>69910247.840000004</v>
      </c>
      <c r="AC59" s="14">
        <f t="shared" si="37"/>
        <v>69910247.840000004</v>
      </c>
      <c r="AD59" s="381">
        <f t="shared" si="38"/>
        <v>35123747.437790088</v>
      </c>
      <c r="AE59" s="385">
        <f t="shared" si="39"/>
        <v>34786500.402209915</v>
      </c>
      <c r="AF59" s="16">
        <f t="shared" si="40"/>
        <v>0.49759999999999999</v>
      </c>
      <c r="AG59" s="385">
        <f t="shared" si="41"/>
        <v>180353432.40220991</v>
      </c>
      <c r="AH59" s="14">
        <f t="shared" si="61"/>
        <v>4864</v>
      </c>
      <c r="AI59" s="385">
        <f>'Table 4 Level 3'!O57</f>
        <v>5535037</v>
      </c>
      <c r="AJ59" s="14">
        <f t="shared" si="62"/>
        <v>149.28089433087007</v>
      </c>
      <c r="AK59" s="385">
        <f t="shared" si="42"/>
        <v>185888469.40220991</v>
      </c>
      <c r="AL59" s="14">
        <f t="shared" si="63"/>
        <v>5013.4438050113249</v>
      </c>
      <c r="AM59" s="499">
        <f>'Table 4 Level 3'!R57</f>
        <v>29946079.859999999</v>
      </c>
      <c r="AN59" s="500">
        <f t="shared" si="64"/>
        <v>807.65089433087007</v>
      </c>
      <c r="AO59" s="385">
        <f t="shared" si="43"/>
        <v>210299512.26220989</v>
      </c>
      <c r="AP59" s="14">
        <f t="shared" si="65"/>
        <v>5671.8138050113248</v>
      </c>
      <c r="AQ59" s="16">
        <f t="shared" si="44"/>
        <v>0.61805315953398765</v>
      </c>
      <c r="AR59" s="386">
        <f t="shared" si="45"/>
        <v>39</v>
      </c>
      <c r="AS59" s="14">
        <f t="shared" si="46"/>
        <v>129961691.84</v>
      </c>
      <c r="AT59" s="14">
        <f t="shared" si="66"/>
        <v>3505.09</v>
      </c>
      <c r="AU59" s="386">
        <f t="shared" si="47"/>
        <v>28</v>
      </c>
      <c r="AV59" s="16">
        <f t="shared" si="48"/>
        <v>0.38194684046601224</v>
      </c>
      <c r="AW59" s="386">
        <f t="shared" si="49"/>
        <v>340261204.10220993</v>
      </c>
      <c r="AX59" s="387">
        <f t="shared" si="67"/>
        <v>9176.9028562007097</v>
      </c>
      <c r="AY59" s="386">
        <f t="shared" si="50"/>
        <v>18</v>
      </c>
      <c r="AZ59" s="1076">
        <v>203924535.41170073</v>
      </c>
      <c r="BA59" s="279">
        <f t="shared" si="51"/>
        <v>6374976.8505091667</v>
      </c>
      <c r="BB59" s="1081"/>
      <c r="BC59" s="279"/>
      <c r="BD59" s="279"/>
      <c r="BE59" s="279"/>
      <c r="BF59" s="279"/>
      <c r="BG59" s="279"/>
      <c r="BH59" s="279"/>
      <c r="BI59" s="279"/>
      <c r="BJ59" s="279"/>
      <c r="BK59" s="279"/>
      <c r="BL59" s="81"/>
      <c r="BM59" s="81"/>
      <c r="BN59" s="861"/>
      <c r="BO59" s="81"/>
      <c r="BP59" s="81"/>
      <c r="BQ59" s="861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</row>
    <row r="60" spans="1:149" s="5" customFormat="1">
      <c r="A60" s="101">
        <v>53</v>
      </c>
      <c r="B60" s="81" t="s">
        <v>143</v>
      </c>
      <c r="C60" s="81">
        <f>'2-1-13 SIS'!S59</f>
        <v>19145</v>
      </c>
      <c r="D60" s="81">
        <f>'[6]2-1-13-Supreme Court Ruling'!AE58</f>
        <v>14565</v>
      </c>
      <c r="E60" s="81">
        <f t="shared" si="53"/>
        <v>3204</v>
      </c>
      <c r="F60" s="81">
        <f>'[7]CTE-Oct 2012-Supreme Court'!AC59</f>
        <v>6518</v>
      </c>
      <c r="G60" s="81">
        <f t="shared" si="54"/>
        <v>391</v>
      </c>
      <c r="H60" s="1156">
        <f>'[8]SWD 2-1-13 Supreme Court'!Z58</f>
        <v>2184</v>
      </c>
      <c r="I60" s="1156">
        <f t="shared" si="27"/>
        <v>3276</v>
      </c>
      <c r="J60" s="1156">
        <f>'[9]GT_PS-12th Supreme Court'!T57</f>
        <v>414</v>
      </c>
      <c r="K60" s="1156">
        <f t="shared" si="28"/>
        <v>248.39999999999998</v>
      </c>
      <c r="L60" s="13">
        <f t="shared" si="55"/>
        <v>0</v>
      </c>
      <c r="M60" s="65">
        <f t="shared" si="56"/>
        <v>0</v>
      </c>
      <c r="N60" s="13">
        <f t="shared" si="57"/>
        <v>0</v>
      </c>
      <c r="O60" s="13">
        <f t="shared" si="29"/>
        <v>7119.4</v>
      </c>
      <c r="P60" s="13">
        <f t="shared" si="58"/>
        <v>26264.400000000001</v>
      </c>
      <c r="Q60" s="381">
        <f t="shared" si="30"/>
        <v>3855</v>
      </c>
      <c r="R60" s="381">
        <f t="shared" si="59"/>
        <v>101249262</v>
      </c>
      <c r="S60" s="381">
        <f>'Table 6 (Local Deduct Calc.)'!J61</f>
        <v>22168982</v>
      </c>
      <c r="T60" s="381">
        <f t="shared" si="31"/>
        <v>22168982</v>
      </c>
      <c r="U60" s="382">
        <f t="shared" si="32"/>
        <v>79080280</v>
      </c>
      <c r="V60" s="383">
        <f t="shared" si="52"/>
        <v>0.78100000000000003</v>
      </c>
      <c r="W60" s="383">
        <f t="shared" si="33"/>
        <v>0.219</v>
      </c>
      <c r="X60" s="384">
        <f t="shared" si="60"/>
        <v>1157.9515278140507</v>
      </c>
      <c r="Y60" s="381">
        <f>'Table 7 Local Revenue'!AQ60</f>
        <v>37298233</v>
      </c>
      <c r="Z60" s="381">
        <f t="shared" si="34"/>
        <v>15129251</v>
      </c>
      <c r="AA60" s="279">
        <f t="shared" si="35"/>
        <v>0</v>
      </c>
      <c r="AB60" s="14">
        <f t="shared" si="36"/>
        <v>34424749.080000006</v>
      </c>
      <c r="AC60" s="14">
        <f t="shared" si="37"/>
        <v>15129251</v>
      </c>
      <c r="AD60" s="381">
        <f t="shared" si="38"/>
        <v>5698886.2666800003</v>
      </c>
      <c r="AE60" s="385">
        <f t="shared" si="39"/>
        <v>9430364.7333199997</v>
      </c>
      <c r="AF60" s="16">
        <f t="shared" si="40"/>
        <v>0.62329999999999997</v>
      </c>
      <c r="AG60" s="385">
        <f t="shared" si="41"/>
        <v>88510644.733319998</v>
      </c>
      <c r="AH60" s="14">
        <f t="shared" si="61"/>
        <v>4623</v>
      </c>
      <c r="AI60" s="385">
        <f>'Table 4 Level 3'!O58</f>
        <v>2917983</v>
      </c>
      <c r="AJ60" s="14">
        <f t="shared" si="62"/>
        <v>152.41488639331419</v>
      </c>
      <c r="AK60" s="385">
        <f t="shared" si="42"/>
        <v>91428627.733319998</v>
      </c>
      <c r="AL60" s="14">
        <f t="shared" si="63"/>
        <v>4775.5877635581091</v>
      </c>
      <c r="AM60" s="499">
        <f>'Table 4 Level 3'!R58</f>
        <v>16123055.300000001</v>
      </c>
      <c r="AN60" s="500">
        <f t="shared" si="64"/>
        <v>842.1548863933142</v>
      </c>
      <c r="AO60" s="385">
        <f t="shared" si="43"/>
        <v>104633700.03331999</v>
      </c>
      <c r="AP60" s="14">
        <f t="shared" si="65"/>
        <v>5465.3277635581089</v>
      </c>
      <c r="AQ60" s="16">
        <f t="shared" si="44"/>
        <v>0.73721042049611296</v>
      </c>
      <c r="AR60" s="386">
        <f t="shared" si="45"/>
        <v>9</v>
      </c>
      <c r="AS60" s="14">
        <f t="shared" si="46"/>
        <v>37298233</v>
      </c>
      <c r="AT60" s="14">
        <f t="shared" si="66"/>
        <v>1948.2</v>
      </c>
      <c r="AU60" s="386">
        <f t="shared" si="47"/>
        <v>65</v>
      </c>
      <c r="AV60" s="16">
        <f t="shared" si="48"/>
        <v>0.26278957950388687</v>
      </c>
      <c r="AW60" s="386">
        <f t="shared" si="49"/>
        <v>141931933.03332001</v>
      </c>
      <c r="AX60" s="387">
        <f t="shared" si="67"/>
        <v>7413.5248385124059</v>
      </c>
      <c r="AY60" s="386">
        <f t="shared" si="50"/>
        <v>68</v>
      </c>
      <c r="AZ60" s="1076">
        <v>104110634.10662015</v>
      </c>
      <c r="BA60" s="279">
        <f t="shared" si="51"/>
        <v>523065.92669984698</v>
      </c>
      <c r="BB60" s="1079"/>
      <c r="BC60" s="279"/>
      <c r="BD60" s="279"/>
      <c r="BE60" s="279"/>
      <c r="BF60" s="279"/>
      <c r="BG60" s="279"/>
      <c r="BH60" s="279"/>
      <c r="BI60" s="279"/>
      <c r="BJ60" s="279"/>
      <c r="BK60" s="279"/>
      <c r="BL60" s="81"/>
      <c r="BM60" s="81"/>
      <c r="BN60" s="861"/>
      <c r="BO60" s="81"/>
      <c r="BP60" s="81"/>
      <c r="BQ60" s="861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</row>
    <row r="61" spans="1:149" s="5" customFormat="1">
      <c r="A61" s="101">
        <v>54</v>
      </c>
      <c r="B61" s="81" t="s">
        <v>144</v>
      </c>
      <c r="C61" s="81">
        <f>'2-1-13 SIS'!S60</f>
        <v>682</v>
      </c>
      <c r="D61" s="81">
        <f>'[6]2-1-13-Supreme Court Ruling'!AE59</f>
        <v>646</v>
      </c>
      <c r="E61" s="81">
        <f t="shared" si="53"/>
        <v>142</v>
      </c>
      <c r="F61" s="81">
        <f>'[7]CTE-Oct 2012-Supreme Court'!AC60</f>
        <v>234</v>
      </c>
      <c r="G61" s="81">
        <f t="shared" si="54"/>
        <v>14</v>
      </c>
      <c r="H61" s="1156">
        <f>'[8]SWD 2-1-13 Supreme Court'!Z59</f>
        <v>116</v>
      </c>
      <c r="I61" s="1156">
        <f t="shared" si="27"/>
        <v>174</v>
      </c>
      <c r="J61" s="1156">
        <f>'[9]GT_PS-12th Supreme Court'!T58</f>
        <v>30</v>
      </c>
      <c r="K61" s="1156">
        <f t="shared" si="28"/>
        <v>18</v>
      </c>
      <c r="L61" s="13">
        <f t="shared" si="55"/>
        <v>6818</v>
      </c>
      <c r="M61" s="65">
        <f t="shared" si="56"/>
        <v>0.18181</v>
      </c>
      <c r="N61" s="13">
        <f t="shared" si="57"/>
        <v>124</v>
      </c>
      <c r="O61" s="13">
        <f t="shared" si="29"/>
        <v>472</v>
      </c>
      <c r="P61" s="13">
        <f t="shared" si="58"/>
        <v>1154</v>
      </c>
      <c r="Q61" s="381">
        <f t="shared" si="30"/>
        <v>3855</v>
      </c>
      <c r="R61" s="381">
        <f t="shared" si="59"/>
        <v>4448670</v>
      </c>
      <c r="S61" s="381">
        <f>'Table 6 (Local Deduct Calc.)'!J62</f>
        <v>1166440.5</v>
      </c>
      <c r="T61" s="381">
        <f t="shared" si="31"/>
        <v>1166440.5</v>
      </c>
      <c r="U61" s="382">
        <f t="shared" si="32"/>
        <v>3282229.5</v>
      </c>
      <c r="V61" s="383">
        <f t="shared" si="52"/>
        <v>0.73780000000000001</v>
      </c>
      <c r="W61" s="383">
        <f t="shared" si="33"/>
        <v>0.26219999999999999</v>
      </c>
      <c r="X61" s="384">
        <f t="shared" si="60"/>
        <v>1710.3233137829911</v>
      </c>
      <c r="Y61" s="381">
        <f>'Table 7 Local Revenue'!AQ61</f>
        <v>2396074.5</v>
      </c>
      <c r="Z61" s="381">
        <f t="shared" si="34"/>
        <v>1229634</v>
      </c>
      <c r="AA61" s="279">
        <f t="shared" si="35"/>
        <v>0</v>
      </c>
      <c r="AB61" s="14">
        <f t="shared" si="36"/>
        <v>1512547.8</v>
      </c>
      <c r="AC61" s="14">
        <f t="shared" si="37"/>
        <v>1229634</v>
      </c>
      <c r="AD61" s="381">
        <f t="shared" si="38"/>
        <v>554545.25985599996</v>
      </c>
      <c r="AE61" s="385">
        <f t="shared" si="39"/>
        <v>675088.74014400004</v>
      </c>
      <c r="AF61" s="16">
        <f t="shared" si="40"/>
        <v>0.54900000000000004</v>
      </c>
      <c r="AG61" s="385">
        <f t="shared" si="41"/>
        <v>3957318.2401439999</v>
      </c>
      <c r="AH61" s="14">
        <f t="shared" si="61"/>
        <v>5803</v>
      </c>
      <c r="AI61" s="385">
        <f>'Table 4 Level 3'!O59</f>
        <v>101810</v>
      </c>
      <c r="AJ61" s="14">
        <f t="shared" si="62"/>
        <v>149.28152492668622</v>
      </c>
      <c r="AK61" s="385">
        <f t="shared" si="42"/>
        <v>4059128.2401439999</v>
      </c>
      <c r="AL61" s="14">
        <f t="shared" si="63"/>
        <v>5951.8009386275662</v>
      </c>
      <c r="AM61" s="499">
        <f>'Table 4 Level 3'!R59</f>
        <v>750698.9</v>
      </c>
      <c r="AN61" s="500">
        <f t="shared" si="64"/>
        <v>1100.7315249266862</v>
      </c>
      <c r="AO61" s="385">
        <f t="shared" si="43"/>
        <v>4708017.1401439998</v>
      </c>
      <c r="AP61" s="14">
        <f t="shared" si="65"/>
        <v>6903.250938627566</v>
      </c>
      <c r="AQ61" s="16">
        <f t="shared" si="44"/>
        <v>0.66271908903029975</v>
      </c>
      <c r="AR61" s="386">
        <f t="shared" si="45"/>
        <v>29</v>
      </c>
      <c r="AS61" s="14">
        <f t="shared" si="46"/>
        <v>2396074.5</v>
      </c>
      <c r="AT61" s="14">
        <f t="shared" si="66"/>
        <v>3513.31</v>
      </c>
      <c r="AU61" s="386">
        <f t="shared" si="47"/>
        <v>27</v>
      </c>
      <c r="AV61" s="16">
        <f t="shared" si="48"/>
        <v>0.3372809109697002</v>
      </c>
      <c r="AW61" s="386">
        <f t="shared" si="49"/>
        <v>7104091.6401439998</v>
      </c>
      <c r="AX61" s="387">
        <f t="shared" si="67"/>
        <v>10416.556657102639</v>
      </c>
      <c r="AY61" s="386">
        <f t="shared" si="50"/>
        <v>3</v>
      </c>
      <c r="AZ61" s="1076">
        <v>4859698.7396802828</v>
      </c>
      <c r="BA61" s="279">
        <f t="shared" si="51"/>
        <v>-151681.59953628294</v>
      </c>
      <c r="BB61" s="1079"/>
      <c r="BC61" s="279"/>
      <c r="BD61" s="279"/>
      <c r="BE61" s="279"/>
      <c r="BF61" s="279"/>
      <c r="BG61" s="279"/>
      <c r="BH61" s="279"/>
      <c r="BI61" s="279"/>
      <c r="BJ61" s="279"/>
      <c r="BK61" s="279"/>
      <c r="BL61" s="81"/>
      <c r="BM61" s="81"/>
      <c r="BN61" s="861"/>
      <c r="BO61" s="81"/>
      <c r="BP61" s="81"/>
      <c r="BQ61" s="8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</row>
    <row r="62" spans="1:149" s="21" customFormat="1">
      <c r="A62" s="102">
        <v>55</v>
      </c>
      <c r="B62" s="82" t="s">
        <v>145</v>
      </c>
      <c r="C62" s="82">
        <f>'2-1-13 SIS'!S61</f>
        <v>17756</v>
      </c>
      <c r="D62" s="82">
        <f>'[6]2-1-13-Supreme Court Ruling'!AE60</f>
        <v>11839</v>
      </c>
      <c r="E62" s="82">
        <f t="shared" si="53"/>
        <v>2605</v>
      </c>
      <c r="F62" s="82">
        <f>'[7]CTE-Oct 2012-Supreme Court'!AC61</f>
        <v>6229.5</v>
      </c>
      <c r="G62" s="82">
        <f t="shared" si="54"/>
        <v>374</v>
      </c>
      <c r="H62" s="82">
        <f>'[8]SWD 2-1-13 Supreme Court'!Z60</f>
        <v>2156</v>
      </c>
      <c r="I62" s="82">
        <f t="shared" si="27"/>
        <v>3234</v>
      </c>
      <c r="J62" s="82">
        <f>'[9]GT_PS-12th Supreme Court'!T59</f>
        <v>690</v>
      </c>
      <c r="K62" s="82">
        <f t="shared" si="28"/>
        <v>414</v>
      </c>
      <c r="L62" s="19">
        <f t="shared" si="55"/>
        <v>0</v>
      </c>
      <c r="M62" s="66">
        <f t="shared" si="56"/>
        <v>0</v>
      </c>
      <c r="N62" s="19">
        <f t="shared" si="57"/>
        <v>0</v>
      </c>
      <c r="O62" s="19">
        <f t="shared" si="29"/>
        <v>6627</v>
      </c>
      <c r="P62" s="13">
        <f t="shared" si="58"/>
        <v>24383</v>
      </c>
      <c r="Q62" s="388">
        <f t="shared" si="30"/>
        <v>3855</v>
      </c>
      <c r="R62" s="388">
        <f t="shared" si="59"/>
        <v>93996465</v>
      </c>
      <c r="S62" s="388">
        <f>'Table 6 (Local Deduct Calc.)'!J63</f>
        <v>32313393.5</v>
      </c>
      <c r="T62" s="388">
        <f t="shared" si="31"/>
        <v>32313393.5</v>
      </c>
      <c r="U62" s="389">
        <f t="shared" si="32"/>
        <v>61683071.5</v>
      </c>
      <c r="V62" s="390">
        <f t="shared" si="52"/>
        <v>0.65620000000000001</v>
      </c>
      <c r="W62" s="391">
        <f t="shared" si="33"/>
        <v>0.34379999999999999</v>
      </c>
      <c r="X62" s="392">
        <f t="shared" si="60"/>
        <v>1819.8577100698355</v>
      </c>
      <c r="Y62" s="388">
        <f>'Table 7 Local Revenue'!AQ62</f>
        <v>56116188.5</v>
      </c>
      <c r="Z62" s="388">
        <f t="shared" si="34"/>
        <v>23802795</v>
      </c>
      <c r="AA62" s="280">
        <f t="shared" si="35"/>
        <v>0</v>
      </c>
      <c r="AB62" s="20">
        <f t="shared" si="36"/>
        <v>31958798.100000001</v>
      </c>
      <c r="AC62" s="20">
        <f t="shared" si="37"/>
        <v>23802795</v>
      </c>
      <c r="AD62" s="388">
        <f t="shared" si="38"/>
        <v>14075449.58412</v>
      </c>
      <c r="AE62" s="393">
        <f t="shared" si="39"/>
        <v>9727345.4158800002</v>
      </c>
      <c r="AF62" s="273">
        <f t="shared" si="40"/>
        <v>0.40870000000000001</v>
      </c>
      <c r="AG62" s="393">
        <f t="shared" si="41"/>
        <v>71410416.915879995</v>
      </c>
      <c r="AH62" s="20">
        <f t="shared" si="61"/>
        <v>4022</v>
      </c>
      <c r="AI62" s="393">
        <f>'Table 4 Level 3'!O60</f>
        <v>2650631</v>
      </c>
      <c r="AJ62" s="20">
        <f t="shared" si="62"/>
        <v>149.2808628069385</v>
      </c>
      <c r="AK62" s="393">
        <f t="shared" si="42"/>
        <v>74061047.915879995</v>
      </c>
      <c r="AL62" s="20">
        <f t="shared" si="63"/>
        <v>4171.0434735233157</v>
      </c>
      <c r="AM62" s="501">
        <f>'Table 4 Level 3'!R60</f>
        <v>16769136.84</v>
      </c>
      <c r="AN62" s="502">
        <f t="shared" si="64"/>
        <v>944.42086280693854</v>
      </c>
      <c r="AO62" s="393">
        <f t="shared" si="43"/>
        <v>88179553.755879998</v>
      </c>
      <c r="AP62" s="20">
        <f t="shared" si="65"/>
        <v>4966.183473523316</v>
      </c>
      <c r="AQ62" s="273">
        <f t="shared" si="44"/>
        <v>0.61110294993674152</v>
      </c>
      <c r="AR62" s="394">
        <f t="shared" si="45"/>
        <v>40</v>
      </c>
      <c r="AS62" s="20">
        <f t="shared" si="46"/>
        <v>56116188.5</v>
      </c>
      <c r="AT62" s="20">
        <f t="shared" si="66"/>
        <v>3160.41</v>
      </c>
      <c r="AU62" s="394">
        <f t="shared" si="47"/>
        <v>37</v>
      </c>
      <c r="AV62" s="273">
        <f t="shared" si="48"/>
        <v>0.38889705006325842</v>
      </c>
      <c r="AW62" s="394">
        <f t="shared" si="49"/>
        <v>144295742.25588</v>
      </c>
      <c r="AX62" s="395">
        <f t="shared" si="67"/>
        <v>8126.5905753480511</v>
      </c>
      <c r="AY62" s="394">
        <f t="shared" si="50"/>
        <v>61</v>
      </c>
      <c r="AZ62" s="1077">
        <v>86583826.970449448</v>
      </c>
      <c r="BA62" s="280">
        <f t="shared" si="51"/>
        <v>1595726.7854305506</v>
      </c>
      <c r="BB62" s="1080"/>
      <c r="BC62" s="280"/>
      <c r="BD62" s="280"/>
      <c r="BE62" s="280"/>
      <c r="BF62" s="280"/>
      <c r="BG62" s="280"/>
      <c r="BH62" s="280"/>
      <c r="BI62" s="280"/>
      <c r="BJ62" s="280"/>
      <c r="BK62" s="280"/>
      <c r="BL62" s="82"/>
      <c r="BM62" s="82"/>
      <c r="BN62" s="862"/>
      <c r="BO62" s="82"/>
      <c r="BP62" s="82"/>
      <c r="BQ62" s="8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</row>
    <row r="63" spans="1:149" s="5" customFormat="1">
      <c r="A63" s="101">
        <v>56</v>
      </c>
      <c r="B63" s="81" t="s">
        <v>146</v>
      </c>
      <c r="C63" s="81">
        <f>'2-1-13 SIS'!S62+1</f>
        <v>2860</v>
      </c>
      <c r="D63" s="81">
        <f>'[6]2-1-13-Supreme Court Ruling'!AE61</f>
        <v>2092</v>
      </c>
      <c r="E63" s="81">
        <f t="shared" si="53"/>
        <v>460</v>
      </c>
      <c r="F63" s="81">
        <f>'[7]CTE-Oct 2012-Supreme Court'!AC62</f>
        <v>807</v>
      </c>
      <c r="G63" s="81">
        <f t="shared" si="54"/>
        <v>48</v>
      </c>
      <c r="H63" s="1156">
        <f>'[8]SWD 2-1-13 Supreme Court'!Z61</f>
        <v>373</v>
      </c>
      <c r="I63" s="1156">
        <f t="shared" si="27"/>
        <v>559.5</v>
      </c>
      <c r="J63" s="1156">
        <f>'[9]GT_PS-12th Supreme Court'!T60</f>
        <v>22</v>
      </c>
      <c r="K63" s="1156">
        <f t="shared" si="28"/>
        <v>13.2</v>
      </c>
      <c r="L63" s="13">
        <f t="shared" si="55"/>
        <v>4640</v>
      </c>
      <c r="M63" s="65">
        <f t="shared" si="56"/>
        <v>0.12373000000000001</v>
      </c>
      <c r="N63" s="13">
        <f t="shared" si="57"/>
        <v>354</v>
      </c>
      <c r="O63" s="13">
        <f t="shared" si="29"/>
        <v>1434.7</v>
      </c>
      <c r="P63" s="36">
        <f t="shared" si="58"/>
        <v>4294.7</v>
      </c>
      <c r="Q63" s="381">
        <f t="shared" si="30"/>
        <v>3855</v>
      </c>
      <c r="R63" s="381">
        <f t="shared" si="59"/>
        <v>16556069</v>
      </c>
      <c r="S63" s="381">
        <f>'Table 6 (Local Deduct Calc.)'!J64</f>
        <v>4621026</v>
      </c>
      <c r="T63" s="381">
        <f t="shared" si="31"/>
        <v>4621026</v>
      </c>
      <c r="U63" s="382">
        <f t="shared" si="32"/>
        <v>11935043</v>
      </c>
      <c r="V63" s="383">
        <f t="shared" si="52"/>
        <v>0.72089999999999999</v>
      </c>
      <c r="W63" s="383">
        <f t="shared" si="33"/>
        <v>0.27910000000000001</v>
      </c>
      <c r="X63" s="384">
        <f t="shared" si="60"/>
        <v>1615.7433566433567</v>
      </c>
      <c r="Y63" s="381">
        <f>'Table 7 Local Revenue'!AQ63</f>
        <v>8175594</v>
      </c>
      <c r="Z63" s="381">
        <f t="shared" si="34"/>
        <v>3554568</v>
      </c>
      <c r="AA63" s="279">
        <f t="shared" si="35"/>
        <v>0</v>
      </c>
      <c r="AB63" s="14">
        <f t="shared" si="36"/>
        <v>5629063.46</v>
      </c>
      <c r="AC63" s="14">
        <f t="shared" si="37"/>
        <v>3554568</v>
      </c>
      <c r="AD63" s="381">
        <f t="shared" si="38"/>
        <v>1706377.4775360001</v>
      </c>
      <c r="AE63" s="385">
        <f t="shared" si="39"/>
        <v>1848190.5224639999</v>
      </c>
      <c r="AF63" s="16">
        <f t="shared" si="40"/>
        <v>0.51990000000000003</v>
      </c>
      <c r="AG63" s="385">
        <f t="shared" si="41"/>
        <v>13783233.522464</v>
      </c>
      <c r="AH63" s="14">
        <f t="shared" si="61"/>
        <v>4819</v>
      </c>
      <c r="AI63" s="385">
        <f>'Table 4 Level 3'!O61</f>
        <v>426943</v>
      </c>
      <c r="AJ63" s="14">
        <f t="shared" si="62"/>
        <v>149.28076923076924</v>
      </c>
      <c r="AK63" s="385">
        <f t="shared" si="42"/>
        <v>14210176.522464</v>
      </c>
      <c r="AL63" s="14">
        <f t="shared" si="63"/>
        <v>4968.593189672727</v>
      </c>
      <c r="AM63" s="499">
        <f>'Table 4 Level 3'!R61</f>
        <v>2184870.6000000006</v>
      </c>
      <c r="AN63" s="500">
        <f t="shared" si="64"/>
        <v>763.94076923076943</v>
      </c>
      <c r="AO63" s="385">
        <f>AG63+AM63</f>
        <v>15968104.122464001</v>
      </c>
      <c r="AP63" s="14">
        <f t="shared" si="65"/>
        <v>5583.2531896727278</v>
      </c>
      <c r="AQ63" s="16">
        <f t="shared" si="44"/>
        <v>0.66137772438460085</v>
      </c>
      <c r="AR63" s="386">
        <f t="shared" si="45"/>
        <v>30</v>
      </c>
      <c r="AS63" s="14">
        <f t="shared" si="46"/>
        <v>8175594</v>
      </c>
      <c r="AT63" s="14">
        <f t="shared" si="66"/>
        <v>2858.6</v>
      </c>
      <c r="AU63" s="386">
        <f t="shared" si="47"/>
        <v>48</v>
      </c>
      <c r="AV63" s="16">
        <f t="shared" si="48"/>
        <v>0.33862227561539915</v>
      </c>
      <c r="AW63" s="386">
        <f t="shared" si="49"/>
        <v>24143698.122464001</v>
      </c>
      <c r="AX63" s="387">
        <f t="shared" si="67"/>
        <v>8441.8524903720281</v>
      </c>
      <c r="AY63" s="386">
        <f t="shared" si="50"/>
        <v>53</v>
      </c>
      <c r="AZ63" s="1076">
        <v>16053855.210096002</v>
      </c>
      <c r="BA63" s="279">
        <f t="shared" si="51"/>
        <v>-85751.087632000446</v>
      </c>
      <c r="BB63" s="1079"/>
      <c r="BC63" s="279"/>
      <c r="BD63" s="279"/>
      <c r="BE63" s="279"/>
      <c r="BF63" s="279"/>
      <c r="BG63" s="279"/>
      <c r="BH63" s="279"/>
      <c r="BI63" s="279"/>
      <c r="BJ63" s="279"/>
      <c r="BK63" s="279"/>
      <c r="BL63" s="81"/>
      <c r="BM63" s="81"/>
      <c r="BN63" s="861"/>
      <c r="BO63" s="81"/>
      <c r="BP63" s="81"/>
      <c r="BQ63" s="861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</row>
    <row r="64" spans="1:149" s="5" customFormat="1">
      <c r="A64" s="101">
        <v>57</v>
      </c>
      <c r="B64" s="81" t="s">
        <v>147</v>
      </c>
      <c r="C64" s="81">
        <f>'2-1-13 SIS'!S63</f>
        <v>9047</v>
      </c>
      <c r="D64" s="81">
        <f>'[6]2-1-13-Supreme Court Ruling'!AE62</f>
        <v>5255</v>
      </c>
      <c r="E64" s="81">
        <f t="shared" si="53"/>
        <v>1156</v>
      </c>
      <c r="F64" s="81">
        <f>'[7]CTE-Oct 2012-Supreme Court'!AC63</f>
        <v>3235.5</v>
      </c>
      <c r="G64" s="81">
        <f t="shared" si="54"/>
        <v>194</v>
      </c>
      <c r="H64" s="1156">
        <f>'[8]SWD 2-1-13 Supreme Court'!Z62</f>
        <v>1093</v>
      </c>
      <c r="I64" s="1156">
        <f t="shared" si="27"/>
        <v>1639.5</v>
      </c>
      <c r="J64" s="1156">
        <f>'[9]GT_PS-12th Supreme Court'!T61</f>
        <v>187</v>
      </c>
      <c r="K64" s="1156">
        <f t="shared" si="28"/>
        <v>112.2</v>
      </c>
      <c r="L64" s="13">
        <f t="shared" si="55"/>
        <v>0</v>
      </c>
      <c r="M64" s="65">
        <f t="shared" si="56"/>
        <v>0</v>
      </c>
      <c r="N64" s="13">
        <f t="shared" si="57"/>
        <v>0</v>
      </c>
      <c r="O64" s="13">
        <f t="shared" si="29"/>
        <v>3101.7</v>
      </c>
      <c r="P64" s="13">
        <f t="shared" si="58"/>
        <v>12148.7</v>
      </c>
      <c r="Q64" s="381">
        <f t="shared" si="30"/>
        <v>3855</v>
      </c>
      <c r="R64" s="381">
        <f t="shared" si="59"/>
        <v>46833239</v>
      </c>
      <c r="S64" s="381">
        <f>'Table 6 (Local Deduct Calc.)'!J65</f>
        <v>13644916</v>
      </c>
      <c r="T64" s="381">
        <f t="shared" si="31"/>
        <v>13644916</v>
      </c>
      <c r="U64" s="382">
        <f t="shared" si="32"/>
        <v>33188323</v>
      </c>
      <c r="V64" s="383">
        <f t="shared" si="52"/>
        <v>0.70860000000000001</v>
      </c>
      <c r="W64" s="383">
        <f t="shared" si="33"/>
        <v>0.29139999999999999</v>
      </c>
      <c r="X64" s="384">
        <f t="shared" si="60"/>
        <v>1508.225489112413</v>
      </c>
      <c r="Y64" s="381">
        <f>'Table 7 Local Revenue'!AQ64</f>
        <v>25760842</v>
      </c>
      <c r="Z64" s="381">
        <f t="shared" si="34"/>
        <v>12115926</v>
      </c>
      <c r="AA64" s="279">
        <f t="shared" si="35"/>
        <v>0</v>
      </c>
      <c r="AB64" s="14">
        <f t="shared" si="36"/>
        <v>15923301.260000002</v>
      </c>
      <c r="AC64" s="14">
        <f t="shared" si="37"/>
        <v>12115926</v>
      </c>
      <c r="AD64" s="381">
        <f t="shared" si="38"/>
        <v>6072599.0386079997</v>
      </c>
      <c r="AE64" s="385">
        <f t="shared" si="39"/>
        <v>6043326.9613920003</v>
      </c>
      <c r="AF64" s="16">
        <f t="shared" si="40"/>
        <v>0.49880000000000002</v>
      </c>
      <c r="AG64" s="385">
        <f t="shared" si="41"/>
        <v>39231649.961392</v>
      </c>
      <c r="AH64" s="14">
        <f t="shared" si="61"/>
        <v>4336</v>
      </c>
      <c r="AI64" s="385">
        <f>'Table 4 Level 3'!O62</f>
        <v>1350544</v>
      </c>
      <c r="AJ64" s="14">
        <f t="shared" si="62"/>
        <v>149.28086658560849</v>
      </c>
      <c r="AK64" s="385">
        <f t="shared" si="42"/>
        <v>40582193.961392</v>
      </c>
      <c r="AL64" s="14">
        <f t="shared" si="63"/>
        <v>4485.7073020218859</v>
      </c>
      <c r="AM64" s="499">
        <f>'Table 4 Level 3'!R62</f>
        <v>8267065.9699999997</v>
      </c>
      <c r="AN64" s="500">
        <f t="shared" si="64"/>
        <v>913.79086658560846</v>
      </c>
      <c r="AO64" s="385">
        <f t="shared" si="43"/>
        <v>47498715.931391999</v>
      </c>
      <c r="AP64" s="14">
        <f t="shared" si="65"/>
        <v>5250.2173020218852</v>
      </c>
      <c r="AQ64" s="16">
        <f t="shared" si="44"/>
        <v>0.64836203319537944</v>
      </c>
      <c r="AR64" s="386">
        <f t="shared" si="45"/>
        <v>35</v>
      </c>
      <c r="AS64" s="14">
        <f t="shared" si="46"/>
        <v>25760842</v>
      </c>
      <c r="AT64" s="14">
        <f t="shared" si="66"/>
        <v>2847.45</v>
      </c>
      <c r="AU64" s="386">
        <f t="shared" si="47"/>
        <v>49</v>
      </c>
      <c r="AV64" s="16">
        <f t="shared" si="48"/>
        <v>0.35163796680462062</v>
      </c>
      <c r="AW64" s="386">
        <f t="shared" si="49"/>
        <v>73259557.931391999</v>
      </c>
      <c r="AX64" s="387">
        <f t="shared" si="67"/>
        <v>8097.663085154416</v>
      </c>
      <c r="AY64" s="386">
        <f t="shared" si="50"/>
        <v>63</v>
      </c>
      <c r="AZ64" s="1076">
        <v>45728966.601220809</v>
      </c>
      <c r="BA64" s="279">
        <f t="shared" si="51"/>
        <v>1769749.3301711902</v>
      </c>
      <c r="BB64" s="1079"/>
      <c r="BC64" s="279"/>
      <c r="BD64" s="279"/>
      <c r="BE64" s="279"/>
      <c r="BF64" s="279"/>
      <c r="BG64" s="279"/>
      <c r="BH64" s="279"/>
      <c r="BI64" s="279"/>
      <c r="BJ64" s="279"/>
      <c r="BK64" s="279"/>
      <c r="BL64" s="81"/>
      <c r="BM64" s="81"/>
      <c r="BN64" s="861"/>
      <c r="BO64" s="81"/>
      <c r="BP64" s="81"/>
      <c r="BQ64" s="861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</row>
    <row r="65" spans="1:149" s="5" customFormat="1">
      <c r="A65" s="101">
        <v>58</v>
      </c>
      <c r="B65" s="81" t="s">
        <v>148</v>
      </c>
      <c r="C65" s="81">
        <f>'2-1-13 SIS'!S64</f>
        <v>9090</v>
      </c>
      <c r="D65" s="81">
        <f>'[6]2-1-13-Supreme Court Ruling'!AE63</f>
        <v>5332</v>
      </c>
      <c r="E65" s="81">
        <f t="shared" si="53"/>
        <v>1173</v>
      </c>
      <c r="F65" s="81">
        <f>'[7]CTE-Oct 2012-Supreme Court'!AC64</f>
        <v>3275</v>
      </c>
      <c r="G65" s="81">
        <f t="shared" si="54"/>
        <v>197</v>
      </c>
      <c r="H65" s="1156">
        <f>'[8]SWD 2-1-13 Supreme Court'!Z63</f>
        <v>1021</v>
      </c>
      <c r="I65" s="1156">
        <f t="shared" si="27"/>
        <v>1531.5</v>
      </c>
      <c r="J65" s="1156">
        <f>'[9]GT_PS-12th Supreme Court'!T62</f>
        <v>233</v>
      </c>
      <c r="K65" s="1156">
        <f t="shared" si="28"/>
        <v>139.79999999999998</v>
      </c>
      <c r="L65" s="13">
        <f t="shared" si="55"/>
        <v>0</v>
      </c>
      <c r="M65" s="65">
        <f t="shared" si="56"/>
        <v>0</v>
      </c>
      <c r="N65" s="13">
        <f t="shared" si="57"/>
        <v>0</v>
      </c>
      <c r="O65" s="13">
        <f t="shared" si="29"/>
        <v>3041.3</v>
      </c>
      <c r="P65" s="13">
        <f t="shared" si="58"/>
        <v>12131.3</v>
      </c>
      <c r="Q65" s="381">
        <f t="shared" si="30"/>
        <v>3855</v>
      </c>
      <c r="R65" s="381">
        <f t="shared" si="59"/>
        <v>46766162</v>
      </c>
      <c r="S65" s="381">
        <f>'Table 6 (Local Deduct Calc.)'!J66</f>
        <v>7434561</v>
      </c>
      <c r="T65" s="381">
        <f t="shared" si="31"/>
        <v>7434561</v>
      </c>
      <c r="U65" s="382">
        <f t="shared" si="32"/>
        <v>39331601</v>
      </c>
      <c r="V65" s="383">
        <f t="shared" si="52"/>
        <v>0.84099999999999997</v>
      </c>
      <c r="W65" s="383">
        <f t="shared" si="33"/>
        <v>0.159</v>
      </c>
      <c r="X65" s="384">
        <f t="shared" si="60"/>
        <v>817.88349834983501</v>
      </c>
      <c r="Y65" s="381">
        <f>'Table 7 Local Revenue'!AQ65</f>
        <v>19717004</v>
      </c>
      <c r="Z65" s="381">
        <f t="shared" si="34"/>
        <v>12282443</v>
      </c>
      <c r="AA65" s="279">
        <f t="shared" si="35"/>
        <v>0</v>
      </c>
      <c r="AB65" s="14">
        <f t="shared" si="36"/>
        <v>15900495.080000002</v>
      </c>
      <c r="AC65" s="14">
        <f t="shared" si="37"/>
        <v>12282443</v>
      </c>
      <c r="AD65" s="381">
        <f t="shared" si="38"/>
        <v>3359002.5116400002</v>
      </c>
      <c r="AE65" s="385">
        <f t="shared" si="39"/>
        <v>8923440.4883599989</v>
      </c>
      <c r="AF65" s="16">
        <f t="shared" si="40"/>
        <v>0.72650000000000003</v>
      </c>
      <c r="AG65" s="385">
        <f t="shared" si="41"/>
        <v>48255041.488360003</v>
      </c>
      <c r="AH65" s="14">
        <f t="shared" si="61"/>
        <v>5309</v>
      </c>
      <c r="AI65" s="385">
        <f>'Table 4 Level 3'!O63</f>
        <v>1356963</v>
      </c>
      <c r="AJ65" s="14">
        <f t="shared" si="62"/>
        <v>149.28085808580857</v>
      </c>
      <c r="AK65" s="385">
        <f t="shared" si="42"/>
        <v>49612004.488360003</v>
      </c>
      <c r="AL65" s="14">
        <f t="shared" si="63"/>
        <v>5457.8662803476354</v>
      </c>
      <c r="AM65" s="499">
        <f>'Table 4 Level 3'!R63</f>
        <v>7693056.5999999996</v>
      </c>
      <c r="AN65" s="500">
        <f t="shared" si="64"/>
        <v>846.3208580858086</v>
      </c>
      <c r="AO65" s="385">
        <f t="shared" si="43"/>
        <v>55948098.088360004</v>
      </c>
      <c r="AP65" s="14">
        <f t="shared" si="65"/>
        <v>6154.9062803476354</v>
      </c>
      <c r="AQ65" s="16">
        <f t="shared" si="44"/>
        <v>0.73941746649631246</v>
      </c>
      <c r="AR65" s="386">
        <f t="shared" si="45"/>
        <v>8</v>
      </c>
      <c r="AS65" s="14">
        <f t="shared" si="46"/>
        <v>19717004</v>
      </c>
      <c r="AT65" s="14">
        <f t="shared" si="66"/>
        <v>2169.09</v>
      </c>
      <c r="AU65" s="386">
        <f t="shared" si="47"/>
        <v>61</v>
      </c>
      <c r="AV65" s="16">
        <f t="shared" si="48"/>
        <v>0.26058253350368737</v>
      </c>
      <c r="AW65" s="386">
        <f t="shared" si="49"/>
        <v>75665102.088360012</v>
      </c>
      <c r="AX65" s="387">
        <f t="shared" si="67"/>
        <v>8323.9936290825099</v>
      </c>
      <c r="AY65" s="386">
        <f t="shared" si="50"/>
        <v>55</v>
      </c>
      <c r="AZ65" s="1076">
        <v>57183868.69122</v>
      </c>
      <c r="BA65" s="279">
        <f t="shared" si="51"/>
        <v>-1235770.6028599963</v>
      </c>
      <c r="BB65" s="1081"/>
      <c r="BC65" s="279"/>
      <c r="BD65" s="279"/>
      <c r="BE65" s="279"/>
      <c r="BF65" s="279"/>
      <c r="BG65" s="279"/>
      <c r="BH65" s="279"/>
      <c r="BI65" s="279"/>
      <c r="BJ65" s="279"/>
      <c r="BK65" s="279"/>
      <c r="BL65" s="81"/>
      <c r="BM65" s="81"/>
      <c r="BN65" s="861"/>
      <c r="BO65" s="81"/>
      <c r="BP65" s="81"/>
      <c r="BQ65" s="861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</row>
    <row r="66" spans="1:149" s="5" customFormat="1">
      <c r="A66" s="101">
        <v>59</v>
      </c>
      <c r="B66" s="81" t="s">
        <v>149</v>
      </c>
      <c r="C66" s="81">
        <f>'2-1-13 SIS'!S65</f>
        <v>5247</v>
      </c>
      <c r="D66" s="81">
        <f>'[6]2-1-13-Supreme Court Ruling'!AE64</f>
        <v>4441</v>
      </c>
      <c r="E66" s="81">
        <f t="shared" si="53"/>
        <v>977</v>
      </c>
      <c r="F66" s="81">
        <f>'[7]CTE-Oct 2012-Supreme Court'!AC65</f>
        <v>2144.5</v>
      </c>
      <c r="G66" s="81">
        <f t="shared" si="54"/>
        <v>129</v>
      </c>
      <c r="H66" s="1156">
        <f>'[8]SWD 2-1-13 Supreme Court'!Z64</f>
        <v>828</v>
      </c>
      <c r="I66" s="1156">
        <f t="shared" si="27"/>
        <v>1242</v>
      </c>
      <c r="J66" s="1156">
        <f>'[9]GT_PS-12th Supreme Court'!T63</f>
        <v>327</v>
      </c>
      <c r="K66" s="1156">
        <f t="shared" si="28"/>
        <v>196.2</v>
      </c>
      <c r="L66" s="13">
        <f t="shared" si="55"/>
        <v>2253</v>
      </c>
      <c r="M66" s="65">
        <f t="shared" si="56"/>
        <v>6.0080000000000001E-2</v>
      </c>
      <c r="N66" s="13">
        <f t="shared" si="57"/>
        <v>315</v>
      </c>
      <c r="O66" s="13">
        <f t="shared" si="29"/>
        <v>2859.2</v>
      </c>
      <c r="P66" s="13">
        <f t="shared" si="58"/>
        <v>8106.2</v>
      </c>
      <c r="Q66" s="381">
        <f t="shared" si="30"/>
        <v>3855</v>
      </c>
      <c r="R66" s="381">
        <f t="shared" si="59"/>
        <v>31249401</v>
      </c>
      <c r="S66" s="381">
        <f>'Table 6 (Local Deduct Calc.)'!J67</f>
        <v>3224727</v>
      </c>
      <c r="T66" s="381">
        <f t="shared" si="31"/>
        <v>3224727</v>
      </c>
      <c r="U66" s="382">
        <f t="shared" si="32"/>
        <v>28024674</v>
      </c>
      <c r="V66" s="383">
        <f t="shared" si="52"/>
        <v>0.89680000000000004</v>
      </c>
      <c r="W66" s="383">
        <f t="shared" si="33"/>
        <v>0.1032</v>
      </c>
      <c r="X66" s="384">
        <f t="shared" si="60"/>
        <v>614.58490566037733</v>
      </c>
      <c r="Y66" s="381">
        <f>'Table 7 Local Revenue'!AQ66</f>
        <v>8225589</v>
      </c>
      <c r="Z66" s="381">
        <f t="shared" si="34"/>
        <v>5000862</v>
      </c>
      <c r="AA66" s="279">
        <f t="shared" si="35"/>
        <v>0</v>
      </c>
      <c r="AB66" s="14">
        <f t="shared" si="36"/>
        <v>10624796.34</v>
      </c>
      <c r="AC66" s="14">
        <f t="shared" si="37"/>
        <v>5000862</v>
      </c>
      <c r="AD66" s="381">
        <f t="shared" si="38"/>
        <v>887673.00844799995</v>
      </c>
      <c r="AE66" s="385">
        <f t="shared" si="39"/>
        <v>4113188.9915519999</v>
      </c>
      <c r="AF66" s="16">
        <f t="shared" si="40"/>
        <v>0.82250000000000001</v>
      </c>
      <c r="AG66" s="385">
        <f t="shared" si="41"/>
        <v>32137862.991551999</v>
      </c>
      <c r="AH66" s="14">
        <f t="shared" si="61"/>
        <v>6125</v>
      </c>
      <c r="AI66" s="385">
        <f>'Table 4 Level 3'!O64</f>
        <v>783277</v>
      </c>
      <c r="AJ66" s="14">
        <f t="shared" si="62"/>
        <v>149.28092243186583</v>
      </c>
      <c r="AK66" s="385">
        <f t="shared" si="42"/>
        <v>32921139.991551999</v>
      </c>
      <c r="AL66" s="14">
        <f t="shared" si="63"/>
        <v>6274.2786338006481</v>
      </c>
      <c r="AM66" s="499">
        <f>'Table 4 Level 3'!R64</f>
        <v>4401188.4399999995</v>
      </c>
      <c r="AN66" s="500">
        <f t="shared" si="64"/>
        <v>838.80092243186573</v>
      </c>
      <c r="AO66" s="385">
        <f t="shared" si="43"/>
        <v>36539051.431552</v>
      </c>
      <c r="AP66" s="14">
        <f t="shared" si="65"/>
        <v>6963.7986338006476</v>
      </c>
      <c r="AQ66" s="16">
        <f t="shared" si="44"/>
        <v>0.81624807167662938</v>
      </c>
      <c r="AR66" s="386">
        <f t="shared" si="45"/>
        <v>1</v>
      </c>
      <c r="AS66" s="14">
        <f t="shared" si="46"/>
        <v>8225589</v>
      </c>
      <c r="AT66" s="14">
        <f t="shared" si="66"/>
        <v>1567.67</v>
      </c>
      <c r="AU66" s="386">
        <f t="shared" si="47"/>
        <v>68</v>
      </c>
      <c r="AV66" s="16">
        <f t="shared" si="48"/>
        <v>0.18375192832337059</v>
      </c>
      <c r="AW66" s="386">
        <f t="shared" si="49"/>
        <v>44764640.431552</v>
      </c>
      <c r="AX66" s="387">
        <f t="shared" si="67"/>
        <v>8531.4733050413579</v>
      </c>
      <c r="AY66" s="386">
        <f t="shared" si="50"/>
        <v>49</v>
      </c>
      <c r="AZ66" s="1076">
        <v>36387242.653219998</v>
      </c>
      <c r="BA66" s="279">
        <f t="shared" si="51"/>
        <v>151808.77833200246</v>
      </c>
      <c r="BB66" s="1081"/>
      <c r="BC66" s="279"/>
      <c r="BD66" s="279"/>
      <c r="BE66" s="279"/>
      <c r="BF66" s="279"/>
      <c r="BG66" s="279"/>
      <c r="BH66" s="279"/>
      <c r="BI66" s="279"/>
      <c r="BJ66" s="279"/>
      <c r="BK66" s="279"/>
      <c r="BL66" s="81"/>
      <c r="BM66" s="81"/>
      <c r="BN66" s="861"/>
      <c r="BO66" s="81"/>
      <c r="BP66" s="81"/>
      <c r="BQ66" s="861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</row>
    <row r="67" spans="1:149" s="21" customFormat="1">
      <c r="A67" s="102">
        <v>60</v>
      </c>
      <c r="B67" s="82" t="s">
        <v>150</v>
      </c>
      <c r="C67" s="82">
        <f>'2-1-13 SIS'!S66</f>
        <v>6493</v>
      </c>
      <c r="D67" s="82">
        <f>'[6]2-1-13-Supreme Court Ruling'!AE65</f>
        <v>4376</v>
      </c>
      <c r="E67" s="82">
        <f t="shared" si="53"/>
        <v>963</v>
      </c>
      <c r="F67" s="82">
        <f>'[7]CTE-Oct 2012-Supreme Court'!AC66</f>
        <v>2673</v>
      </c>
      <c r="G67" s="82">
        <f t="shared" si="54"/>
        <v>160</v>
      </c>
      <c r="H67" s="82">
        <f>'[8]SWD 2-1-13 Supreme Court'!Z65</f>
        <v>702</v>
      </c>
      <c r="I67" s="82">
        <f t="shared" si="27"/>
        <v>1053</v>
      </c>
      <c r="J67" s="82">
        <f>'[9]GT_PS-12th Supreme Court'!T64</f>
        <v>302</v>
      </c>
      <c r="K67" s="82">
        <f t="shared" si="28"/>
        <v>181.2</v>
      </c>
      <c r="L67" s="19">
        <f t="shared" si="55"/>
        <v>1007</v>
      </c>
      <c r="M67" s="66">
        <f t="shared" si="56"/>
        <v>2.6849999999999999E-2</v>
      </c>
      <c r="N67" s="19">
        <f t="shared" si="57"/>
        <v>174</v>
      </c>
      <c r="O67" s="19">
        <f t="shared" si="29"/>
        <v>2531.1999999999998</v>
      </c>
      <c r="P67" s="13">
        <f t="shared" si="58"/>
        <v>9024.2000000000007</v>
      </c>
      <c r="Q67" s="388">
        <f t="shared" si="30"/>
        <v>3855</v>
      </c>
      <c r="R67" s="388">
        <f t="shared" si="59"/>
        <v>34788291</v>
      </c>
      <c r="S67" s="388">
        <f>'Table 6 (Local Deduct Calc.)'!J68</f>
        <v>9783432</v>
      </c>
      <c r="T67" s="388">
        <f t="shared" si="31"/>
        <v>9783432</v>
      </c>
      <c r="U67" s="389">
        <f t="shared" si="32"/>
        <v>25004859</v>
      </c>
      <c r="V67" s="390">
        <f t="shared" si="52"/>
        <v>0.71879999999999999</v>
      </c>
      <c r="W67" s="391">
        <f t="shared" si="33"/>
        <v>0.28120000000000001</v>
      </c>
      <c r="X67" s="392">
        <f t="shared" si="60"/>
        <v>1506.7660557523486</v>
      </c>
      <c r="Y67" s="388">
        <f>'Table 7 Local Revenue'!AQ67</f>
        <v>26292855</v>
      </c>
      <c r="Z67" s="388">
        <f t="shared" si="34"/>
        <v>16509423</v>
      </c>
      <c r="AA67" s="280">
        <f t="shared" si="35"/>
        <v>0</v>
      </c>
      <c r="AB67" s="20">
        <f t="shared" si="36"/>
        <v>11828018.940000001</v>
      </c>
      <c r="AC67" s="20">
        <f t="shared" si="37"/>
        <v>11828018.940000001</v>
      </c>
      <c r="AD67" s="388">
        <f t="shared" si="38"/>
        <v>5720786.9525961606</v>
      </c>
      <c r="AE67" s="393">
        <f t="shared" si="39"/>
        <v>6107231.9874038408</v>
      </c>
      <c r="AF67" s="273">
        <f t="shared" si="40"/>
        <v>0.51629999999999998</v>
      </c>
      <c r="AG67" s="393">
        <f t="shared" si="41"/>
        <v>31112090.98740384</v>
      </c>
      <c r="AH67" s="20">
        <f t="shared" si="61"/>
        <v>4792</v>
      </c>
      <c r="AI67" s="393">
        <f>'Table 4 Level 3'!O65</f>
        <v>969281</v>
      </c>
      <c r="AJ67" s="20">
        <f t="shared" si="62"/>
        <v>149.2809179115971</v>
      </c>
      <c r="AK67" s="393">
        <f t="shared" si="42"/>
        <v>32081371.98740384</v>
      </c>
      <c r="AL67" s="20">
        <f t="shared" si="63"/>
        <v>4940.9166775610411</v>
      </c>
      <c r="AM67" s="501">
        <f>'Table 4 Level 3'!R65</f>
        <v>4826382.72</v>
      </c>
      <c r="AN67" s="502">
        <f t="shared" si="64"/>
        <v>743.32091791159712</v>
      </c>
      <c r="AO67" s="393">
        <f t="shared" si="43"/>
        <v>35938473.707403839</v>
      </c>
      <c r="AP67" s="20">
        <f t="shared" si="65"/>
        <v>5534.956677561041</v>
      </c>
      <c r="AQ67" s="273">
        <f t="shared" si="44"/>
        <v>0.62447473089828065</v>
      </c>
      <c r="AR67" s="394">
        <f t="shared" si="45"/>
        <v>38</v>
      </c>
      <c r="AS67" s="20">
        <f t="shared" si="46"/>
        <v>21611450.940000001</v>
      </c>
      <c r="AT67" s="20">
        <f t="shared" si="66"/>
        <v>3328.42</v>
      </c>
      <c r="AU67" s="394">
        <f t="shared" si="47"/>
        <v>33</v>
      </c>
      <c r="AV67" s="273">
        <f t="shared" si="48"/>
        <v>0.37552526910171941</v>
      </c>
      <c r="AW67" s="394">
        <f t="shared" si="49"/>
        <v>57549924.647403836</v>
      </c>
      <c r="AX67" s="395">
        <f t="shared" si="67"/>
        <v>8863.3797393198583</v>
      </c>
      <c r="AY67" s="394">
        <f t="shared" si="50"/>
        <v>32</v>
      </c>
      <c r="AZ67" s="1077">
        <v>35082020.247507997</v>
      </c>
      <c r="BA67" s="280">
        <f t="shared" si="51"/>
        <v>856453.45989584178</v>
      </c>
      <c r="BB67" s="1082"/>
      <c r="BC67" s="280"/>
      <c r="BD67" s="280"/>
      <c r="BE67" s="280"/>
      <c r="BF67" s="280"/>
      <c r="BG67" s="280"/>
      <c r="BH67" s="280"/>
      <c r="BI67" s="280"/>
      <c r="BJ67" s="280"/>
      <c r="BK67" s="280"/>
      <c r="BL67" s="82"/>
      <c r="BM67" s="82"/>
      <c r="BN67" s="862"/>
      <c r="BO67" s="82"/>
      <c r="BP67" s="82"/>
      <c r="BQ67" s="862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</row>
    <row r="68" spans="1:149" s="5" customFormat="1">
      <c r="A68" s="101">
        <v>61</v>
      </c>
      <c r="B68" s="81" t="s">
        <v>151</v>
      </c>
      <c r="C68" s="81">
        <f>'2-1-13 SIS'!S67</f>
        <v>3620</v>
      </c>
      <c r="D68" s="81">
        <f>'[6]2-1-13-Supreme Court Ruling'!AE66</f>
        <v>2522</v>
      </c>
      <c r="E68" s="81">
        <f t="shared" si="53"/>
        <v>555</v>
      </c>
      <c r="F68" s="81">
        <f>'[7]CTE-Oct 2012-Supreme Court'!AC67</f>
        <v>1264</v>
      </c>
      <c r="G68" s="81">
        <f t="shared" si="54"/>
        <v>76</v>
      </c>
      <c r="H68" s="1156">
        <f>'[8]SWD 2-1-13 Supreme Court'!Z66</f>
        <v>363</v>
      </c>
      <c r="I68" s="1156">
        <f t="shared" si="27"/>
        <v>544.5</v>
      </c>
      <c r="J68" s="1156">
        <f>'[9]GT_PS-12th Supreme Court'!T65</f>
        <v>139</v>
      </c>
      <c r="K68" s="1156">
        <f t="shared" si="28"/>
        <v>83.399999999999991</v>
      </c>
      <c r="L68" s="13">
        <f t="shared" si="55"/>
        <v>3880</v>
      </c>
      <c r="M68" s="65">
        <f t="shared" si="56"/>
        <v>0.10347000000000001</v>
      </c>
      <c r="N68" s="13">
        <f t="shared" si="57"/>
        <v>375</v>
      </c>
      <c r="O68" s="13">
        <f t="shared" si="29"/>
        <v>1633.9</v>
      </c>
      <c r="P68" s="36">
        <f t="shared" si="58"/>
        <v>5253.9</v>
      </c>
      <c r="Q68" s="381">
        <f t="shared" si="30"/>
        <v>3855</v>
      </c>
      <c r="R68" s="381">
        <f t="shared" si="59"/>
        <v>20253785</v>
      </c>
      <c r="S68" s="381">
        <f>'Table 6 (Local Deduct Calc.)'!J69</f>
        <v>10823729.5</v>
      </c>
      <c r="T68" s="381">
        <f t="shared" si="31"/>
        <v>10823729.5</v>
      </c>
      <c r="U68" s="382">
        <f t="shared" si="32"/>
        <v>9430055.5</v>
      </c>
      <c r="V68" s="383">
        <f t="shared" si="52"/>
        <v>0.46560000000000001</v>
      </c>
      <c r="W68" s="383">
        <f t="shared" si="33"/>
        <v>0.53439999999999999</v>
      </c>
      <c r="X68" s="384">
        <f t="shared" si="60"/>
        <v>2989.9805248618786</v>
      </c>
      <c r="Y68" s="381">
        <f>'Table 7 Local Revenue'!AQ68</f>
        <v>24507329.5</v>
      </c>
      <c r="Z68" s="381">
        <f t="shared" si="34"/>
        <v>13683600</v>
      </c>
      <c r="AA68" s="279">
        <f t="shared" si="35"/>
        <v>0</v>
      </c>
      <c r="AB68" s="14">
        <f t="shared" si="36"/>
        <v>6886286.9000000004</v>
      </c>
      <c r="AC68" s="14">
        <f t="shared" si="37"/>
        <v>6886286.9000000004</v>
      </c>
      <c r="AD68" s="381">
        <f t="shared" si="38"/>
        <v>6329654.5572992004</v>
      </c>
      <c r="AE68" s="385">
        <f t="shared" si="39"/>
        <v>556632.34270079993</v>
      </c>
      <c r="AF68" s="16">
        <f t="shared" si="40"/>
        <v>8.0799999999999997E-2</v>
      </c>
      <c r="AG68" s="385">
        <f t="shared" si="41"/>
        <v>9986687.8427007999</v>
      </c>
      <c r="AH68" s="14">
        <f t="shared" si="61"/>
        <v>2759</v>
      </c>
      <c r="AI68" s="385">
        <f>'Table 4 Level 3'!O66</f>
        <v>540397</v>
      </c>
      <c r="AJ68" s="14">
        <f t="shared" si="62"/>
        <v>149.28093922651934</v>
      </c>
      <c r="AK68" s="385">
        <f t="shared" si="42"/>
        <v>10527084.8427008</v>
      </c>
      <c r="AL68" s="14">
        <f t="shared" si="63"/>
        <v>2908.0344869339228</v>
      </c>
      <c r="AM68" s="499">
        <f>'Table 4 Level 3'!R66</f>
        <v>3558427.1999999997</v>
      </c>
      <c r="AN68" s="500">
        <f t="shared" si="64"/>
        <v>982.99093922651923</v>
      </c>
      <c r="AO68" s="385">
        <f t="shared" si="43"/>
        <v>13545115.042700799</v>
      </c>
      <c r="AP68" s="14">
        <f t="shared" si="65"/>
        <v>3741.7444869339224</v>
      </c>
      <c r="AQ68" s="16">
        <f t="shared" si="44"/>
        <v>0.43337251892645851</v>
      </c>
      <c r="AR68" s="386">
        <f t="shared" si="45"/>
        <v>61</v>
      </c>
      <c r="AS68" s="14">
        <f t="shared" si="46"/>
        <v>17710016.399999999</v>
      </c>
      <c r="AT68" s="14">
        <f t="shared" si="66"/>
        <v>4892.2700000000004</v>
      </c>
      <c r="AU68" s="386">
        <f t="shared" si="47"/>
        <v>10</v>
      </c>
      <c r="AV68" s="16">
        <f t="shared" si="48"/>
        <v>0.56662748107354155</v>
      </c>
      <c r="AW68" s="386">
        <f t="shared" si="49"/>
        <v>31255131.442700796</v>
      </c>
      <c r="AX68" s="387">
        <f t="shared" si="67"/>
        <v>8634.0142106908279</v>
      </c>
      <c r="AY68" s="386">
        <f t="shared" si="50"/>
        <v>43</v>
      </c>
      <c r="AZ68" s="1076">
        <v>13821399.6803184</v>
      </c>
      <c r="BA68" s="279">
        <f t="shared" si="51"/>
        <v>-276284.63761760108</v>
      </c>
      <c r="BB68" s="1081"/>
      <c r="BC68" s="279"/>
      <c r="BD68" s="279"/>
      <c r="BE68" s="279"/>
      <c r="BF68" s="279"/>
      <c r="BG68" s="279"/>
      <c r="BH68" s="279"/>
      <c r="BI68" s="279"/>
      <c r="BJ68" s="279"/>
      <c r="BK68" s="279"/>
      <c r="BL68" s="81"/>
      <c r="BM68" s="81"/>
      <c r="BN68" s="861"/>
      <c r="BO68" s="81"/>
      <c r="BP68" s="81"/>
      <c r="BQ68" s="861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</row>
    <row r="69" spans="1:149" s="5" customFormat="1">
      <c r="A69" s="101">
        <v>62</v>
      </c>
      <c r="B69" s="81" t="s">
        <v>152</v>
      </c>
      <c r="C69" s="81">
        <f>'2-1-13 SIS'!S68</f>
        <v>2105</v>
      </c>
      <c r="D69" s="81">
        <f>'[6]2-1-13-Supreme Court Ruling'!AE67</f>
        <v>1600</v>
      </c>
      <c r="E69" s="81">
        <f t="shared" si="53"/>
        <v>352</v>
      </c>
      <c r="F69" s="81">
        <f>'[7]CTE-Oct 2012-Supreme Court'!AC68</f>
        <v>657.5</v>
      </c>
      <c r="G69" s="81">
        <f t="shared" si="54"/>
        <v>39</v>
      </c>
      <c r="H69" s="1156">
        <f>'[8]SWD 2-1-13 Supreme Court'!Z67</f>
        <v>232</v>
      </c>
      <c r="I69" s="1156">
        <f t="shared" si="27"/>
        <v>348</v>
      </c>
      <c r="J69" s="1156">
        <f>'[9]GT_PS-12th Supreme Court'!T66</f>
        <v>18</v>
      </c>
      <c r="K69" s="1156">
        <f t="shared" si="28"/>
        <v>10.799999999999999</v>
      </c>
      <c r="L69" s="13">
        <f t="shared" si="55"/>
        <v>5395</v>
      </c>
      <c r="M69" s="65">
        <f t="shared" si="56"/>
        <v>0.14387</v>
      </c>
      <c r="N69" s="13">
        <f t="shared" si="57"/>
        <v>303</v>
      </c>
      <c r="O69" s="13">
        <f t="shared" si="29"/>
        <v>1052.8</v>
      </c>
      <c r="P69" s="13">
        <f t="shared" si="58"/>
        <v>3157.8</v>
      </c>
      <c r="Q69" s="381">
        <f t="shared" si="30"/>
        <v>3855</v>
      </c>
      <c r="R69" s="381">
        <f t="shared" si="59"/>
        <v>12173319</v>
      </c>
      <c r="S69" s="381">
        <f>'Table 6 (Local Deduct Calc.)'!J70</f>
        <v>1961957</v>
      </c>
      <c r="T69" s="381">
        <f t="shared" si="31"/>
        <v>1961957</v>
      </c>
      <c r="U69" s="382">
        <f t="shared" si="32"/>
        <v>10211362</v>
      </c>
      <c r="V69" s="383">
        <f t="shared" si="52"/>
        <v>0.83879999999999999</v>
      </c>
      <c r="W69" s="383">
        <f t="shared" si="33"/>
        <v>0.16120000000000001</v>
      </c>
      <c r="X69" s="384">
        <f t="shared" si="60"/>
        <v>932.04608076009504</v>
      </c>
      <c r="Y69" s="381">
        <f>'Table 7 Local Revenue'!AQ69</f>
        <v>3860612</v>
      </c>
      <c r="Z69" s="381">
        <f t="shared" si="34"/>
        <v>1898655</v>
      </c>
      <c r="AA69" s="279">
        <f t="shared" si="35"/>
        <v>0</v>
      </c>
      <c r="AB69" s="14">
        <f t="shared" si="36"/>
        <v>4138928.4600000004</v>
      </c>
      <c r="AC69" s="14">
        <f t="shared" si="37"/>
        <v>1898655</v>
      </c>
      <c r="AD69" s="381">
        <f t="shared" si="38"/>
        <v>526428.67992000002</v>
      </c>
      <c r="AE69" s="385">
        <f t="shared" si="39"/>
        <v>1372226.32008</v>
      </c>
      <c r="AF69" s="16">
        <f t="shared" si="40"/>
        <v>0.72270000000000001</v>
      </c>
      <c r="AG69" s="385">
        <f t="shared" si="41"/>
        <v>11583588.320080001</v>
      </c>
      <c r="AH69" s="14">
        <f t="shared" si="61"/>
        <v>5503</v>
      </c>
      <c r="AI69" s="385">
        <f>'Table 4 Level 3'!O67</f>
        <v>314236</v>
      </c>
      <c r="AJ69" s="14">
        <f t="shared" si="62"/>
        <v>149.28076009501189</v>
      </c>
      <c r="AK69" s="385">
        <f t="shared" si="42"/>
        <v>11897824.320080001</v>
      </c>
      <c r="AL69" s="14">
        <f t="shared" si="63"/>
        <v>5652.1730736722093</v>
      </c>
      <c r="AM69" s="499">
        <f>'Table 4 Level 3'!R67</f>
        <v>1400584.4000000001</v>
      </c>
      <c r="AN69" s="500">
        <f t="shared" si="64"/>
        <v>665.36076009501198</v>
      </c>
      <c r="AO69" s="385">
        <f t="shared" si="43"/>
        <v>12984172.720080001</v>
      </c>
      <c r="AP69" s="14">
        <f t="shared" si="65"/>
        <v>6168.2530736722092</v>
      </c>
      <c r="AQ69" s="16">
        <f t="shared" si="44"/>
        <v>0.77081262455091404</v>
      </c>
      <c r="AR69" s="386">
        <f t="shared" si="45"/>
        <v>4</v>
      </c>
      <c r="AS69" s="14">
        <f t="shared" si="46"/>
        <v>3860612</v>
      </c>
      <c r="AT69" s="14">
        <f t="shared" si="66"/>
        <v>1834.02</v>
      </c>
      <c r="AU69" s="386">
        <f t="shared" si="47"/>
        <v>66</v>
      </c>
      <c r="AV69" s="16">
        <f t="shared" si="48"/>
        <v>0.22918737544908585</v>
      </c>
      <c r="AW69" s="386">
        <f t="shared" si="49"/>
        <v>16844784.720080003</v>
      </c>
      <c r="AX69" s="387">
        <f t="shared" si="67"/>
        <v>8002.2730261662718</v>
      </c>
      <c r="AY69" s="386">
        <f t="shared" si="50"/>
        <v>65</v>
      </c>
      <c r="AZ69" s="1076">
        <v>12970371.887228386</v>
      </c>
      <c r="BA69" s="279">
        <f t="shared" si="51"/>
        <v>13800.832851614803</v>
      </c>
      <c r="BB69" s="1079"/>
      <c r="BC69" s="279"/>
      <c r="BD69" s="279"/>
      <c r="BE69" s="279"/>
      <c r="BF69" s="279"/>
      <c r="BG69" s="279"/>
      <c r="BH69" s="279"/>
      <c r="BI69" s="279"/>
      <c r="BJ69" s="279"/>
      <c r="BK69" s="279"/>
      <c r="BL69" s="81"/>
      <c r="BM69" s="81"/>
      <c r="BN69" s="861"/>
      <c r="BO69" s="81"/>
      <c r="BP69" s="81"/>
      <c r="BQ69" s="861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</row>
    <row r="70" spans="1:149" s="5" customFormat="1">
      <c r="A70" s="101">
        <v>63</v>
      </c>
      <c r="B70" s="81" t="s">
        <v>153</v>
      </c>
      <c r="C70" s="81">
        <f>'2-1-13 SIS'!S69</f>
        <v>2038</v>
      </c>
      <c r="D70" s="81">
        <f>'[6]2-1-13-Supreme Court Ruling'!AE68</f>
        <v>1070</v>
      </c>
      <c r="E70" s="81">
        <f t="shared" si="53"/>
        <v>235</v>
      </c>
      <c r="F70" s="81">
        <f>'[7]CTE-Oct 2012-Supreme Court'!AC69</f>
        <v>613</v>
      </c>
      <c r="G70" s="81">
        <f t="shared" si="54"/>
        <v>37</v>
      </c>
      <c r="H70" s="1156">
        <f>'[8]SWD 2-1-13 Supreme Court'!Z68</f>
        <v>259</v>
      </c>
      <c r="I70" s="1156">
        <f t="shared" si="27"/>
        <v>388.5</v>
      </c>
      <c r="J70" s="1156">
        <f>'[9]GT_PS-12th Supreme Court'!T67</f>
        <v>139</v>
      </c>
      <c r="K70" s="1156">
        <f t="shared" si="28"/>
        <v>83.399999999999991</v>
      </c>
      <c r="L70" s="13">
        <f t="shared" si="55"/>
        <v>5462</v>
      </c>
      <c r="M70" s="65">
        <f t="shared" si="56"/>
        <v>0.14565</v>
      </c>
      <c r="N70" s="13">
        <f t="shared" si="57"/>
        <v>297</v>
      </c>
      <c r="O70" s="13">
        <f t="shared" si="29"/>
        <v>1040.9000000000001</v>
      </c>
      <c r="P70" s="13">
        <f t="shared" si="58"/>
        <v>3078.9</v>
      </c>
      <c r="Q70" s="381">
        <f t="shared" si="30"/>
        <v>3855</v>
      </c>
      <c r="R70" s="381">
        <f t="shared" si="59"/>
        <v>11869160</v>
      </c>
      <c r="S70" s="381">
        <f>'Table 6 (Local Deduct Calc.)'!J71</f>
        <v>5973274.5</v>
      </c>
      <c r="T70" s="381">
        <f t="shared" si="31"/>
        <v>5973274.5</v>
      </c>
      <c r="U70" s="382">
        <f t="shared" si="32"/>
        <v>5895885.5</v>
      </c>
      <c r="V70" s="383">
        <f t="shared" si="52"/>
        <v>0.49669999999999997</v>
      </c>
      <c r="W70" s="383">
        <f t="shared" si="33"/>
        <v>0.50329999999999997</v>
      </c>
      <c r="X70" s="384">
        <f t="shared" si="60"/>
        <v>2930.9492149165849</v>
      </c>
      <c r="Y70" s="381">
        <f>'Table 7 Local Revenue'!AQ70</f>
        <v>14444067.5</v>
      </c>
      <c r="Z70" s="381">
        <f t="shared" si="34"/>
        <v>8470793</v>
      </c>
      <c r="AA70" s="279">
        <f t="shared" si="35"/>
        <v>0</v>
      </c>
      <c r="AB70" s="14">
        <f t="shared" si="36"/>
        <v>4035514.4000000004</v>
      </c>
      <c r="AC70" s="14">
        <f t="shared" si="37"/>
        <v>4035514.4000000004</v>
      </c>
      <c r="AD70" s="381">
        <f t="shared" si="38"/>
        <v>3493447.9637344</v>
      </c>
      <c r="AE70" s="385">
        <f t="shared" si="39"/>
        <v>542066.43626560038</v>
      </c>
      <c r="AF70" s="16">
        <f t="shared" si="40"/>
        <v>0.1343</v>
      </c>
      <c r="AG70" s="385">
        <f t="shared" si="41"/>
        <v>6437951.9362656008</v>
      </c>
      <c r="AH70" s="14">
        <f t="shared" si="61"/>
        <v>3159</v>
      </c>
      <c r="AI70" s="385">
        <f>'Table 4 Level 3'!O68</f>
        <v>2452417</v>
      </c>
      <c r="AJ70" s="14">
        <f t="shared" si="62"/>
        <v>1203.3449460255151</v>
      </c>
      <c r="AK70" s="385">
        <f t="shared" si="42"/>
        <v>8890368.9362656008</v>
      </c>
      <c r="AL70" s="14">
        <f t="shared" si="63"/>
        <v>4362.300753810403</v>
      </c>
      <c r="AM70" s="499">
        <f>'Table 4 Level 3'!R68</f>
        <v>3994755.02</v>
      </c>
      <c r="AN70" s="500">
        <f t="shared" si="64"/>
        <v>1960.1349460255153</v>
      </c>
      <c r="AO70" s="385">
        <f t="shared" si="43"/>
        <v>10432706.9562656</v>
      </c>
      <c r="AP70" s="14">
        <f t="shared" si="65"/>
        <v>5119.0907538104029</v>
      </c>
      <c r="AQ70" s="16">
        <f t="shared" si="44"/>
        <v>0.51036905662986654</v>
      </c>
      <c r="AR70" s="386">
        <f t="shared" si="45"/>
        <v>54</v>
      </c>
      <c r="AS70" s="14">
        <f t="shared" si="46"/>
        <v>10008788.9</v>
      </c>
      <c r="AT70" s="14">
        <f t="shared" si="66"/>
        <v>4911.08</v>
      </c>
      <c r="AU70" s="386">
        <f t="shared" si="47"/>
        <v>9</v>
      </c>
      <c r="AV70" s="16">
        <f t="shared" si="48"/>
        <v>0.48963094337013346</v>
      </c>
      <c r="AW70" s="386">
        <f t="shared" si="49"/>
        <v>20441495.856265601</v>
      </c>
      <c r="AX70" s="387">
        <f t="shared" si="67"/>
        <v>10030.17461053268</v>
      </c>
      <c r="AY70" s="386">
        <f t="shared" si="50"/>
        <v>5</v>
      </c>
      <c r="AZ70" s="1076">
        <v>10527635.824539199</v>
      </c>
      <c r="BA70" s="279">
        <f t="shared" si="51"/>
        <v>-94928.868273599073</v>
      </c>
      <c r="BB70" s="1081"/>
      <c r="BC70" s="279"/>
      <c r="BD70" s="279"/>
      <c r="BE70" s="279"/>
      <c r="BF70" s="279"/>
      <c r="BG70" s="279"/>
      <c r="BH70" s="279"/>
      <c r="BI70" s="279"/>
      <c r="BJ70" s="279"/>
      <c r="BK70" s="279"/>
      <c r="BL70" s="81"/>
      <c r="BM70" s="81"/>
      <c r="BN70" s="861"/>
      <c r="BO70" s="81"/>
      <c r="BP70" s="81"/>
      <c r="BQ70" s="861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</row>
    <row r="71" spans="1:149" s="5" customFormat="1">
      <c r="A71" s="101">
        <v>64</v>
      </c>
      <c r="B71" s="81" t="s">
        <v>154</v>
      </c>
      <c r="C71" s="81">
        <f>'2-1-13 SIS'!S70</f>
        <v>2396</v>
      </c>
      <c r="D71" s="81">
        <f>'[6]2-1-13-Supreme Court Ruling'!AE69</f>
        <v>1727</v>
      </c>
      <c r="E71" s="81">
        <f t="shared" si="53"/>
        <v>380</v>
      </c>
      <c r="F71" s="81">
        <f>'[7]CTE-Oct 2012-Supreme Court'!AC70</f>
        <v>1264</v>
      </c>
      <c r="G71" s="81">
        <f t="shared" si="54"/>
        <v>76</v>
      </c>
      <c r="H71" s="1156">
        <f>'[8]SWD 2-1-13 Supreme Court'!Z69</f>
        <v>320</v>
      </c>
      <c r="I71" s="1156">
        <f t="shared" si="27"/>
        <v>480</v>
      </c>
      <c r="J71" s="1156">
        <f>'[9]GT_PS-12th Supreme Court'!T68</f>
        <v>82</v>
      </c>
      <c r="K71" s="1156">
        <f t="shared" si="28"/>
        <v>49.199999999999996</v>
      </c>
      <c r="L71" s="13">
        <f t="shared" si="55"/>
        <v>5104</v>
      </c>
      <c r="M71" s="65">
        <f t="shared" si="56"/>
        <v>0.13611000000000001</v>
      </c>
      <c r="N71" s="13">
        <f t="shared" si="57"/>
        <v>326</v>
      </c>
      <c r="O71" s="13">
        <f t="shared" si="29"/>
        <v>1311.2</v>
      </c>
      <c r="P71" s="13">
        <f t="shared" si="58"/>
        <v>3707.2</v>
      </c>
      <c r="Q71" s="381">
        <f t="shared" si="30"/>
        <v>3855</v>
      </c>
      <c r="R71" s="381">
        <f t="shared" si="59"/>
        <v>14291256</v>
      </c>
      <c r="S71" s="381">
        <f>'Table 6 (Local Deduct Calc.)'!J72</f>
        <v>2931602</v>
      </c>
      <c r="T71" s="381">
        <f t="shared" si="31"/>
        <v>2931602</v>
      </c>
      <c r="U71" s="382">
        <f t="shared" si="32"/>
        <v>11359654</v>
      </c>
      <c r="V71" s="383">
        <f t="shared" si="52"/>
        <v>0.79490000000000005</v>
      </c>
      <c r="W71" s="383">
        <f t="shared" si="33"/>
        <v>0.2051</v>
      </c>
      <c r="X71" s="384">
        <f t="shared" si="60"/>
        <v>1223.5400667779634</v>
      </c>
      <c r="Y71" s="381">
        <f>'Table 7 Local Revenue'!AQ71</f>
        <v>6892061</v>
      </c>
      <c r="Z71" s="381">
        <f t="shared" si="34"/>
        <v>3960459</v>
      </c>
      <c r="AA71" s="279">
        <f t="shared" si="35"/>
        <v>0</v>
      </c>
      <c r="AB71" s="14">
        <f t="shared" si="36"/>
        <v>4859027.04</v>
      </c>
      <c r="AC71" s="14">
        <f t="shared" si="37"/>
        <v>3960459</v>
      </c>
      <c r="AD71" s="381">
        <f t="shared" si="38"/>
        <v>1397139.0423480002</v>
      </c>
      <c r="AE71" s="385">
        <f t="shared" si="39"/>
        <v>2563319.9576519998</v>
      </c>
      <c r="AF71" s="16">
        <f t="shared" si="40"/>
        <v>0.6472</v>
      </c>
      <c r="AG71" s="385">
        <f t="shared" si="41"/>
        <v>13922973.957651999</v>
      </c>
      <c r="AH71" s="14">
        <f t="shared" si="61"/>
        <v>5811</v>
      </c>
      <c r="AI71" s="385">
        <f>'Table 4 Level 3'!O69</f>
        <v>357677</v>
      </c>
      <c r="AJ71" s="14">
        <f t="shared" si="62"/>
        <v>149.28088480801335</v>
      </c>
      <c r="AK71" s="385">
        <f t="shared" si="42"/>
        <v>14280650.957651999</v>
      </c>
      <c r="AL71" s="14">
        <f t="shared" si="63"/>
        <v>5960.2049072003338</v>
      </c>
      <c r="AM71" s="499">
        <f>'Table 4 Level 3'!R69</f>
        <v>1777690.3599999999</v>
      </c>
      <c r="AN71" s="500">
        <f t="shared" si="64"/>
        <v>741.94088480801327</v>
      </c>
      <c r="AO71" s="385">
        <f t="shared" si="43"/>
        <v>15700664.317651998</v>
      </c>
      <c r="AP71" s="14">
        <f t="shared" si="65"/>
        <v>6552.8649072003327</v>
      </c>
      <c r="AQ71" s="16">
        <f t="shared" si="44"/>
        <v>0.69494335441616062</v>
      </c>
      <c r="AR71" s="386">
        <f t="shared" si="45"/>
        <v>18</v>
      </c>
      <c r="AS71" s="14">
        <f t="shared" si="46"/>
        <v>6892061</v>
      </c>
      <c r="AT71" s="14">
        <f t="shared" si="66"/>
        <v>2876.49</v>
      </c>
      <c r="AU71" s="386">
        <f t="shared" si="47"/>
        <v>47</v>
      </c>
      <c r="AV71" s="16">
        <f t="shared" si="48"/>
        <v>0.30505664558383938</v>
      </c>
      <c r="AW71" s="386">
        <f t="shared" si="49"/>
        <v>22592725.317651998</v>
      </c>
      <c r="AX71" s="387">
        <f t="shared" si="67"/>
        <v>9429.3511342454076</v>
      </c>
      <c r="AY71" s="386">
        <f t="shared" si="50"/>
        <v>13</v>
      </c>
      <c r="AZ71" s="1076">
        <v>15654924.385647999</v>
      </c>
      <c r="BA71" s="279">
        <f t="shared" si="51"/>
        <v>45739.932003999129</v>
      </c>
      <c r="BB71" s="1081"/>
      <c r="BC71" s="279"/>
      <c r="BD71" s="279"/>
      <c r="BE71" s="279"/>
      <c r="BF71" s="279"/>
      <c r="BG71" s="279"/>
      <c r="BH71" s="279"/>
      <c r="BI71" s="279"/>
      <c r="BJ71" s="279"/>
      <c r="BK71" s="279"/>
      <c r="BL71" s="81"/>
      <c r="BM71" s="81"/>
      <c r="BN71" s="861"/>
      <c r="BO71" s="81"/>
      <c r="BP71" s="81"/>
      <c r="BQ71" s="86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</row>
    <row r="72" spans="1:149" s="5" customFormat="1">
      <c r="A72" s="102">
        <v>65</v>
      </c>
      <c r="B72" s="82" t="s">
        <v>155</v>
      </c>
      <c r="C72" s="82">
        <f>'2-1-13 SIS'!S71</f>
        <v>8246</v>
      </c>
      <c r="D72" s="82">
        <f>'[6]2-1-13-Supreme Court Ruling'!AE70</f>
        <v>6660</v>
      </c>
      <c r="E72" s="82">
        <f t="shared" ref="E72:E76" si="68">ROUND($D$4*D72,0)</f>
        <v>1465</v>
      </c>
      <c r="F72" s="82">
        <f>'[7]CTE-Oct 2012-Supreme Court'!AC71</f>
        <v>2275.5</v>
      </c>
      <c r="G72" s="82">
        <f t="shared" ref="G72:G76" si="69">ROUND($F$4*F72,0)</f>
        <v>137</v>
      </c>
      <c r="H72" s="82">
        <f>'[8]SWD 2-1-13 Supreme Court'!Z70</f>
        <v>1288</v>
      </c>
      <c r="I72" s="82">
        <f t="shared" si="27"/>
        <v>1932</v>
      </c>
      <c r="J72" s="82">
        <f>'[9]GT_PS-12th Supreme Court'!T69</f>
        <v>592</v>
      </c>
      <c r="K72" s="82">
        <f t="shared" si="28"/>
        <v>355.2</v>
      </c>
      <c r="L72" s="19">
        <f t="shared" si="55"/>
        <v>0</v>
      </c>
      <c r="M72" s="66">
        <f>ROUND(L72/$M$4,5)</f>
        <v>0</v>
      </c>
      <c r="N72" s="19">
        <f t="shared" ref="N72:N76" si="70" xml:space="preserve"> ROUND(C72*M72,0)</f>
        <v>0</v>
      </c>
      <c r="O72" s="19">
        <f t="shared" si="29"/>
        <v>3889.2</v>
      </c>
      <c r="P72" s="19">
        <f t="shared" ref="P72:P76" si="71">O72+C72</f>
        <v>12135.2</v>
      </c>
      <c r="Q72" s="388">
        <f t="shared" si="30"/>
        <v>3855</v>
      </c>
      <c r="R72" s="388">
        <f>ROUND(P72*Q72,0)</f>
        <v>46781196</v>
      </c>
      <c r="S72" s="388">
        <f>'Table 6 (Local Deduct Calc.)'!J73</f>
        <v>16505276</v>
      </c>
      <c r="T72" s="388">
        <f t="shared" si="31"/>
        <v>16505276</v>
      </c>
      <c r="U72" s="389">
        <f t="shared" si="32"/>
        <v>30275920</v>
      </c>
      <c r="V72" s="390">
        <f t="shared" si="52"/>
        <v>0.6472</v>
      </c>
      <c r="W72" s="391">
        <f t="shared" si="33"/>
        <v>0.3528</v>
      </c>
      <c r="X72" s="392">
        <f t="shared" ref="X72:X77" si="72">T72/C72</f>
        <v>2001.6099927237449</v>
      </c>
      <c r="Y72" s="388">
        <f>'Table 7 Local Revenue'!AQ72</f>
        <v>41349874</v>
      </c>
      <c r="Z72" s="388">
        <f t="shared" si="34"/>
        <v>24844598</v>
      </c>
      <c r="AA72" s="280">
        <f t="shared" si="35"/>
        <v>0</v>
      </c>
      <c r="AB72" s="20">
        <f t="shared" si="36"/>
        <v>15905606.640000001</v>
      </c>
      <c r="AC72" s="20">
        <f t="shared" si="37"/>
        <v>15905606.640000001</v>
      </c>
      <c r="AD72" s="388">
        <f t="shared" si="38"/>
        <v>9651776.598858241</v>
      </c>
      <c r="AE72" s="393">
        <f t="shared" si="39"/>
        <v>6253830.0411417596</v>
      </c>
      <c r="AF72" s="273">
        <f t="shared" si="40"/>
        <v>0.39319999999999999</v>
      </c>
      <c r="AG72" s="393">
        <f t="shared" si="41"/>
        <v>36529750.041141763</v>
      </c>
      <c r="AH72" s="20">
        <f t="shared" ref="AH72:AH77" si="73">ROUND(AG72/C72,0)</f>
        <v>4430</v>
      </c>
      <c r="AI72" s="393">
        <f>'Table 4 Level 3'!O70</f>
        <v>1230970</v>
      </c>
      <c r="AJ72" s="20">
        <f t="shared" ref="AJ72:AJ77" si="74">AI72/C72</f>
        <v>149.28086344894496</v>
      </c>
      <c r="AK72" s="393">
        <f t="shared" si="42"/>
        <v>37760720.041141763</v>
      </c>
      <c r="AL72" s="20">
        <f t="shared" ref="AL72:AL77" si="75">AK72/C72</f>
        <v>4579.2772303106676</v>
      </c>
      <c r="AM72" s="501">
        <f>'Table 4 Level 3'!R70</f>
        <v>8067893.5200000005</v>
      </c>
      <c r="AN72" s="502">
        <f t="shared" ref="AN72:AN77" si="76">AM72/C72</f>
        <v>978.40086344894496</v>
      </c>
      <c r="AO72" s="393">
        <f t="shared" si="43"/>
        <v>44597643.561141767</v>
      </c>
      <c r="AP72" s="20">
        <f t="shared" ref="AP72:AP77" si="77">AO72/C72</f>
        <v>5408.3972303106675</v>
      </c>
      <c r="AQ72" s="273">
        <f t="shared" si="44"/>
        <v>0.5791260495578805</v>
      </c>
      <c r="AR72" s="394">
        <f t="shared" si="45"/>
        <v>47</v>
      </c>
      <c r="AS72" s="20">
        <f t="shared" si="46"/>
        <v>32410882.640000001</v>
      </c>
      <c r="AT72" s="20">
        <f t="shared" ref="AT72:AT77" si="78">ROUND(AS72/C72,2)</f>
        <v>3930.5</v>
      </c>
      <c r="AU72" s="394">
        <f t="shared" si="47"/>
        <v>20</v>
      </c>
      <c r="AV72" s="273">
        <f t="shared" si="48"/>
        <v>0.42087395044211945</v>
      </c>
      <c r="AW72" s="394">
        <f t="shared" si="49"/>
        <v>77008526.201141775</v>
      </c>
      <c r="AX72" s="395">
        <f t="shared" ref="AX72:AX77" si="79">AW72/C72</f>
        <v>9338.8947612347529</v>
      </c>
      <c r="AY72" s="394">
        <f t="shared" si="50"/>
        <v>15</v>
      </c>
      <c r="AZ72" s="1077">
        <v>46618009.191515908</v>
      </c>
      <c r="BA72" s="280">
        <f t="shared" si="51"/>
        <v>-2020365.630374141</v>
      </c>
      <c r="BB72" s="1082"/>
      <c r="BC72" s="280"/>
      <c r="BD72" s="280"/>
      <c r="BE72" s="280"/>
      <c r="BF72" s="280"/>
      <c r="BG72" s="280"/>
      <c r="BH72" s="280"/>
      <c r="BI72" s="280"/>
      <c r="BJ72" s="280"/>
      <c r="BK72" s="280"/>
      <c r="BL72" s="82"/>
      <c r="BM72" s="82"/>
      <c r="BN72" s="862"/>
      <c r="BO72" s="82"/>
      <c r="BP72" s="82"/>
      <c r="BQ72" s="86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</row>
    <row r="73" spans="1:149" s="5" customFormat="1">
      <c r="A73" s="101">
        <v>66</v>
      </c>
      <c r="B73" s="81" t="s">
        <v>156</v>
      </c>
      <c r="C73" s="81">
        <f>'2-1-13 SIS'!S72</f>
        <v>2025</v>
      </c>
      <c r="D73" s="81">
        <f>'[6]2-1-13-Supreme Court Ruling'!AE71</f>
        <v>1895</v>
      </c>
      <c r="E73" s="81">
        <f t="shared" si="68"/>
        <v>417</v>
      </c>
      <c r="F73" s="81">
        <f>'[7]CTE-Oct 2012-Supreme Court'!AC72</f>
        <v>417</v>
      </c>
      <c r="G73" s="81">
        <f t="shared" si="69"/>
        <v>25</v>
      </c>
      <c r="H73" s="1156">
        <f>'[8]SWD 2-1-13 Supreme Court'!Z71</f>
        <v>500</v>
      </c>
      <c r="I73" s="1156">
        <f t="shared" ref="I73:I76" si="80">$H$4*H73</f>
        <v>750</v>
      </c>
      <c r="J73" s="1156">
        <f>'[9]GT_PS-12th Supreme Court'!T70</f>
        <v>108</v>
      </c>
      <c r="K73" s="1156">
        <f t="shared" ref="K73:K76" si="81">$J$4*J73</f>
        <v>64.8</v>
      </c>
      <c r="L73" s="13">
        <f t="shared" si="55"/>
        <v>5475</v>
      </c>
      <c r="M73" s="65">
        <f>ROUND(L73/$M$4,5)</f>
        <v>0.14599999999999999</v>
      </c>
      <c r="N73" s="13">
        <f t="shared" si="70"/>
        <v>296</v>
      </c>
      <c r="O73" s="13">
        <f t="shared" ref="O73:O76" si="82">E73+G73+I73+K73+N73</f>
        <v>1552.8</v>
      </c>
      <c r="P73" s="13">
        <f t="shared" si="71"/>
        <v>3577.8</v>
      </c>
      <c r="Q73" s="381">
        <f>$Q$4</f>
        <v>3855</v>
      </c>
      <c r="R73" s="381">
        <f>ROUND(P73*Q73,0)</f>
        <v>13792419</v>
      </c>
      <c r="S73" s="381">
        <f>'Table 6 (Local Deduct Calc.)'!J74</f>
        <v>3460362</v>
      </c>
      <c r="T73" s="381">
        <f>IF((S73&gt;R73*$T$4),R73*$T$4,S73)</f>
        <v>3460362</v>
      </c>
      <c r="U73" s="382">
        <f>R73-T73</f>
        <v>10332057</v>
      </c>
      <c r="V73" s="383">
        <f>ROUND(U73/R73,4)</f>
        <v>0.74909999999999999</v>
      </c>
      <c r="W73" s="383">
        <f>ROUND(T73/R73,4)</f>
        <v>0.25090000000000001</v>
      </c>
      <c r="X73" s="384">
        <f t="shared" si="72"/>
        <v>1708.8207407407408</v>
      </c>
      <c r="Y73" s="381">
        <f>'Table 7 Local Revenue'!AQ73</f>
        <v>7447578</v>
      </c>
      <c r="Z73" s="381">
        <f>IF(Y73-T73&gt;0,Y73-T73,0)</f>
        <v>3987216</v>
      </c>
      <c r="AA73" s="279">
        <f>IF(Y73-T73&lt;0,Y73-T73,0)</f>
        <v>0</v>
      </c>
      <c r="AB73" s="14">
        <f>R73*$AB$4</f>
        <v>4689422.46</v>
      </c>
      <c r="AC73" s="14">
        <f>IF(Z73&lt;AB73,Z73,AB73)</f>
        <v>3987216</v>
      </c>
      <c r="AD73" s="381">
        <f>IF(AC73&gt;0,AC73*(W73*$AD$4),0)</f>
        <v>1720675.0903679999</v>
      </c>
      <c r="AE73" s="385">
        <f>IF(AC73-AD73&gt;AC73*$AE$4,AC73-AD73,AC73*$AE$4)</f>
        <v>2266540.9096320001</v>
      </c>
      <c r="AF73" s="16">
        <f>IF(AC73=0,0,ROUND(AE73/AC73,4))</f>
        <v>0.56850000000000001</v>
      </c>
      <c r="AG73" s="385">
        <f>U73+AE73</f>
        <v>12598597.909632001</v>
      </c>
      <c r="AH73" s="14">
        <f t="shared" si="73"/>
        <v>6222</v>
      </c>
      <c r="AI73" s="385">
        <f>'Table 4 Level 3'!O71</f>
        <v>302294</v>
      </c>
      <c r="AJ73" s="14">
        <f t="shared" si="74"/>
        <v>149.280987654321</v>
      </c>
      <c r="AK73" s="385">
        <f>AI73+AG73</f>
        <v>12900891.909632001</v>
      </c>
      <c r="AL73" s="14">
        <f t="shared" si="75"/>
        <v>6370.8108195713585</v>
      </c>
      <c r="AM73" s="499">
        <f>'Table 4 Level 3'!R71</f>
        <v>1780665.5</v>
      </c>
      <c r="AN73" s="500">
        <f t="shared" si="76"/>
        <v>879.340987654321</v>
      </c>
      <c r="AO73" s="385">
        <f>AG73+AM73</f>
        <v>14379263.409632001</v>
      </c>
      <c r="AP73" s="14">
        <f t="shared" si="77"/>
        <v>7100.8708195713589</v>
      </c>
      <c r="AQ73" s="16">
        <f t="shared" ref="AQ73:AQ77" si="83">AO73/AW73</f>
        <v>0.65878810130019794</v>
      </c>
      <c r="AR73" s="386">
        <f>RANK(AQ73,$AQ$8:$AQ$76)</f>
        <v>31</v>
      </c>
      <c r="AS73" s="14">
        <f>ROUND(AC73+T73,2)</f>
        <v>7447578</v>
      </c>
      <c r="AT73" s="14">
        <f t="shared" si="78"/>
        <v>3677.82</v>
      </c>
      <c r="AU73" s="386">
        <f>RANK(AT73,$AT$8:$AT$76)</f>
        <v>24</v>
      </c>
      <c r="AV73" s="16">
        <f>AS73/AW73</f>
        <v>0.34121189869980212</v>
      </c>
      <c r="AW73" s="386">
        <f t="shared" ref="AW73:AW76" si="84">AO73+AS73</f>
        <v>21826841.409632001</v>
      </c>
      <c r="AX73" s="387">
        <f t="shared" si="79"/>
        <v>10778.687115867655</v>
      </c>
      <c r="AY73" s="386">
        <f>RANK(AX73,$AX$8:$AX$76)</f>
        <v>2</v>
      </c>
      <c r="AZ73" s="1076">
        <v>14359000.542099999</v>
      </c>
      <c r="BA73" s="279">
        <f t="shared" ref="BA73:BA76" si="85">AO73-AZ73</f>
        <v>20262.867532001808</v>
      </c>
      <c r="BB73" s="1079"/>
      <c r="BC73" s="279"/>
      <c r="BD73" s="279"/>
      <c r="BE73" s="279"/>
      <c r="BF73" s="279"/>
      <c r="BG73" s="279"/>
      <c r="BH73" s="279"/>
      <c r="BI73" s="279"/>
      <c r="BJ73" s="279"/>
      <c r="BK73" s="279"/>
      <c r="BL73" s="81"/>
      <c r="BM73" s="81"/>
      <c r="BN73" s="861"/>
      <c r="BO73" s="81"/>
      <c r="BP73" s="81"/>
      <c r="BQ73" s="861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</row>
    <row r="74" spans="1:149" s="5" customFormat="1">
      <c r="A74" s="101">
        <v>67</v>
      </c>
      <c r="B74" s="140" t="s">
        <v>32</v>
      </c>
      <c r="C74" s="351">
        <f>'2-1-13 SIS'!S73</f>
        <v>5098</v>
      </c>
      <c r="D74" s="81">
        <f>'[6]2-1-13-Supreme Court Ruling'!AE72</f>
        <v>2264</v>
      </c>
      <c r="E74" s="81">
        <f t="shared" si="68"/>
        <v>498</v>
      </c>
      <c r="F74" s="81">
        <f>'[7]CTE-Oct 2012-Supreme Court'!AC73</f>
        <v>1467</v>
      </c>
      <c r="G74" s="81">
        <f t="shared" si="69"/>
        <v>88</v>
      </c>
      <c r="H74" s="1156">
        <f>'[8]SWD 2-1-13 Supreme Court'!Z72</f>
        <v>418</v>
      </c>
      <c r="I74" s="1156">
        <f t="shared" si="80"/>
        <v>627</v>
      </c>
      <c r="J74" s="1156">
        <f>'[9]GT_PS-12th Supreme Court'!T71</f>
        <v>427</v>
      </c>
      <c r="K74" s="1156">
        <f t="shared" si="81"/>
        <v>256.2</v>
      </c>
      <c r="L74" s="13">
        <f t="shared" si="55"/>
        <v>2402</v>
      </c>
      <c r="M74" s="65">
        <f>ROUND(L74/$M$4,5)</f>
        <v>6.4049999999999996E-2</v>
      </c>
      <c r="N74" s="13">
        <f t="shared" si="70"/>
        <v>327</v>
      </c>
      <c r="O74" s="13">
        <f t="shared" si="82"/>
        <v>1796.2</v>
      </c>
      <c r="P74" s="13">
        <f t="shared" si="71"/>
        <v>6894.2</v>
      </c>
      <c r="Q74" s="381">
        <f>$Q$4</f>
        <v>3855</v>
      </c>
      <c r="R74" s="381">
        <f>ROUND(P74*Q74,0)</f>
        <v>26577141</v>
      </c>
      <c r="S74" s="381">
        <f>'Table 6 (Local Deduct Calc.)'!J75</f>
        <v>7023308</v>
      </c>
      <c r="T74" s="381">
        <f>IF((S74&gt;R74*$T$4),R74*$T$4,S74)</f>
        <v>7023308</v>
      </c>
      <c r="U74" s="382">
        <f>R74-T74</f>
        <v>19553833</v>
      </c>
      <c r="V74" s="383">
        <f>ROUND(U74/R74,4)</f>
        <v>0.73570000000000002</v>
      </c>
      <c r="W74" s="383">
        <f>ROUND(T74/R74,4)</f>
        <v>0.26429999999999998</v>
      </c>
      <c r="X74" s="384">
        <f t="shared" si="72"/>
        <v>1377.6594743036485</v>
      </c>
      <c r="Y74" s="381">
        <f>'Table 7 Local Revenue'!AQ74</f>
        <v>26270836</v>
      </c>
      <c r="Z74" s="381">
        <f>IF(Y74-T74&gt;0,Y74-T74,0)</f>
        <v>19247528</v>
      </c>
      <c r="AA74" s="279">
        <f>IF(Y74-T74&lt;0,Y74-T74,0)</f>
        <v>0</v>
      </c>
      <c r="AB74" s="14">
        <f>R74*$AB$4</f>
        <v>9036227.9400000013</v>
      </c>
      <c r="AC74" s="14">
        <f>IF(Z74&lt;AB74,Z74,AB74)</f>
        <v>9036227.9400000013</v>
      </c>
      <c r="AD74" s="381">
        <f>IF(AC74&gt;0,AC74*(W74*$AD$4),0)</f>
        <v>4107833.0766122402</v>
      </c>
      <c r="AE74" s="396">
        <f>IF(AC74-AD74&gt;AC74*$AE$4,AC74-AD74,AC74*$AE$4)</f>
        <v>4928394.8633877616</v>
      </c>
      <c r="AF74" s="16">
        <f>IF(AC74=0,0,ROUND(AE74/AC74,4))</f>
        <v>0.5454</v>
      </c>
      <c r="AG74" s="385">
        <f>U74+AE74</f>
        <v>24482227.863387764</v>
      </c>
      <c r="AH74" s="14">
        <f t="shared" si="73"/>
        <v>4802</v>
      </c>
      <c r="AI74" s="385">
        <f>'Table 4 Level 3'!O72</f>
        <v>761034</v>
      </c>
      <c r="AJ74" s="14">
        <f t="shared" si="74"/>
        <v>149.28089446841898</v>
      </c>
      <c r="AK74" s="385">
        <f>AI74+AG74</f>
        <v>25243261.863387764</v>
      </c>
      <c r="AL74" s="14">
        <f t="shared" si="75"/>
        <v>4951.6009932106244</v>
      </c>
      <c r="AM74" s="499">
        <f>'Table 4 Level 3'!R72</f>
        <v>4409213.78</v>
      </c>
      <c r="AN74" s="500">
        <f t="shared" si="76"/>
        <v>864.89089446841899</v>
      </c>
      <c r="AO74" s="385">
        <f>AG74+AM74</f>
        <v>28891441.643387765</v>
      </c>
      <c r="AP74" s="14">
        <f t="shared" si="77"/>
        <v>5667.210993210625</v>
      </c>
      <c r="AQ74" s="16">
        <f t="shared" si="83"/>
        <v>0.64273222066843294</v>
      </c>
      <c r="AR74" s="386">
        <f>RANK(AQ74,$AQ$8:$AQ$76)</f>
        <v>36</v>
      </c>
      <c r="AS74" s="14">
        <f>ROUND(AC74+T74,2)</f>
        <v>16059535.939999999</v>
      </c>
      <c r="AT74" s="14">
        <f t="shared" si="78"/>
        <v>3150.16</v>
      </c>
      <c r="AU74" s="386">
        <f>RANK(AT74,$AT$8:$AT$76)</f>
        <v>38</v>
      </c>
      <c r="AV74" s="16">
        <f>AS74/AW74</f>
        <v>0.35726777933156711</v>
      </c>
      <c r="AW74" s="386">
        <f t="shared" si="84"/>
        <v>44950977.583387762</v>
      </c>
      <c r="AX74" s="387">
        <f t="shared" si="79"/>
        <v>8817.3749673181173</v>
      </c>
      <c r="AY74" s="386">
        <f>RANK(AX74,$AX$8:$AX$76)</f>
        <v>36</v>
      </c>
      <c r="AZ74" s="1076">
        <v>29235198.971705601</v>
      </c>
      <c r="BA74" s="279">
        <f t="shared" si="85"/>
        <v>-343757.32831783593</v>
      </c>
      <c r="BB74" s="1081"/>
      <c r="BC74" s="279"/>
      <c r="BD74" s="279"/>
      <c r="BE74" s="279"/>
      <c r="BF74" s="279"/>
      <c r="BG74" s="279"/>
      <c r="BH74" s="279"/>
      <c r="BI74" s="279"/>
      <c r="BJ74" s="279"/>
      <c r="BK74" s="279"/>
      <c r="BL74" s="351"/>
      <c r="BM74" s="351"/>
      <c r="BN74" s="865"/>
      <c r="BO74" s="351"/>
      <c r="BP74" s="351"/>
      <c r="BQ74" s="865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</row>
    <row r="75" spans="1:149">
      <c r="A75" s="101">
        <v>68</v>
      </c>
      <c r="B75" s="81" t="s">
        <v>30</v>
      </c>
      <c r="C75" s="81">
        <f>'2-1-13 SIS'!S74</f>
        <v>1714</v>
      </c>
      <c r="D75" s="81">
        <f>'[6]2-1-13-Supreme Court Ruling'!AE73</f>
        <v>1411</v>
      </c>
      <c r="E75" s="81">
        <f t="shared" si="68"/>
        <v>310</v>
      </c>
      <c r="F75" s="81">
        <f>'[7]CTE-Oct 2012-Supreme Court'!AC74</f>
        <v>679</v>
      </c>
      <c r="G75" s="81">
        <f t="shared" si="69"/>
        <v>41</v>
      </c>
      <c r="H75" s="1156">
        <f>'[8]SWD 2-1-13 Supreme Court'!Z73</f>
        <v>212</v>
      </c>
      <c r="I75" s="1156">
        <f t="shared" si="80"/>
        <v>318</v>
      </c>
      <c r="J75" s="1156">
        <f>'[9]GT_PS-12th Supreme Court'!T72</f>
        <v>4</v>
      </c>
      <c r="K75" s="1156">
        <f t="shared" si="81"/>
        <v>2.4</v>
      </c>
      <c r="L75" s="13">
        <f t="shared" si="55"/>
        <v>5786</v>
      </c>
      <c r="M75" s="65">
        <f>ROUND(L75/$M$4,5)</f>
        <v>0.15429000000000001</v>
      </c>
      <c r="N75" s="13">
        <f t="shared" si="70"/>
        <v>264</v>
      </c>
      <c r="O75" s="13">
        <f t="shared" si="82"/>
        <v>935.4</v>
      </c>
      <c r="P75" s="13">
        <f t="shared" si="71"/>
        <v>2649.4</v>
      </c>
      <c r="Q75" s="381">
        <f>$Q$4</f>
        <v>3855</v>
      </c>
      <c r="R75" s="381">
        <f>ROUND(P75*Q75,0)</f>
        <v>10213437</v>
      </c>
      <c r="S75" s="381">
        <f>'Table 6 (Local Deduct Calc.)'!J76</f>
        <v>1977851</v>
      </c>
      <c r="T75" s="381">
        <f>IF((S75&gt;R75*$T$4),R75*$T$4,S75)</f>
        <v>1977851</v>
      </c>
      <c r="U75" s="382">
        <f>R75-T75</f>
        <v>8235586</v>
      </c>
      <c r="V75" s="383">
        <f>ROUND(U75/R75,4)</f>
        <v>0.80630000000000002</v>
      </c>
      <c r="W75" s="383">
        <f>ROUND(T75/R75,4)</f>
        <v>0.19370000000000001</v>
      </c>
      <c r="X75" s="384">
        <f t="shared" si="72"/>
        <v>1153.938739789965</v>
      </c>
      <c r="Y75" s="381">
        <f>'Table 7 Local Revenue'!AQ75</f>
        <v>4864522</v>
      </c>
      <c r="Z75" s="381">
        <f>IF(Y75-T75&gt;0,Y75-T75,0)</f>
        <v>2886671</v>
      </c>
      <c r="AA75" s="279">
        <f>IF(Y75-T75&lt;0,Y75-T75,0)</f>
        <v>0</v>
      </c>
      <c r="AB75" s="14">
        <f>R75*$AB$4</f>
        <v>3472568.58</v>
      </c>
      <c r="AC75" s="14">
        <f>IF(Z75&lt;AB75,Z75,AB75)</f>
        <v>2886671</v>
      </c>
      <c r="AD75" s="381">
        <f>IF(AC75&gt;0,AC75*(W75*$AD$4),0)</f>
        <v>961734.85704400006</v>
      </c>
      <c r="AE75" s="385">
        <f>IF(AC75-AD75&gt;AC75*$AE$4,AC75-AD75,AC75*$AE$4)</f>
        <v>1924936.1429559998</v>
      </c>
      <c r="AF75" s="16">
        <f>IF(AC75=0,0,ROUND(AE75/AC75,4))</f>
        <v>0.66679999999999995</v>
      </c>
      <c r="AG75" s="385">
        <f>U75+AE75</f>
        <v>10160522.142956</v>
      </c>
      <c r="AH75" s="14">
        <f t="shared" si="73"/>
        <v>5928</v>
      </c>
      <c r="AI75" s="385">
        <f>'Table 4 Level 3'!O73</f>
        <v>255867</v>
      </c>
      <c r="AJ75" s="14">
        <f t="shared" si="74"/>
        <v>149.28063010501751</v>
      </c>
      <c r="AK75" s="385">
        <f>AI75+AG75</f>
        <v>10416389.142956</v>
      </c>
      <c r="AL75" s="14">
        <f t="shared" si="75"/>
        <v>6077.2398733698947</v>
      </c>
      <c r="AM75" s="499">
        <f>'Table 4 Level 3'!R73</f>
        <v>1624838.8</v>
      </c>
      <c r="AN75" s="500">
        <f t="shared" si="76"/>
        <v>947.98063010501755</v>
      </c>
      <c r="AO75" s="385">
        <f>AG75+AM75</f>
        <v>11785360.942956001</v>
      </c>
      <c r="AP75" s="14">
        <f t="shared" si="77"/>
        <v>6875.9398733698954</v>
      </c>
      <c r="AQ75" s="16">
        <f t="shared" si="83"/>
        <v>0.70783446246040949</v>
      </c>
      <c r="AR75" s="386">
        <f>RANK(AQ75,$AQ$8:$AQ$76)</f>
        <v>15</v>
      </c>
      <c r="AS75" s="14">
        <f>ROUND(AC75+T75,2)</f>
        <v>4864522</v>
      </c>
      <c r="AT75" s="14">
        <f t="shared" si="78"/>
        <v>2838.11</v>
      </c>
      <c r="AU75" s="386">
        <f>RANK(AT75,$AT$8:$AT$76)</f>
        <v>51</v>
      </c>
      <c r="AV75" s="16">
        <f>AS75/AW75</f>
        <v>0.29216553753959057</v>
      </c>
      <c r="AW75" s="386">
        <f t="shared" si="84"/>
        <v>16649882.942956001</v>
      </c>
      <c r="AX75" s="387">
        <f t="shared" si="79"/>
        <v>9714.0507251785293</v>
      </c>
      <c r="AY75" s="386">
        <f>RANK(AX75,$AX$8:$AX$76)</f>
        <v>7</v>
      </c>
      <c r="AZ75" s="1076">
        <v>11801918.192748001</v>
      </c>
      <c r="BA75" s="279">
        <f t="shared" si="85"/>
        <v>-16557.249792000279</v>
      </c>
      <c r="BB75" s="1079"/>
      <c r="BC75" s="279"/>
      <c r="BD75" s="279"/>
      <c r="BE75" s="279"/>
      <c r="BF75" s="279"/>
      <c r="BG75" s="279"/>
      <c r="BH75" s="279"/>
      <c r="BI75" s="279"/>
      <c r="BJ75" s="279"/>
      <c r="BK75" s="279"/>
      <c r="BL75" s="81"/>
      <c r="BM75" s="81"/>
      <c r="BN75" s="861"/>
      <c r="BO75" s="81"/>
      <c r="BP75" s="81"/>
      <c r="BQ75" s="861"/>
    </row>
    <row r="76" spans="1:149">
      <c r="A76" s="102">
        <v>69</v>
      </c>
      <c r="B76" s="82" t="s">
        <v>205</v>
      </c>
      <c r="C76" s="81">
        <f>'2-1-13 SIS'!S75</f>
        <v>4193</v>
      </c>
      <c r="D76" s="82">
        <f>'[6]2-1-13-Supreme Court Ruling'!AE74</f>
        <v>2184</v>
      </c>
      <c r="E76" s="82">
        <f t="shared" si="68"/>
        <v>480</v>
      </c>
      <c r="F76" s="82">
        <f>'[7]CTE-Oct 2012-Supreme Court'!AC75</f>
        <v>1412.5</v>
      </c>
      <c r="G76" s="82">
        <f t="shared" si="69"/>
        <v>85</v>
      </c>
      <c r="H76" s="82">
        <f>'[8]SWD 2-1-13 Supreme Court'!Z74</f>
        <v>278</v>
      </c>
      <c r="I76" s="82">
        <f t="shared" si="80"/>
        <v>417</v>
      </c>
      <c r="J76" s="82">
        <f>'[9]GT_PS-12th Supreme Court'!T73</f>
        <v>272</v>
      </c>
      <c r="K76" s="82">
        <f t="shared" si="81"/>
        <v>163.19999999999999</v>
      </c>
      <c r="L76" s="19">
        <f t="shared" si="55"/>
        <v>3307</v>
      </c>
      <c r="M76" s="66">
        <f>ROUND(L76/$M$4,5)</f>
        <v>8.8190000000000004E-2</v>
      </c>
      <c r="N76" s="13">
        <f t="shared" si="70"/>
        <v>370</v>
      </c>
      <c r="O76" s="19">
        <f t="shared" si="82"/>
        <v>1515.2</v>
      </c>
      <c r="P76" s="19">
        <f t="shared" si="71"/>
        <v>5708.2</v>
      </c>
      <c r="Q76" s="381">
        <f>$Q$4</f>
        <v>3855</v>
      </c>
      <c r="R76" s="381">
        <f>ROUND(P76*Q76,0)</f>
        <v>22005111</v>
      </c>
      <c r="S76" s="381">
        <f>'Table 6 (Local Deduct Calc.)'!J77</f>
        <v>4221936</v>
      </c>
      <c r="T76" s="381">
        <f>IF((S76&gt;R76*$T$4),R76*$T$4,S76)</f>
        <v>4221936</v>
      </c>
      <c r="U76" s="382">
        <f>R76-T76</f>
        <v>17783175</v>
      </c>
      <c r="V76" s="383">
        <f>ROUND(U76/R76,4)</f>
        <v>0.80810000000000004</v>
      </c>
      <c r="W76" s="383">
        <f>ROUND(T76/R76,4)</f>
        <v>0.19189999999999999</v>
      </c>
      <c r="X76" s="384">
        <f t="shared" si="72"/>
        <v>1006.9010255187217</v>
      </c>
      <c r="Y76" s="381">
        <f>'Table 7 Local Revenue'!AQ76</f>
        <v>14147038</v>
      </c>
      <c r="Z76" s="381">
        <f>IF(Y76-T76&gt;0,Y76-T76,0)</f>
        <v>9925102</v>
      </c>
      <c r="AA76" s="279">
        <f>IF(Y76-T76&lt;0,Y76-T76,0)</f>
        <v>0</v>
      </c>
      <c r="AB76" s="14">
        <f>R76*$AB$4</f>
        <v>7481737.7400000002</v>
      </c>
      <c r="AC76" s="14">
        <f>IF(Z76&lt;AB76,Z76,AB76)</f>
        <v>7481737.7400000002</v>
      </c>
      <c r="AD76" s="381">
        <f>IF(AC76&gt;0,AC76*(W76*$AD$4),0)</f>
        <v>2469482.2123663197</v>
      </c>
      <c r="AE76" s="385">
        <f>IF(AC76-AD76&gt;AC76*$AE$4,AC76-AD76,AC76*$AE$4)</f>
        <v>5012255.52763368</v>
      </c>
      <c r="AF76" s="16">
        <f>IF(AC76=0,0,ROUND(AE76/AC76,4))</f>
        <v>0.66990000000000005</v>
      </c>
      <c r="AG76" s="385">
        <f>U76+AE76</f>
        <v>22795430.527633682</v>
      </c>
      <c r="AH76" s="14">
        <f t="shared" si="73"/>
        <v>5437</v>
      </c>
      <c r="AI76" s="385">
        <f>'Table 4 Level 3'!O74</f>
        <v>625935</v>
      </c>
      <c r="AJ76" s="14">
        <f t="shared" si="74"/>
        <v>149.28094443119485</v>
      </c>
      <c r="AK76" s="393">
        <f>AI76+AG76</f>
        <v>23421365.527633682</v>
      </c>
      <c r="AL76" s="20">
        <f t="shared" si="75"/>
        <v>5585.8253106686579</v>
      </c>
      <c r="AM76" s="499">
        <f>'Table 4 Level 3'!R74</f>
        <v>3584809.31</v>
      </c>
      <c r="AN76" s="500">
        <f t="shared" si="76"/>
        <v>854.9509444311949</v>
      </c>
      <c r="AO76" s="393">
        <f>AG76+AM76</f>
        <v>26380239.837633681</v>
      </c>
      <c r="AP76" s="20">
        <f t="shared" si="77"/>
        <v>6291.4953106686571</v>
      </c>
      <c r="AQ76" s="16">
        <f t="shared" si="83"/>
        <v>0.69268720988608024</v>
      </c>
      <c r="AR76" s="386">
        <f>RANK(AQ76,$AQ$8:$AQ$76)</f>
        <v>20</v>
      </c>
      <c r="AS76" s="14">
        <f>ROUND(AC76+T76,2)</f>
        <v>11703673.74</v>
      </c>
      <c r="AT76" s="14">
        <f t="shared" si="78"/>
        <v>2791.24</v>
      </c>
      <c r="AU76" s="386">
        <f>RANK(AT76,$AT$8:$AT$76)</f>
        <v>53</v>
      </c>
      <c r="AV76" s="16">
        <f>AS76/AW76</f>
        <v>0.30731279011391982</v>
      </c>
      <c r="AW76" s="386">
        <f t="shared" si="84"/>
        <v>38083913.577633679</v>
      </c>
      <c r="AX76" s="387">
        <f t="shared" si="79"/>
        <v>9082.7363648065057</v>
      </c>
      <c r="AY76" s="386">
        <f>RANK(AX76,$AX$8:$AX$76)</f>
        <v>23</v>
      </c>
      <c r="AZ76" s="1077">
        <v>24501064.122550398</v>
      </c>
      <c r="BA76" s="280">
        <f t="shared" si="85"/>
        <v>1879175.7150832824</v>
      </c>
      <c r="BB76" s="1082"/>
      <c r="BC76" s="280"/>
      <c r="BD76" s="280"/>
      <c r="BE76" s="280"/>
      <c r="BF76" s="280"/>
      <c r="BG76" s="280"/>
      <c r="BH76" s="280"/>
      <c r="BI76" s="280"/>
      <c r="BJ76" s="280"/>
      <c r="BK76" s="280"/>
      <c r="BL76" s="81"/>
      <c r="BM76" s="81"/>
      <c r="BN76" s="861"/>
      <c r="BO76" s="81"/>
      <c r="BP76" s="81"/>
      <c r="BQ76" s="861"/>
    </row>
    <row r="77" spans="1:149" ht="13.5" thickBot="1">
      <c r="A77" s="103"/>
      <c r="B77" s="104" t="s">
        <v>88</v>
      </c>
      <c r="C77" s="105">
        <f>SUM(C8:C76)</f>
        <v>673908</v>
      </c>
      <c r="D77" s="105">
        <f t="shared" ref="D77:L77" si="86">SUM(D8:D76)</f>
        <v>457718</v>
      </c>
      <c r="E77" s="105">
        <f t="shared" si="86"/>
        <v>100693</v>
      </c>
      <c r="F77" s="105">
        <f t="shared" si="86"/>
        <v>222845.5</v>
      </c>
      <c r="G77" s="105">
        <f t="shared" si="86"/>
        <v>13368</v>
      </c>
      <c r="H77" s="105">
        <f t="shared" si="86"/>
        <v>81271</v>
      </c>
      <c r="I77" s="105">
        <f t="shared" si="86"/>
        <v>121906.5</v>
      </c>
      <c r="J77" s="105">
        <f t="shared" si="86"/>
        <v>29079</v>
      </c>
      <c r="K77" s="105">
        <f t="shared" si="86"/>
        <v>17447.400000000005</v>
      </c>
      <c r="L77" s="105">
        <f t="shared" si="86"/>
        <v>181354</v>
      </c>
      <c r="M77" s="105"/>
      <c r="N77" s="105">
        <f>SUM(N8:N76)</f>
        <v>13225</v>
      </c>
      <c r="O77" s="105">
        <f>SUM(O8:O76)</f>
        <v>266639.90000000008</v>
      </c>
      <c r="P77" s="105">
        <f>SUM(P8:P76)</f>
        <v>940547.89999999991</v>
      </c>
      <c r="Q77" s="397">
        <f>$Q$4</f>
        <v>3855</v>
      </c>
      <c r="R77" s="398">
        <f>SUM(R8:R76)</f>
        <v>3625812169</v>
      </c>
      <c r="S77" s="398">
        <f>SUM(S8:S76)</f>
        <v>1281056395.5</v>
      </c>
      <c r="T77" s="398">
        <f>SUM(T8:T76)</f>
        <v>1269075026.25</v>
      </c>
      <c r="U77" s="399">
        <f>SUM(U8:U76)</f>
        <v>2356737142.75</v>
      </c>
      <c r="V77" s="400">
        <f>ROUND(U77/R77,4)</f>
        <v>0.65</v>
      </c>
      <c r="W77" s="401">
        <f>ROUND(T77/R77,4)</f>
        <v>0.35</v>
      </c>
      <c r="X77" s="402">
        <f t="shared" si="72"/>
        <v>1883.1576806478035</v>
      </c>
      <c r="Y77" s="398">
        <f t="shared" ref="Y77:AE77" si="87">SUM(Y8:Y76)</f>
        <v>3078646125.5</v>
      </c>
      <c r="Z77" s="398">
        <f t="shared" si="87"/>
        <v>1808866505.25</v>
      </c>
      <c r="AA77" s="398">
        <f t="shared" si="87"/>
        <v>0</v>
      </c>
      <c r="AB77" s="403">
        <f t="shared" si="87"/>
        <v>1232776137.4600003</v>
      </c>
      <c r="AC77" s="403">
        <f t="shared" si="87"/>
        <v>1119541066.3200002</v>
      </c>
      <c r="AD77" s="397">
        <f t="shared" si="87"/>
        <v>699889237.65113127</v>
      </c>
      <c r="AE77" s="404">
        <f t="shared" si="87"/>
        <v>430268294.70514941</v>
      </c>
      <c r="AF77" s="207">
        <f>IF(AC77=0,0,ROUND(AE77/AC77,4))</f>
        <v>0.38429999999999997</v>
      </c>
      <c r="AG77" s="407">
        <f>SUM(AG8:AG76)</f>
        <v>2787005437.4551492</v>
      </c>
      <c r="AH77" s="406">
        <f t="shared" si="73"/>
        <v>4136</v>
      </c>
      <c r="AI77" s="407">
        <f>SUM(AI8:AI76)</f>
        <v>148423731</v>
      </c>
      <c r="AJ77" s="405">
        <f t="shared" si="74"/>
        <v>220.24331362737939</v>
      </c>
      <c r="AK77" s="407">
        <f>SUM(AK8:AK76)</f>
        <v>2935429168.4551482</v>
      </c>
      <c r="AL77" s="405">
        <f t="shared" si="75"/>
        <v>4355.8307194085073</v>
      </c>
      <c r="AM77" s="407">
        <f>SUM(AM8:AM76)</f>
        <v>623185581.67210746</v>
      </c>
      <c r="AN77" s="405">
        <f t="shared" si="76"/>
        <v>924.73391274789356</v>
      </c>
      <c r="AO77" s="407">
        <f>SUM(AO8:AO76)</f>
        <v>3410191019.1272569</v>
      </c>
      <c r="AP77" s="405">
        <f t="shared" si="77"/>
        <v>5060.3213185290233</v>
      </c>
      <c r="AQ77" s="408">
        <f t="shared" si="83"/>
        <v>0.58808492047412253</v>
      </c>
      <c r="AR77" s="406"/>
      <c r="AS77" s="406">
        <f>SUM(AS8:AS76)</f>
        <v>2388616092.5699997</v>
      </c>
      <c r="AT77" s="405">
        <f t="shared" si="78"/>
        <v>3544.42</v>
      </c>
      <c r="AU77" s="405"/>
      <c r="AV77" s="207">
        <f>AS77/AW77</f>
        <v>0.41191507952587758</v>
      </c>
      <c r="AW77" s="405">
        <f>SUM(AW8:AW76)</f>
        <v>5798807111.6972561</v>
      </c>
      <c r="AX77" s="398">
        <f t="shared" si="79"/>
        <v>8604.7459173911811</v>
      </c>
      <c r="AY77" s="405"/>
      <c r="AZ77" s="405">
        <f t="shared" ref="AZ77:BA77" si="88">SUM(AZ8:AZ76)</f>
        <v>3404925470.5395784</v>
      </c>
      <c r="BA77" s="405">
        <f t="shared" si="88"/>
        <v>5265548.5876781512</v>
      </c>
      <c r="BB77" s="207"/>
      <c r="BC77" s="405"/>
      <c r="BD77" s="405"/>
      <c r="BE77" s="398"/>
      <c r="BF77" s="405"/>
      <c r="BG77" s="405"/>
      <c r="BH77" s="398"/>
      <c r="BI77" s="398"/>
      <c r="BJ77" s="398"/>
      <c r="BK77" s="398"/>
      <c r="BL77" s="162"/>
      <c r="BM77" s="162"/>
      <c r="BN77" s="866"/>
      <c r="BO77" s="162"/>
      <c r="BP77" s="162"/>
      <c r="BQ77" s="866"/>
    </row>
    <row r="78" spans="1:149" ht="10.5" customHeight="1" thickTop="1">
      <c r="A78" s="106"/>
      <c r="B78" s="197"/>
      <c r="C78" s="169"/>
      <c r="D78" s="107"/>
      <c r="E78" s="108"/>
      <c r="F78" s="169"/>
      <c r="G78" s="107"/>
      <c r="H78" s="107"/>
      <c r="I78" s="107"/>
      <c r="J78" s="107"/>
      <c r="K78" s="107"/>
      <c r="O78" s="5"/>
      <c r="P78" s="5"/>
      <c r="S78" s="2"/>
      <c r="T78" s="2"/>
      <c r="U78" s="6"/>
      <c r="V78" s="2"/>
      <c r="W78" s="2"/>
      <c r="X78" s="2"/>
      <c r="Y78" s="2"/>
      <c r="AA78" s="2"/>
      <c r="AB78" s="2"/>
      <c r="AC78" s="2"/>
      <c r="AD78" s="2"/>
      <c r="AE78" s="2"/>
      <c r="AF78" s="2"/>
      <c r="AH78" s="2"/>
      <c r="AX78" s="409"/>
      <c r="AY78" s="409"/>
      <c r="AZ78" s="409"/>
      <c r="BA78" s="2"/>
      <c r="BB78" s="2"/>
      <c r="BO78" s="726"/>
      <c r="BP78" s="726"/>
      <c r="BQ78" s="726"/>
    </row>
    <row r="79" spans="1:149" s="34" customFormat="1" ht="15" hidden="1" customHeight="1">
      <c r="A79" s="109"/>
      <c r="B79" s="110"/>
      <c r="C79" s="69"/>
      <c r="D79" s="272">
        <f>D76/C76</f>
        <v>0.52086811352253759</v>
      </c>
      <c r="E79" s="110"/>
      <c r="F79" s="167"/>
      <c r="G79" s="110"/>
      <c r="H79" s="110"/>
      <c r="I79" s="110"/>
      <c r="J79" s="110"/>
      <c r="K79" s="110"/>
      <c r="N79" s="2196"/>
      <c r="O79" s="2196"/>
      <c r="Q79" s="60"/>
      <c r="R79" s="253">
        <f>R77*0.35</f>
        <v>1269034259.1499999</v>
      </c>
      <c r="S79" s="254"/>
      <c r="T79" s="254"/>
      <c r="U79" s="255">
        <f>R79/R81</f>
        <v>0.99061545112905991</v>
      </c>
      <c r="V79" s="22"/>
      <c r="W79" s="22"/>
      <c r="X79" s="22"/>
      <c r="Y79" s="22"/>
      <c r="AA79" s="22"/>
      <c r="AB79" s="22"/>
      <c r="AC79" s="22"/>
      <c r="AD79" s="22"/>
      <c r="AE79" s="250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195"/>
      <c r="BD79" s="195"/>
      <c r="BE79" s="195"/>
      <c r="BF79" s="195"/>
    </row>
    <row r="80" spans="1:149" ht="13.5" hidden="1" customHeight="1">
      <c r="A80" s="106"/>
      <c r="B80" s="107"/>
      <c r="C80" s="201"/>
      <c r="D80" s="168"/>
      <c r="E80" s="200"/>
      <c r="F80" s="107"/>
      <c r="G80" s="107"/>
      <c r="H80" s="107"/>
      <c r="I80" s="107"/>
      <c r="J80" s="107"/>
      <c r="K80" s="107"/>
      <c r="Q80" s="141"/>
      <c r="R80" s="117"/>
      <c r="S80" s="252"/>
      <c r="T80" s="252"/>
      <c r="U80" s="256"/>
      <c r="V80" s="22"/>
      <c r="W80" s="22"/>
      <c r="X80" s="22"/>
      <c r="Y80" s="22"/>
      <c r="AA80" s="22"/>
      <c r="AB80" s="22"/>
      <c r="AC80" s="22"/>
      <c r="AD80" s="22"/>
      <c r="AE80" s="22"/>
      <c r="AF80" s="22"/>
      <c r="AG80" s="251"/>
      <c r="AH80" s="22"/>
      <c r="AI80" s="22"/>
      <c r="AJ80" s="22"/>
      <c r="AK80" s="251"/>
      <c r="AL80" s="251"/>
      <c r="AM80" s="251"/>
      <c r="AN80" s="251"/>
      <c r="AO80" s="251"/>
      <c r="AP80" s="251"/>
      <c r="AQ80" s="251"/>
      <c r="AR80" s="251"/>
      <c r="AS80" s="22"/>
      <c r="AT80" s="251"/>
      <c r="AU80" s="251"/>
      <c r="AV80" s="251"/>
      <c r="AW80" s="251"/>
      <c r="AX80" s="251"/>
      <c r="AY80" s="251"/>
      <c r="AZ80" s="251"/>
      <c r="BA80" s="22"/>
      <c r="BB80" s="22"/>
    </row>
    <row r="81" spans="1:149" ht="13.5" hidden="1" customHeight="1">
      <c r="A81" s="106"/>
      <c r="B81" s="107"/>
      <c r="C81" s="199"/>
      <c r="D81" s="169"/>
      <c r="E81" s="107"/>
      <c r="F81" s="107"/>
      <c r="G81" s="107"/>
      <c r="H81" s="107"/>
      <c r="I81" s="107"/>
      <c r="J81" s="107"/>
      <c r="K81" s="107"/>
      <c r="Q81" s="61"/>
      <c r="R81" s="257">
        <f>'Table 6 (Local Deduct Calc.)'!E78+'Table 6 (Local Deduct Calc.)'!H78+'Table 6 (Local Deduct Calc.)'!I78</f>
        <v>1281056395.5</v>
      </c>
      <c r="S81" s="252" t="s">
        <v>238</v>
      </c>
      <c r="T81" s="252"/>
      <c r="U81" s="258"/>
      <c r="V81" s="22"/>
      <c r="W81" s="22"/>
      <c r="X81" s="22"/>
      <c r="Y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</row>
    <row r="82" spans="1:149" ht="13.5" hidden="1" customHeight="1">
      <c r="A82" s="106"/>
      <c r="B82" s="107"/>
      <c r="C82" s="199"/>
      <c r="D82" s="107"/>
      <c r="E82" s="107"/>
      <c r="F82" s="107"/>
      <c r="G82" s="107"/>
      <c r="H82" s="107"/>
      <c r="I82" s="107"/>
      <c r="J82" s="107"/>
      <c r="K82" s="107"/>
      <c r="R82" s="117"/>
      <c r="S82" s="252"/>
      <c r="T82" s="252"/>
      <c r="U82" s="258"/>
      <c r="V82" s="22"/>
      <c r="W82" s="22"/>
      <c r="X82" s="22"/>
      <c r="Y82" s="22"/>
      <c r="AA82" s="22"/>
      <c r="AB82" s="22"/>
      <c r="AC82" s="22"/>
      <c r="AD82" s="22"/>
      <c r="AE82" s="22"/>
      <c r="AF82" s="22"/>
      <c r="AG82" s="251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51"/>
      <c r="BA82" s="22"/>
      <c r="BB82" s="22"/>
    </row>
    <row r="83" spans="1:149" ht="13.5" hidden="1" customHeight="1">
      <c r="A83" s="106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R83" s="117"/>
      <c r="S83" s="252"/>
      <c r="T83" s="252"/>
      <c r="U83" s="258"/>
      <c r="V83" s="22"/>
      <c r="W83" s="22"/>
      <c r="X83" s="22"/>
      <c r="Y83" s="22"/>
      <c r="AA83" s="22"/>
      <c r="AB83" s="22"/>
      <c r="AC83" s="22"/>
      <c r="AD83" s="22"/>
      <c r="AE83" s="22"/>
      <c r="AF83" s="22"/>
      <c r="AG83" s="251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51"/>
      <c r="BA83" s="22"/>
      <c r="BB83" s="22"/>
    </row>
    <row r="84" spans="1:149" ht="21.75" hidden="1" customHeight="1" thickBot="1">
      <c r="A84" s="106"/>
      <c r="B84" s="107"/>
      <c r="C84" s="138"/>
      <c r="D84" s="285"/>
      <c r="E84" s="285"/>
      <c r="F84" s="285"/>
      <c r="G84" s="285"/>
      <c r="H84" s="285"/>
      <c r="I84" s="285"/>
      <c r="J84" s="285"/>
      <c r="K84" s="285"/>
      <c r="R84" s="259" t="s">
        <v>239</v>
      </c>
      <c r="S84" s="260"/>
      <c r="T84" s="260"/>
      <c r="U84" s="261"/>
    </row>
    <row r="85" spans="1:149" ht="15" hidden="1" customHeight="1">
      <c r="A85" s="106"/>
      <c r="B85" s="107"/>
      <c r="C85" s="2202"/>
      <c r="D85" s="2202"/>
      <c r="E85" s="2202"/>
      <c r="F85" s="2202"/>
      <c r="G85" s="748"/>
      <c r="H85" s="748"/>
      <c r="I85" s="748"/>
      <c r="J85" s="748"/>
      <c r="K85" s="748"/>
      <c r="S85" s="245"/>
      <c r="T85" s="245"/>
      <c r="U85" s="245"/>
    </row>
    <row r="86" spans="1:149" ht="13.5" hidden="1" customHeight="1">
      <c r="A86" s="106"/>
      <c r="B86" s="107"/>
      <c r="C86" s="748"/>
      <c r="D86" s="748"/>
      <c r="E86" s="748"/>
      <c r="F86" s="748"/>
      <c r="G86" s="748"/>
      <c r="H86" s="748"/>
      <c r="I86" s="748"/>
      <c r="J86" s="748"/>
      <c r="K86" s="748"/>
      <c r="S86" s="245"/>
      <c r="T86" s="245"/>
      <c r="U86" s="245"/>
      <c r="Z86" s="578" t="s">
        <v>406</v>
      </c>
    </row>
    <row r="87" spans="1:149" ht="15.75" hidden="1" customHeight="1" thickBot="1">
      <c r="A87" s="106"/>
      <c r="B87" s="107"/>
      <c r="C87" s="168"/>
      <c r="D87" s="138"/>
      <c r="E87" s="285"/>
      <c r="F87" s="285"/>
      <c r="G87" s="285"/>
      <c r="H87" s="285"/>
      <c r="I87" s="285"/>
      <c r="J87" s="285"/>
      <c r="K87" s="285"/>
      <c r="S87" s="245"/>
      <c r="T87" s="245"/>
      <c r="U87" s="245"/>
      <c r="Z87" s="854">
        <v>704594</v>
      </c>
      <c r="AG87" s="6">
        <f>AE77+U77</f>
        <v>2787005437.4551497</v>
      </c>
      <c r="AI87" s="23">
        <f>'Table 4 Level 3'!O75</f>
        <v>148423731</v>
      </c>
      <c r="AJ87" s="2"/>
      <c r="AK87" s="409">
        <f>AI77+AG77</f>
        <v>2935429168.4551492</v>
      </c>
      <c r="AL87" s="409"/>
      <c r="AM87" s="409">
        <f>'Table 4 Level 3'!R75</f>
        <v>623185581.67210746</v>
      </c>
      <c r="AN87" s="409"/>
      <c r="AO87" s="407">
        <f>AG77+AM77</f>
        <v>3410191019.1272564</v>
      </c>
      <c r="AP87" s="409"/>
      <c r="AQ87" s="409"/>
      <c r="AR87" s="409"/>
      <c r="AS87" s="2"/>
      <c r="AT87" s="409"/>
      <c r="AU87" s="409"/>
      <c r="AV87" s="409"/>
      <c r="AW87" s="405">
        <f>AS77+AO77</f>
        <v>5798807111.6972561</v>
      </c>
    </row>
    <row r="88" spans="1:149" ht="13.5" hidden="1" customHeight="1" thickTop="1">
      <c r="A88" s="106"/>
      <c r="B88" s="107"/>
      <c r="C88" s="107"/>
      <c r="D88" s="1085"/>
      <c r="E88" s="107"/>
      <c r="F88" s="107"/>
      <c r="G88" s="107"/>
      <c r="H88" s="107"/>
      <c r="I88" s="107"/>
      <c r="J88" s="107"/>
      <c r="K88" s="107"/>
      <c r="S88" s="245"/>
      <c r="T88" s="245"/>
      <c r="U88" s="245"/>
      <c r="Z88" s="578" t="s">
        <v>407</v>
      </c>
    </row>
    <row r="89" spans="1:149" ht="13.5" hidden="1" customHeight="1">
      <c r="A89" s="290"/>
      <c r="B89" s="138"/>
      <c r="C89" s="455"/>
      <c r="D89" s="138"/>
      <c r="E89" s="138"/>
      <c r="F89" s="138"/>
      <c r="G89" s="138"/>
      <c r="H89" s="138"/>
      <c r="I89" s="138"/>
      <c r="J89" s="138"/>
      <c r="K89" s="138"/>
      <c r="L89" s="64"/>
      <c r="M89" s="454"/>
      <c r="N89" s="64"/>
      <c r="O89" s="64"/>
      <c r="P89" s="64"/>
      <c r="Q89" s="64"/>
      <c r="R89" s="558"/>
      <c r="S89" s="245"/>
      <c r="T89" s="245"/>
      <c r="U89" s="245"/>
      <c r="Z89" s="855" t="s">
        <v>408</v>
      </c>
    </row>
    <row r="90" spans="1:149" ht="46.5" hidden="1" customHeight="1">
      <c r="A90" s="290"/>
      <c r="B90" s="168"/>
      <c r="C90" s="138"/>
      <c r="D90" s="138"/>
      <c r="E90" s="138"/>
      <c r="F90" s="138"/>
      <c r="G90" s="138"/>
      <c r="H90" s="138"/>
      <c r="I90" s="138"/>
      <c r="J90" s="138"/>
      <c r="K90" s="138"/>
      <c r="L90" s="64"/>
      <c r="M90" s="454"/>
      <c r="N90" s="64"/>
      <c r="O90" s="64"/>
      <c r="P90" s="64"/>
      <c r="Q90" s="64"/>
      <c r="R90" s="64"/>
      <c r="S90" s="245"/>
      <c r="T90" s="245"/>
      <c r="U90" s="245"/>
      <c r="Z90" s="291"/>
    </row>
    <row r="91" spans="1:149" hidden="1">
      <c r="A91" s="290"/>
      <c r="B91" s="855"/>
      <c r="D91" s="138"/>
      <c r="E91" s="138"/>
      <c r="F91" s="138"/>
      <c r="G91" s="138"/>
      <c r="H91" s="138"/>
      <c r="I91" s="138"/>
      <c r="J91" s="138"/>
      <c r="K91" s="138"/>
      <c r="L91" s="64"/>
      <c r="M91" s="454"/>
      <c r="N91" s="64"/>
      <c r="O91" s="64"/>
      <c r="P91" s="64"/>
      <c r="Q91" s="64"/>
      <c r="R91" s="64"/>
      <c r="S91" s="245"/>
      <c r="T91" s="245"/>
      <c r="U91" s="245"/>
      <c r="Z91" s="291"/>
    </row>
    <row r="92" spans="1:149" hidden="1">
      <c r="A92" s="290"/>
      <c r="B92" s="855"/>
      <c r="C92" s="138">
        <v>6263</v>
      </c>
      <c r="D92" s="771" t="s">
        <v>571</v>
      </c>
      <c r="E92" s="138"/>
      <c r="F92" s="138"/>
      <c r="G92" s="138"/>
      <c r="H92" s="138"/>
      <c r="I92" s="138"/>
      <c r="J92" s="138"/>
      <c r="K92" s="138"/>
      <c r="L92" s="64"/>
      <c r="M92" s="454"/>
      <c r="N92" s="64"/>
      <c r="O92" s="64"/>
      <c r="P92" s="64"/>
      <c r="Q92" s="64"/>
      <c r="R92" s="64"/>
      <c r="S92" s="245"/>
      <c r="T92" s="245"/>
      <c r="U92" s="245"/>
      <c r="Z92" s="291"/>
    </row>
    <row r="93" spans="1:149" hidden="1">
      <c r="A93" s="290"/>
      <c r="B93" s="855"/>
      <c r="C93" s="138">
        <v>6022</v>
      </c>
      <c r="E93" s="138"/>
      <c r="F93" s="138"/>
      <c r="G93" s="138"/>
      <c r="H93" s="138"/>
      <c r="I93" s="138"/>
      <c r="J93" s="138"/>
      <c r="K93" s="138"/>
      <c r="L93" s="64"/>
      <c r="M93" s="454"/>
      <c r="N93" s="64"/>
      <c r="O93" s="64"/>
      <c r="P93" s="64"/>
      <c r="Q93" s="64"/>
      <c r="R93" s="64"/>
      <c r="S93" s="245"/>
      <c r="T93" s="245"/>
      <c r="U93" s="245"/>
      <c r="Z93" s="291"/>
    </row>
    <row r="94" spans="1:149" hidden="1">
      <c r="A94" s="290"/>
      <c r="B94" s="138"/>
      <c r="C94" s="138">
        <f>C93-C92</f>
        <v>-241</v>
      </c>
      <c r="E94" s="138"/>
      <c r="F94" s="138"/>
      <c r="G94" s="138"/>
      <c r="H94" s="138"/>
      <c r="I94" s="138"/>
      <c r="J94" s="138"/>
      <c r="K94" s="138"/>
      <c r="L94" s="64"/>
      <c r="M94" s="454"/>
      <c r="N94" s="64"/>
      <c r="O94" s="64"/>
      <c r="P94" s="64"/>
      <c r="Q94" s="64"/>
      <c r="R94" s="64"/>
      <c r="S94" s="245"/>
      <c r="T94" s="245"/>
      <c r="U94" s="245"/>
    </row>
    <row r="95" spans="1:149" hidden="1">
      <c r="A95" s="290"/>
      <c r="B95" s="855"/>
      <c r="C95" s="168">
        <f>C77+C94</f>
        <v>673667</v>
      </c>
      <c r="D95" s="138"/>
      <c r="E95" s="138"/>
      <c r="F95" s="138"/>
      <c r="G95" s="138"/>
      <c r="H95" s="138"/>
      <c r="I95" s="138"/>
      <c r="J95" s="138"/>
      <c r="K95" s="138"/>
      <c r="L95" s="64"/>
      <c r="M95" s="454"/>
      <c r="N95" s="64"/>
      <c r="O95" s="64"/>
      <c r="P95" s="64"/>
      <c r="Q95" s="64"/>
      <c r="R95" s="64"/>
      <c r="S95" s="245"/>
      <c r="T95" s="245"/>
      <c r="U95" s="245"/>
    </row>
    <row r="96" spans="1:149" s="338" customFormat="1" hidden="1">
      <c r="A96" s="290"/>
      <c r="B96" s="290"/>
      <c r="C96" s="290"/>
      <c r="D96" s="290"/>
      <c r="E96" s="290"/>
      <c r="F96" s="290"/>
      <c r="G96" s="290"/>
      <c r="H96" s="290"/>
      <c r="I96" s="290"/>
      <c r="J96" s="290"/>
      <c r="K96" s="290"/>
      <c r="L96" s="456"/>
      <c r="M96" s="457"/>
      <c r="N96" s="456"/>
      <c r="O96" s="456"/>
      <c r="P96" s="456"/>
      <c r="Q96" s="456"/>
      <c r="R96" s="456"/>
      <c r="S96" s="458"/>
      <c r="T96" s="458"/>
      <c r="U96" s="458"/>
      <c r="V96" s="290"/>
      <c r="W96" s="290"/>
      <c r="X96" s="290"/>
      <c r="Y96" s="290"/>
      <c r="Z96" s="290"/>
      <c r="AA96" s="335"/>
      <c r="AB96" s="335"/>
      <c r="AC96" s="335"/>
      <c r="AD96" s="335"/>
      <c r="AE96" s="335"/>
      <c r="AF96" s="335"/>
      <c r="AG96" s="335"/>
      <c r="AH96" s="335"/>
      <c r="AI96" s="335"/>
      <c r="AJ96" s="335"/>
      <c r="AK96" s="335"/>
      <c r="AL96" s="335"/>
      <c r="AM96" s="335"/>
      <c r="AN96" s="335"/>
      <c r="AO96" s="335"/>
      <c r="AP96" s="335"/>
      <c r="AQ96" s="335"/>
      <c r="AR96" s="335"/>
      <c r="AS96" s="335"/>
      <c r="AT96" s="335"/>
      <c r="AU96" s="335"/>
      <c r="AV96" s="335"/>
      <c r="AW96" s="335"/>
      <c r="AX96" s="335"/>
      <c r="AY96" s="335"/>
      <c r="AZ96" s="335"/>
      <c r="BA96" s="335"/>
      <c r="BB96" s="335"/>
      <c r="BC96" s="339"/>
      <c r="BD96" s="339"/>
      <c r="BE96" s="339"/>
      <c r="BF96" s="339"/>
      <c r="BG96" s="340"/>
      <c r="BH96" s="340"/>
      <c r="BI96" s="340"/>
      <c r="BJ96" s="340"/>
      <c r="BK96" s="340"/>
      <c r="BL96" s="340"/>
      <c r="BM96" s="340"/>
      <c r="BN96" s="340"/>
      <c r="BO96" s="340"/>
      <c r="BP96" s="340"/>
      <c r="BQ96" s="340"/>
      <c r="BR96" s="340"/>
      <c r="BS96" s="340"/>
      <c r="BT96" s="340"/>
      <c r="BU96" s="340"/>
      <c r="BV96" s="340"/>
      <c r="BW96" s="340"/>
      <c r="BX96" s="340"/>
      <c r="BY96" s="340"/>
      <c r="BZ96" s="340"/>
      <c r="CA96" s="340"/>
      <c r="CB96" s="340"/>
      <c r="CC96" s="340"/>
      <c r="CD96" s="340"/>
      <c r="CE96" s="340"/>
      <c r="CF96" s="340"/>
      <c r="CG96" s="340"/>
      <c r="CH96" s="340"/>
      <c r="CI96" s="340"/>
      <c r="CJ96" s="340"/>
      <c r="CK96" s="340"/>
      <c r="CL96" s="340"/>
      <c r="CM96" s="340"/>
      <c r="CN96" s="340"/>
      <c r="CO96" s="340"/>
      <c r="CP96" s="340"/>
      <c r="CQ96" s="340"/>
      <c r="CR96" s="340"/>
      <c r="CS96" s="340"/>
      <c r="CT96" s="340"/>
      <c r="CU96" s="340"/>
      <c r="CV96" s="340"/>
      <c r="CW96" s="340"/>
      <c r="CX96" s="340"/>
      <c r="CY96" s="340"/>
      <c r="CZ96" s="340"/>
      <c r="DA96" s="340"/>
      <c r="DB96" s="340"/>
      <c r="DC96" s="340"/>
      <c r="DD96" s="340"/>
      <c r="DE96" s="340"/>
      <c r="DF96" s="340"/>
      <c r="DG96" s="340"/>
      <c r="DH96" s="340"/>
      <c r="DI96" s="340"/>
      <c r="DJ96" s="340"/>
      <c r="DK96" s="340"/>
      <c r="DL96" s="340"/>
      <c r="DM96" s="340"/>
      <c r="DN96" s="340"/>
      <c r="DO96" s="340"/>
      <c r="DP96" s="340"/>
      <c r="DQ96" s="340"/>
      <c r="DR96" s="340"/>
      <c r="DS96" s="340"/>
      <c r="DT96" s="340"/>
      <c r="DU96" s="340"/>
      <c r="DV96" s="340"/>
      <c r="DW96" s="340"/>
      <c r="DX96" s="340"/>
      <c r="DY96" s="340"/>
      <c r="DZ96" s="340"/>
      <c r="EA96" s="340"/>
      <c r="EB96" s="340"/>
      <c r="EC96" s="340"/>
      <c r="ED96" s="340"/>
      <c r="EE96" s="340"/>
      <c r="EF96" s="340"/>
      <c r="EG96" s="340"/>
      <c r="EH96" s="340"/>
      <c r="EI96" s="340"/>
      <c r="EJ96" s="340"/>
      <c r="EK96" s="340"/>
      <c r="EL96" s="340"/>
      <c r="EM96" s="340"/>
      <c r="EN96" s="340"/>
      <c r="EO96" s="340"/>
      <c r="EP96" s="340"/>
      <c r="EQ96" s="340"/>
      <c r="ER96" s="340"/>
      <c r="ES96" s="340"/>
    </row>
    <row r="97" spans="1:149" hidden="1">
      <c r="A97" s="290"/>
      <c r="B97" s="138"/>
      <c r="C97" s="138"/>
      <c r="D97" s="138"/>
      <c r="E97" s="138"/>
      <c r="F97" s="138"/>
      <c r="G97" s="138"/>
      <c r="H97" s="138"/>
      <c r="I97" s="138"/>
      <c r="J97" s="138"/>
      <c r="K97" s="138"/>
      <c r="L97" s="64"/>
      <c r="M97" s="454"/>
      <c r="N97" s="64"/>
      <c r="O97" s="64"/>
      <c r="P97" s="64"/>
      <c r="Q97" s="64"/>
      <c r="R97" s="64"/>
      <c r="S97" s="245"/>
      <c r="T97" s="245"/>
      <c r="U97" s="245"/>
    </row>
    <row r="98" spans="1:149" s="336" customFormat="1" hidden="1">
      <c r="A98" s="290"/>
      <c r="B98" s="168"/>
      <c r="C98" s="138"/>
      <c r="D98" s="138"/>
      <c r="E98" s="138"/>
      <c r="F98" s="138"/>
      <c r="G98" s="138"/>
      <c r="H98" s="138"/>
      <c r="I98" s="138"/>
      <c r="J98" s="138"/>
      <c r="K98" s="138"/>
      <c r="L98" s="64"/>
      <c r="M98" s="454"/>
      <c r="N98" s="64"/>
      <c r="O98" s="64"/>
      <c r="P98" s="64"/>
      <c r="Q98" s="64"/>
      <c r="R98" s="64"/>
      <c r="S98" s="245"/>
      <c r="T98" s="245"/>
      <c r="U98" s="245"/>
      <c r="V98" s="138"/>
      <c r="W98" s="138"/>
      <c r="X98" s="138"/>
      <c r="Y98" s="138"/>
      <c r="Z98" s="138"/>
      <c r="AA98" s="287"/>
      <c r="AB98" s="287"/>
      <c r="AC98" s="287"/>
      <c r="AD98" s="287"/>
      <c r="AE98" s="287"/>
      <c r="AF98" s="287"/>
      <c r="AG98" s="287"/>
      <c r="AH98" s="287"/>
      <c r="AI98" s="287"/>
      <c r="AJ98" s="287"/>
      <c r="AK98" s="287"/>
      <c r="AL98" s="287"/>
      <c r="AM98" s="287"/>
      <c r="AN98" s="287"/>
      <c r="AO98" s="287"/>
      <c r="AP98" s="287"/>
      <c r="AQ98" s="287"/>
      <c r="AR98" s="287"/>
      <c r="AS98" s="287"/>
      <c r="AT98" s="287"/>
      <c r="AU98" s="287"/>
      <c r="AV98" s="287"/>
      <c r="AW98" s="287"/>
      <c r="AX98" s="287"/>
      <c r="AY98" s="287"/>
      <c r="AZ98" s="287"/>
      <c r="BA98" s="287"/>
      <c r="BB98" s="287"/>
      <c r="BC98" s="337"/>
      <c r="BD98" s="337"/>
      <c r="BE98" s="337"/>
      <c r="BF98" s="337"/>
      <c r="BG98" s="271"/>
      <c r="BH98" s="271"/>
      <c r="BI98" s="271"/>
      <c r="BJ98" s="271"/>
      <c r="BK98" s="271"/>
      <c r="BL98" s="271"/>
      <c r="BM98" s="271"/>
      <c r="BN98" s="271"/>
      <c r="BO98" s="271"/>
      <c r="BP98" s="271"/>
      <c r="BQ98" s="271"/>
      <c r="BR98" s="271"/>
      <c r="BS98" s="271"/>
      <c r="BT98" s="271"/>
      <c r="BU98" s="271"/>
      <c r="BV98" s="271"/>
      <c r="BW98" s="271"/>
      <c r="BX98" s="271"/>
      <c r="BY98" s="271"/>
      <c r="BZ98" s="271"/>
      <c r="CA98" s="271"/>
      <c r="CB98" s="271"/>
      <c r="CC98" s="271"/>
      <c r="CD98" s="271"/>
      <c r="CE98" s="271"/>
      <c r="CF98" s="271"/>
      <c r="CG98" s="271"/>
      <c r="CH98" s="271"/>
      <c r="CI98" s="271"/>
      <c r="CJ98" s="271"/>
      <c r="CK98" s="271"/>
      <c r="CL98" s="271"/>
      <c r="CM98" s="271"/>
      <c r="CN98" s="271"/>
      <c r="CO98" s="271"/>
      <c r="CP98" s="271"/>
      <c r="CQ98" s="271"/>
      <c r="CR98" s="271"/>
      <c r="CS98" s="271"/>
      <c r="CT98" s="271"/>
      <c r="CU98" s="271"/>
      <c r="CV98" s="271"/>
      <c r="CW98" s="271"/>
      <c r="CX98" s="271"/>
      <c r="CY98" s="271"/>
      <c r="CZ98" s="271"/>
      <c r="DA98" s="271"/>
      <c r="DB98" s="271"/>
      <c r="DC98" s="271"/>
      <c r="DD98" s="271"/>
      <c r="DE98" s="271"/>
      <c r="DF98" s="271"/>
      <c r="DG98" s="271"/>
      <c r="DH98" s="271"/>
      <c r="DI98" s="271"/>
      <c r="DJ98" s="271"/>
      <c r="DK98" s="271"/>
      <c r="DL98" s="271"/>
      <c r="DM98" s="271"/>
      <c r="DN98" s="271"/>
      <c r="DO98" s="271"/>
      <c r="DP98" s="271"/>
      <c r="DQ98" s="271"/>
      <c r="DR98" s="271"/>
      <c r="DS98" s="271"/>
      <c r="DT98" s="271"/>
      <c r="DU98" s="271"/>
      <c r="DV98" s="271"/>
      <c r="DW98" s="271"/>
      <c r="DX98" s="271"/>
      <c r="DY98" s="271"/>
      <c r="DZ98" s="271"/>
      <c r="EA98" s="271"/>
      <c r="EB98" s="271"/>
      <c r="EC98" s="271"/>
      <c r="ED98" s="271"/>
      <c r="EE98" s="271"/>
      <c r="EF98" s="271"/>
      <c r="EG98" s="271"/>
      <c r="EH98" s="271"/>
      <c r="EI98" s="271"/>
      <c r="EJ98" s="271"/>
      <c r="EK98" s="271"/>
      <c r="EL98" s="271"/>
      <c r="EM98" s="271"/>
      <c r="EN98" s="271"/>
      <c r="EO98" s="271"/>
      <c r="EP98" s="271"/>
      <c r="EQ98" s="271"/>
      <c r="ER98" s="271"/>
      <c r="ES98" s="271"/>
    </row>
    <row r="99" spans="1:149" ht="13.5" hidden="1" customHeight="1">
      <c r="A99" s="290"/>
      <c r="B99" s="138"/>
      <c r="C99" s="138"/>
      <c r="D99" s="138"/>
      <c r="E99" s="138"/>
      <c r="F99" s="138"/>
      <c r="G99" s="138"/>
      <c r="H99" s="138"/>
      <c r="I99" s="138"/>
      <c r="J99" s="138"/>
      <c r="K99" s="138"/>
      <c r="L99" s="64"/>
      <c r="M99" s="454"/>
      <c r="N99" s="64"/>
      <c r="O99" s="64"/>
      <c r="P99" s="64"/>
      <c r="Q99" s="64"/>
      <c r="R99" s="64"/>
      <c r="S99" s="245"/>
      <c r="T99" s="245"/>
      <c r="U99" s="245"/>
    </row>
    <row r="100" spans="1:149" s="336" customFormat="1" ht="1.5" customHeight="1">
      <c r="A100" s="290"/>
      <c r="B100" s="168"/>
      <c r="C100" s="138"/>
      <c r="D100" s="138"/>
      <c r="E100" s="138"/>
      <c r="F100" s="138"/>
      <c r="G100" s="138"/>
      <c r="H100" s="138"/>
      <c r="I100" s="138"/>
      <c r="J100" s="138"/>
      <c r="K100" s="138"/>
      <c r="L100" s="64"/>
      <c r="M100" s="454"/>
      <c r="N100" s="64"/>
      <c r="O100" s="64"/>
      <c r="P100" s="64"/>
      <c r="Q100" s="64"/>
      <c r="R100" s="64"/>
      <c r="S100" s="245"/>
      <c r="T100" s="245"/>
      <c r="U100" s="245"/>
      <c r="V100" s="138"/>
      <c r="W100" s="138"/>
      <c r="X100" s="138"/>
      <c r="Y100" s="138"/>
      <c r="Z100" s="138"/>
      <c r="AA100" s="287"/>
      <c r="AB100" s="287"/>
      <c r="AC100" s="287"/>
      <c r="AD100" s="287"/>
      <c r="AE100" s="287"/>
      <c r="AF100" s="287"/>
      <c r="AG100" s="287"/>
      <c r="AH100" s="287"/>
      <c r="AI100" s="287"/>
      <c r="AJ100" s="287"/>
      <c r="AK100" s="287"/>
      <c r="AL100" s="287"/>
      <c r="AM100" s="287"/>
      <c r="AN100" s="287"/>
      <c r="AO100" s="287"/>
      <c r="AP100" s="287"/>
      <c r="AQ100" s="287"/>
      <c r="AR100" s="287"/>
      <c r="AS100" s="287"/>
      <c r="AT100" s="287"/>
      <c r="AU100" s="287"/>
      <c r="AV100" s="287"/>
      <c r="AW100" s="287"/>
      <c r="AX100" s="287"/>
      <c r="AY100" s="287"/>
      <c r="AZ100" s="287"/>
      <c r="BA100" s="287"/>
      <c r="BB100" s="287"/>
      <c r="BC100" s="337"/>
      <c r="BD100" s="337"/>
      <c r="BE100" s="337"/>
      <c r="BF100" s="337"/>
      <c r="BG100" s="271"/>
      <c r="BH100" s="271"/>
      <c r="BI100" s="271"/>
      <c r="BJ100" s="271"/>
      <c r="BK100" s="271"/>
      <c r="BL100" s="271"/>
      <c r="BM100" s="271"/>
      <c r="BN100" s="271"/>
      <c r="BO100" s="271"/>
      <c r="BP100" s="271"/>
      <c r="BQ100" s="271"/>
      <c r="BR100" s="271"/>
      <c r="BS100" s="271"/>
      <c r="BT100" s="271"/>
      <c r="BU100" s="271"/>
      <c r="BV100" s="271"/>
      <c r="BW100" s="271"/>
      <c r="BX100" s="271"/>
      <c r="BY100" s="271"/>
      <c r="BZ100" s="271"/>
      <c r="CA100" s="271"/>
      <c r="CB100" s="271"/>
      <c r="CC100" s="271"/>
      <c r="CD100" s="271"/>
      <c r="CE100" s="271"/>
      <c r="CF100" s="271"/>
      <c r="CG100" s="271"/>
      <c r="CH100" s="271"/>
      <c r="CI100" s="271"/>
      <c r="CJ100" s="271"/>
      <c r="CK100" s="271"/>
      <c r="CL100" s="271"/>
      <c r="CM100" s="271"/>
      <c r="CN100" s="271"/>
      <c r="CO100" s="271"/>
      <c r="CP100" s="271"/>
      <c r="CQ100" s="271"/>
      <c r="CR100" s="271"/>
      <c r="CS100" s="271"/>
      <c r="CT100" s="271"/>
      <c r="CU100" s="271"/>
      <c r="CV100" s="271"/>
      <c r="CW100" s="271"/>
      <c r="CX100" s="271"/>
      <c r="CY100" s="271"/>
      <c r="CZ100" s="271"/>
      <c r="DA100" s="271"/>
      <c r="DB100" s="271"/>
      <c r="DC100" s="271"/>
      <c r="DD100" s="271"/>
      <c r="DE100" s="271"/>
      <c r="DF100" s="271"/>
      <c r="DG100" s="271"/>
      <c r="DH100" s="271"/>
      <c r="DI100" s="271"/>
      <c r="DJ100" s="271"/>
      <c r="DK100" s="271"/>
      <c r="DL100" s="271"/>
      <c r="DM100" s="271"/>
      <c r="DN100" s="271"/>
      <c r="DO100" s="271"/>
      <c r="DP100" s="271"/>
      <c r="DQ100" s="271"/>
      <c r="DR100" s="271"/>
      <c r="DS100" s="271"/>
      <c r="DT100" s="271"/>
      <c r="DU100" s="271"/>
      <c r="DV100" s="271"/>
      <c r="DW100" s="271"/>
      <c r="DX100" s="271"/>
      <c r="DY100" s="271"/>
      <c r="DZ100" s="271"/>
      <c r="EA100" s="271"/>
      <c r="EB100" s="271"/>
      <c r="EC100" s="271"/>
      <c r="ED100" s="271"/>
      <c r="EE100" s="271"/>
      <c r="EF100" s="271"/>
      <c r="EG100" s="271"/>
      <c r="EH100" s="271"/>
      <c r="EI100" s="271"/>
      <c r="EJ100" s="271"/>
      <c r="EK100" s="271"/>
      <c r="EL100" s="271"/>
      <c r="EM100" s="271"/>
      <c r="EN100" s="271"/>
      <c r="EO100" s="271"/>
      <c r="EP100" s="271"/>
      <c r="EQ100" s="271"/>
      <c r="ER100" s="271"/>
      <c r="ES100" s="271"/>
    </row>
    <row r="101" spans="1:149" hidden="1">
      <c r="A101" s="290"/>
      <c r="B101" s="138"/>
      <c r="C101" s="138"/>
      <c r="D101" s="138"/>
      <c r="E101" s="138"/>
      <c r="F101" s="138"/>
      <c r="G101" s="138"/>
      <c r="H101" s="138"/>
      <c r="I101" s="138"/>
      <c r="J101" s="138"/>
      <c r="K101" s="138"/>
      <c r="L101" s="64"/>
      <c r="M101" s="454"/>
      <c r="N101" s="64"/>
      <c r="O101" s="64"/>
      <c r="P101" s="64"/>
      <c r="Q101" s="64"/>
      <c r="R101" s="64"/>
      <c r="S101" s="245"/>
      <c r="T101" s="245"/>
      <c r="U101" s="245"/>
    </row>
    <row r="102" spans="1:149" s="336" customFormat="1" hidden="1">
      <c r="A102" s="290"/>
      <c r="B102" s="168"/>
      <c r="C102" s="138"/>
      <c r="D102" s="138"/>
      <c r="E102" s="138"/>
      <c r="F102" s="138"/>
      <c r="G102" s="138"/>
      <c r="H102" s="138"/>
      <c r="I102" s="138"/>
      <c r="J102" s="138"/>
      <c r="K102" s="138"/>
      <c r="L102" s="64"/>
      <c r="M102" s="454"/>
      <c r="N102" s="64"/>
      <c r="O102" s="64"/>
      <c r="P102" s="64"/>
      <c r="Q102" s="64"/>
      <c r="R102" s="64"/>
      <c r="S102" s="245"/>
      <c r="T102" s="245"/>
      <c r="U102" s="245"/>
      <c r="V102" s="138"/>
      <c r="W102" s="138"/>
      <c r="X102" s="138"/>
      <c r="Y102" s="138"/>
      <c r="Z102" s="138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  <c r="BA102" s="287"/>
      <c r="BB102" s="287"/>
      <c r="BC102" s="337"/>
      <c r="BD102" s="337"/>
      <c r="BE102" s="337"/>
      <c r="BF102" s="337"/>
      <c r="BG102" s="271"/>
      <c r="BH102" s="271"/>
      <c r="BI102" s="271"/>
      <c r="BJ102" s="271"/>
      <c r="BK102" s="271"/>
      <c r="BL102" s="271"/>
      <c r="BM102" s="271"/>
      <c r="BN102" s="271"/>
      <c r="BO102" s="271"/>
      <c r="BP102" s="271"/>
      <c r="BQ102" s="271"/>
      <c r="BR102" s="271"/>
      <c r="BS102" s="271"/>
      <c r="BT102" s="271"/>
      <c r="BU102" s="271"/>
      <c r="BV102" s="271"/>
      <c r="BW102" s="271"/>
      <c r="BX102" s="271"/>
      <c r="BY102" s="271"/>
      <c r="BZ102" s="271"/>
      <c r="CA102" s="271"/>
      <c r="CB102" s="271"/>
      <c r="CC102" s="271"/>
      <c r="CD102" s="271"/>
      <c r="CE102" s="271"/>
      <c r="CF102" s="271"/>
      <c r="CG102" s="271"/>
      <c r="CH102" s="271"/>
      <c r="CI102" s="271"/>
      <c r="CJ102" s="271"/>
      <c r="CK102" s="271"/>
      <c r="CL102" s="271"/>
      <c r="CM102" s="271"/>
      <c r="CN102" s="271"/>
      <c r="CO102" s="271"/>
      <c r="CP102" s="271"/>
      <c r="CQ102" s="271"/>
      <c r="CR102" s="271"/>
      <c r="CS102" s="271"/>
      <c r="CT102" s="271"/>
      <c r="CU102" s="271"/>
      <c r="CV102" s="271"/>
      <c r="CW102" s="271"/>
      <c r="CX102" s="271"/>
      <c r="CY102" s="271"/>
      <c r="CZ102" s="271"/>
      <c r="DA102" s="271"/>
      <c r="DB102" s="271"/>
      <c r="DC102" s="271"/>
      <c r="DD102" s="271"/>
      <c r="DE102" s="271"/>
      <c r="DF102" s="271"/>
      <c r="DG102" s="271"/>
      <c r="DH102" s="271"/>
      <c r="DI102" s="271"/>
      <c r="DJ102" s="271"/>
      <c r="DK102" s="271"/>
      <c r="DL102" s="271"/>
      <c r="DM102" s="271"/>
      <c r="DN102" s="271"/>
      <c r="DO102" s="271"/>
      <c r="DP102" s="271"/>
      <c r="DQ102" s="271"/>
      <c r="DR102" s="271"/>
      <c r="DS102" s="271"/>
      <c r="DT102" s="271"/>
      <c r="DU102" s="271"/>
      <c r="DV102" s="271"/>
      <c r="DW102" s="271"/>
      <c r="DX102" s="271"/>
      <c r="DY102" s="271"/>
      <c r="DZ102" s="271"/>
      <c r="EA102" s="271"/>
      <c r="EB102" s="271"/>
      <c r="EC102" s="271"/>
      <c r="ED102" s="271"/>
      <c r="EE102" s="271"/>
      <c r="EF102" s="271"/>
      <c r="EG102" s="271"/>
      <c r="EH102" s="271"/>
      <c r="EI102" s="271"/>
      <c r="EJ102" s="271"/>
      <c r="EK102" s="271"/>
      <c r="EL102" s="271"/>
      <c r="EM102" s="271"/>
      <c r="EN102" s="271"/>
      <c r="EO102" s="271"/>
      <c r="EP102" s="271"/>
      <c r="EQ102" s="271"/>
      <c r="ER102" s="271"/>
      <c r="ES102" s="271"/>
    </row>
    <row r="103" spans="1:149" hidden="1">
      <c r="A103" s="290"/>
      <c r="B103" s="138"/>
      <c r="C103" s="138"/>
      <c r="D103" s="138"/>
      <c r="E103" s="138"/>
      <c r="F103" s="138"/>
      <c r="G103" s="138"/>
      <c r="H103" s="138"/>
      <c r="I103" s="138"/>
      <c r="J103" s="138"/>
      <c r="K103" s="138"/>
      <c r="L103" s="64"/>
      <c r="M103" s="454"/>
      <c r="N103" s="64"/>
      <c r="O103" s="64"/>
      <c r="P103" s="64"/>
      <c r="Q103" s="64"/>
      <c r="R103" s="64"/>
      <c r="S103" s="245"/>
      <c r="T103" s="245"/>
      <c r="U103" s="245"/>
    </row>
    <row r="104" spans="1:149" s="336" customFormat="1" hidden="1">
      <c r="A104" s="290"/>
      <c r="B104" s="168"/>
      <c r="C104" s="138"/>
      <c r="D104" s="138"/>
      <c r="E104" s="138"/>
      <c r="F104" s="138"/>
      <c r="G104" s="138"/>
      <c r="H104" s="138"/>
      <c r="I104" s="138"/>
      <c r="J104" s="138"/>
      <c r="K104" s="138"/>
      <c r="L104" s="64"/>
      <c r="M104" s="454"/>
      <c r="N104" s="64"/>
      <c r="O104" s="64"/>
      <c r="P104" s="64"/>
      <c r="Q104" s="64"/>
      <c r="R104" s="64"/>
      <c r="S104" s="245"/>
      <c r="T104" s="245"/>
      <c r="U104" s="245"/>
      <c r="V104" s="138"/>
      <c r="W104" s="138"/>
      <c r="X104" s="138"/>
      <c r="Y104" s="138"/>
      <c r="Z104" s="138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337"/>
      <c r="BD104" s="337"/>
      <c r="BE104" s="337"/>
      <c r="BF104" s="337"/>
      <c r="BG104" s="271"/>
      <c r="BH104" s="271"/>
      <c r="BI104" s="271"/>
      <c r="BJ104" s="271"/>
      <c r="BK104" s="271"/>
      <c r="BL104" s="271"/>
      <c r="BM104" s="271"/>
      <c r="BN104" s="271"/>
      <c r="BO104" s="271"/>
      <c r="BP104" s="271"/>
      <c r="BQ104" s="271"/>
      <c r="BR104" s="271"/>
      <c r="BS104" s="271"/>
      <c r="BT104" s="271"/>
      <c r="BU104" s="271"/>
      <c r="BV104" s="271"/>
      <c r="BW104" s="271"/>
      <c r="BX104" s="271"/>
      <c r="BY104" s="271"/>
      <c r="BZ104" s="271"/>
      <c r="CA104" s="271"/>
      <c r="CB104" s="271"/>
      <c r="CC104" s="271"/>
      <c r="CD104" s="271"/>
      <c r="CE104" s="271"/>
      <c r="CF104" s="271"/>
      <c r="CG104" s="271"/>
      <c r="CH104" s="271"/>
      <c r="CI104" s="271"/>
      <c r="CJ104" s="271"/>
      <c r="CK104" s="271"/>
      <c r="CL104" s="271"/>
      <c r="CM104" s="271"/>
      <c r="CN104" s="271"/>
      <c r="CO104" s="271"/>
      <c r="CP104" s="271"/>
      <c r="CQ104" s="271"/>
      <c r="CR104" s="271"/>
      <c r="CS104" s="271"/>
      <c r="CT104" s="271"/>
      <c r="CU104" s="271"/>
      <c r="CV104" s="271"/>
      <c r="CW104" s="271"/>
      <c r="CX104" s="271"/>
      <c r="CY104" s="271"/>
      <c r="CZ104" s="271"/>
      <c r="DA104" s="271"/>
      <c r="DB104" s="271"/>
      <c r="DC104" s="271"/>
      <c r="DD104" s="271"/>
      <c r="DE104" s="271"/>
      <c r="DF104" s="271"/>
      <c r="DG104" s="271"/>
      <c r="DH104" s="271"/>
      <c r="DI104" s="271"/>
      <c r="DJ104" s="271"/>
      <c r="DK104" s="271"/>
      <c r="DL104" s="271"/>
      <c r="DM104" s="271"/>
      <c r="DN104" s="271"/>
      <c r="DO104" s="271"/>
      <c r="DP104" s="271"/>
      <c r="DQ104" s="271"/>
      <c r="DR104" s="271"/>
      <c r="DS104" s="271"/>
      <c r="DT104" s="271"/>
      <c r="DU104" s="271"/>
      <c r="DV104" s="271"/>
      <c r="DW104" s="271"/>
      <c r="DX104" s="271"/>
      <c r="DY104" s="271"/>
      <c r="DZ104" s="271"/>
      <c r="EA104" s="271"/>
      <c r="EB104" s="271"/>
      <c r="EC104" s="271"/>
      <c r="ED104" s="271"/>
      <c r="EE104" s="271"/>
      <c r="EF104" s="271"/>
      <c r="EG104" s="271"/>
      <c r="EH104" s="271"/>
      <c r="EI104" s="271"/>
      <c r="EJ104" s="271"/>
      <c r="EK104" s="271"/>
      <c r="EL104" s="271"/>
      <c r="EM104" s="271"/>
      <c r="EN104" s="271"/>
      <c r="EO104" s="271"/>
      <c r="EP104" s="271"/>
      <c r="EQ104" s="271"/>
      <c r="ER104" s="271"/>
      <c r="ES104" s="271"/>
    </row>
    <row r="105" spans="1:149" hidden="1">
      <c r="A105" s="290"/>
      <c r="B105" s="138"/>
      <c r="C105" s="138"/>
      <c r="D105" s="138"/>
      <c r="E105" s="138"/>
      <c r="F105" s="138"/>
      <c r="G105" s="138"/>
      <c r="H105" s="138"/>
      <c r="I105" s="138"/>
      <c r="J105" s="138"/>
      <c r="K105" s="138"/>
      <c r="L105" s="64"/>
      <c r="M105" s="454"/>
      <c r="N105" s="64"/>
      <c r="O105" s="64"/>
      <c r="P105" s="64"/>
      <c r="Q105" s="64"/>
      <c r="R105" s="64"/>
      <c r="S105" s="245"/>
      <c r="T105" s="245"/>
      <c r="U105" s="245"/>
    </row>
    <row r="106" spans="1:149">
      <c r="A106" s="290"/>
      <c r="B106" s="168"/>
      <c r="C106" s="138"/>
      <c r="D106" s="138"/>
      <c r="E106" s="138"/>
      <c r="F106" s="138"/>
      <c r="G106" s="138"/>
      <c r="H106" s="138"/>
      <c r="I106" s="138"/>
      <c r="J106" s="138"/>
      <c r="K106" s="138"/>
      <c r="L106" s="64"/>
      <c r="M106" s="454"/>
      <c r="N106" s="64"/>
      <c r="O106" s="64"/>
      <c r="P106" s="64"/>
      <c r="Q106" s="64"/>
      <c r="R106" s="64"/>
      <c r="S106" s="245"/>
      <c r="T106" s="245"/>
      <c r="U106" s="245"/>
    </row>
    <row r="107" spans="1:149">
      <c r="A107" s="290"/>
      <c r="B107" s="138"/>
      <c r="C107" s="138"/>
      <c r="D107" s="138"/>
      <c r="E107" s="138"/>
      <c r="F107" s="138"/>
      <c r="G107" s="138"/>
      <c r="H107" s="138"/>
      <c r="I107" s="138"/>
      <c r="J107" s="138"/>
      <c r="K107" s="138"/>
      <c r="L107" s="64"/>
      <c r="M107" s="454"/>
      <c r="N107" s="64"/>
      <c r="O107" s="64"/>
      <c r="P107" s="64"/>
      <c r="Q107" s="64"/>
      <c r="R107" s="64"/>
      <c r="S107" s="245"/>
      <c r="T107" s="245"/>
      <c r="U107" s="245"/>
    </row>
    <row r="108" spans="1:149">
      <c r="A108" s="290"/>
      <c r="B108" s="138"/>
      <c r="C108" s="138"/>
      <c r="D108" s="138"/>
      <c r="E108" s="138"/>
      <c r="F108" s="138"/>
      <c r="G108" s="138"/>
      <c r="H108" s="138"/>
      <c r="I108" s="138"/>
      <c r="J108" s="138"/>
      <c r="K108" s="138"/>
      <c r="L108" s="64"/>
      <c r="M108" s="454"/>
      <c r="N108" s="64"/>
      <c r="O108" s="64"/>
      <c r="P108" s="64"/>
      <c r="Q108" s="64"/>
      <c r="R108" s="64"/>
      <c r="S108" s="245"/>
      <c r="T108" s="245"/>
      <c r="U108" s="245"/>
    </row>
    <row r="109" spans="1:149">
      <c r="A109" s="290"/>
      <c r="B109" s="138"/>
      <c r="C109" s="138"/>
      <c r="D109" s="138"/>
      <c r="E109" s="138"/>
      <c r="F109" s="138"/>
      <c r="G109" s="138"/>
      <c r="H109" s="138"/>
      <c r="I109" s="138"/>
      <c r="J109" s="138"/>
      <c r="K109" s="138"/>
      <c r="L109" s="64"/>
      <c r="M109" s="454"/>
      <c r="N109" s="64"/>
      <c r="O109" s="64"/>
      <c r="P109" s="64"/>
      <c r="Q109" s="64"/>
      <c r="R109" s="64"/>
      <c r="S109" s="245"/>
      <c r="T109" s="245"/>
      <c r="U109" s="245"/>
    </row>
    <row r="110" spans="1:149">
      <c r="A110" s="290"/>
      <c r="B110" s="138"/>
      <c r="C110" s="138"/>
      <c r="D110" s="138"/>
      <c r="E110" s="138"/>
      <c r="F110" s="138"/>
      <c r="G110" s="138"/>
      <c r="H110" s="138"/>
      <c r="I110" s="138"/>
      <c r="J110" s="138"/>
      <c r="K110" s="138"/>
      <c r="L110" s="64"/>
      <c r="M110" s="454"/>
      <c r="N110" s="64"/>
      <c r="O110" s="64"/>
      <c r="P110" s="64"/>
      <c r="Q110" s="64"/>
      <c r="R110" s="64"/>
      <c r="S110" s="245"/>
      <c r="T110" s="245"/>
      <c r="U110" s="245"/>
    </row>
    <row r="111" spans="1:149">
      <c r="A111" s="290"/>
      <c r="B111" s="138"/>
      <c r="C111" s="138"/>
      <c r="D111" s="138"/>
      <c r="E111" s="138"/>
      <c r="F111" s="138"/>
      <c r="G111" s="138"/>
      <c r="H111" s="138"/>
      <c r="I111" s="138"/>
      <c r="J111" s="138"/>
      <c r="K111" s="138"/>
      <c r="L111" s="64"/>
      <c r="M111" s="454"/>
      <c r="N111" s="64"/>
      <c r="O111" s="64"/>
      <c r="P111" s="64"/>
      <c r="Q111" s="64"/>
      <c r="R111" s="64"/>
      <c r="S111" s="245"/>
      <c r="T111" s="245"/>
      <c r="U111" s="245"/>
    </row>
    <row r="112" spans="1:149">
      <c r="A112" s="290"/>
      <c r="B112" s="138"/>
      <c r="C112" s="138"/>
      <c r="D112" s="138"/>
      <c r="E112" s="138"/>
      <c r="F112" s="138"/>
      <c r="G112" s="138"/>
      <c r="H112" s="138"/>
      <c r="I112" s="138"/>
      <c r="J112" s="138"/>
      <c r="K112" s="138"/>
      <c r="L112" s="64"/>
      <c r="M112" s="454"/>
      <c r="N112" s="64"/>
      <c r="O112" s="64"/>
      <c r="P112" s="64"/>
      <c r="Q112" s="64"/>
      <c r="R112" s="64"/>
      <c r="S112" s="245"/>
      <c r="T112" s="245"/>
      <c r="U112" s="245"/>
    </row>
    <row r="113" spans="1:21">
      <c r="A113" s="290"/>
      <c r="B113" s="138"/>
      <c r="C113" s="138"/>
      <c r="D113" s="138"/>
      <c r="E113" s="138"/>
      <c r="F113" s="138"/>
      <c r="G113" s="138"/>
      <c r="H113" s="138"/>
      <c r="I113" s="138"/>
      <c r="J113" s="138"/>
      <c r="K113" s="138"/>
      <c r="L113" s="64"/>
      <c r="M113" s="454"/>
      <c r="N113" s="64"/>
      <c r="O113" s="64"/>
      <c r="P113" s="64"/>
      <c r="Q113" s="64"/>
      <c r="R113" s="64"/>
      <c r="S113" s="245"/>
      <c r="T113" s="245"/>
      <c r="U113" s="245"/>
    </row>
    <row r="114" spans="1:21">
      <c r="A114" s="290"/>
      <c r="B114" s="138"/>
      <c r="C114" s="138"/>
      <c r="D114" s="138"/>
      <c r="E114" s="138"/>
      <c r="F114" s="138"/>
      <c r="G114" s="138"/>
      <c r="H114" s="138"/>
      <c r="I114" s="138"/>
      <c r="J114" s="138"/>
      <c r="K114" s="138"/>
      <c r="L114" s="64"/>
      <c r="M114" s="454"/>
      <c r="N114" s="64"/>
      <c r="O114" s="64"/>
      <c r="P114" s="64"/>
      <c r="Q114" s="64"/>
      <c r="R114" s="64"/>
      <c r="S114" s="245"/>
      <c r="T114" s="245"/>
      <c r="U114" s="245"/>
    </row>
    <row r="115" spans="1:21">
      <c r="A115" s="106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S115" s="245"/>
      <c r="T115" s="245"/>
      <c r="U115" s="245"/>
    </row>
    <row r="116" spans="1:21">
      <c r="A116" s="106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S116" s="245"/>
      <c r="T116" s="245"/>
      <c r="U116" s="245"/>
    </row>
    <row r="117" spans="1:21">
      <c r="A117" s="106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S117" s="245"/>
      <c r="T117" s="245"/>
      <c r="U117" s="245"/>
    </row>
    <row r="118" spans="1:21">
      <c r="A118" s="106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S118" s="245"/>
      <c r="T118" s="245"/>
      <c r="U118" s="245"/>
    </row>
    <row r="119" spans="1:21">
      <c r="A119" s="106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S119" s="245"/>
      <c r="T119" s="245"/>
      <c r="U119" s="245"/>
    </row>
    <row r="120" spans="1:21">
      <c r="A120" s="106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S120" s="245"/>
      <c r="T120" s="245"/>
      <c r="U120" s="245"/>
    </row>
    <row r="121" spans="1:21">
      <c r="A121" s="106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S121" s="245"/>
      <c r="T121" s="245"/>
      <c r="U121" s="245"/>
    </row>
    <row r="122" spans="1:21">
      <c r="A122" s="106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S122" s="245"/>
      <c r="T122" s="245"/>
      <c r="U122" s="245"/>
    </row>
    <row r="123" spans="1:21">
      <c r="A123" s="106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S123" s="245"/>
      <c r="T123" s="245"/>
      <c r="U123" s="245"/>
    </row>
    <row r="124" spans="1:21">
      <c r="A124" s="106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S124" s="245"/>
      <c r="T124" s="245"/>
      <c r="U124" s="245"/>
    </row>
    <row r="125" spans="1:21">
      <c r="A125" s="106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S125" s="245"/>
      <c r="T125" s="245"/>
      <c r="U125" s="245"/>
    </row>
    <row r="126" spans="1:21">
      <c r="A126" s="106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S126" s="245"/>
      <c r="T126" s="245"/>
      <c r="U126" s="245"/>
    </row>
    <row r="127" spans="1:21">
      <c r="A127" s="106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S127" s="245"/>
      <c r="T127" s="245"/>
      <c r="U127" s="245"/>
    </row>
    <row r="128" spans="1:21">
      <c r="A128" s="106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S128" s="245"/>
      <c r="T128" s="245"/>
      <c r="U128" s="245"/>
    </row>
    <row r="129" spans="1:11">
      <c r="A129" s="106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</row>
    <row r="130" spans="1:11">
      <c r="A130" s="106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</row>
    <row r="131" spans="1:11">
      <c r="A131" s="106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</row>
    <row r="132" spans="1:11">
      <c r="A132" s="106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</row>
    <row r="133" spans="1:11">
      <c r="A133" s="106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</row>
    <row r="134" spans="1:11">
      <c r="A134" s="106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</row>
    <row r="135" spans="1:11">
      <c r="A135" s="106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</row>
    <row r="136" spans="1:11">
      <c r="A136" s="106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</row>
    <row r="137" spans="1:11">
      <c r="A137" s="106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</row>
    <row r="138" spans="1:11">
      <c r="A138" s="106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</row>
    <row r="139" spans="1:11">
      <c r="A139" s="106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</row>
    <row r="140" spans="1:11">
      <c r="A140" s="106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</row>
    <row r="141" spans="1:11">
      <c r="A141" s="106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</row>
    <row r="142" spans="1:11">
      <c r="A142" s="106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</row>
    <row r="143" spans="1:11">
      <c r="A143" s="106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</row>
    <row r="144" spans="1:11">
      <c r="A144" s="106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</row>
    <row r="145" spans="1:11">
      <c r="A145" s="106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</row>
    <row r="146" spans="1:11">
      <c r="A146" s="106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</row>
    <row r="147" spans="1:11">
      <c r="A147" s="106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</row>
    <row r="148" spans="1:11">
      <c r="A148" s="106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</row>
    <row r="149" spans="1:11">
      <c r="A149" s="106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</row>
    <row r="150" spans="1:11">
      <c r="A150" s="106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</row>
    <row r="151" spans="1:11">
      <c r="A151" s="106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</row>
    <row r="152" spans="1:11">
      <c r="A152" s="106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</row>
    <row r="153" spans="1:11">
      <c r="A153" s="106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</row>
    <row r="154" spans="1:11">
      <c r="A154" s="106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</row>
    <row r="155" spans="1:11">
      <c r="A155" s="106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</row>
    <row r="156" spans="1:11">
      <c r="A156" s="106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</row>
    <row r="157" spans="1:11">
      <c r="A157" s="106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</row>
    <row r="158" spans="1:11">
      <c r="A158" s="106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</row>
    <row r="159" spans="1:11">
      <c r="A159" s="106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</row>
    <row r="160" spans="1:11">
      <c r="A160" s="106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</row>
    <row r="161" spans="1:11">
      <c r="A161" s="106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</row>
    <row r="162" spans="1:11">
      <c r="A162" s="106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</row>
    <row r="163" spans="1:11">
      <c r="A163" s="106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</row>
    <row r="164" spans="1:11">
      <c r="A164" s="106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</row>
    <row r="165" spans="1:11">
      <c r="A165" s="106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</row>
    <row r="166" spans="1:11">
      <c r="A166" s="106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</row>
    <row r="167" spans="1:11">
      <c r="A167" s="106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</row>
    <row r="168" spans="1:11">
      <c r="A168" s="106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</row>
    <row r="169" spans="1:11">
      <c r="A169" s="106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</row>
    <row r="170" spans="1:11">
      <c r="A170" s="106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</row>
    <row r="171" spans="1:11">
      <c r="A171" s="106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</row>
    <row r="172" spans="1:11">
      <c r="A172" s="106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</row>
    <row r="173" spans="1:11">
      <c r="A173" s="106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</row>
    <row r="174" spans="1:11">
      <c r="A174" s="106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</row>
    <row r="175" spans="1:11">
      <c r="A175" s="106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</row>
    <row r="176" spans="1:11">
      <c r="A176" s="106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</row>
    <row r="177" spans="1:25">
      <c r="A177" s="106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</row>
    <row r="178" spans="1:25">
      <c r="A178" s="106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</row>
    <row r="179" spans="1:25">
      <c r="A179" s="106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</row>
    <row r="180" spans="1:25">
      <c r="A180" s="106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</row>
    <row r="181" spans="1:25">
      <c r="A181" s="106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</row>
    <row r="182" spans="1:25">
      <c r="A182" s="106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</row>
    <row r="183" spans="1:25">
      <c r="A183" s="106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</row>
    <row r="184" spans="1:25">
      <c r="A184" s="106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</row>
    <row r="185" spans="1:25">
      <c r="A185" s="106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Y185" s="168"/>
    </row>
    <row r="186" spans="1:25">
      <c r="A186" s="106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</row>
    <row r="187" spans="1:25">
      <c r="A187" s="106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</row>
    <row r="188" spans="1:25">
      <c r="A188" s="106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</row>
    <row r="189" spans="1:25">
      <c r="A189" s="106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</row>
    <row r="190" spans="1:25">
      <c r="A190" s="106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</row>
    <row r="191" spans="1:25">
      <c r="A191" s="106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</row>
    <row r="192" spans="1:25">
      <c r="A192" s="106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</row>
    <row r="193" spans="1:25">
      <c r="A193" s="106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</row>
    <row r="194" spans="1:25">
      <c r="A194" s="106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</row>
    <row r="195" spans="1:25">
      <c r="A195" s="106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Y195" s="168"/>
    </row>
    <row r="196" spans="1:25">
      <c r="A196" s="106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</row>
    <row r="197" spans="1:25">
      <c r="A197" s="106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</row>
    <row r="198" spans="1:25">
      <c r="A198" s="106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</row>
    <row r="199" spans="1:25">
      <c r="A199" s="106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</row>
    <row r="200" spans="1:25">
      <c r="A200" s="106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</row>
    <row r="201" spans="1:25">
      <c r="A201" s="106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</row>
    <row r="202" spans="1:25">
      <c r="A202" s="106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</row>
    <row r="203" spans="1:25">
      <c r="A203" s="106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</row>
    <row r="204" spans="1:25">
      <c r="A204" s="106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</row>
    <row r="205" spans="1:25">
      <c r="A205" s="106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</row>
    <row r="206" spans="1:25">
      <c r="A206" s="106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</row>
    <row r="207" spans="1:25">
      <c r="A207" s="106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</row>
    <row r="208" spans="1:25">
      <c r="A208" s="106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</row>
    <row r="209" spans="1:25">
      <c r="A209" s="106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</row>
    <row r="210" spans="1:25">
      <c r="A210" s="106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</row>
    <row r="211" spans="1:25">
      <c r="A211" s="106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Y211" s="168"/>
    </row>
    <row r="212" spans="1:25">
      <c r="A212" s="106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</row>
    <row r="213" spans="1:25">
      <c r="A213" s="106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</row>
    <row r="214" spans="1:25">
      <c r="A214" s="106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</row>
    <row r="215" spans="1:25">
      <c r="A215" s="106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</row>
    <row r="216" spans="1:25">
      <c r="A216" s="106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</row>
    <row r="217" spans="1:25">
      <c r="A217" s="106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</row>
    <row r="218" spans="1:25">
      <c r="A218" s="106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</row>
    <row r="219" spans="1:25">
      <c r="A219" s="106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</row>
    <row r="220" spans="1:25">
      <c r="A220" s="106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</row>
    <row r="221" spans="1:25">
      <c r="A221" s="106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</row>
    <row r="222" spans="1:25">
      <c r="A222" s="106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</row>
    <row r="223" spans="1:25">
      <c r="A223" s="106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</row>
    <row r="224" spans="1:25">
      <c r="A224" s="106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</row>
    <row r="225" spans="1:29">
      <c r="A225" s="106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</row>
    <row r="226" spans="1:29">
      <c r="A226" s="106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</row>
    <row r="227" spans="1:29">
      <c r="A227" s="106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W227" s="168"/>
      <c r="X227" s="168"/>
      <c r="Y227" s="168"/>
      <c r="AC227" s="168"/>
    </row>
    <row r="228" spans="1:29">
      <c r="A228" s="106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</row>
    <row r="229" spans="1:29">
      <c r="A229" s="106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</row>
    <row r="230" spans="1:29">
      <c r="A230" s="106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</row>
    <row r="231" spans="1:29">
      <c r="A231" s="106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</row>
    <row r="232" spans="1:29">
      <c r="A232" s="106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</row>
    <row r="233" spans="1:29">
      <c r="A233" s="106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</row>
    <row r="234" spans="1:29">
      <c r="A234" s="106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</row>
    <row r="235" spans="1:29">
      <c r="A235" s="106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</row>
    <row r="236" spans="1:29">
      <c r="A236" s="106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</row>
    <row r="237" spans="1:29">
      <c r="A237" s="106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</row>
    <row r="238" spans="1:29">
      <c r="A238" s="106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</row>
    <row r="239" spans="1:29">
      <c r="A239" s="106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</row>
    <row r="240" spans="1:29">
      <c r="A240" s="106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</row>
    <row r="241" spans="1:11">
      <c r="A241" s="106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</row>
    <row r="242" spans="1:11">
      <c r="A242" s="106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</row>
    <row r="243" spans="1:11">
      <c r="A243" s="106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</row>
    <row r="244" spans="1:11">
      <c r="A244" s="106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</row>
    <row r="245" spans="1:11">
      <c r="A245" s="106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</row>
    <row r="246" spans="1:11">
      <c r="A246" s="106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</row>
    <row r="247" spans="1:11">
      <c r="A247" s="106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</row>
    <row r="248" spans="1:11">
      <c r="A248" s="106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</row>
    <row r="249" spans="1:11">
      <c r="A249" s="106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</row>
    <row r="250" spans="1:11">
      <c r="A250" s="106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</row>
    <row r="251" spans="1:11">
      <c r="A251" s="106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</row>
    <row r="252" spans="1:11">
      <c r="A252" s="106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</row>
    <row r="253" spans="1:11">
      <c r="A253" s="106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</row>
    <row r="254" spans="1:11">
      <c r="A254" s="106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</row>
    <row r="255" spans="1:11">
      <c r="A255" s="106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</row>
    <row r="256" spans="1:11">
      <c r="A256" s="106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</row>
    <row r="257" spans="1:11">
      <c r="A257" s="106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</row>
    <row r="258" spans="1:11">
      <c r="A258" s="106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</row>
    <row r="259" spans="1:11">
      <c r="A259" s="106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</row>
    <row r="260" spans="1:11">
      <c r="A260" s="106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</row>
    <row r="261" spans="1:11">
      <c r="A261" s="106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</row>
    <row r="262" spans="1:11">
      <c r="A262" s="106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</row>
    <row r="263" spans="1:11">
      <c r="A263" s="106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</row>
    <row r="264" spans="1:11">
      <c r="A264" s="106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</row>
    <row r="265" spans="1:11">
      <c r="A265" s="106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</row>
    <row r="266" spans="1:11">
      <c r="A266" s="106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</row>
    <row r="267" spans="1:11">
      <c r="A267" s="106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</row>
    <row r="268" spans="1:11">
      <c r="A268" s="106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</row>
    <row r="269" spans="1:11">
      <c r="A269" s="106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</row>
    <row r="270" spans="1:11">
      <c r="A270" s="106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</row>
    <row r="271" spans="1:11">
      <c r="A271" s="106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</row>
    <row r="272" spans="1:11">
      <c r="A272" s="106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</row>
    <row r="273" spans="1:11">
      <c r="A273" s="106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</row>
    <row r="274" spans="1:11">
      <c r="A274" s="106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</row>
    <row r="275" spans="1:11">
      <c r="A275" s="106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</row>
    <row r="276" spans="1:11">
      <c r="A276" s="106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</row>
    <row r="277" spans="1:11">
      <c r="A277" s="106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</row>
    <row r="278" spans="1:11">
      <c r="A278" s="106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</row>
    <row r="279" spans="1:11">
      <c r="A279" s="106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</row>
    <row r="280" spans="1:11">
      <c r="A280" s="106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</row>
    <row r="281" spans="1:11">
      <c r="A281" s="106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</row>
    <row r="282" spans="1:11">
      <c r="A282" s="106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</row>
    <row r="283" spans="1:11">
      <c r="A283" s="106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</row>
    <row r="284" spans="1:11">
      <c r="A284" s="106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</row>
    <row r="285" spans="1:11">
      <c r="A285" s="106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</row>
    <row r="286" spans="1:11">
      <c r="A286" s="106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</row>
    <row r="287" spans="1:11">
      <c r="A287" s="106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</row>
    <row r="288" spans="1:11">
      <c r="A288" s="106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</row>
    <row r="289" spans="1:11">
      <c r="A289" s="106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</row>
    <row r="290" spans="1:11">
      <c r="A290" s="106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</row>
    <row r="291" spans="1:11">
      <c r="A291" s="106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</row>
    <row r="292" spans="1:11">
      <c r="A292" s="106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</row>
    <row r="293" spans="1:11">
      <c r="A293" s="106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</row>
    <row r="294" spans="1:11">
      <c r="A294" s="106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</row>
    <row r="295" spans="1:11">
      <c r="A295" s="106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</row>
    <row r="296" spans="1:11">
      <c r="A296" s="106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</row>
    <row r="297" spans="1:11">
      <c r="A297" s="106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</row>
    <row r="298" spans="1:11">
      <c r="A298" s="106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</row>
    <row r="299" spans="1:11">
      <c r="A299" s="106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</row>
    <row r="300" spans="1:11">
      <c r="A300" s="106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</row>
    <row r="301" spans="1:11">
      <c r="A301" s="106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</row>
    <row r="302" spans="1:11">
      <c r="A302" s="106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</row>
    <row r="303" spans="1:11">
      <c r="A303" s="106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</row>
    <row r="304" spans="1:11">
      <c r="A304" s="106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</row>
    <row r="305" spans="1:11">
      <c r="A305" s="106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</row>
    <row r="306" spans="1:11">
      <c r="A306" s="106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</row>
    <row r="307" spans="1:11">
      <c r="A307" s="106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</row>
    <row r="308" spans="1:11">
      <c r="A308" s="106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</row>
    <row r="309" spans="1:11">
      <c r="A309" s="106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</row>
    <row r="310" spans="1:11">
      <c r="A310" s="106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</row>
    <row r="311" spans="1:11">
      <c r="A311" s="106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</row>
    <row r="312" spans="1:11">
      <c r="A312" s="106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</row>
    <row r="313" spans="1:11">
      <c r="A313" s="106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</row>
    <row r="314" spans="1:11">
      <c r="A314" s="106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</row>
    <row r="315" spans="1:11">
      <c r="A315" s="106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</row>
    <row r="316" spans="1:11">
      <c r="A316" s="106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</row>
    <row r="317" spans="1:11">
      <c r="A317" s="106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</row>
    <row r="318" spans="1:11">
      <c r="A318" s="106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</row>
    <row r="319" spans="1:11">
      <c r="A319" s="106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</row>
    <row r="320" spans="1:11">
      <c r="A320" s="106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</row>
    <row r="321" spans="1:11">
      <c r="A321" s="106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</row>
    <row r="322" spans="1:11">
      <c r="A322" s="106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</row>
    <row r="323" spans="1:11">
      <c r="A323" s="106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</row>
    <row r="324" spans="1:11">
      <c r="A324" s="106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</row>
    <row r="325" spans="1:11">
      <c r="A325" s="106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</row>
    <row r="326" spans="1:11">
      <c r="A326" s="106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</row>
    <row r="327" spans="1:11">
      <c r="A327" s="106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</row>
    <row r="328" spans="1:11">
      <c r="A328" s="106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</row>
    <row r="329" spans="1:11">
      <c r="A329" s="106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</row>
    <row r="330" spans="1:11">
      <c r="A330" s="106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</row>
    <row r="331" spans="1:11">
      <c r="A331" s="106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</row>
    <row r="332" spans="1:11">
      <c r="A332" s="106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</row>
    <row r="333" spans="1:11">
      <c r="A333" s="106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</row>
    <row r="334" spans="1:11">
      <c r="A334" s="106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</row>
    <row r="335" spans="1:11">
      <c r="A335" s="106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</row>
    <row r="336" spans="1:11">
      <c r="A336" s="106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</row>
    <row r="337" spans="1:11">
      <c r="A337" s="106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</row>
    <row r="338" spans="1:11">
      <c r="A338" s="106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</row>
    <row r="339" spans="1:11">
      <c r="A339" s="106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</row>
    <row r="340" spans="1:11">
      <c r="A340" s="106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</row>
    <row r="341" spans="1:11">
      <c r="A341" s="106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</row>
    <row r="342" spans="1:11">
      <c r="A342" s="106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</row>
    <row r="343" spans="1:11">
      <c r="A343" s="106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</row>
    <row r="344" spans="1:11">
      <c r="A344" s="106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</row>
    <row r="345" spans="1:11">
      <c r="A345" s="106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</row>
    <row r="346" spans="1:11">
      <c r="A346" s="106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</row>
    <row r="347" spans="1:11">
      <c r="A347" s="106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</row>
    <row r="348" spans="1:11">
      <c r="A348" s="106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</row>
    <row r="349" spans="1:11">
      <c r="A349" s="106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</row>
    <row r="350" spans="1:11">
      <c r="A350" s="106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</row>
    <row r="351" spans="1:11">
      <c r="A351" s="106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</row>
    <row r="352" spans="1:11">
      <c r="A352" s="106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</row>
    <row r="353" spans="1:11">
      <c r="A353" s="106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</row>
    <row r="354" spans="1:11">
      <c r="A354" s="106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</row>
    <row r="355" spans="1:11">
      <c r="A355" s="106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</row>
    <row r="356" spans="1:11">
      <c r="A356" s="106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</row>
    <row r="357" spans="1:11">
      <c r="A357" s="106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</row>
    <row r="358" spans="1:11">
      <c r="A358" s="106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</row>
    <row r="359" spans="1:11">
      <c r="A359" s="106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</row>
    <row r="360" spans="1:11">
      <c r="A360" s="106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</row>
    <row r="361" spans="1:11">
      <c r="A361" s="106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</row>
    <row r="362" spans="1:11">
      <c r="A362" s="106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</row>
    <row r="363" spans="1:11">
      <c r="A363" s="106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</row>
    <row r="364" spans="1:11">
      <c r="A364" s="106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</row>
    <row r="365" spans="1:11">
      <c r="A365" s="106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</row>
    <row r="366" spans="1:11">
      <c r="A366" s="106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</row>
    <row r="367" spans="1:11">
      <c r="A367" s="106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</row>
    <row r="368" spans="1:11">
      <c r="A368" s="106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</row>
    <row r="369" spans="1:11">
      <c r="A369" s="106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</row>
    <row r="370" spans="1:11">
      <c r="A370" s="106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</row>
    <row r="371" spans="1:11">
      <c r="A371" s="106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</row>
    <row r="372" spans="1:11">
      <c r="A372" s="106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</row>
    <row r="373" spans="1:11">
      <c r="A373" s="106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</row>
    <row r="374" spans="1:11">
      <c r="A374" s="106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</row>
    <row r="375" spans="1:11">
      <c r="A375" s="106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</row>
    <row r="376" spans="1:11">
      <c r="A376" s="106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</row>
    <row r="377" spans="1:11">
      <c r="A377" s="106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</row>
    <row r="378" spans="1:11">
      <c r="A378" s="106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</row>
    <row r="379" spans="1:11">
      <c r="A379" s="106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</row>
    <row r="380" spans="1:11">
      <c r="A380" s="106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</row>
    <row r="381" spans="1:11">
      <c r="A381" s="106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</row>
    <row r="382" spans="1:11">
      <c r="A382" s="106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</row>
    <row r="383" spans="1:11">
      <c r="A383" s="106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</row>
    <row r="384" spans="1:11">
      <c r="A384" s="106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</row>
    <row r="385" spans="1:11">
      <c r="A385" s="106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</row>
    <row r="386" spans="1:11">
      <c r="A386" s="106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</row>
    <row r="387" spans="1:11">
      <c r="A387" s="106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</row>
    <row r="388" spans="1:11">
      <c r="A388" s="106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</row>
    <row r="389" spans="1:11">
      <c r="A389" s="106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</row>
    <row r="390" spans="1:11">
      <c r="A390" s="106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</row>
    <row r="391" spans="1:11">
      <c r="A391" s="106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</row>
    <row r="392" spans="1:11">
      <c r="A392" s="106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</row>
    <row r="393" spans="1:11">
      <c r="A393" s="106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</row>
    <row r="394" spans="1:11">
      <c r="A394" s="106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</row>
    <row r="395" spans="1:11">
      <c r="A395" s="106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</row>
    <row r="396" spans="1:11">
      <c r="A396" s="106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</row>
    <row r="397" spans="1:11">
      <c r="A397" s="106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</row>
    <row r="398" spans="1:11">
      <c r="A398" s="106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</row>
    <row r="399" spans="1:11">
      <c r="A399" s="106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</row>
    <row r="400" spans="1:11">
      <c r="A400" s="106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</row>
    <row r="401" spans="1:11">
      <c r="A401" s="106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</row>
    <row r="402" spans="1:11">
      <c r="A402" s="106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</row>
    <row r="403" spans="1:11">
      <c r="A403" s="106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</row>
    <row r="404" spans="1:11">
      <c r="A404" s="106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</row>
    <row r="405" spans="1:11">
      <c r="A405" s="106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</row>
    <row r="406" spans="1:11">
      <c r="A406" s="106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</row>
    <row r="407" spans="1:11">
      <c r="A407" s="106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</row>
    <row r="408" spans="1:11">
      <c r="A408" s="106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</row>
    <row r="409" spans="1:11">
      <c r="A409" s="106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</row>
    <row r="410" spans="1:11">
      <c r="A410" s="106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</row>
    <row r="411" spans="1:11">
      <c r="A411" s="106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</row>
    <row r="412" spans="1:11">
      <c r="A412" s="106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</row>
    <row r="413" spans="1:11">
      <c r="A413" s="106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</row>
    <row r="414" spans="1:11">
      <c r="A414" s="106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</row>
    <row r="415" spans="1:11">
      <c r="A415" s="106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</row>
    <row r="416" spans="1:11">
      <c r="A416" s="106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</row>
    <row r="417" spans="1:11">
      <c r="A417" s="106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</row>
    <row r="418" spans="1:11">
      <c r="A418" s="106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</row>
    <row r="419" spans="1:11">
      <c r="A419" s="106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</row>
    <row r="420" spans="1:11">
      <c r="A420" s="106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</row>
    <row r="421" spans="1:11">
      <c r="A421" s="106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</row>
    <row r="422" spans="1:11">
      <c r="A422" s="106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</row>
    <row r="423" spans="1:11">
      <c r="A423" s="106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</row>
    <row r="424" spans="1:11">
      <c r="A424" s="106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</row>
    <row r="425" spans="1:11">
      <c r="A425" s="106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</row>
    <row r="426" spans="1:11">
      <c r="A426" s="106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</row>
    <row r="427" spans="1:11">
      <c r="A427" s="106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</row>
    <row r="428" spans="1:11">
      <c r="A428" s="106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</row>
    <row r="429" spans="1:11">
      <c r="A429" s="106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</row>
    <row r="430" spans="1:11">
      <c r="A430" s="106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</row>
    <row r="431" spans="1:11">
      <c r="A431" s="106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</row>
    <row r="432" spans="1:11">
      <c r="A432" s="106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</row>
    <row r="433" spans="1:11">
      <c r="A433" s="106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</row>
    <row r="434" spans="1:11">
      <c r="A434" s="106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</row>
    <row r="435" spans="1:11">
      <c r="A435" s="106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</row>
    <row r="436" spans="1:11">
      <c r="A436" s="106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</row>
    <row r="437" spans="1:11">
      <c r="A437" s="106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</row>
    <row r="438" spans="1:11">
      <c r="A438" s="106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</row>
    <row r="439" spans="1:11">
      <c r="A439" s="106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</row>
    <row r="440" spans="1:11">
      <c r="A440" s="106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</row>
    <row r="441" spans="1:11">
      <c r="A441" s="106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</row>
    <row r="442" spans="1:11">
      <c r="A442" s="106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</row>
    <row r="443" spans="1:11">
      <c r="A443" s="106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</row>
    <row r="444" spans="1:11">
      <c r="A444" s="106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</row>
    <row r="445" spans="1:11">
      <c r="A445" s="106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</row>
    <row r="446" spans="1:11">
      <c r="A446" s="106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</row>
    <row r="447" spans="1:11">
      <c r="A447" s="106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</row>
    <row r="448" spans="1:11">
      <c r="A448" s="106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</row>
    <row r="449" spans="1:11">
      <c r="A449" s="106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</row>
    <row r="450" spans="1:11">
      <c r="A450" s="106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</row>
    <row r="451" spans="1:11">
      <c r="A451" s="106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</row>
    <row r="452" spans="1:11">
      <c r="A452" s="106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</row>
    <row r="453" spans="1:11">
      <c r="A453" s="106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</row>
    <row r="454" spans="1:11">
      <c r="A454" s="106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</row>
    <row r="455" spans="1:11">
      <c r="A455" s="106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</row>
    <row r="456" spans="1:11">
      <c r="A456" s="106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</row>
    <row r="457" spans="1:11">
      <c r="A457" s="106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</row>
    <row r="458" spans="1:11">
      <c r="A458" s="106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</row>
    <row r="459" spans="1:11">
      <c r="A459" s="106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</row>
    <row r="460" spans="1:11">
      <c r="A460" s="106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</row>
    <row r="461" spans="1:11">
      <c r="A461" s="106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</row>
    <row r="462" spans="1:11">
      <c r="A462" s="106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</row>
    <row r="463" spans="1:11">
      <c r="A463" s="106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</row>
    <row r="464" spans="1:11">
      <c r="A464" s="106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</row>
    <row r="465" spans="1:11">
      <c r="A465" s="106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</row>
    <row r="466" spans="1:11">
      <c r="A466" s="106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</row>
    <row r="467" spans="1:11">
      <c r="A467" s="106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</row>
    <row r="468" spans="1:11">
      <c r="A468" s="106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</row>
    <row r="469" spans="1:11">
      <c r="A469" s="106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</row>
    <row r="470" spans="1:11">
      <c r="A470" s="106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</row>
    <row r="471" spans="1:11">
      <c r="A471" s="106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</row>
    <row r="472" spans="1:11">
      <c r="A472" s="106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</row>
    <row r="473" spans="1:11">
      <c r="A473" s="106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</row>
    <row r="474" spans="1:11">
      <c r="A474" s="106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</row>
    <row r="475" spans="1:11">
      <c r="A475" s="106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</row>
    <row r="476" spans="1:11">
      <c r="A476" s="106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</row>
    <row r="477" spans="1:11">
      <c r="A477" s="106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</row>
    <row r="478" spans="1:11">
      <c r="A478" s="106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</row>
    <row r="479" spans="1:11">
      <c r="A479" s="106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</row>
    <row r="480" spans="1:11">
      <c r="A480" s="106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</row>
    <row r="481" spans="1:11">
      <c r="A481" s="106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</row>
    <row r="482" spans="1:11">
      <c r="A482" s="106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</row>
    <row r="483" spans="1:11">
      <c r="A483" s="106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</row>
    <row r="484" spans="1:11">
      <c r="A484" s="106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</row>
    <row r="485" spans="1:11">
      <c r="A485" s="106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</row>
    <row r="486" spans="1:11">
      <c r="A486" s="106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</row>
    <row r="487" spans="1:11">
      <c r="A487" s="106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</row>
    <row r="488" spans="1:11">
      <c r="A488" s="106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</row>
    <row r="489" spans="1:11">
      <c r="A489" s="106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</row>
    <row r="490" spans="1:11">
      <c r="A490" s="106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</row>
    <row r="491" spans="1:11">
      <c r="A491" s="106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</row>
    <row r="492" spans="1:11">
      <c r="A492" s="106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</row>
    <row r="493" spans="1:11">
      <c r="A493" s="106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</row>
    <row r="494" spans="1:11">
      <c r="A494" s="106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</row>
    <row r="495" spans="1:11">
      <c r="A495" s="106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</row>
    <row r="496" spans="1:11">
      <c r="A496" s="106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</row>
    <row r="497" spans="1:11">
      <c r="A497" s="106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</row>
    <row r="498" spans="1:11">
      <c r="A498" s="106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</row>
    <row r="499" spans="1:11">
      <c r="A499" s="106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</row>
    <row r="500" spans="1:11">
      <c r="A500" s="106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</row>
    <row r="501" spans="1:11">
      <c r="A501" s="106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</row>
    <row r="502" spans="1:11">
      <c r="A502" s="106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</row>
    <row r="503" spans="1:11">
      <c r="A503" s="106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</row>
    <row r="504" spans="1:11">
      <c r="A504" s="106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</row>
    <row r="505" spans="1:11">
      <c r="A505" s="106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</row>
    <row r="506" spans="1:11">
      <c r="A506" s="106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</row>
    <row r="507" spans="1:11">
      <c r="A507" s="106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</row>
    <row r="508" spans="1:11">
      <c r="A508" s="106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</row>
    <row r="509" spans="1:11">
      <c r="A509" s="106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</row>
    <row r="510" spans="1:11">
      <c r="A510" s="106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</row>
    <row r="511" spans="1:11">
      <c r="A511" s="106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</row>
    <row r="512" spans="1:11">
      <c r="A512" s="106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</row>
    <row r="513" spans="1:11">
      <c r="A513" s="106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</row>
    <row r="514" spans="1:11">
      <c r="A514" s="106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</row>
    <row r="515" spans="1:11">
      <c r="A515" s="106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</row>
    <row r="516" spans="1:11">
      <c r="A516" s="106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</row>
    <row r="517" spans="1:11">
      <c r="A517" s="106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</row>
    <row r="518" spans="1:11">
      <c r="A518" s="106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</row>
    <row r="519" spans="1:11">
      <c r="A519" s="106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</row>
    <row r="520" spans="1:11">
      <c r="A520" s="106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</row>
    <row r="521" spans="1:11">
      <c r="A521" s="106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</row>
    <row r="522" spans="1:11">
      <c r="A522" s="106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</row>
    <row r="523" spans="1:11">
      <c r="A523" s="106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</row>
    <row r="524" spans="1:11">
      <c r="A524" s="106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</row>
    <row r="525" spans="1:11">
      <c r="A525" s="106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</row>
    <row r="526" spans="1:11">
      <c r="A526" s="106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</row>
    <row r="527" spans="1:11">
      <c r="A527" s="106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</row>
    <row r="528" spans="1:11">
      <c r="A528" s="106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</row>
    <row r="529" spans="1:11">
      <c r="A529" s="106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</row>
    <row r="530" spans="1:11">
      <c r="A530" s="106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</row>
    <row r="531" spans="1:11">
      <c r="A531" s="106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</row>
    <row r="532" spans="1:11">
      <c r="A532" s="106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</row>
    <row r="533" spans="1:11">
      <c r="A533" s="106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</row>
    <row r="534" spans="1:11">
      <c r="A534" s="106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</row>
    <row r="535" spans="1:11">
      <c r="A535" s="106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</row>
    <row r="536" spans="1:11">
      <c r="A536" s="106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</row>
    <row r="537" spans="1:11">
      <c r="A537" s="106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</row>
    <row r="538" spans="1:11">
      <c r="A538" s="106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</row>
    <row r="539" spans="1:11">
      <c r="A539" s="106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</row>
    <row r="540" spans="1:11">
      <c r="A540" s="106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</row>
    <row r="541" spans="1:11">
      <c r="A541" s="106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</row>
    <row r="542" spans="1:11">
      <c r="A542" s="106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</row>
    <row r="543" spans="1:11">
      <c r="A543" s="106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</row>
    <row r="544" spans="1:11">
      <c r="A544" s="106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</row>
    <row r="545" spans="1:11">
      <c r="A545" s="106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</row>
    <row r="546" spans="1:11">
      <c r="A546" s="106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</row>
    <row r="547" spans="1:11">
      <c r="A547" s="106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</row>
    <row r="548" spans="1:11">
      <c r="A548" s="106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</row>
    <row r="549" spans="1:11">
      <c r="A549" s="106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</row>
    <row r="550" spans="1:11">
      <c r="A550" s="106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</row>
    <row r="551" spans="1:11">
      <c r="A551" s="106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</row>
    <row r="552" spans="1:11">
      <c r="A552" s="106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</row>
    <row r="553" spans="1:11">
      <c r="A553" s="106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</row>
    <row r="554" spans="1:11">
      <c r="A554" s="106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</row>
    <row r="555" spans="1:11">
      <c r="A555" s="106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</row>
    <row r="556" spans="1:11">
      <c r="A556" s="106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</row>
    <row r="557" spans="1:11">
      <c r="A557" s="106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</row>
    <row r="558" spans="1:11">
      <c r="A558" s="106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</row>
    <row r="559" spans="1:11">
      <c r="A559" s="106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</row>
    <row r="560" spans="1:11">
      <c r="A560" s="106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</row>
    <row r="561" spans="1:11">
      <c r="A561" s="106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</row>
    <row r="562" spans="1:11">
      <c r="A562" s="106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</row>
    <row r="563" spans="1:11">
      <c r="A563" s="106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</row>
    <row r="564" spans="1:11">
      <c r="A564" s="106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</row>
    <row r="565" spans="1:11">
      <c r="A565" s="106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</row>
    <row r="566" spans="1:11">
      <c r="A566" s="106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</row>
    <row r="567" spans="1:11">
      <c r="A567" s="106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</row>
    <row r="568" spans="1:11">
      <c r="A568" s="106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</row>
    <row r="569" spans="1:11">
      <c r="A569" s="106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</row>
    <row r="570" spans="1:11">
      <c r="A570" s="106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</row>
    <row r="571" spans="1:11">
      <c r="A571" s="106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</row>
    <row r="572" spans="1:11">
      <c r="A572" s="106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</row>
    <row r="573" spans="1:11">
      <c r="A573" s="106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</row>
    <row r="574" spans="1:11">
      <c r="A574" s="106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</row>
    <row r="575" spans="1:11">
      <c r="A575" s="106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</row>
    <row r="576" spans="1:11">
      <c r="A576" s="106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</row>
    <row r="577" spans="1:11">
      <c r="A577" s="106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</row>
    <row r="578" spans="1:11">
      <c r="A578" s="106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</row>
    <row r="579" spans="1:11">
      <c r="A579" s="106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</row>
    <row r="580" spans="1:11">
      <c r="A580" s="106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</row>
    <row r="581" spans="1:11">
      <c r="A581" s="106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</row>
    <row r="582" spans="1:11">
      <c r="A582" s="106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</row>
    <row r="583" spans="1:11">
      <c r="A583" s="106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</row>
    <row r="584" spans="1:11">
      <c r="A584" s="106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</row>
    <row r="585" spans="1:11">
      <c r="A585" s="106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</row>
    <row r="586" spans="1:11">
      <c r="A586" s="106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</row>
    <row r="587" spans="1:11">
      <c r="A587" s="106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</row>
    <row r="588" spans="1:11">
      <c r="A588" s="106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</row>
    <row r="589" spans="1:11">
      <c r="A589" s="106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</row>
    <row r="590" spans="1:11">
      <c r="A590" s="106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</row>
    <row r="591" spans="1:11">
      <c r="A591" s="106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</row>
    <row r="592" spans="1:11">
      <c r="A592" s="106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</row>
    <row r="593" spans="1:11">
      <c r="A593" s="106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</row>
    <row r="594" spans="1:11">
      <c r="A594" s="106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</row>
    <row r="595" spans="1:11">
      <c r="A595" s="106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</row>
    <row r="596" spans="1:11">
      <c r="A596" s="106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</row>
    <row r="597" spans="1:11">
      <c r="A597" s="106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</row>
    <row r="598" spans="1:11">
      <c r="A598" s="106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</row>
    <row r="599" spans="1:11">
      <c r="A599" s="106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</row>
    <row r="600" spans="1:11">
      <c r="A600" s="106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</row>
    <row r="601" spans="1:11">
      <c r="A601" s="106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</row>
    <row r="602" spans="1:11">
      <c r="A602" s="106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</row>
    <row r="603" spans="1:11">
      <c r="A603" s="106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</row>
    <row r="604" spans="1:11">
      <c r="A604" s="106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</row>
    <row r="605" spans="1:11">
      <c r="A605" s="106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</row>
    <row r="606" spans="1:11">
      <c r="A606" s="106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</row>
    <row r="607" spans="1:11">
      <c r="A607" s="106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</row>
    <row r="608" spans="1:11">
      <c r="A608" s="106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</row>
    <row r="609" spans="1:11">
      <c r="A609" s="106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</row>
    <row r="610" spans="1:11">
      <c r="A610" s="106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</row>
    <row r="611" spans="1:11">
      <c r="A611" s="106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</row>
    <row r="612" spans="1:11">
      <c r="A612" s="106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</row>
    <row r="613" spans="1:11">
      <c r="A613" s="106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</row>
    <row r="614" spans="1:11">
      <c r="A614" s="106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</row>
    <row r="615" spans="1:11">
      <c r="A615" s="106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</row>
    <row r="616" spans="1:11">
      <c r="A616" s="106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</row>
    <row r="617" spans="1:11">
      <c r="A617" s="106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</row>
    <row r="618" spans="1:11">
      <c r="A618" s="106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</row>
    <row r="619" spans="1:11">
      <c r="A619" s="106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</row>
    <row r="620" spans="1:11">
      <c r="A620" s="106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</row>
    <row r="621" spans="1:11">
      <c r="A621" s="106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</row>
    <row r="622" spans="1:11">
      <c r="A622" s="106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</row>
    <row r="623" spans="1:11">
      <c r="A623" s="106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</row>
    <row r="624" spans="1:11">
      <c r="A624" s="106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</row>
    <row r="625" spans="1:11">
      <c r="A625" s="106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</row>
    <row r="626" spans="1:11">
      <c r="A626" s="106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</row>
    <row r="627" spans="1:11">
      <c r="A627" s="106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</row>
    <row r="628" spans="1:11">
      <c r="A628" s="106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</row>
    <row r="629" spans="1:11">
      <c r="A629" s="106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</row>
    <row r="630" spans="1:11">
      <c r="A630" s="106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</row>
    <row r="631" spans="1:11">
      <c r="A631" s="106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</row>
    <row r="632" spans="1:11">
      <c r="A632" s="106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</row>
    <row r="633" spans="1:11">
      <c r="A633" s="106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</row>
    <row r="634" spans="1:11">
      <c r="A634" s="106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</row>
    <row r="635" spans="1:11">
      <c r="A635" s="106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</row>
    <row r="636" spans="1:11">
      <c r="A636" s="106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</row>
    <row r="637" spans="1:11">
      <c r="A637" s="106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</row>
    <row r="638" spans="1:11">
      <c r="A638" s="106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</row>
    <row r="639" spans="1:11">
      <c r="A639" s="106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</row>
    <row r="640" spans="1:11">
      <c r="A640" s="106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</row>
    <row r="641" spans="1:11">
      <c r="A641" s="106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</row>
    <row r="642" spans="1:11">
      <c r="A642" s="106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</row>
    <row r="643" spans="1:11">
      <c r="A643" s="106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</row>
    <row r="644" spans="1:11">
      <c r="A644" s="106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</row>
    <row r="645" spans="1:11">
      <c r="A645" s="106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</row>
    <row r="646" spans="1:11">
      <c r="A646" s="106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</row>
    <row r="647" spans="1:11">
      <c r="A647" s="106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</row>
    <row r="648" spans="1:11">
      <c r="A648" s="106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</row>
    <row r="649" spans="1:11">
      <c r="A649" s="106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</row>
    <row r="650" spans="1:11">
      <c r="A650" s="106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</row>
    <row r="651" spans="1:11">
      <c r="A651" s="106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</row>
    <row r="652" spans="1:11">
      <c r="A652" s="106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</row>
    <row r="653" spans="1:11">
      <c r="A653" s="106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</row>
    <row r="654" spans="1:11">
      <c r="A654" s="106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</row>
    <row r="655" spans="1:11">
      <c r="A655" s="106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</row>
    <row r="656" spans="1:11">
      <c r="A656" s="106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</row>
    <row r="657" spans="1:11">
      <c r="A657" s="106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</row>
    <row r="658" spans="1:11">
      <c r="A658" s="106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</row>
    <row r="659" spans="1:11">
      <c r="A659" s="106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</row>
    <row r="660" spans="1:11">
      <c r="A660" s="106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</row>
    <row r="661" spans="1:11">
      <c r="A661" s="106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</row>
    <row r="662" spans="1:11">
      <c r="A662" s="106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</row>
    <row r="663" spans="1:11">
      <c r="A663" s="106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</row>
    <row r="664" spans="1:11">
      <c r="A664" s="106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</row>
    <row r="665" spans="1:11">
      <c r="A665" s="106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</row>
    <row r="666" spans="1:11">
      <c r="A666" s="106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</row>
    <row r="667" spans="1:11">
      <c r="A667" s="106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</row>
    <row r="668" spans="1:11">
      <c r="A668" s="106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</row>
    <row r="669" spans="1:11">
      <c r="A669" s="106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</row>
    <row r="670" spans="1:11">
      <c r="A670" s="106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</row>
    <row r="671" spans="1:11">
      <c r="A671" s="106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</row>
    <row r="672" spans="1:11">
      <c r="A672" s="106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</row>
    <row r="673" spans="1:11">
      <c r="A673" s="106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</row>
    <row r="674" spans="1:11">
      <c r="A674" s="106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</row>
    <row r="675" spans="1:11">
      <c r="A675" s="106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</row>
    <row r="676" spans="1:11">
      <c r="A676" s="106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</row>
    <row r="677" spans="1:11">
      <c r="A677" s="106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</row>
    <row r="678" spans="1:11">
      <c r="A678" s="106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</row>
    <row r="679" spans="1:11">
      <c r="A679" s="106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</row>
    <row r="680" spans="1:11">
      <c r="A680" s="106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</row>
    <row r="681" spans="1:11">
      <c r="A681" s="106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</row>
    <row r="682" spans="1:11">
      <c r="A682" s="106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</row>
    <row r="683" spans="1:11">
      <c r="A683" s="106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</row>
    <row r="684" spans="1:11">
      <c r="A684" s="106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</row>
    <row r="685" spans="1:11">
      <c r="A685" s="106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</row>
    <row r="686" spans="1:11">
      <c r="A686" s="106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</row>
    <row r="687" spans="1:11">
      <c r="A687" s="106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</row>
    <row r="688" spans="1:11">
      <c r="A688" s="106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</row>
    <row r="689" spans="1:11">
      <c r="A689" s="106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</row>
    <row r="690" spans="1:11">
      <c r="A690" s="106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</row>
    <row r="691" spans="1:11">
      <c r="A691" s="106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</row>
    <row r="692" spans="1:11">
      <c r="A692" s="106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</row>
    <row r="693" spans="1:11">
      <c r="A693" s="106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</row>
    <row r="694" spans="1:11">
      <c r="A694" s="106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</row>
    <row r="695" spans="1:11">
      <c r="A695" s="106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</row>
    <row r="696" spans="1:11">
      <c r="A696" s="106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</row>
    <row r="697" spans="1:11">
      <c r="A697" s="106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</row>
    <row r="698" spans="1:11">
      <c r="A698" s="106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</row>
    <row r="699" spans="1:11">
      <c r="A699" s="106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</row>
    <row r="700" spans="1:11">
      <c r="A700" s="106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</row>
    <row r="701" spans="1:11">
      <c r="A701" s="106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</row>
    <row r="702" spans="1:11">
      <c r="A702" s="106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</row>
    <row r="703" spans="1:11">
      <c r="A703" s="106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</row>
    <row r="704" spans="1:11">
      <c r="A704" s="106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</row>
    <row r="705" spans="1:11">
      <c r="A705" s="106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</row>
    <row r="706" spans="1:11">
      <c r="A706" s="106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</row>
    <row r="707" spans="1:11">
      <c r="A707" s="106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</row>
    <row r="708" spans="1:11">
      <c r="A708" s="106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</row>
    <row r="709" spans="1:11">
      <c r="A709" s="106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</row>
    <row r="710" spans="1:11">
      <c r="A710" s="106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</row>
    <row r="711" spans="1:11">
      <c r="A711" s="106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</row>
    <row r="712" spans="1:11">
      <c r="A712" s="106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</row>
    <row r="713" spans="1:11">
      <c r="A713" s="106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</row>
    <row r="714" spans="1:11">
      <c r="A714" s="106"/>
      <c r="B714" s="107"/>
      <c r="C714" s="107"/>
      <c r="D714" s="107"/>
      <c r="E714" s="108"/>
      <c r="F714" s="107"/>
      <c r="G714" s="107"/>
      <c r="H714" s="107"/>
      <c r="I714" s="107"/>
      <c r="J714" s="107"/>
      <c r="K714" s="107"/>
    </row>
    <row r="715" spans="1:11">
      <c r="A715" s="106"/>
      <c r="B715" s="107"/>
      <c r="C715" s="107"/>
      <c r="D715" s="107"/>
      <c r="E715" s="108"/>
      <c r="F715" s="107"/>
      <c r="G715" s="107"/>
      <c r="H715" s="107"/>
      <c r="I715" s="107"/>
      <c r="J715" s="107"/>
      <c r="K715" s="107"/>
    </row>
    <row r="716" spans="1:11">
      <c r="A716" s="106"/>
      <c r="B716" s="107"/>
      <c r="C716" s="107"/>
      <c r="D716" s="107"/>
      <c r="E716" s="108"/>
      <c r="F716" s="107"/>
      <c r="G716" s="107"/>
      <c r="H716" s="107"/>
      <c r="I716" s="107"/>
      <c r="J716" s="107"/>
      <c r="K716" s="107"/>
    </row>
    <row r="717" spans="1:11">
      <c r="A717" s="106"/>
      <c r="B717" s="107"/>
      <c r="C717" s="107"/>
      <c r="D717" s="107"/>
      <c r="E717" s="108"/>
      <c r="F717" s="107"/>
      <c r="G717" s="107"/>
      <c r="H717" s="107"/>
      <c r="I717" s="107"/>
      <c r="J717" s="107"/>
      <c r="K717" s="107"/>
    </row>
    <row r="718" spans="1:11">
      <c r="A718" s="106"/>
      <c r="B718" s="107"/>
      <c r="C718" s="107"/>
      <c r="D718" s="107"/>
      <c r="E718" s="108"/>
      <c r="F718" s="107"/>
      <c r="G718" s="107"/>
      <c r="H718" s="107"/>
      <c r="I718" s="107"/>
      <c r="J718" s="107"/>
      <c r="K718" s="107"/>
    </row>
    <row r="719" spans="1:11">
      <c r="A719" s="106"/>
      <c r="B719" s="107"/>
      <c r="C719" s="107"/>
      <c r="D719" s="107"/>
      <c r="E719" s="108"/>
      <c r="F719" s="107"/>
      <c r="G719" s="107"/>
      <c r="H719" s="107"/>
      <c r="I719" s="107"/>
      <c r="J719" s="107"/>
      <c r="K719" s="107"/>
    </row>
    <row r="720" spans="1:11">
      <c r="A720" s="106"/>
      <c r="B720" s="107"/>
      <c r="C720" s="107"/>
      <c r="D720" s="107"/>
      <c r="E720" s="108"/>
      <c r="F720" s="107"/>
      <c r="G720" s="107"/>
      <c r="H720" s="107"/>
      <c r="I720" s="107"/>
      <c r="J720" s="107"/>
      <c r="K720" s="107"/>
    </row>
    <row r="721" spans="1:11">
      <c r="A721" s="106"/>
      <c r="B721" s="107"/>
      <c r="C721" s="107"/>
      <c r="D721" s="107"/>
      <c r="E721" s="108"/>
      <c r="F721" s="107"/>
      <c r="G721" s="107"/>
      <c r="H721" s="107"/>
      <c r="I721" s="107"/>
      <c r="J721" s="107"/>
      <c r="K721" s="107"/>
    </row>
    <row r="722" spans="1:11">
      <c r="A722" s="106"/>
      <c r="B722" s="107"/>
      <c r="C722" s="107"/>
      <c r="D722" s="107"/>
      <c r="E722" s="108"/>
      <c r="F722" s="107"/>
      <c r="G722" s="107"/>
      <c r="H722" s="107"/>
      <c r="I722" s="107"/>
      <c r="J722" s="107"/>
      <c r="K722" s="107"/>
    </row>
    <row r="723" spans="1:11">
      <c r="A723" s="106"/>
      <c r="B723" s="107"/>
      <c r="C723" s="107"/>
      <c r="D723" s="107"/>
      <c r="E723" s="108"/>
      <c r="F723" s="107"/>
      <c r="G723" s="107"/>
      <c r="H723" s="107"/>
      <c r="I723" s="107"/>
      <c r="J723" s="107"/>
      <c r="K723" s="107"/>
    </row>
    <row r="724" spans="1:11">
      <c r="A724" s="106"/>
      <c r="B724" s="107"/>
      <c r="C724" s="107"/>
      <c r="D724" s="107"/>
      <c r="E724" s="108"/>
      <c r="F724" s="107"/>
      <c r="G724" s="107"/>
      <c r="H724" s="107"/>
      <c r="I724" s="107"/>
      <c r="J724" s="107"/>
      <c r="K724" s="107"/>
    </row>
    <row r="725" spans="1:11">
      <c r="A725" s="106"/>
      <c r="B725" s="107"/>
      <c r="C725" s="107"/>
      <c r="D725" s="107"/>
      <c r="E725" s="108"/>
      <c r="F725" s="107"/>
      <c r="G725" s="107"/>
      <c r="H725" s="107"/>
      <c r="I725" s="107"/>
      <c r="J725" s="107"/>
      <c r="K725" s="107"/>
    </row>
    <row r="726" spans="1:11">
      <c r="A726" s="106"/>
      <c r="B726" s="107"/>
      <c r="C726" s="107"/>
      <c r="D726" s="107"/>
      <c r="E726" s="108"/>
      <c r="F726" s="107"/>
      <c r="G726" s="107"/>
      <c r="H726" s="107"/>
      <c r="I726" s="107"/>
      <c r="J726" s="107"/>
      <c r="K726" s="107"/>
    </row>
    <row r="727" spans="1:11">
      <c r="A727" s="106"/>
      <c r="B727" s="107"/>
      <c r="C727" s="107"/>
      <c r="D727" s="107"/>
      <c r="E727" s="108"/>
      <c r="F727" s="107"/>
      <c r="G727" s="107"/>
      <c r="H727" s="107"/>
      <c r="I727" s="107"/>
      <c r="J727" s="107"/>
      <c r="K727" s="107"/>
    </row>
    <row r="728" spans="1:11">
      <c r="A728" s="106"/>
      <c r="B728" s="107"/>
      <c r="C728" s="107"/>
      <c r="D728" s="107"/>
      <c r="E728" s="108"/>
      <c r="F728" s="107"/>
      <c r="G728" s="107"/>
      <c r="H728" s="107"/>
      <c r="I728" s="107"/>
      <c r="J728" s="107"/>
      <c r="K728" s="107"/>
    </row>
    <row r="729" spans="1:11">
      <c r="A729" s="106"/>
      <c r="B729" s="107"/>
      <c r="C729" s="107"/>
      <c r="D729" s="107"/>
      <c r="E729" s="108"/>
      <c r="F729" s="107"/>
      <c r="G729" s="107"/>
      <c r="H729" s="107"/>
      <c r="I729" s="107"/>
      <c r="J729" s="107"/>
      <c r="K729" s="107"/>
    </row>
    <row r="730" spans="1:11">
      <c r="A730" s="106"/>
      <c r="B730" s="107"/>
      <c r="C730" s="107"/>
      <c r="D730" s="107"/>
      <c r="E730" s="108"/>
      <c r="F730" s="107"/>
      <c r="G730" s="107"/>
      <c r="H730" s="107"/>
      <c r="I730" s="107"/>
      <c r="J730" s="107"/>
      <c r="K730" s="107"/>
    </row>
    <row r="731" spans="1:11">
      <c r="A731" s="106"/>
      <c r="B731" s="107"/>
      <c r="C731" s="107"/>
      <c r="D731" s="107"/>
      <c r="E731" s="108"/>
      <c r="F731" s="107"/>
      <c r="G731" s="107"/>
      <c r="H731" s="107"/>
      <c r="I731" s="107"/>
      <c r="J731" s="107"/>
      <c r="K731" s="107"/>
    </row>
    <row r="732" spans="1:11">
      <c r="A732" s="106"/>
      <c r="B732" s="107"/>
      <c r="C732" s="107"/>
      <c r="D732" s="107"/>
      <c r="E732" s="108"/>
      <c r="F732" s="107"/>
      <c r="G732" s="107"/>
      <c r="H732" s="107"/>
      <c r="I732" s="107"/>
      <c r="J732" s="107"/>
      <c r="K732" s="107"/>
    </row>
    <row r="733" spans="1:11">
      <c r="A733" s="106"/>
      <c r="B733" s="107"/>
      <c r="C733" s="107"/>
      <c r="D733" s="107"/>
      <c r="E733" s="108"/>
      <c r="F733" s="107"/>
      <c r="G733" s="107"/>
      <c r="H733" s="107"/>
      <c r="I733" s="107"/>
      <c r="J733" s="107"/>
      <c r="K733" s="107"/>
    </row>
    <row r="734" spans="1:11">
      <c r="A734" s="106"/>
      <c r="B734" s="107"/>
      <c r="C734" s="107"/>
      <c r="D734" s="107"/>
      <c r="E734" s="108"/>
      <c r="F734" s="107"/>
      <c r="G734" s="107"/>
      <c r="H734" s="107"/>
      <c r="I734" s="107"/>
      <c r="J734" s="107"/>
      <c r="K734" s="107"/>
    </row>
    <row r="735" spans="1:11">
      <c r="A735" s="106"/>
      <c r="B735" s="107"/>
      <c r="C735" s="107"/>
      <c r="D735" s="107"/>
      <c r="E735" s="108"/>
      <c r="F735" s="107"/>
      <c r="G735" s="107"/>
      <c r="H735" s="107"/>
      <c r="I735" s="107"/>
      <c r="J735" s="107"/>
      <c r="K735" s="107"/>
    </row>
    <row r="736" spans="1:11">
      <c r="A736" s="106"/>
      <c r="B736" s="107"/>
      <c r="C736" s="107"/>
      <c r="D736" s="107"/>
      <c r="E736" s="108"/>
      <c r="F736" s="107"/>
      <c r="G736" s="107"/>
      <c r="H736" s="107"/>
      <c r="I736" s="107"/>
      <c r="J736" s="107"/>
      <c r="K736" s="107"/>
    </row>
    <row r="737" spans="1:11">
      <c r="A737" s="106"/>
      <c r="B737" s="107"/>
      <c r="C737" s="107"/>
      <c r="D737" s="107"/>
      <c r="E737" s="108"/>
      <c r="F737" s="107"/>
      <c r="G737" s="107"/>
      <c r="H737" s="107"/>
      <c r="I737" s="107"/>
      <c r="J737" s="107"/>
      <c r="K737" s="107"/>
    </row>
    <row r="738" spans="1:11">
      <c r="A738" s="106"/>
      <c r="B738" s="107"/>
      <c r="C738" s="107"/>
      <c r="D738" s="107"/>
      <c r="E738" s="108"/>
      <c r="F738" s="107"/>
      <c r="G738" s="107"/>
      <c r="H738" s="107"/>
      <c r="I738" s="107"/>
      <c r="J738" s="107"/>
      <c r="K738" s="107"/>
    </row>
    <row r="739" spans="1:11">
      <c r="A739" s="106"/>
      <c r="B739" s="107"/>
      <c r="C739" s="107"/>
      <c r="D739" s="107"/>
      <c r="E739" s="108"/>
      <c r="F739" s="107"/>
      <c r="G739" s="107"/>
      <c r="H739" s="107"/>
      <c r="I739" s="107"/>
      <c r="J739" s="107"/>
      <c r="K739" s="107"/>
    </row>
    <row r="740" spans="1:11">
      <c r="A740" s="106"/>
      <c r="B740" s="107"/>
      <c r="C740" s="107"/>
      <c r="D740" s="107"/>
      <c r="E740" s="108"/>
      <c r="F740" s="107"/>
      <c r="G740" s="107"/>
      <c r="H740" s="107"/>
      <c r="I740" s="107"/>
      <c r="J740" s="107"/>
      <c r="K740" s="107"/>
    </row>
    <row r="741" spans="1:11">
      <c r="A741" s="106"/>
      <c r="B741" s="107"/>
      <c r="C741" s="107"/>
      <c r="D741" s="107"/>
      <c r="E741" s="108"/>
      <c r="F741" s="107"/>
      <c r="G741" s="107"/>
      <c r="H741" s="107"/>
      <c r="I741" s="107"/>
      <c r="J741" s="107"/>
      <c r="K741" s="107"/>
    </row>
    <row r="742" spans="1:11">
      <c r="A742" s="106"/>
      <c r="B742" s="107"/>
      <c r="C742" s="107"/>
      <c r="D742" s="107"/>
      <c r="E742" s="108"/>
      <c r="F742" s="107"/>
      <c r="G742" s="107"/>
      <c r="H742" s="107"/>
      <c r="I742" s="107"/>
      <c r="J742" s="107"/>
      <c r="K742" s="107"/>
    </row>
    <row r="743" spans="1:11">
      <c r="A743" s="106"/>
      <c r="B743" s="107"/>
      <c r="C743" s="107"/>
      <c r="D743" s="107"/>
      <c r="E743" s="108"/>
      <c r="F743" s="107"/>
      <c r="G743" s="107"/>
      <c r="H743" s="107"/>
      <c r="I743" s="107"/>
      <c r="J743" s="107"/>
      <c r="K743" s="107"/>
    </row>
    <row r="744" spans="1:11">
      <c r="A744" s="106"/>
      <c r="B744" s="107"/>
      <c r="C744" s="107"/>
      <c r="D744" s="107"/>
      <c r="E744" s="108"/>
      <c r="F744" s="107"/>
      <c r="G744" s="107"/>
      <c r="H744" s="107"/>
      <c r="I744" s="107"/>
      <c r="J744" s="107"/>
      <c r="K744" s="107"/>
    </row>
    <row r="745" spans="1:11">
      <c r="A745" s="106"/>
      <c r="B745" s="107"/>
      <c r="C745" s="107"/>
      <c r="D745" s="107"/>
      <c r="E745" s="108"/>
      <c r="F745" s="107"/>
      <c r="G745" s="107"/>
      <c r="H745" s="107"/>
      <c r="I745" s="107"/>
      <c r="J745" s="107"/>
      <c r="K745" s="107"/>
    </row>
    <row r="746" spans="1:11">
      <c r="A746" s="106"/>
      <c r="B746" s="107"/>
      <c r="C746" s="107"/>
      <c r="D746" s="107"/>
      <c r="E746" s="108"/>
      <c r="F746" s="107"/>
      <c r="G746" s="107"/>
      <c r="H746" s="107"/>
      <c r="I746" s="107"/>
      <c r="J746" s="107"/>
      <c r="K746" s="107"/>
    </row>
    <row r="747" spans="1:11">
      <c r="A747" s="106"/>
      <c r="B747" s="107"/>
      <c r="C747" s="107"/>
      <c r="D747" s="107"/>
      <c r="E747" s="108"/>
      <c r="F747" s="107"/>
      <c r="G747" s="107"/>
      <c r="H747" s="107"/>
      <c r="I747" s="107"/>
      <c r="J747" s="107"/>
      <c r="K747" s="107"/>
    </row>
    <row r="748" spans="1:11">
      <c r="A748" s="106"/>
      <c r="B748" s="107"/>
      <c r="C748" s="107"/>
      <c r="D748" s="107"/>
      <c r="E748" s="108"/>
      <c r="F748" s="107"/>
      <c r="G748" s="107"/>
      <c r="H748" s="107"/>
      <c r="I748" s="107"/>
      <c r="J748" s="107"/>
      <c r="K748" s="107"/>
    </row>
    <row r="749" spans="1:11">
      <c r="A749" s="106"/>
      <c r="B749" s="107"/>
      <c r="C749" s="107"/>
      <c r="D749" s="107"/>
      <c r="E749" s="108"/>
      <c r="F749" s="107"/>
      <c r="G749" s="107"/>
      <c r="H749" s="107"/>
      <c r="I749" s="107"/>
      <c r="J749" s="107"/>
      <c r="K749" s="107"/>
    </row>
    <row r="750" spans="1:11">
      <c r="A750" s="106"/>
      <c r="B750" s="107"/>
      <c r="C750" s="107"/>
      <c r="D750" s="107"/>
      <c r="E750" s="108"/>
      <c r="F750" s="107"/>
      <c r="G750" s="107"/>
      <c r="H750" s="107"/>
      <c r="I750" s="107"/>
      <c r="J750" s="107"/>
      <c r="K750" s="107"/>
    </row>
    <row r="751" spans="1:11">
      <c r="A751" s="106"/>
      <c r="B751" s="107"/>
      <c r="C751" s="107"/>
      <c r="D751" s="107"/>
      <c r="E751" s="108"/>
      <c r="F751" s="107"/>
      <c r="G751" s="107"/>
      <c r="H751" s="107"/>
      <c r="I751" s="107"/>
      <c r="J751" s="107"/>
      <c r="K751" s="107"/>
    </row>
    <row r="752" spans="1:11">
      <c r="A752" s="106"/>
      <c r="B752" s="107"/>
      <c r="C752" s="107"/>
      <c r="D752" s="107"/>
      <c r="E752" s="108"/>
      <c r="F752" s="107"/>
      <c r="G752" s="107"/>
      <c r="H752" s="107"/>
      <c r="I752" s="107"/>
      <c r="J752" s="107"/>
      <c r="K752" s="107"/>
    </row>
    <row r="753" spans="1:11">
      <c r="A753" s="106"/>
      <c r="B753" s="107"/>
      <c r="C753" s="107"/>
      <c r="D753" s="107"/>
      <c r="E753" s="108"/>
      <c r="F753" s="107"/>
      <c r="G753" s="107"/>
      <c r="H753" s="107"/>
      <c r="I753" s="107"/>
      <c r="J753" s="107"/>
      <c r="K753" s="107"/>
    </row>
    <row r="754" spans="1:11">
      <c r="A754" s="106"/>
      <c r="B754" s="107"/>
      <c r="C754" s="107"/>
      <c r="D754" s="107"/>
      <c r="E754" s="108"/>
      <c r="F754" s="107"/>
      <c r="G754" s="107"/>
      <c r="H754" s="107"/>
      <c r="I754" s="107"/>
      <c r="J754" s="107"/>
      <c r="K754" s="107"/>
    </row>
    <row r="755" spans="1:11">
      <c r="A755" s="106"/>
      <c r="B755" s="107"/>
      <c r="C755" s="107"/>
      <c r="D755" s="107"/>
      <c r="E755" s="108"/>
      <c r="F755" s="107"/>
      <c r="G755" s="107"/>
      <c r="H755" s="107"/>
      <c r="I755" s="107"/>
      <c r="J755" s="107"/>
      <c r="K755" s="107"/>
    </row>
    <row r="756" spans="1:11">
      <c r="A756" s="106"/>
      <c r="B756" s="107"/>
      <c r="C756" s="107"/>
      <c r="D756" s="107"/>
      <c r="E756" s="108"/>
      <c r="F756" s="107"/>
      <c r="G756" s="107"/>
      <c r="H756" s="107"/>
      <c r="I756" s="107"/>
      <c r="J756" s="107"/>
      <c r="K756" s="107"/>
    </row>
    <row r="757" spans="1:11">
      <c r="A757" s="106"/>
      <c r="B757" s="107"/>
      <c r="C757" s="107"/>
      <c r="D757" s="107"/>
      <c r="E757" s="108"/>
      <c r="F757" s="107"/>
      <c r="G757" s="107"/>
      <c r="H757" s="107"/>
      <c r="I757" s="107"/>
      <c r="J757" s="107"/>
      <c r="K757" s="107"/>
    </row>
    <row r="758" spans="1:11">
      <c r="A758" s="106"/>
      <c r="B758" s="107"/>
      <c r="C758" s="107"/>
      <c r="D758" s="107"/>
      <c r="E758" s="108"/>
      <c r="F758" s="107"/>
      <c r="G758" s="107"/>
      <c r="H758" s="107"/>
      <c r="I758" s="107"/>
      <c r="J758" s="107"/>
      <c r="K758" s="107"/>
    </row>
    <row r="759" spans="1:11">
      <c r="A759" s="106"/>
      <c r="B759" s="107"/>
      <c r="C759" s="107"/>
      <c r="D759" s="107"/>
      <c r="E759" s="108"/>
      <c r="F759" s="107"/>
      <c r="G759" s="107"/>
      <c r="H759" s="107"/>
      <c r="I759" s="107"/>
      <c r="J759" s="107"/>
      <c r="K759" s="107"/>
    </row>
    <row r="760" spans="1:11">
      <c r="A760" s="106"/>
      <c r="B760" s="107"/>
      <c r="C760" s="107"/>
      <c r="D760" s="107"/>
      <c r="E760" s="108"/>
      <c r="F760" s="107"/>
      <c r="G760" s="107"/>
      <c r="H760" s="107"/>
      <c r="I760" s="107"/>
      <c r="J760" s="107"/>
      <c r="K760" s="107"/>
    </row>
    <row r="761" spans="1:11">
      <c r="A761" s="106"/>
      <c r="B761" s="107"/>
      <c r="C761" s="107"/>
      <c r="D761" s="107"/>
      <c r="E761" s="108"/>
      <c r="F761" s="107"/>
      <c r="G761" s="107"/>
      <c r="H761" s="107"/>
      <c r="I761" s="107"/>
      <c r="J761" s="107"/>
      <c r="K761" s="107"/>
    </row>
    <row r="762" spans="1:11">
      <c r="A762" s="106"/>
      <c r="B762" s="107"/>
      <c r="C762" s="107"/>
      <c r="D762" s="107"/>
      <c r="E762" s="108"/>
      <c r="F762" s="107"/>
      <c r="G762" s="107"/>
      <c r="H762" s="107"/>
      <c r="I762" s="107"/>
      <c r="J762" s="107"/>
      <c r="K762" s="107"/>
    </row>
    <row r="763" spans="1:11">
      <c r="A763" s="106"/>
      <c r="B763" s="107"/>
      <c r="C763" s="107"/>
      <c r="D763" s="107"/>
      <c r="E763" s="108"/>
      <c r="F763" s="107"/>
      <c r="G763" s="107"/>
      <c r="H763" s="107"/>
      <c r="I763" s="107"/>
      <c r="J763" s="107"/>
      <c r="K763" s="107"/>
    </row>
    <row r="764" spans="1:11">
      <c r="A764" s="106"/>
      <c r="B764" s="107"/>
      <c r="C764" s="107"/>
      <c r="D764" s="107"/>
      <c r="E764" s="108"/>
      <c r="F764" s="107"/>
      <c r="G764" s="107"/>
      <c r="H764" s="107"/>
      <c r="I764" s="107"/>
      <c r="J764" s="107"/>
      <c r="K764" s="107"/>
    </row>
    <row r="765" spans="1:11">
      <c r="A765" s="106"/>
      <c r="B765" s="107"/>
      <c r="C765" s="107"/>
      <c r="D765" s="107"/>
      <c r="E765" s="108"/>
      <c r="F765" s="107"/>
      <c r="G765" s="107"/>
      <c r="H765" s="107"/>
      <c r="I765" s="107"/>
      <c r="J765" s="107"/>
      <c r="K765" s="107"/>
    </row>
    <row r="766" spans="1:11">
      <c r="A766" s="106"/>
      <c r="B766" s="107"/>
      <c r="C766" s="107"/>
      <c r="D766" s="107"/>
      <c r="E766" s="108"/>
      <c r="F766" s="107"/>
      <c r="G766" s="107"/>
      <c r="H766" s="107"/>
      <c r="I766" s="107"/>
      <c r="J766" s="107"/>
      <c r="K766" s="107"/>
    </row>
    <row r="767" spans="1:11">
      <c r="A767" s="106"/>
      <c r="B767" s="107"/>
      <c r="C767" s="107"/>
      <c r="D767" s="107"/>
      <c r="E767" s="108"/>
      <c r="F767" s="107"/>
      <c r="G767" s="107"/>
      <c r="H767" s="107"/>
      <c r="I767" s="107"/>
      <c r="J767" s="107"/>
      <c r="K767" s="107"/>
    </row>
    <row r="768" spans="1:11">
      <c r="A768" s="106"/>
      <c r="B768" s="107"/>
      <c r="C768" s="107"/>
      <c r="D768" s="107"/>
      <c r="E768" s="108"/>
      <c r="F768" s="107"/>
      <c r="G768" s="107"/>
      <c r="H768" s="107"/>
      <c r="I768" s="107"/>
      <c r="J768" s="107"/>
      <c r="K768" s="107"/>
    </row>
    <row r="769" spans="1:11">
      <c r="A769" s="106"/>
      <c r="B769" s="107"/>
      <c r="C769" s="107"/>
      <c r="D769" s="107"/>
      <c r="E769" s="108"/>
      <c r="F769" s="107"/>
      <c r="G769" s="107"/>
      <c r="H769" s="107"/>
      <c r="I769" s="107"/>
      <c r="J769" s="107"/>
      <c r="K769" s="107"/>
    </row>
    <row r="770" spans="1:11">
      <c r="A770" s="106"/>
      <c r="B770" s="107"/>
      <c r="C770" s="107"/>
      <c r="D770" s="107"/>
      <c r="E770" s="108"/>
      <c r="F770" s="107"/>
      <c r="G770" s="107"/>
      <c r="H770" s="107"/>
      <c r="I770" s="107"/>
      <c r="J770" s="107"/>
      <c r="K770" s="107"/>
    </row>
    <row r="771" spans="1:11">
      <c r="A771" s="106"/>
      <c r="B771" s="107"/>
      <c r="C771" s="107"/>
      <c r="D771" s="107"/>
      <c r="E771" s="108"/>
      <c r="F771" s="107"/>
      <c r="G771" s="107"/>
      <c r="H771" s="107"/>
      <c r="I771" s="107"/>
      <c r="J771" s="107"/>
      <c r="K771" s="107"/>
    </row>
    <row r="772" spans="1:11">
      <c r="A772" s="106"/>
      <c r="B772" s="107"/>
      <c r="C772" s="107"/>
      <c r="D772" s="107"/>
      <c r="E772" s="108"/>
      <c r="F772" s="107"/>
      <c r="G772" s="107"/>
      <c r="H772" s="107"/>
      <c r="I772" s="107"/>
      <c r="J772" s="107"/>
      <c r="K772" s="107"/>
    </row>
    <row r="773" spans="1:11">
      <c r="A773" s="106"/>
      <c r="B773" s="107"/>
      <c r="C773" s="107"/>
      <c r="D773" s="107"/>
      <c r="E773" s="108"/>
      <c r="F773" s="107"/>
      <c r="G773" s="107"/>
      <c r="H773" s="107"/>
      <c r="I773" s="107"/>
      <c r="J773" s="107"/>
      <c r="K773" s="107"/>
    </row>
    <row r="774" spans="1:11">
      <c r="A774" s="106"/>
      <c r="B774" s="107"/>
      <c r="C774" s="107"/>
      <c r="D774" s="107"/>
      <c r="E774" s="108"/>
      <c r="F774" s="107"/>
      <c r="G774" s="107"/>
      <c r="H774" s="107"/>
      <c r="I774" s="107"/>
      <c r="J774" s="107"/>
      <c r="K774" s="107"/>
    </row>
    <row r="775" spans="1:11">
      <c r="A775" s="106"/>
      <c r="B775" s="107"/>
      <c r="C775" s="107"/>
      <c r="D775" s="107"/>
      <c r="E775" s="108"/>
      <c r="F775" s="107"/>
      <c r="G775" s="107"/>
      <c r="H775" s="107"/>
      <c r="I775" s="107"/>
      <c r="J775" s="107"/>
      <c r="K775" s="107"/>
    </row>
    <row r="776" spans="1:11">
      <c r="A776" s="106"/>
      <c r="B776" s="107"/>
      <c r="C776" s="107"/>
      <c r="D776" s="107"/>
      <c r="E776" s="108"/>
      <c r="F776" s="107"/>
      <c r="G776" s="107"/>
      <c r="H776" s="107"/>
      <c r="I776" s="107"/>
      <c r="J776" s="107"/>
      <c r="K776" s="107"/>
    </row>
    <row r="777" spans="1:11">
      <c r="A777" s="106"/>
      <c r="B777" s="107"/>
      <c r="C777" s="107"/>
      <c r="D777" s="107"/>
      <c r="E777" s="108"/>
      <c r="F777" s="107"/>
      <c r="G777" s="107"/>
      <c r="H777" s="107"/>
      <c r="I777" s="107"/>
      <c r="J777" s="107"/>
      <c r="K777" s="107"/>
    </row>
    <row r="778" spans="1:11">
      <c r="A778" s="106"/>
      <c r="B778" s="107"/>
      <c r="C778" s="107"/>
      <c r="D778" s="107"/>
      <c r="E778" s="108"/>
      <c r="F778" s="107"/>
      <c r="G778" s="107"/>
      <c r="H778" s="107"/>
      <c r="I778" s="107"/>
      <c r="J778" s="107"/>
      <c r="K778" s="107"/>
    </row>
    <row r="779" spans="1:11">
      <c r="A779" s="106"/>
      <c r="B779" s="107"/>
      <c r="C779" s="107"/>
      <c r="D779" s="107"/>
      <c r="E779" s="108"/>
      <c r="F779" s="107"/>
      <c r="G779" s="107"/>
      <c r="H779" s="107"/>
      <c r="I779" s="107"/>
      <c r="J779" s="107"/>
      <c r="K779" s="107"/>
    </row>
    <row r="780" spans="1:11">
      <c r="A780" s="106"/>
      <c r="B780" s="107"/>
      <c r="C780" s="107"/>
      <c r="D780" s="107"/>
      <c r="E780" s="108"/>
      <c r="F780" s="107"/>
      <c r="G780" s="107"/>
      <c r="H780" s="107"/>
      <c r="I780" s="107"/>
      <c r="J780" s="107"/>
      <c r="K780" s="107"/>
    </row>
    <row r="781" spans="1:11">
      <c r="A781" s="106"/>
      <c r="B781" s="107"/>
      <c r="C781" s="107"/>
      <c r="D781" s="107"/>
      <c r="E781" s="108"/>
      <c r="F781" s="107"/>
      <c r="G781" s="107"/>
      <c r="H781" s="107"/>
      <c r="I781" s="107"/>
      <c r="J781" s="107"/>
      <c r="K781" s="107"/>
    </row>
    <row r="782" spans="1:11">
      <c r="A782" s="106"/>
      <c r="B782" s="107"/>
      <c r="C782" s="107"/>
      <c r="D782" s="107"/>
      <c r="E782" s="108"/>
      <c r="F782" s="107"/>
      <c r="G782" s="107"/>
      <c r="H782" s="107"/>
      <c r="I782" s="107"/>
      <c r="J782" s="107"/>
      <c r="K782" s="107"/>
    </row>
    <row r="783" spans="1:11">
      <c r="A783" s="106"/>
      <c r="B783" s="107"/>
      <c r="C783" s="107"/>
      <c r="D783" s="107"/>
      <c r="E783" s="108"/>
      <c r="F783" s="107"/>
      <c r="G783" s="107"/>
      <c r="H783" s="107"/>
      <c r="I783" s="107"/>
      <c r="J783" s="107"/>
      <c r="K783" s="107"/>
    </row>
    <row r="784" spans="1:11">
      <c r="A784" s="106"/>
      <c r="B784" s="107"/>
      <c r="C784" s="107"/>
      <c r="D784" s="107"/>
      <c r="E784" s="108"/>
      <c r="F784" s="107"/>
      <c r="G784" s="107"/>
      <c r="H784" s="107"/>
      <c r="I784" s="107"/>
      <c r="J784" s="107"/>
      <c r="K784" s="107"/>
    </row>
    <row r="785" spans="1:11">
      <c r="A785" s="106"/>
      <c r="B785" s="107"/>
      <c r="C785" s="107"/>
      <c r="D785" s="107"/>
      <c r="E785" s="108"/>
      <c r="F785" s="107"/>
      <c r="G785" s="107"/>
      <c r="H785" s="107"/>
      <c r="I785" s="107"/>
      <c r="J785" s="107"/>
      <c r="K785" s="107"/>
    </row>
    <row r="786" spans="1:11">
      <c r="A786" s="106"/>
      <c r="B786" s="107"/>
      <c r="C786" s="107"/>
      <c r="D786" s="107"/>
      <c r="E786" s="108"/>
      <c r="F786" s="107"/>
      <c r="G786" s="107"/>
      <c r="H786" s="107"/>
      <c r="I786" s="107"/>
      <c r="J786" s="107"/>
      <c r="K786" s="107"/>
    </row>
    <row r="787" spans="1:11">
      <c r="A787" s="106"/>
      <c r="B787" s="107"/>
      <c r="C787" s="107"/>
      <c r="D787" s="107"/>
      <c r="E787" s="108"/>
      <c r="F787" s="107"/>
      <c r="G787" s="107"/>
      <c r="H787" s="107"/>
      <c r="I787" s="107"/>
      <c r="J787" s="107"/>
      <c r="K787" s="107"/>
    </row>
    <row r="788" spans="1:11">
      <c r="A788" s="106"/>
      <c r="B788" s="107"/>
      <c r="C788" s="107"/>
      <c r="D788" s="107"/>
      <c r="E788" s="108"/>
      <c r="F788" s="107"/>
      <c r="G788" s="107"/>
      <c r="H788" s="107"/>
      <c r="I788" s="107"/>
      <c r="J788" s="107"/>
      <c r="K788" s="107"/>
    </row>
    <row r="789" spans="1:11">
      <c r="A789" s="106"/>
      <c r="B789" s="107"/>
      <c r="C789" s="107"/>
      <c r="D789" s="107"/>
      <c r="E789" s="108"/>
      <c r="F789" s="107"/>
      <c r="G789" s="107"/>
      <c r="H789" s="107"/>
      <c r="I789" s="107"/>
      <c r="J789" s="107"/>
      <c r="K789" s="107"/>
    </row>
    <row r="790" spans="1:11">
      <c r="A790" s="106"/>
      <c r="B790" s="107"/>
      <c r="C790" s="107"/>
      <c r="D790" s="107"/>
      <c r="E790" s="108"/>
      <c r="F790" s="107"/>
      <c r="G790" s="107"/>
      <c r="H790" s="107"/>
      <c r="I790" s="107"/>
      <c r="J790" s="107"/>
      <c r="K790" s="107"/>
    </row>
    <row r="791" spans="1:11">
      <c r="A791" s="106"/>
      <c r="B791" s="107"/>
      <c r="C791" s="107"/>
      <c r="D791" s="107"/>
      <c r="E791" s="108"/>
      <c r="F791" s="107"/>
      <c r="G791" s="107"/>
      <c r="H791" s="107"/>
      <c r="I791" s="107"/>
      <c r="J791" s="107"/>
      <c r="K791" s="107"/>
    </row>
    <row r="792" spans="1:11">
      <c r="A792" s="106"/>
      <c r="B792" s="107"/>
      <c r="C792" s="107"/>
      <c r="D792" s="107"/>
      <c r="E792" s="108"/>
      <c r="F792" s="107"/>
      <c r="G792" s="107"/>
      <c r="H792" s="107"/>
      <c r="I792" s="107"/>
      <c r="J792" s="107"/>
      <c r="K792" s="107"/>
    </row>
    <row r="793" spans="1:11">
      <c r="A793" s="106"/>
      <c r="B793" s="107"/>
      <c r="C793" s="107"/>
      <c r="D793" s="107"/>
      <c r="E793" s="108"/>
      <c r="F793" s="107"/>
      <c r="G793" s="107"/>
      <c r="H793" s="107"/>
      <c r="I793" s="107"/>
      <c r="J793" s="107"/>
      <c r="K793" s="107"/>
    </row>
    <row r="794" spans="1:11">
      <c r="A794" s="106"/>
      <c r="B794" s="107"/>
      <c r="C794" s="107"/>
      <c r="D794" s="107"/>
      <c r="E794" s="108"/>
      <c r="F794" s="107"/>
      <c r="G794" s="107"/>
      <c r="H794" s="107"/>
      <c r="I794" s="107"/>
      <c r="J794" s="107"/>
      <c r="K794" s="107"/>
    </row>
    <row r="795" spans="1:11">
      <c r="A795" s="106"/>
      <c r="B795" s="107"/>
      <c r="C795" s="107"/>
      <c r="D795" s="107"/>
      <c r="E795" s="108"/>
      <c r="F795" s="107"/>
      <c r="G795" s="107"/>
      <c r="H795" s="107"/>
      <c r="I795" s="107"/>
      <c r="J795" s="107"/>
      <c r="K795" s="107"/>
    </row>
    <row r="796" spans="1:11">
      <c r="A796" s="106"/>
      <c r="B796" s="107"/>
      <c r="C796" s="107"/>
      <c r="D796" s="107"/>
      <c r="E796" s="108"/>
      <c r="F796" s="107"/>
      <c r="G796" s="107"/>
      <c r="H796" s="107"/>
      <c r="I796" s="107"/>
      <c r="J796" s="107"/>
      <c r="K796" s="107"/>
    </row>
    <row r="797" spans="1:11">
      <c r="A797" s="106"/>
      <c r="B797" s="107"/>
      <c r="C797" s="107"/>
      <c r="D797" s="107"/>
      <c r="E797" s="108"/>
      <c r="F797" s="107"/>
      <c r="G797" s="107"/>
      <c r="H797" s="107"/>
      <c r="I797" s="107"/>
      <c r="J797" s="107"/>
      <c r="K797" s="107"/>
    </row>
    <row r="798" spans="1:11">
      <c r="A798" s="106"/>
      <c r="B798" s="107"/>
      <c r="C798" s="107"/>
      <c r="D798" s="107"/>
      <c r="E798" s="108"/>
      <c r="F798" s="107"/>
      <c r="G798" s="107"/>
      <c r="H798" s="107"/>
      <c r="I798" s="107"/>
      <c r="J798" s="107"/>
      <c r="K798" s="107"/>
    </row>
    <row r="799" spans="1:11">
      <c r="A799" s="106"/>
      <c r="B799" s="107"/>
      <c r="C799" s="107"/>
      <c r="D799" s="107"/>
      <c r="E799" s="108"/>
      <c r="F799" s="107"/>
      <c r="G799" s="107"/>
      <c r="H799" s="107"/>
      <c r="I799" s="107"/>
      <c r="J799" s="107"/>
      <c r="K799" s="107"/>
    </row>
    <row r="800" spans="1:11">
      <c r="A800" s="106"/>
      <c r="B800" s="107"/>
      <c r="C800" s="107"/>
      <c r="D800" s="107"/>
      <c r="E800" s="108"/>
      <c r="F800" s="107"/>
      <c r="G800" s="107"/>
      <c r="H800" s="107"/>
      <c r="I800" s="107"/>
      <c r="J800" s="107"/>
      <c r="K800" s="107"/>
    </row>
    <row r="801" spans="1:11">
      <c r="A801" s="106"/>
      <c r="B801" s="107"/>
      <c r="C801" s="107"/>
      <c r="D801" s="107"/>
      <c r="E801" s="108"/>
      <c r="F801" s="107"/>
      <c r="G801" s="107"/>
      <c r="H801" s="107"/>
      <c r="I801" s="107"/>
      <c r="J801" s="107"/>
      <c r="K801" s="107"/>
    </row>
    <row r="802" spans="1:11">
      <c r="A802" s="106"/>
      <c r="B802" s="107"/>
      <c r="C802" s="107"/>
      <c r="D802" s="107"/>
      <c r="E802" s="108"/>
      <c r="F802" s="107"/>
      <c r="G802" s="107"/>
      <c r="H802" s="107"/>
      <c r="I802" s="107"/>
      <c r="J802" s="107"/>
      <c r="K802" s="107"/>
    </row>
    <row r="803" spans="1:11">
      <c r="A803" s="106"/>
      <c r="B803" s="107"/>
      <c r="C803" s="107"/>
      <c r="D803" s="107"/>
      <c r="E803" s="108"/>
      <c r="F803" s="107"/>
      <c r="G803" s="107"/>
      <c r="H803" s="107"/>
      <c r="I803" s="107"/>
      <c r="J803" s="107"/>
      <c r="K803" s="107"/>
    </row>
    <row r="804" spans="1:11">
      <c r="A804" s="106"/>
      <c r="B804" s="107"/>
      <c r="C804" s="107"/>
      <c r="D804" s="107"/>
      <c r="E804" s="108"/>
      <c r="F804" s="107"/>
      <c r="G804" s="107"/>
      <c r="H804" s="107"/>
      <c r="I804" s="107"/>
      <c r="J804" s="107"/>
      <c r="K804" s="107"/>
    </row>
    <row r="805" spans="1:11">
      <c r="A805" s="106"/>
      <c r="B805" s="107"/>
      <c r="C805" s="107"/>
      <c r="D805" s="107"/>
      <c r="E805" s="108"/>
      <c r="F805" s="107"/>
      <c r="G805" s="107"/>
      <c r="H805" s="107"/>
      <c r="I805" s="107"/>
      <c r="J805" s="107"/>
      <c r="K805" s="107"/>
    </row>
    <row r="806" spans="1:11">
      <c r="A806" s="106"/>
      <c r="B806" s="107"/>
      <c r="C806" s="107"/>
      <c r="D806" s="107"/>
      <c r="E806" s="108"/>
      <c r="F806" s="107"/>
      <c r="G806" s="107"/>
      <c r="H806" s="107"/>
      <c r="I806" s="107"/>
      <c r="J806" s="107"/>
      <c r="K806" s="107"/>
    </row>
    <row r="807" spans="1:11">
      <c r="A807" s="106"/>
      <c r="B807" s="107"/>
      <c r="C807" s="107"/>
      <c r="D807" s="107"/>
      <c r="E807" s="108"/>
      <c r="F807" s="107"/>
      <c r="G807" s="107"/>
      <c r="H807" s="107"/>
      <c r="I807" s="107"/>
      <c r="J807" s="107"/>
      <c r="K807" s="107"/>
    </row>
    <row r="808" spans="1:11">
      <c r="A808" s="106"/>
      <c r="B808" s="107"/>
      <c r="C808" s="107"/>
      <c r="D808" s="107"/>
      <c r="E808" s="108"/>
      <c r="F808" s="107"/>
      <c r="G808" s="107"/>
      <c r="H808" s="107"/>
      <c r="I808" s="107"/>
      <c r="J808" s="107"/>
      <c r="K808" s="107"/>
    </row>
    <row r="809" spans="1:11">
      <c r="A809" s="106"/>
      <c r="B809" s="107"/>
      <c r="C809" s="107"/>
      <c r="D809" s="107"/>
      <c r="E809" s="108"/>
      <c r="F809" s="107"/>
      <c r="G809" s="107"/>
      <c r="H809" s="107"/>
      <c r="I809" s="107"/>
      <c r="J809" s="107"/>
      <c r="K809" s="107"/>
    </row>
    <row r="810" spans="1:11">
      <c r="A810" s="106"/>
      <c r="B810" s="107"/>
      <c r="C810" s="107"/>
      <c r="D810" s="107"/>
      <c r="E810" s="108"/>
      <c r="F810" s="107"/>
      <c r="G810" s="107"/>
      <c r="H810" s="107"/>
      <c r="I810" s="107"/>
      <c r="J810" s="107"/>
      <c r="K810" s="107"/>
    </row>
    <row r="811" spans="1:11">
      <c r="A811" s="106"/>
      <c r="B811" s="107"/>
      <c r="C811" s="107"/>
      <c r="D811" s="107"/>
      <c r="E811" s="108"/>
      <c r="F811" s="107"/>
      <c r="G811" s="107"/>
      <c r="H811" s="107"/>
      <c r="I811" s="107"/>
      <c r="J811" s="107"/>
      <c r="K811" s="107"/>
    </row>
    <row r="812" spans="1:11">
      <c r="A812" s="106"/>
      <c r="B812" s="107"/>
      <c r="C812" s="107"/>
      <c r="D812" s="107"/>
      <c r="E812" s="108"/>
      <c r="F812" s="107"/>
      <c r="G812" s="107"/>
      <c r="H812" s="107"/>
      <c r="I812" s="107"/>
      <c r="J812" s="107"/>
      <c r="K812" s="107"/>
    </row>
    <row r="813" spans="1:11">
      <c r="A813" s="106"/>
      <c r="B813" s="107"/>
      <c r="C813" s="107"/>
      <c r="D813" s="107"/>
      <c r="E813" s="108"/>
      <c r="F813" s="107"/>
      <c r="G813" s="107"/>
      <c r="H813" s="107"/>
      <c r="I813" s="107"/>
      <c r="J813" s="107"/>
      <c r="K813" s="107"/>
    </row>
    <row r="814" spans="1:11">
      <c r="A814" s="106"/>
      <c r="B814" s="107"/>
      <c r="C814" s="107"/>
      <c r="D814" s="107"/>
      <c r="E814" s="108"/>
      <c r="F814" s="107"/>
      <c r="G814" s="107"/>
      <c r="H814" s="107"/>
      <c r="I814" s="107"/>
      <c r="J814" s="107"/>
      <c r="K814" s="107"/>
    </row>
    <row r="815" spans="1:11">
      <c r="A815" s="106"/>
      <c r="B815" s="107"/>
      <c r="C815" s="107"/>
      <c r="D815" s="107"/>
      <c r="E815" s="108"/>
      <c r="F815" s="107"/>
      <c r="G815" s="107"/>
      <c r="H815" s="107"/>
      <c r="I815" s="107"/>
      <c r="J815" s="107"/>
      <c r="K815" s="107"/>
    </row>
    <row r="816" spans="1:11">
      <c r="A816" s="106"/>
      <c r="B816" s="107"/>
      <c r="C816" s="107"/>
      <c r="D816" s="107"/>
      <c r="E816" s="108"/>
      <c r="F816" s="107"/>
      <c r="G816" s="107"/>
      <c r="H816" s="107"/>
      <c r="I816" s="107"/>
      <c r="J816" s="107"/>
      <c r="K816" s="107"/>
    </row>
    <row r="817" spans="1:11">
      <c r="A817" s="106"/>
      <c r="B817" s="107"/>
      <c r="C817" s="107"/>
      <c r="D817" s="107"/>
      <c r="E817" s="108"/>
      <c r="F817" s="107"/>
      <c r="G817" s="107"/>
      <c r="H817" s="107"/>
      <c r="I817" s="107"/>
      <c r="J817" s="107"/>
      <c r="K817" s="107"/>
    </row>
    <row r="818" spans="1:11">
      <c r="A818" s="106"/>
      <c r="B818" s="107"/>
      <c r="C818" s="107"/>
      <c r="D818" s="107"/>
      <c r="E818" s="108"/>
      <c r="F818" s="107"/>
      <c r="G818" s="107"/>
      <c r="H818" s="107"/>
      <c r="I818" s="107"/>
      <c r="J818" s="107"/>
      <c r="K818" s="107"/>
    </row>
    <row r="819" spans="1:11">
      <c r="A819" s="106"/>
      <c r="B819" s="107"/>
      <c r="C819" s="107"/>
      <c r="D819" s="107"/>
      <c r="E819" s="108"/>
      <c r="F819" s="107"/>
      <c r="G819" s="107"/>
      <c r="H819" s="107"/>
      <c r="I819" s="107"/>
      <c r="J819" s="107"/>
      <c r="K819" s="107"/>
    </row>
    <row r="820" spans="1:11">
      <c r="A820" s="106"/>
      <c r="B820" s="107"/>
      <c r="C820" s="107"/>
      <c r="D820" s="107"/>
      <c r="E820" s="108"/>
      <c r="F820" s="107"/>
      <c r="G820" s="107"/>
      <c r="H820" s="107"/>
      <c r="I820" s="107"/>
      <c r="J820" s="107"/>
      <c r="K820" s="107"/>
    </row>
    <row r="821" spans="1:11">
      <c r="A821" s="106"/>
      <c r="B821" s="107"/>
      <c r="C821" s="107"/>
      <c r="D821" s="107"/>
      <c r="E821" s="108"/>
      <c r="F821" s="107"/>
      <c r="G821" s="107"/>
      <c r="H821" s="107"/>
      <c r="I821" s="107"/>
      <c r="J821" s="107"/>
      <c r="K821" s="107"/>
    </row>
    <row r="822" spans="1:11">
      <c r="A822" s="106"/>
      <c r="B822" s="107"/>
      <c r="C822" s="107"/>
      <c r="D822" s="107"/>
      <c r="E822" s="108"/>
      <c r="F822" s="107"/>
      <c r="G822" s="107"/>
      <c r="H822" s="107"/>
      <c r="I822" s="107"/>
      <c r="J822" s="107"/>
      <c r="K822" s="107"/>
    </row>
    <row r="823" spans="1:11">
      <c r="A823" s="106"/>
      <c r="B823" s="107"/>
      <c r="C823" s="107"/>
      <c r="D823" s="107"/>
      <c r="E823" s="108"/>
      <c r="F823" s="107"/>
      <c r="G823" s="107"/>
      <c r="H823" s="107"/>
      <c r="I823" s="107"/>
      <c r="J823" s="107"/>
      <c r="K823" s="107"/>
    </row>
    <row r="824" spans="1:11">
      <c r="A824" s="106"/>
      <c r="B824" s="107"/>
      <c r="C824" s="107"/>
      <c r="D824" s="107"/>
      <c r="E824" s="108"/>
      <c r="F824" s="107"/>
      <c r="G824" s="107"/>
      <c r="H824" s="107"/>
      <c r="I824" s="107"/>
      <c r="J824" s="107"/>
      <c r="K824" s="107"/>
    </row>
    <row r="825" spans="1:11">
      <c r="A825" s="106"/>
      <c r="B825" s="107"/>
      <c r="C825" s="107"/>
      <c r="D825" s="107"/>
      <c r="E825" s="108"/>
      <c r="F825" s="107"/>
      <c r="G825" s="107"/>
      <c r="H825" s="107"/>
      <c r="I825" s="107"/>
      <c r="J825" s="107"/>
      <c r="K825" s="107"/>
    </row>
    <row r="826" spans="1:11">
      <c r="A826" s="106"/>
      <c r="B826" s="107"/>
      <c r="C826" s="107"/>
      <c r="D826" s="107"/>
      <c r="E826" s="108"/>
      <c r="F826" s="107"/>
      <c r="G826" s="107"/>
      <c r="H826" s="107"/>
      <c r="I826" s="107"/>
      <c r="J826" s="107"/>
      <c r="K826" s="107"/>
    </row>
    <row r="827" spans="1:11">
      <c r="A827" s="106"/>
      <c r="B827" s="107"/>
      <c r="C827" s="107"/>
      <c r="D827" s="107"/>
      <c r="E827" s="108"/>
      <c r="F827" s="107"/>
      <c r="G827" s="107"/>
      <c r="H827" s="107"/>
      <c r="I827" s="107"/>
      <c r="J827" s="107"/>
      <c r="K827" s="107"/>
    </row>
    <row r="828" spans="1:11">
      <c r="A828" s="106"/>
      <c r="B828" s="107"/>
      <c r="C828" s="107"/>
      <c r="D828" s="107"/>
      <c r="E828" s="108"/>
      <c r="F828" s="107"/>
      <c r="G828" s="107"/>
      <c r="H828" s="107"/>
      <c r="I828" s="107"/>
      <c r="J828" s="107"/>
      <c r="K828" s="107"/>
    </row>
    <row r="829" spans="1:11">
      <c r="A829" s="106"/>
      <c r="B829" s="107"/>
      <c r="C829" s="107"/>
      <c r="D829" s="107"/>
      <c r="E829" s="108"/>
      <c r="F829" s="107"/>
      <c r="G829" s="107"/>
      <c r="H829" s="107"/>
      <c r="I829" s="107"/>
      <c r="J829" s="107"/>
      <c r="K829" s="107"/>
    </row>
    <row r="830" spans="1:11">
      <c r="A830" s="106"/>
      <c r="B830" s="107"/>
      <c r="C830" s="107"/>
      <c r="D830" s="107"/>
      <c r="E830" s="108"/>
      <c r="F830" s="107"/>
      <c r="G830" s="107"/>
      <c r="H830" s="107"/>
      <c r="I830" s="107"/>
      <c r="J830" s="107"/>
      <c r="K830" s="107"/>
    </row>
    <row r="831" spans="1:11">
      <c r="A831" s="106"/>
      <c r="B831" s="107"/>
      <c r="C831" s="107"/>
      <c r="D831" s="107"/>
      <c r="E831" s="108"/>
      <c r="F831" s="107"/>
      <c r="G831" s="107"/>
      <c r="H831" s="107"/>
      <c r="I831" s="107"/>
      <c r="J831" s="107"/>
      <c r="K831" s="107"/>
    </row>
    <row r="832" spans="1:11">
      <c r="A832" s="106"/>
      <c r="B832" s="107"/>
      <c r="C832" s="107"/>
      <c r="D832" s="107"/>
      <c r="E832" s="108"/>
      <c r="F832" s="107"/>
      <c r="G832" s="107"/>
      <c r="H832" s="107"/>
      <c r="I832" s="107"/>
      <c r="J832" s="107"/>
      <c r="K832" s="107"/>
    </row>
    <row r="833" spans="1:11">
      <c r="A833" s="106"/>
      <c r="B833" s="107"/>
      <c r="C833" s="107"/>
      <c r="D833" s="107"/>
      <c r="E833" s="108"/>
      <c r="F833" s="107"/>
      <c r="G833" s="107"/>
      <c r="H833" s="107"/>
      <c r="I833" s="107"/>
      <c r="J833" s="107"/>
      <c r="K833" s="107"/>
    </row>
    <row r="834" spans="1:11">
      <c r="A834" s="106"/>
      <c r="B834" s="107"/>
      <c r="C834" s="107"/>
      <c r="D834" s="107"/>
      <c r="E834" s="108"/>
      <c r="F834" s="107"/>
      <c r="G834" s="107"/>
      <c r="H834" s="107"/>
      <c r="I834" s="107"/>
      <c r="J834" s="107"/>
      <c r="K834" s="107"/>
    </row>
    <row r="835" spans="1:11">
      <c r="A835" s="106"/>
      <c r="B835" s="107"/>
      <c r="C835" s="107"/>
      <c r="D835" s="107"/>
      <c r="E835" s="108"/>
      <c r="F835" s="107"/>
      <c r="G835" s="107"/>
      <c r="H835" s="107"/>
      <c r="I835" s="107"/>
      <c r="J835" s="107"/>
      <c r="K835" s="107"/>
    </row>
    <row r="836" spans="1:11">
      <c r="A836" s="106"/>
      <c r="B836" s="107"/>
      <c r="C836" s="107"/>
      <c r="D836" s="107"/>
      <c r="E836" s="108"/>
      <c r="F836" s="107"/>
      <c r="G836" s="107"/>
      <c r="H836" s="107"/>
      <c r="I836" s="107"/>
      <c r="J836" s="107"/>
      <c r="K836" s="107"/>
    </row>
    <row r="837" spans="1:11">
      <c r="A837" s="106"/>
      <c r="B837" s="107"/>
      <c r="C837" s="107"/>
      <c r="D837" s="107"/>
      <c r="E837" s="108"/>
      <c r="F837" s="107"/>
      <c r="G837" s="107"/>
      <c r="H837" s="107"/>
      <c r="I837" s="107"/>
      <c r="J837" s="107"/>
      <c r="K837" s="107"/>
    </row>
    <row r="838" spans="1:11">
      <c r="A838" s="106"/>
      <c r="B838" s="107"/>
      <c r="C838" s="107"/>
      <c r="D838" s="107"/>
      <c r="E838" s="108"/>
      <c r="F838" s="107"/>
      <c r="G838" s="107"/>
      <c r="H838" s="107"/>
      <c r="I838" s="107"/>
      <c r="J838" s="107"/>
      <c r="K838" s="107"/>
    </row>
    <row r="839" spans="1:11">
      <c r="A839" s="106"/>
      <c r="B839" s="107"/>
      <c r="C839" s="107"/>
      <c r="D839" s="107"/>
      <c r="E839" s="108"/>
      <c r="F839" s="107"/>
      <c r="G839" s="107"/>
      <c r="H839" s="107"/>
      <c r="I839" s="107"/>
      <c r="J839" s="107"/>
      <c r="K839" s="107"/>
    </row>
    <row r="840" spans="1:11">
      <c r="A840" s="106"/>
      <c r="B840" s="107"/>
      <c r="C840" s="107"/>
      <c r="D840" s="107"/>
      <c r="E840" s="108"/>
      <c r="F840" s="107"/>
      <c r="G840" s="107"/>
      <c r="H840" s="107"/>
      <c r="I840" s="107"/>
      <c r="J840" s="107"/>
      <c r="K840" s="107"/>
    </row>
    <row r="841" spans="1:11">
      <c r="A841" s="106"/>
      <c r="B841" s="107"/>
      <c r="C841" s="107"/>
      <c r="D841" s="107"/>
      <c r="E841" s="108"/>
      <c r="F841" s="107"/>
      <c r="G841" s="107"/>
      <c r="H841" s="107"/>
      <c r="I841" s="107"/>
      <c r="J841" s="107"/>
      <c r="K841" s="107"/>
    </row>
    <row r="842" spans="1:11">
      <c r="A842" s="106"/>
      <c r="B842" s="107"/>
      <c r="C842" s="107"/>
      <c r="D842" s="107"/>
      <c r="E842" s="108"/>
      <c r="F842" s="107"/>
      <c r="G842" s="107"/>
      <c r="H842" s="107"/>
      <c r="I842" s="107"/>
      <c r="J842" s="107"/>
      <c r="K842" s="107"/>
    </row>
    <row r="843" spans="1:11">
      <c r="A843" s="106"/>
      <c r="B843" s="107"/>
      <c r="C843" s="107"/>
      <c r="D843" s="107"/>
      <c r="E843" s="108"/>
      <c r="F843" s="107"/>
      <c r="G843" s="107"/>
      <c r="H843" s="107"/>
      <c r="I843" s="107"/>
      <c r="J843" s="107"/>
      <c r="K843" s="107"/>
    </row>
    <row r="844" spans="1:11">
      <c r="A844" s="106"/>
      <c r="B844" s="107"/>
      <c r="C844" s="107"/>
      <c r="D844" s="107"/>
      <c r="E844" s="108"/>
      <c r="F844" s="107"/>
      <c r="G844" s="107"/>
      <c r="H844" s="107"/>
      <c r="I844" s="107"/>
      <c r="J844" s="107"/>
      <c r="K844" s="107"/>
    </row>
    <row r="845" spans="1:11">
      <c r="A845" s="106"/>
      <c r="B845" s="107"/>
      <c r="C845" s="107"/>
      <c r="D845" s="107"/>
      <c r="E845" s="108"/>
      <c r="F845" s="107"/>
      <c r="G845" s="107"/>
      <c r="H845" s="107"/>
      <c r="I845" s="107"/>
      <c r="J845" s="107"/>
      <c r="K845" s="107"/>
    </row>
    <row r="846" spans="1:11">
      <c r="A846" s="106"/>
      <c r="B846" s="107"/>
      <c r="C846" s="107"/>
      <c r="D846" s="107"/>
      <c r="E846" s="108"/>
      <c r="F846" s="107"/>
      <c r="G846" s="107"/>
      <c r="H846" s="107"/>
      <c r="I846" s="107"/>
      <c r="J846" s="107"/>
      <c r="K846" s="107"/>
    </row>
    <row r="847" spans="1:11">
      <c r="A847" s="106"/>
      <c r="B847" s="107"/>
      <c r="C847" s="107"/>
      <c r="D847" s="107"/>
      <c r="E847" s="108"/>
      <c r="F847" s="107"/>
      <c r="G847" s="107"/>
      <c r="H847" s="107"/>
      <c r="I847" s="107"/>
      <c r="J847" s="107"/>
      <c r="K847" s="107"/>
    </row>
    <row r="848" spans="1:11">
      <c r="A848" s="106"/>
      <c r="B848" s="107"/>
      <c r="C848" s="107"/>
      <c r="D848" s="107"/>
      <c r="E848" s="108"/>
      <c r="F848" s="107"/>
      <c r="G848" s="107"/>
      <c r="H848" s="107"/>
      <c r="I848" s="107"/>
      <c r="J848" s="107"/>
      <c r="K848" s="107"/>
    </row>
    <row r="849" spans="1:11">
      <c r="A849" s="106"/>
      <c r="B849" s="107"/>
      <c r="C849" s="107"/>
      <c r="D849" s="107"/>
      <c r="E849" s="108"/>
      <c r="F849" s="107"/>
      <c r="G849" s="107"/>
      <c r="H849" s="107"/>
      <c r="I849" s="107"/>
      <c r="J849" s="107"/>
      <c r="K849" s="107"/>
    </row>
    <row r="850" spans="1:11">
      <c r="A850" s="106"/>
      <c r="B850" s="107"/>
      <c r="C850" s="107"/>
      <c r="D850" s="107"/>
      <c r="E850" s="108"/>
      <c r="F850" s="107"/>
      <c r="G850" s="107"/>
      <c r="H850" s="107"/>
      <c r="I850" s="107"/>
      <c r="J850" s="107"/>
      <c r="K850" s="107"/>
    </row>
    <row r="851" spans="1:11">
      <c r="A851" s="106"/>
      <c r="B851" s="107"/>
      <c r="C851" s="107"/>
      <c r="D851" s="107"/>
      <c r="E851" s="108"/>
      <c r="F851" s="107"/>
      <c r="G851" s="107"/>
      <c r="H851" s="107"/>
      <c r="I851" s="107"/>
      <c r="J851" s="107"/>
      <c r="K851" s="107"/>
    </row>
    <row r="852" spans="1:11">
      <c r="A852" s="106"/>
      <c r="B852" s="107"/>
      <c r="C852" s="107"/>
      <c r="D852" s="107"/>
      <c r="E852" s="108"/>
      <c r="F852" s="107"/>
      <c r="G852" s="107"/>
      <c r="H852" s="107"/>
      <c r="I852" s="107"/>
      <c r="J852" s="107"/>
      <c r="K852" s="107"/>
    </row>
    <row r="853" spans="1:11">
      <c r="A853" s="106"/>
      <c r="B853" s="107"/>
      <c r="C853" s="107"/>
      <c r="D853" s="107"/>
      <c r="E853" s="108"/>
      <c r="F853" s="107"/>
      <c r="G853" s="107"/>
      <c r="H853" s="107"/>
      <c r="I853" s="107"/>
      <c r="J853" s="107"/>
      <c r="K853" s="107"/>
    </row>
    <row r="854" spans="1:11">
      <c r="A854" s="106"/>
      <c r="B854" s="107"/>
      <c r="C854" s="107"/>
      <c r="D854" s="107"/>
      <c r="E854" s="108"/>
      <c r="F854" s="107"/>
      <c r="G854" s="107"/>
      <c r="H854" s="107"/>
      <c r="I854" s="107"/>
      <c r="J854" s="107"/>
      <c r="K854" s="107"/>
    </row>
    <row r="855" spans="1:11">
      <c r="A855" s="106"/>
      <c r="B855" s="107"/>
      <c r="C855" s="107"/>
      <c r="D855" s="107"/>
      <c r="E855" s="108"/>
      <c r="F855" s="107"/>
      <c r="G855" s="107"/>
      <c r="H855" s="107"/>
      <c r="I855" s="107"/>
      <c r="J855" s="107"/>
      <c r="K855" s="107"/>
    </row>
    <row r="856" spans="1:11">
      <c r="A856" s="106"/>
      <c r="B856" s="107"/>
      <c r="C856" s="107"/>
      <c r="D856" s="107"/>
      <c r="E856" s="108"/>
      <c r="F856" s="107"/>
      <c r="G856" s="107"/>
      <c r="H856" s="107"/>
      <c r="I856" s="107"/>
      <c r="J856" s="107"/>
      <c r="K856" s="107"/>
    </row>
    <row r="857" spans="1:11">
      <c r="A857" s="106"/>
      <c r="B857" s="107"/>
      <c r="C857" s="107"/>
      <c r="D857" s="107"/>
      <c r="E857" s="108"/>
      <c r="F857" s="107"/>
      <c r="G857" s="107"/>
      <c r="H857" s="107"/>
      <c r="I857" s="107"/>
      <c r="J857" s="107"/>
      <c r="K857" s="107"/>
    </row>
    <row r="858" spans="1:11">
      <c r="A858" s="106"/>
      <c r="B858" s="107"/>
      <c r="C858" s="107"/>
      <c r="D858" s="107"/>
      <c r="E858" s="108"/>
      <c r="F858" s="107"/>
      <c r="G858" s="107"/>
      <c r="H858" s="107"/>
      <c r="I858" s="107"/>
      <c r="J858" s="107"/>
      <c r="K858" s="107"/>
    </row>
    <row r="859" spans="1:11">
      <c r="A859" s="106"/>
      <c r="B859" s="107"/>
      <c r="C859" s="107"/>
      <c r="D859" s="107"/>
      <c r="E859" s="108"/>
      <c r="F859" s="107"/>
      <c r="G859" s="107"/>
      <c r="H859" s="107"/>
      <c r="I859" s="107"/>
      <c r="J859" s="107"/>
      <c r="K859" s="107"/>
    </row>
    <row r="860" spans="1:11">
      <c r="A860" s="106"/>
      <c r="B860" s="107"/>
      <c r="C860" s="107"/>
      <c r="D860" s="107"/>
      <c r="E860" s="108"/>
      <c r="F860" s="107"/>
      <c r="G860" s="107"/>
      <c r="H860" s="107"/>
      <c r="I860" s="107"/>
      <c r="J860" s="107"/>
      <c r="K860" s="107"/>
    </row>
    <row r="861" spans="1:11">
      <c r="A861" s="106"/>
      <c r="B861" s="107"/>
      <c r="C861" s="107"/>
      <c r="D861" s="107"/>
      <c r="E861" s="108"/>
      <c r="F861" s="107"/>
      <c r="G861" s="107"/>
      <c r="H861" s="107"/>
      <c r="I861" s="107"/>
      <c r="J861" s="107"/>
      <c r="K861" s="107"/>
    </row>
    <row r="862" spans="1:11">
      <c r="A862" s="106"/>
      <c r="B862" s="107"/>
      <c r="C862" s="107"/>
      <c r="D862" s="107"/>
      <c r="E862" s="108"/>
      <c r="F862" s="107"/>
      <c r="G862" s="107"/>
      <c r="H862" s="107"/>
      <c r="I862" s="107"/>
      <c r="J862" s="107"/>
      <c r="K862" s="107"/>
    </row>
    <row r="863" spans="1:11">
      <c r="A863" s="106"/>
      <c r="B863" s="107"/>
      <c r="C863" s="107"/>
      <c r="D863" s="107"/>
      <c r="E863" s="108"/>
      <c r="F863" s="107"/>
      <c r="G863" s="107"/>
      <c r="H863" s="107"/>
      <c r="I863" s="107"/>
      <c r="J863" s="107"/>
      <c r="K863" s="107"/>
    </row>
    <row r="864" spans="1:11">
      <c r="A864" s="106"/>
      <c r="B864" s="107"/>
      <c r="C864" s="107"/>
      <c r="D864" s="107"/>
      <c r="E864" s="108"/>
      <c r="F864" s="107"/>
      <c r="G864" s="107"/>
      <c r="H864" s="107"/>
      <c r="I864" s="107"/>
      <c r="J864" s="107"/>
      <c r="K864" s="107"/>
    </row>
    <row r="865" spans="1:11">
      <c r="A865" s="106"/>
      <c r="B865" s="107"/>
      <c r="C865" s="107"/>
      <c r="D865" s="107"/>
      <c r="E865" s="108"/>
      <c r="F865" s="107"/>
      <c r="G865" s="107"/>
      <c r="H865" s="107"/>
      <c r="I865" s="107"/>
      <c r="J865" s="107"/>
      <c r="K865" s="107"/>
    </row>
    <row r="866" spans="1:11">
      <c r="A866" s="106"/>
      <c r="B866" s="107"/>
      <c r="C866" s="107"/>
      <c r="D866" s="107"/>
      <c r="E866" s="108"/>
      <c r="F866" s="107"/>
      <c r="G866" s="107"/>
      <c r="H866" s="107"/>
      <c r="I866" s="107"/>
      <c r="J866" s="107"/>
      <c r="K866" s="107"/>
    </row>
    <row r="867" spans="1:11">
      <c r="A867" s="106"/>
      <c r="B867" s="107"/>
      <c r="C867" s="107"/>
      <c r="D867" s="107"/>
      <c r="E867" s="108"/>
      <c r="F867" s="107"/>
      <c r="G867" s="107"/>
      <c r="H867" s="107"/>
      <c r="I867" s="107"/>
      <c r="J867" s="107"/>
      <c r="K867" s="107"/>
    </row>
    <row r="868" spans="1:11">
      <c r="A868" s="106"/>
      <c r="B868" s="107"/>
      <c r="C868" s="107"/>
      <c r="D868" s="107"/>
      <c r="E868" s="108"/>
      <c r="F868" s="107"/>
      <c r="G868" s="107"/>
      <c r="H868" s="107"/>
      <c r="I868" s="107"/>
      <c r="J868" s="107"/>
      <c r="K868" s="107"/>
    </row>
    <row r="869" spans="1:11">
      <c r="A869" s="106"/>
      <c r="B869" s="107"/>
      <c r="C869" s="107"/>
      <c r="D869" s="107"/>
      <c r="E869" s="108"/>
      <c r="F869" s="107"/>
      <c r="G869" s="107"/>
      <c r="H869" s="107"/>
      <c r="I869" s="107"/>
      <c r="J869" s="107"/>
      <c r="K869" s="107"/>
    </row>
    <row r="870" spans="1:11">
      <c r="A870" s="106"/>
      <c r="B870" s="107"/>
      <c r="C870" s="107"/>
      <c r="D870" s="107"/>
      <c r="E870" s="108"/>
      <c r="F870" s="107"/>
      <c r="G870" s="107"/>
      <c r="H870" s="107"/>
      <c r="I870" s="107"/>
      <c r="J870" s="107"/>
      <c r="K870" s="107"/>
    </row>
    <row r="871" spans="1:11">
      <c r="A871" s="106"/>
      <c r="B871" s="107"/>
      <c r="C871" s="107"/>
      <c r="D871" s="107"/>
      <c r="E871" s="108"/>
      <c r="F871" s="107"/>
      <c r="G871" s="107"/>
      <c r="H871" s="107"/>
      <c r="I871" s="107"/>
      <c r="J871" s="107"/>
      <c r="K871" s="107"/>
    </row>
  </sheetData>
  <mergeCells count="12">
    <mergeCell ref="AZ4:BA4"/>
    <mergeCell ref="N79:O79"/>
    <mergeCell ref="A3:B3"/>
    <mergeCell ref="AM4:AP4"/>
    <mergeCell ref="C85:F85"/>
    <mergeCell ref="A1:B1"/>
    <mergeCell ref="A2:B2"/>
    <mergeCell ref="AI4:AL4"/>
    <mergeCell ref="D4:E4"/>
    <mergeCell ref="F4:G4"/>
    <mergeCell ref="H4:I4"/>
    <mergeCell ref="J4:K4"/>
  </mergeCells>
  <phoneticPr fontId="0" type="noConversion"/>
  <printOptions horizontalCentered="1"/>
  <pageMargins left="0.25" right="0.25" top="0.98" bottom="0.42" header="0.27" footer="0.16"/>
  <pageSetup paperSize="5" scale="66" firstPageNumber="18" fitToWidth="14" orientation="portrait" useFirstPageNumber="1" r:id="rId1"/>
  <headerFooter alignWithMargins="0">
    <oddHeader xml:space="preserve">&amp;L&amp;"Arial,Bold"&amp;16TABLE 3: FY2013-14 Budget Letter &amp;20
&amp;16LEVEL 1 BASE PER PUPIL AND LEVEL 2 LOCAL INCENTIVE </oddHeader>
    <oddFooter>&amp;R&amp;12&amp;P</oddFooter>
  </headerFooter>
  <colBreaks count="10" manualBreakCount="10">
    <brk id="7" max="83" man="1"/>
    <brk id="11" max="83" man="1"/>
    <brk id="17" max="83" man="1"/>
    <brk id="24" max="83" man="1"/>
    <brk id="31" max="83" man="1"/>
    <brk id="38" max="83" man="1"/>
    <brk id="44" max="83" man="1"/>
    <brk id="51" max="83" man="1"/>
    <brk id="53" max="89" man="1"/>
    <brk id="63" max="8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X85"/>
  <sheetViews>
    <sheetView view="pageBreakPreview" topLeftCell="A2" zoomScale="90" zoomScaleNormal="100" zoomScaleSheetLayoutView="90" workbookViewId="0">
      <pane xSplit="2" ySplit="4" topLeftCell="C6" activePane="bottomRight" state="frozen"/>
      <selection activeCell="B3" sqref="B3:B5"/>
      <selection pane="topRight" activeCell="B3" sqref="B3:B5"/>
      <selection pane="bottomLeft" activeCell="B3" sqref="B3:B5"/>
      <selection pane="bottomRight" activeCell="L80" sqref="L80"/>
    </sheetView>
  </sheetViews>
  <sheetFormatPr defaultColWidth="12.5703125" defaultRowHeight="12.75"/>
  <cols>
    <col min="1" max="1" width="4.28515625" style="2" customWidth="1"/>
    <col min="2" max="2" width="17.140625" style="2" customWidth="1"/>
    <col min="3" max="3" width="13.5703125" style="2" customWidth="1"/>
    <col min="4" max="4" width="13.42578125" style="2" customWidth="1"/>
    <col min="5" max="5" width="13.140625" style="2" customWidth="1"/>
    <col min="6" max="6" width="13.85546875" style="2" customWidth="1"/>
    <col min="7" max="7" width="13.7109375" style="2" customWidth="1"/>
    <col min="8" max="8" width="13.5703125" style="2" customWidth="1"/>
    <col min="9" max="9" width="10.7109375" style="2" customWidth="1"/>
    <col min="10" max="12" width="16.140625" style="2" customWidth="1"/>
    <col min="13" max="13" width="14" style="2" customWidth="1"/>
    <col min="14" max="14" width="13.7109375" style="2" customWidth="1"/>
    <col min="15" max="15" width="15.28515625" style="2" customWidth="1"/>
    <col min="16" max="16" width="26.42578125" style="2" customWidth="1"/>
    <col min="17" max="17" width="28.28515625" style="2" customWidth="1"/>
    <col min="18" max="18" width="21" style="2" customWidth="1"/>
    <col min="19" max="19" width="1.7109375" style="2" customWidth="1"/>
    <col min="20" max="21" width="12.5703125" style="2" hidden="1" customWidth="1"/>
    <col min="22" max="22" width="16" style="2" hidden="1" customWidth="1"/>
    <col min="23" max="23" width="12.5703125" style="2" hidden="1" customWidth="1"/>
    <col min="24" max="16384" width="12.5703125" style="2"/>
  </cols>
  <sheetData>
    <row r="1" spans="1:23" ht="40.5" hidden="1">
      <c r="A1" s="80" t="s">
        <v>196</v>
      </c>
      <c r="B1" s="125"/>
      <c r="C1" s="124" t="s">
        <v>73</v>
      </c>
      <c r="D1" s="124" t="s">
        <v>66</v>
      </c>
      <c r="E1" s="124" t="s">
        <v>73</v>
      </c>
      <c r="F1" s="124" t="s">
        <v>67</v>
      </c>
      <c r="G1" s="124"/>
      <c r="H1" s="124"/>
      <c r="I1" s="124"/>
      <c r="J1" s="124"/>
      <c r="K1" s="1175"/>
      <c r="L1" s="1175"/>
      <c r="M1" s="124"/>
      <c r="N1" s="124"/>
      <c r="O1" s="462"/>
    </row>
    <row r="2" spans="1:23" ht="74.25" customHeight="1">
      <c r="A2" s="2208" t="s">
        <v>183</v>
      </c>
      <c r="B2" s="2210" t="s">
        <v>242</v>
      </c>
      <c r="C2" s="2217" t="s">
        <v>496</v>
      </c>
      <c r="D2" s="2218"/>
      <c r="E2" s="2218"/>
      <c r="F2" s="2218"/>
      <c r="G2" s="2218"/>
      <c r="H2" s="2218"/>
      <c r="I2" s="2218"/>
      <c r="J2" s="2219"/>
      <c r="K2" s="2217" t="s">
        <v>480</v>
      </c>
      <c r="L2" s="2222"/>
      <c r="M2" s="2227" t="s">
        <v>348</v>
      </c>
      <c r="N2" s="2228"/>
      <c r="O2" s="2216" t="s">
        <v>497</v>
      </c>
      <c r="P2" s="2220" t="s">
        <v>355</v>
      </c>
      <c r="Q2" s="2221"/>
      <c r="R2" s="2181" t="s">
        <v>498</v>
      </c>
    </row>
    <row r="3" spans="1:23" ht="97.5" customHeight="1">
      <c r="A3" s="2209"/>
      <c r="B3" s="2209"/>
      <c r="C3" s="2207" t="s">
        <v>1</v>
      </c>
      <c r="D3" s="2207" t="s">
        <v>0</v>
      </c>
      <c r="E3" s="2207" t="s">
        <v>221</v>
      </c>
      <c r="F3" s="2207" t="s">
        <v>482</v>
      </c>
      <c r="G3" s="2207" t="s">
        <v>479</v>
      </c>
      <c r="H3" s="2214" t="s">
        <v>481</v>
      </c>
      <c r="I3" s="2214" t="s">
        <v>503</v>
      </c>
      <c r="J3" s="67" t="s">
        <v>373</v>
      </c>
      <c r="K3" s="2223" t="s">
        <v>504</v>
      </c>
      <c r="L3" s="1173" t="s">
        <v>194</v>
      </c>
      <c r="M3" s="2207" t="s">
        <v>502</v>
      </c>
      <c r="N3" s="67" t="s">
        <v>344</v>
      </c>
      <c r="O3" s="2182"/>
      <c r="P3" s="2211" t="s">
        <v>459</v>
      </c>
      <c r="Q3" s="2207" t="s">
        <v>705</v>
      </c>
      <c r="R3" s="2182"/>
      <c r="U3" s="2203" t="s">
        <v>740</v>
      </c>
    </row>
    <row r="4" spans="1:23" ht="25.5" customHeight="1">
      <c r="A4" s="2209"/>
      <c r="B4" s="2209"/>
      <c r="C4" s="2153"/>
      <c r="D4" s="2153"/>
      <c r="E4" s="2153"/>
      <c r="F4" s="2153"/>
      <c r="G4" s="2153"/>
      <c r="H4" s="2215"/>
      <c r="I4" s="2215"/>
      <c r="J4" s="307">
        <f>-(F75+H75)/I75</f>
        <v>49.280887293761246</v>
      </c>
      <c r="K4" s="2224"/>
      <c r="L4" s="1108">
        <v>20000</v>
      </c>
      <c r="M4" s="2153"/>
      <c r="N4" s="306">
        <v>100</v>
      </c>
      <c r="O4" s="2150"/>
      <c r="P4" s="2212"/>
      <c r="Q4" s="2213"/>
      <c r="R4" s="2150"/>
      <c r="U4" s="2203"/>
    </row>
    <row r="5" spans="1:23" s="210" customFormat="1" ht="14.25" customHeight="1">
      <c r="A5" s="220"/>
      <c r="B5" s="300"/>
      <c r="C5" s="309">
        <v>1</v>
      </c>
      <c r="D5" s="309">
        <f t="shared" ref="D5:J5" si="0">C5+1</f>
        <v>2</v>
      </c>
      <c r="E5" s="309">
        <f t="shared" si="0"/>
        <v>3</v>
      </c>
      <c r="F5" s="309">
        <f t="shared" si="0"/>
        <v>4</v>
      </c>
      <c r="G5" s="309">
        <f t="shared" si="0"/>
        <v>5</v>
      </c>
      <c r="H5" s="309">
        <f t="shared" si="0"/>
        <v>6</v>
      </c>
      <c r="I5" s="309">
        <f t="shared" si="0"/>
        <v>7</v>
      </c>
      <c r="J5" s="309">
        <f t="shared" si="0"/>
        <v>8</v>
      </c>
      <c r="K5" s="309">
        <f t="shared" ref="K5" si="1">J5+1</f>
        <v>9</v>
      </c>
      <c r="L5" s="309">
        <f t="shared" ref="L5" si="2">K5+1</f>
        <v>10</v>
      </c>
      <c r="M5" s="309">
        <f t="shared" ref="M5" si="3">L5+1</f>
        <v>11</v>
      </c>
      <c r="N5" s="309">
        <f t="shared" ref="N5" si="4">M5+1</f>
        <v>12</v>
      </c>
      <c r="O5" s="309">
        <f t="shared" ref="O5" si="5">N5+1</f>
        <v>13</v>
      </c>
      <c r="P5" s="309">
        <f t="shared" ref="P5" si="6">O5+1</f>
        <v>14</v>
      </c>
      <c r="Q5" s="309">
        <f t="shared" ref="Q5" si="7">P5+1</f>
        <v>15</v>
      </c>
      <c r="R5" s="309">
        <f t="shared" ref="R5" si="8">Q5+1</f>
        <v>16</v>
      </c>
    </row>
    <row r="6" spans="1:23">
      <c r="A6" s="99">
        <v>1</v>
      </c>
      <c r="B6" s="301" t="s">
        <v>92</v>
      </c>
      <c r="C6" s="316">
        <v>0</v>
      </c>
      <c r="D6" s="316">
        <v>0</v>
      </c>
      <c r="E6" s="316">
        <f>C6-D6</f>
        <v>0</v>
      </c>
      <c r="F6" s="317">
        <f>'[10]Table 4 Level 3'!F6+'[10]Table 4 Level 3'!H6</f>
        <v>0</v>
      </c>
      <c r="G6" s="317">
        <f t="shared" ref="G6:G37" si="9">SUM(E6:F6)</f>
        <v>0</v>
      </c>
      <c r="H6" s="317">
        <f>ROUND(-G6/4,0)</f>
        <v>0</v>
      </c>
      <c r="I6" s="315">
        <f>IF(F6&lt;0,0,'Table 3 Levels 1&amp;2'!C8)</f>
        <v>9586</v>
      </c>
      <c r="J6" s="313">
        <f t="shared" ref="J6:J37" si="10">ROUND($J$4*I6,0)</f>
        <v>472407</v>
      </c>
      <c r="K6" s="352">
        <v>0</v>
      </c>
      <c r="L6" s="1109">
        <f>ROUND($L$4*K6,0)</f>
        <v>0</v>
      </c>
      <c r="M6" s="315">
        <f>'Table 3 Levels 1&amp;2'!C8</f>
        <v>9586</v>
      </c>
      <c r="N6" s="313">
        <f t="shared" ref="N6:N37" si="11">ROUND(M6*$N$4,0)</f>
        <v>958600</v>
      </c>
      <c r="O6" s="313">
        <f>D6+E6+F6+H6+J6+L6+N6</f>
        <v>1431007</v>
      </c>
      <c r="P6" s="310">
        <v>777.48</v>
      </c>
      <c r="Q6" s="311">
        <f>'2-1-13 SIS'!S7*'Table 4 Level 3'!P6</f>
        <v>7452923.2800000003</v>
      </c>
      <c r="R6" s="313">
        <f>O6+Q6</f>
        <v>8883930.2800000012</v>
      </c>
      <c r="T6" s="23">
        <f>P6</f>
        <v>777.48</v>
      </c>
      <c r="U6" s="1112">
        <f>'2-1-13 SIS'!S7</f>
        <v>9586</v>
      </c>
      <c r="V6" s="409">
        <f>U6*T6</f>
        <v>7452923.2800000003</v>
      </c>
      <c r="W6" s="409">
        <f>V6-Q6</f>
        <v>0</v>
      </c>
    </row>
    <row r="7" spans="1:23">
      <c r="A7" s="99">
        <v>2</v>
      </c>
      <c r="B7" s="301" t="s">
        <v>93</v>
      </c>
      <c r="C7" s="316">
        <v>0</v>
      </c>
      <c r="D7" s="316">
        <v>0</v>
      </c>
      <c r="E7" s="316">
        <f t="shared" ref="E7:E70" si="12">C7-D7</f>
        <v>0</v>
      </c>
      <c r="F7" s="317">
        <f>'[11]Table 4 Level 3'!F7+'[11]Table 4 Level 3'!H7</f>
        <v>0</v>
      </c>
      <c r="G7" s="317">
        <f t="shared" si="9"/>
        <v>0</v>
      </c>
      <c r="H7" s="317">
        <f t="shared" ref="H7:H70" si="13">ROUND(-G7/4,0)</f>
        <v>0</v>
      </c>
      <c r="I7" s="315">
        <f>IF(F7&lt;0,0,'Table 3 Levels 1&amp;2'!C9)</f>
        <v>4083</v>
      </c>
      <c r="J7" s="313">
        <f t="shared" si="10"/>
        <v>201214</v>
      </c>
      <c r="K7" s="115">
        <v>0</v>
      </c>
      <c r="L7" s="1110">
        <f t="shared" ref="L7:L70" si="14">ROUND($L$4*K7,0)</f>
        <v>0</v>
      </c>
      <c r="M7" s="315">
        <f>'Table 3 Levels 1&amp;2'!C9</f>
        <v>4083</v>
      </c>
      <c r="N7" s="313">
        <f t="shared" si="11"/>
        <v>408300</v>
      </c>
      <c r="O7" s="313">
        <f t="shared" ref="O7:O70" si="15">D7+E7+F7+H7+J7+L7+N7</f>
        <v>609514</v>
      </c>
      <c r="P7" s="310">
        <v>842.32</v>
      </c>
      <c r="Q7" s="313">
        <f>'2-1-13 SIS'!S8*'Table 4 Level 3'!P7</f>
        <v>3439192.56</v>
      </c>
      <c r="R7" s="313">
        <f t="shared" ref="R7:R70" si="16">O7+Q7</f>
        <v>4048706.56</v>
      </c>
      <c r="T7" s="23">
        <f t="shared" ref="T7:T40" si="17">P7</f>
        <v>842.32</v>
      </c>
      <c r="U7" s="1112">
        <f>'2-1-13 SIS'!S8</f>
        <v>4083</v>
      </c>
      <c r="V7" s="409">
        <f t="shared" ref="V7:V70" si="18">U7*T7</f>
        <v>3439192.56</v>
      </c>
      <c r="W7" s="409">
        <f t="shared" ref="W7:W70" si="19">V7-Q7</f>
        <v>0</v>
      </c>
    </row>
    <row r="8" spans="1:23">
      <c r="A8" s="99">
        <v>3</v>
      </c>
      <c r="B8" s="301" t="s">
        <v>94</v>
      </c>
      <c r="C8" s="316">
        <v>0</v>
      </c>
      <c r="D8" s="316">
        <v>0</v>
      </c>
      <c r="E8" s="316">
        <f t="shared" si="12"/>
        <v>0</v>
      </c>
      <c r="F8" s="317">
        <f>'[11]Table 4 Level 3'!F8+'[11]Table 4 Level 3'!H8</f>
        <v>0</v>
      </c>
      <c r="G8" s="317">
        <f t="shared" si="9"/>
        <v>0</v>
      </c>
      <c r="H8" s="317">
        <f t="shared" si="13"/>
        <v>0</v>
      </c>
      <c r="I8" s="315">
        <f>IF(F8&lt;0,0,'Table 3 Levels 1&amp;2'!C10)</f>
        <v>20592</v>
      </c>
      <c r="J8" s="313">
        <f t="shared" si="10"/>
        <v>1014792</v>
      </c>
      <c r="K8" s="115">
        <v>0</v>
      </c>
      <c r="L8" s="1110">
        <f t="shared" si="14"/>
        <v>0</v>
      </c>
      <c r="M8" s="315">
        <f>'Table 3 Levels 1&amp;2'!C10</f>
        <v>20592</v>
      </c>
      <c r="N8" s="313">
        <f t="shared" si="11"/>
        <v>2059200</v>
      </c>
      <c r="O8" s="313">
        <f t="shared" si="15"/>
        <v>3073992</v>
      </c>
      <c r="P8" s="310">
        <v>596.84</v>
      </c>
      <c r="Q8" s="313">
        <f>'2-1-13 SIS'!S9*'Table 4 Level 3'!P8</f>
        <v>12290129.280000001</v>
      </c>
      <c r="R8" s="313">
        <f t="shared" si="16"/>
        <v>15364121.280000001</v>
      </c>
      <c r="T8" s="23">
        <f t="shared" si="17"/>
        <v>596.84</v>
      </c>
      <c r="U8" s="1112">
        <f>'2-1-13 SIS'!S9</f>
        <v>20592</v>
      </c>
      <c r="V8" s="409">
        <f t="shared" si="18"/>
        <v>12290129.280000001</v>
      </c>
      <c r="W8" s="409">
        <f t="shared" si="19"/>
        <v>0</v>
      </c>
    </row>
    <row r="9" spans="1:23">
      <c r="A9" s="99">
        <v>4</v>
      </c>
      <c r="B9" s="301" t="s">
        <v>95</v>
      </c>
      <c r="C9" s="316">
        <v>0</v>
      </c>
      <c r="D9" s="316">
        <v>0</v>
      </c>
      <c r="E9" s="316">
        <f t="shared" si="12"/>
        <v>0</v>
      </c>
      <c r="F9" s="317">
        <f>'[11]Table 4 Level 3'!F9+'[11]Table 4 Level 3'!H9</f>
        <v>0</v>
      </c>
      <c r="G9" s="317">
        <f t="shared" si="9"/>
        <v>0</v>
      </c>
      <c r="H9" s="317">
        <f t="shared" si="13"/>
        <v>0</v>
      </c>
      <c r="I9" s="315">
        <f>IF(F9&lt;0,0,'Table 3 Levels 1&amp;2'!C11)</f>
        <v>3551</v>
      </c>
      <c r="J9" s="313">
        <f t="shared" si="10"/>
        <v>174996</v>
      </c>
      <c r="K9" s="115">
        <v>3</v>
      </c>
      <c r="L9" s="1110">
        <f t="shared" si="14"/>
        <v>60000</v>
      </c>
      <c r="M9" s="315">
        <f>'Table 3 Levels 1&amp;2'!C11</f>
        <v>3551</v>
      </c>
      <c r="N9" s="313">
        <f t="shared" si="11"/>
        <v>355100</v>
      </c>
      <c r="O9" s="313">
        <f t="shared" si="15"/>
        <v>590096</v>
      </c>
      <c r="P9" s="310">
        <v>585.76</v>
      </c>
      <c r="Q9" s="313">
        <f>'2-1-13 SIS'!S10*'Table 4 Level 3'!P9</f>
        <v>2080033.76</v>
      </c>
      <c r="R9" s="313">
        <f t="shared" si="16"/>
        <v>2670129.7599999998</v>
      </c>
      <c r="T9" s="23">
        <f t="shared" si="17"/>
        <v>585.76</v>
      </c>
      <c r="U9" s="1112">
        <f>'2-1-13 SIS'!S10</f>
        <v>3551</v>
      </c>
      <c r="V9" s="409">
        <f t="shared" si="18"/>
        <v>2080033.76</v>
      </c>
      <c r="W9" s="409">
        <f t="shared" si="19"/>
        <v>0</v>
      </c>
    </row>
    <row r="10" spans="1:23">
      <c r="A10" s="100">
        <v>5</v>
      </c>
      <c r="B10" s="302" t="s">
        <v>96</v>
      </c>
      <c r="C10" s="322">
        <v>0</v>
      </c>
      <c r="D10" s="322">
        <v>0</v>
      </c>
      <c r="E10" s="322">
        <f t="shared" si="12"/>
        <v>0</v>
      </c>
      <c r="F10" s="323">
        <f>'[11]Table 4 Level 3'!F10+'[11]Table 4 Level 3'!H10</f>
        <v>0</v>
      </c>
      <c r="G10" s="323">
        <f t="shared" si="9"/>
        <v>0</v>
      </c>
      <c r="H10" s="323">
        <f t="shared" si="13"/>
        <v>0</v>
      </c>
      <c r="I10" s="321">
        <f>IF(F10&lt;0,0,'Table 3 Levels 1&amp;2'!C12)</f>
        <v>5757</v>
      </c>
      <c r="J10" s="319">
        <f t="shared" si="10"/>
        <v>283710</v>
      </c>
      <c r="K10" s="1107">
        <v>0</v>
      </c>
      <c r="L10" s="1111">
        <f t="shared" si="14"/>
        <v>0</v>
      </c>
      <c r="M10" s="321">
        <f>'Table 3 Levels 1&amp;2'!C12</f>
        <v>5757</v>
      </c>
      <c r="N10" s="319">
        <f t="shared" si="11"/>
        <v>575700</v>
      </c>
      <c r="O10" s="319">
        <f t="shared" si="15"/>
        <v>859410</v>
      </c>
      <c r="P10" s="318">
        <v>555.91</v>
      </c>
      <c r="Q10" s="319">
        <f>'2-1-13 SIS'!S11*'Table 4 Level 3'!P10</f>
        <v>3200373.8699999996</v>
      </c>
      <c r="R10" s="319">
        <f t="shared" si="16"/>
        <v>4059783.8699999996</v>
      </c>
      <c r="T10" s="23">
        <f t="shared" si="17"/>
        <v>555.91</v>
      </c>
      <c r="U10" s="1112">
        <f>'2-1-13 SIS'!S11</f>
        <v>5757</v>
      </c>
      <c r="V10" s="409">
        <f t="shared" si="18"/>
        <v>3200373.8699999996</v>
      </c>
      <c r="W10" s="409">
        <f t="shared" si="19"/>
        <v>0</v>
      </c>
    </row>
    <row r="11" spans="1:23">
      <c r="A11" s="99">
        <v>6</v>
      </c>
      <c r="B11" s="301" t="s">
        <v>97</v>
      </c>
      <c r="C11" s="316">
        <v>0</v>
      </c>
      <c r="D11" s="316">
        <v>0</v>
      </c>
      <c r="E11" s="316">
        <f t="shared" si="12"/>
        <v>0</v>
      </c>
      <c r="F11" s="317">
        <f>'[11]Table 4 Level 3'!F11+'[11]Table 4 Level 3'!H11</f>
        <v>0</v>
      </c>
      <c r="G11" s="317">
        <f t="shared" si="9"/>
        <v>0</v>
      </c>
      <c r="H11" s="317">
        <f t="shared" si="13"/>
        <v>0</v>
      </c>
      <c r="I11" s="315">
        <f>IF(F11&lt;0,0,'Table 3 Levels 1&amp;2'!C13)</f>
        <v>6057</v>
      </c>
      <c r="J11" s="313">
        <f t="shared" si="10"/>
        <v>298494</v>
      </c>
      <c r="K11" s="115">
        <v>0</v>
      </c>
      <c r="L11" s="1110">
        <f t="shared" si="14"/>
        <v>0</v>
      </c>
      <c r="M11" s="315">
        <f>'Table 3 Levels 1&amp;2'!C13</f>
        <v>6057</v>
      </c>
      <c r="N11" s="313">
        <f t="shared" si="11"/>
        <v>605700</v>
      </c>
      <c r="O11" s="313">
        <f t="shared" si="15"/>
        <v>904194</v>
      </c>
      <c r="P11" s="310">
        <v>545.4799999999999</v>
      </c>
      <c r="Q11" s="313">
        <f>'2-1-13 SIS'!S12*'Table 4 Level 3'!P11</f>
        <v>3303972.3599999994</v>
      </c>
      <c r="R11" s="313">
        <f t="shared" si="16"/>
        <v>4208166.3599999994</v>
      </c>
      <c r="T11" s="23">
        <f t="shared" si="17"/>
        <v>545.4799999999999</v>
      </c>
      <c r="U11" s="1112">
        <f>'2-1-13 SIS'!S12</f>
        <v>6057</v>
      </c>
      <c r="V11" s="409">
        <f t="shared" si="18"/>
        <v>3303972.3599999994</v>
      </c>
      <c r="W11" s="409">
        <f t="shared" si="19"/>
        <v>0</v>
      </c>
    </row>
    <row r="12" spans="1:23">
      <c r="A12" s="99">
        <v>7</v>
      </c>
      <c r="B12" s="301" t="s">
        <v>98</v>
      </c>
      <c r="C12" s="316">
        <v>0</v>
      </c>
      <c r="D12" s="316">
        <v>0</v>
      </c>
      <c r="E12" s="316">
        <f t="shared" si="12"/>
        <v>0</v>
      </c>
      <c r="F12" s="317">
        <f>'[11]Table 4 Level 3'!F12+'[11]Table 4 Level 3'!H12</f>
        <v>0</v>
      </c>
      <c r="G12" s="317">
        <f t="shared" si="9"/>
        <v>0</v>
      </c>
      <c r="H12" s="317">
        <f t="shared" si="13"/>
        <v>0</v>
      </c>
      <c r="I12" s="315">
        <f>IF(F12&lt;0,0,'Table 3 Levels 1&amp;2'!C14)</f>
        <v>2203</v>
      </c>
      <c r="J12" s="313">
        <f t="shared" si="10"/>
        <v>108566</v>
      </c>
      <c r="K12" s="115">
        <v>0</v>
      </c>
      <c r="L12" s="1110">
        <f t="shared" si="14"/>
        <v>0</v>
      </c>
      <c r="M12" s="315">
        <f>'Table 3 Levels 1&amp;2'!C14</f>
        <v>2203</v>
      </c>
      <c r="N12" s="313">
        <f t="shared" si="11"/>
        <v>220300</v>
      </c>
      <c r="O12" s="313">
        <f t="shared" si="15"/>
        <v>328866</v>
      </c>
      <c r="P12" s="310">
        <v>756.91999999999985</v>
      </c>
      <c r="Q12" s="313">
        <f>'2-1-13 SIS'!S13*'Table 4 Level 3'!P12</f>
        <v>1667494.7599999995</v>
      </c>
      <c r="R12" s="313">
        <f t="shared" si="16"/>
        <v>1996360.7599999995</v>
      </c>
      <c r="T12" s="23">
        <f t="shared" si="17"/>
        <v>756.91999999999985</v>
      </c>
      <c r="U12" s="1112">
        <f>'2-1-13 SIS'!S13</f>
        <v>2203</v>
      </c>
      <c r="V12" s="409">
        <f t="shared" si="18"/>
        <v>1667494.7599999995</v>
      </c>
      <c r="W12" s="409">
        <f t="shared" si="19"/>
        <v>0</v>
      </c>
    </row>
    <row r="13" spans="1:23">
      <c r="A13" s="99">
        <v>8</v>
      </c>
      <c r="B13" s="301" t="s">
        <v>99</v>
      </c>
      <c r="C13" s="316">
        <v>0</v>
      </c>
      <c r="D13" s="316">
        <v>0</v>
      </c>
      <c r="E13" s="316">
        <f t="shared" si="12"/>
        <v>0</v>
      </c>
      <c r="F13" s="317">
        <f>'[11]Table 4 Level 3'!F13+'[11]Table 4 Level 3'!H13</f>
        <v>0</v>
      </c>
      <c r="G13" s="317">
        <f t="shared" si="9"/>
        <v>0</v>
      </c>
      <c r="H13" s="317">
        <f t="shared" si="13"/>
        <v>0</v>
      </c>
      <c r="I13" s="315">
        <f>IF(F13&lt;0,0,'Table 3 Levels 1&amp;2'!C15)</f>
        <v>21190</v>
      </c>
      <c r="J13" s="313">
        <f t="shared" si="10"/>
        <v>1044262</v>
      </c>
      <c r="K13" s="115">
        <v>4</v>
      </c>
      <c r="L13" s="1110">
        <f t="shared" si="14"/>
        <v>80000</v>
      </c>
      <c r="M13" s="315">
        <f>'Table 3 Levels 1&amp;2'!C15</f>
        <v>21190</v>
      </c>
      <c r="N13" s="313">
        <f t="shared" si="11"/>
        <v>2119000</v>
      </c>
      <c r="O13" s="313">
        <f t="shared" si="15"/>
        <v>3243262</v>
      </c>
      <c r="P13" s="310">
        <v>725.76</v>
      </c>
      <c r="Q13" s="313">
        <f>'2-1-13 SIS'!S14*'Table 4 Level 3'!P13</f>
        <v>15378854.4</v>
      </c>
      <c r="R13" s="313">
        <f t="shared" si="16"/>
        <v>18622116.399999999</v>
      </c>
      <c r="T13" s="23">
        <f t="shared" si="17"/>
        <v>725.76</v>
      </c>
      <c r="U13" s="1112">
        <f>'2-1-13 SIS'!S14</f>
        <v>21190</v>
      </c>
      <c r="V13" s="409">
        <f t="shared" si="18"/>
        <v>15378854.4</v>
      </c>
      <c r="W13" s="409">
        <f t="shared" si="19"/>
        <v>0</v>
      </c>
    </row>
    <row r="14" spans="1:23">
      <c r="A14" s="99">
        <v>9</v>
      </c>
      <c r="B14" s="301" t="s">
        <v>100</v>
      </c>
      <c r="C14" s="316">
        <v>0</v>
      </c>
      <c r="D14" s="316">
        <v>0</v>
      </c>
      <c r="E14" s="316">
        <f t="shared" si="12"/>
        <v>0</v>
      </c>
      <c r="F14" s="317">
        <f>'[11]Table 4 Level 3'!F14+'[11]Table 4 Level 3'!H14</f>
        <v>0</v>
      </c>
      <c r="G14" s="317">
        <f t="shared" si="9"/>
        <v>0</v>
      </c>
      <c r="H14" s="317">
        <f t="shared" si="13"/>
        <v>0</v>
      </c>
      <c r="I14" s="315">
        <f>IF(F14&lt;0,0,'Table 3 Levels 1&amp;2'!C16)</f>
        <v>40876</v>
      </c>
      <c r="J14" s="313">
        <f t="shared" si="10"/>
        <v>2014406</v>
      </c>
      <c r="K14" s="115">
        <f>14</f>
        <v>14</v>
      </c>
      <c r="L14" s="1110">
        <f t="shared" si="14"/>
        <v>280000</v>
      </c>
      <c r="M14" s="315">
        <f>'Table 3 Levels 1&amp;2'!C16</f>
        <v>40876</v>
      </c>
      <c r="N14" s="313">
        <f t="shared" si="11"/>
        <v>4087600</v>
      </c>
      <c r="O14" s="313">
        <f t="shared" si="15"/>
        <v>6382006</v>
      </c>
      <c r="P14" s="310">
        <v>744.76</v>
      </c>
      <c r="Q14" s="313">
        <f>'2-1-13 SIS'!S15*'Table 4 Level 3'!P14</f>
        <v>30442809.759999998</v>
      </c>
      <c r="R14" s="313">
        <f t="shared" si="16"/>
        <v>36824815.759999998</v>
      </c>
      <c r="T14" s="23">
        <f t="shared" si="17"/>
        <v>744.76</v>
      </c>
      <c r="U14" s="1112">
        <f>'2-1-13 SIS'!S15</f>
        <v>40876</v>
      </c>
      <c r="V14" s="409">
        <f t="shared" si="18"/>
        <v>30442809.759999998</v>
      </c>
      <c r="W14" s="409">
        <f t="shared" si="19"/>
        <v>0</v>
      </c>
    </row>
    <row r="15" spans="1:23">
      <c r="A15" s="100">
        <v>10</v>
      </c>
      <c r="B15" s="302" t="s">
        <v>101</v>
      </c>
      <c r="C15" s="322">
        <v>0</v>
      </c>
      <c r="D15" s="322">
        <v>0</v>
      </c>
      <c r="E15" s="322">
        <f t="shared" si="12"/>
        <v>0</v>
      </c>
      <c r="F15" s="323">
        <f>'[11]Table 4 Level 3'!F15+'[11]Table 4 Level 3'!H15</f>
        <v>0</v>
      </c>
      <c r="G15" s="323">
        <f t="shared" si="9"/>
        <v>0</v>
      </c>
      <c r="H15" s="323">
        <f t="shared" si="13"/>
        <v>0</v>
      </c>
      <c r="I15" s="321">
        <f>IF(F15&lt;0,0,'Table 3 Levels 1&amp;2'!C17)</f>
        <v>32046</v>
      </c>
      <c r="J15" s="319">
        <f t="shared" si="10"/>
        <v>1579255</v>
      </c>
      <c r="K15" s="1107">
        <f>26</f>
        <v>26</v>
      </c>
      <c r="L15" s="1111">
        <f t="shared" si="14"/>
        <v>520000</v>
      </c>
      <c r="M15" s="321">
        <f>'Table 3 Levels 1&amp;2'!C17</f>
        <v>32046</v>
      </c>
      <c r="N15" s="319">
        <f t="shared" si="11"/>
        <v>3204600</v>
      </c>
      <c r="O15" s="319">
        <f t="shared" si="15"/>
        <v>5303855</v>
      </c>
      <c r="P15" s="318">
        <v>608.04000000000008</v>
      </c>
      <c r="Q15" s="319">
        <f>'2-1-13 SIS'!S16*'Table 4 Level 3'!P15</f>
        <v>19485249.840000004</v>
      </c>
      <c r="R15" s="319">
        <f t="shared" si="16"/>
        <v>24789104.840000004</v>
      </c>
      <c r="T15" s="23">
        <f t="shared" si="17"/>
        <v>608.04000000000008</v>
      </c>
      <c r="U15" s="1112">
        <f>'2-1-13 SIS'!S16</f>
        <v>32046</v>
      </c>
      <c r="V15" s="409">
        <f t="shared" si="18"/>
        <v>19485249.840000004</v>
      </c>
      <c r="W15" s="409">
        <f t="shared" si="19"/>
        <v>0</v>
      </c>
    </row>
    <row r="16" spans="1:23">
      <c r="A16" s="99">
        <v>11</v>
      </c>
      <c r="B16" s="301" t="s">
        <v>102</v>
      </c>
      <c r="C16" s="316">
        <v>0</v>
      </c>
      <c r="D16" s="316">
        <v>0</v>
      </c>
      <c r="E16" s="316">
        <f t="shared" si="12"/>
        <v>0</v>
      </c>
      <c r="F16" s="317">
        <f>'[11]Table 4 Level 3'!F16+'[11]Table 4 Level 3'!H16</f>
        <v>0</v>
      </c>
      <c r="G16" s="317">
        <f t="shared" si="9"/>
        <v>0</v>
      </c>
      <c r="H16" s="317">
        <f t="shared" si="13"/>
        <v>0</v>
      </c>
      <c r="I16" s="315">
        <f>IF(F16&lt;0,0,'Table 3 Levels 1&amp;2'!C18)</f>
        <v>1552</v>
      </c>
      <c r="J16" s="313">
        <f t="shared" si="10"/>
        <v>76484</v>
      </c>
      <c r="K16" s="115">
        <v>0</v>
      </c>
      <c r="L16" s="1110">
        <f t="shared" si="14"/>
        <v>0</v>
      </c>
      <c r="M16" s="315">
        <f>'Table 3 Levels 1&amp;2'!C18</f>
        <v>1552</v>
      </c>
      <c r="N16" s="313">
        <f t="shared" si="11"/>
        <v>155200</v>
      </c>
      <c r="O16" s="313">
        <f t="shared" si="15"/>
        <v>231684</v>
      </c>
      <c r="P16" s="310">
        <v>706.55</v>
      </c>
      <c r="Q16" s="313">
        <f>'2-1-13 SIS'!S17*'Table 4 Level 3'!P16</f>
        <v>1096565.5999999999</v>
      </c>
      <c r="R16" s="313">
        <f t="shared" si="16"/>
        <v>1328249.5999999999</v>
      </c>
      <c r="T16" s="23">
        <f t="shared" si="17"/>
        <v>706.55</v>
      </c>
      <c r="U16" s="1112">
        <f>'2-1-13 SIS'!S17</f>
        <v>1552</v>
      </c>
      <c r="V16" s="409">
        <f t="shared" si="18"/>
        <v>1096565.5999999999</v>
      </c>
      <c r="W16" s="409">
        <f t="shared" si="19"/>
        <v>0</v>
      </c>
    </row>
    <row r="17" spans="1:23">
      <c r="A17" s="99">
        <v>12</v>
      </c>
      <c r="B17" s="301" t="s">
        <v>103</v>
      </c>
      <c r="C17" s="316">
        <v>0</v>
      </c>
      <c r="D17" s="316">
        <v>0</v>
      </c>
      <c r="E17" s="316">
        <f t="shared" si="12"/>
        <v>0</v>
      </c>
      <c r="F17" s="317">
        <f>'[11]Table 4 Level 3'!F17+'[11]Table 4 Level 3'!H17</f>
        <v>0</v>
      </c>
      <c r="G17" s="317">
        <f t="shared" si="9"/>
        <v>0</v>
      </c>
      <c r="H17" s="317">
        <f t="shared" si="13"/>
        <v>0</v>
      </c>
      <c r="I17" s="315">
        <f>IF(F17&lt;0,0,'Table 3 Levels 1&amp;2'!C19)</f>
        <v>1213</v>
      </c>
      <c r="J17" s="313">
        <f t="shared" si="10"/>
        <v>59778</v>
      </c>
      <c r="K17" s="115">
        <v>2</v>
      </c>
      <c r="L17" s="1110">
        <f t="shared" si="14"/>
        <v>40000</v>
      </c>
      <c r="M17" s="315">
        <f>'Table 3 Levels 1&amp;2'!C19</f>
        <v>1213</v>
      </c>
      <c r="N17" s="313">
        <f t="shared" si="11"/>
        <v>121300</v>
      </c>
      <c r="O17" s="313">
        <f t="shared" si="15"/>
        <v>221078</v>
      </c>
      <c r="P17" s="310">
        <v>1063.31</v>
      </c>
      <c r="Q17" s="313">
        <f>'2-1-13 SIS'!S18*'Table 4 Level 3'!P17</f>
        <v>1289795.03</v>
      </c>
      <c r="R17" s="313">
        <f t="shared" si="16"/>
        <v>1510873.03</v>
      </c>
      <c r="T17" s="23">
        <f t="shared" si="17"/>
        <v>1063.31</v>
      </c>
      <c r="U17" s="1112">
        <f>'2-1-13 SIS'!S18</f>
        <v>1213</v>
      </c>
      <c r="V17" s="409">
        <f t="shared" si="18"/>
        <v>1289795.03</v>
      </c>
      <c r="W17" s="409">
        <f t="shared" si="19"/>
        <v>0</v>
      </c>
    </row>
    <row r="18" spans="1:23">
      <c r="A18" s="99">
        <v>13</v>
      </c>
      <c r="B18" s="301" t="s">
        <v>104</v>
      </c>
      <c r="C18" s="316">
        <v>0</v>
      </c>
      <c r="D18" s="316">
        <v>0</v>
      </c>
      <c r="E18" s="316">
        <f t="shared" si="12"/>
        <v>0</v>
      </c>
      <c r="F18" s="317">
        <f>'[11]Table 4 Level 3'!F18+'[11]Table 4 Level 3'!H18</f>
        <v>0</v>
      </c>
      <c r="G18" s="317">
        <f t="shared" si="9"/>
        <v>0</v>
      </c>
      <c r="H18" s="317">
        <f t="shared" si="13"/>
        <v>0</v>
      </c>
      <c r="I18" s="315">
        <f>IF(F18&lt;0,0,'Table 3 Levels 1&amp;2'!C20)</f>
        <v>1516</v>
      </c>
      <c r="J18" s="313">
        <f t="shared" si="10"/>
        <v>74710</v>
      </c>
      <c r="K18" s="115">
        <v>0</v>
      </c>
      <c r="L18" s="1110">
        <f t="shared" si="14"/>
        <v>0</v>
      </c>
      <c r="M18" s="315">
        <f>'Table 3 Levels 1&amp;2'!C20</f>
        <v>1516</v>
      </c>
      <c r="N18" s="313">
        <f t="shared" si="11"/>
        <v>151600</v>
      </c>
      <c r="O18" s="313">
        <f t="shared" si="15"/>
        <v>226310</v>
      </c>
      <c r="P18" s="310">
        <v>749.43000000000006</v>
      </c>
      <c r="Q18" s="313">
        <f>'2-1-13 SIS'!S19*'Table 4 Level 3'!P18</f>
        <v>1136135.8800000001</v>
      </c>
      <c r="R18" s="313">
        <f t="shared" si="16"/>
        <v>1362445.8800000001</v>
      </c>
      <c r="T18" s="23">
        <f t="shared" si="17"/>
        <v>749.43000000000006</v>
      </c>
      <c r="U18" s="1112">
        <f>'2-1-13 SIS'!S19</f>
        <v>1516</v>
      </c>
      <c r="V18" s="409">
        <f t="shared" si="18"/>
        <v>1136135.8800000001</v>
      </c>
      <c r="W18" s="409">
        <f t="shared" si="19"/>
        <v>0</v>
      </c>
    </row>
    <row r="19" spans="1:23">
      <c r="A19" s="99">
        <v>14</v>
      </c>
      <c r="B19" s="301" t="s">
        <v>105</v>
      </c>
      <c r="C19" s="316">
        <v>0</v>
      </c>
      <c r="D19" s="316">
        <v>0</v>
      </c>
      <c r="E19" s="316">
        <f t="shared" si="12"/>
        <v>0</v>
      </c>
      <c r="F19" s="317">
        <f>'[11]Table 4 Level 3'!F19+'[11]Table 4 Level 3'!H19</f>
        <v>0</v>
      </c>
      <c r="G19" s="317">
        <f t="shared" si="9"/>
        <v>0</v>
      </c>
      <c r="H19" s="317">
        <f t="shared" si="13"/>
        <v>0</v>
      </c>
      <c r="I19" s="315">
        <f>IF(F19&lt;0,0,'Table 3 Levels 1&amp;2'!C21)</f>
        <v>1870</v>
      </c>
      <c r="J19" s="313">
        <f t="shared" si="10"/>
        <v>92155</v>
      </c>
      <c r="K19" s="115">
        <v>0</v>
      </c>
      <c r="L19" s="1110">
        <f t="shared" si="14"/>
        <v>0</v>
      </c>
      <c r="M19" s="315">
        <f>'Table 3 Levels 1&amp;2'!C21</f>
        <v>1870</v>
      </c>
      <c r="N19" s="313">
        <f t="shared" si="11"/>
        <v>187000</v>
      </c>
      <c r="O19" s="313">
        <f t="shared" si="15"/>
        <v>279155</v>
      </c>
      <c r="P19" s="310">
        <v>809.9799999999999</v>
      </c>
      <c r="Q19" s="313">
        <f>'2-1-13 SIS'!S20*'Table 4 Level 3'!P19</f>
        <v>1514662.5999999999</v>
      </c>
      <c r="R19" s="313">
        <f t="shared" si="16"/>
        <v>1793817.5999999999</v>
      </c>
      <c r="T19" s="23">
        <f t="shared" si="17"/>
        <v>809.9799999999999</v>
      </c>
      <c r="U19" s="1112">
        <f>'2-1-13 SIS'!S20</f>
        <v>1870</v>
      </c>
      <c r="V19" s="409">
        <f t="shared" si="18"/>
        <v>1514662.5999999999</v>
      </c>
      <c r="W19" s="409">
        <f t="shared" si="19"/>
        <v>0</v>
      </c>
    </row>
    <row r="20" spans="1:23">
      <c r="A20" s="100">
        <v>15</v>
      </c>
      <c r="B20" s="302" t="s">
        <v>106</v>
      </c>
      <c r="C20" s="322">
        <v>224419</v>
      </c>
      <c r="D20" s="324">
        <v>0</v>
      </c>
      <c r="E20" s="322">
        <f t="shared" si="12"/>
        <v>224419</v>
      </c>
      <c r="F20" s="323">
        <f>'[11]Table 4 Level 3'!F20+'[11]Table 4 Level 3'!H20</f>
        <v>-134652</v>
      </c>
      <c r="G20" s="323">
        <f t="shared" si="9"/>
        <v>89767</v>
      </c>
      <c r="H20" s="323">
        <f t="shared" si="13"/>
        <v>-22442</v>
      </c>
      <c r="I20" s="321">
        <f>IF(F20&lt;0,0,'Table 3 Levels 1&amp;2'!C22)</f>
        <v>0</v>
      </c>
      <c r="J20" s="319">
        <f t="shared" si="10"/>
        <v>0</v>
      </c>
      <c r="K20" s="1107">
        <v>2</v>
      </c>
      <c r="L20" s="1111">
        <f t="shared" si="14"/>
        <v>40000</v>
      </c>
      <c r="M20" s="321">
        <f>'Table 3 Levels 1&amp;2'!C22</f>
        <v>3627</v>
      </c>
      <c r="N20" s="319">
        <f t="shared" si="11"/>
        <v>362700</v>
      </c>
      <c r="O20" s="319">
        <f t="shared" si="15"/>
        <v>470025</v>
      </c>
      <c r="P20" s="318">
        <v>553.79999999999995</v>
      </c>
      <c r="Q20" s="319">
        <f>'2-1-13 SIS'!S21*'Table 4 Level 3'!P20</f>
        <v>2008632.5999999999</v>
      </c>
      <c r="R20" s="319">
        <f t="shared" si="16"/>
        <v>2478657.5999999996</v>
      </c>
      <c r="T20" s="23">
        <f t="shared" si="17"/>
        <v>553.79999999999995</v>
      </c>
      <c r="U20" s="1112">
        <f>'2-1-13 SIS'!S21</f>
        <v>3627</v>
      </c>
      <c r="V20" s="409">
        <f t="shared" si="18"/>
        <v>2008632.5999999999</v>
      </c>
      <c r="W20" s="409">
        <f t="shared" si="19"/>
        <v>0</v>
      </c>
    </row>
    <row r="21" spans="1:23">
      <c r="A21" s="99">
        <v>16</v>
      </c>
      <c r="B21" s="301" t="s">
        <v>107</v>
      </c>
      <c r="C21" s="316">
        <v>0</v>
      </c>
      <c r="D21" s="316">
        <v>0</v>
      </c>
      <c r="E21" s="316">
        <f t="shared" si="12"/>
        <v>0</v>
      </c>
      <c r="F21" s="317">
        <f>'[11]Table 4 Level 3'!F21+'[11]Table 4 Level 3'!H21</f>
        <v>0</v>
      </c>
      <c r="G21" s="317">
        <f t="shared" si="9"/>
        <v>0</v>
      </c>
      <c r="H21" s="317">
        <f t="shared" si="13"/>
        <v>0</v>
      </c>
      <c r="I21" s="315">
        <f>IF(F21&lt;0,0,'Table 3 Levels 1&amp;2'!C23)</f>
        <v>4954</v>
      </c>
      <c r="J21" s="313">
        <f t="shared" si="10"/>
        <v>244138</v>
      </c>
      <c r="K21" s="115">
        <v>1</v>
      </c>
      <c r="L21" s="1110">
        <f t="shared" si="14"/>
        <v>20000</v>
      </c>
      <c r="M21" s="315">
        <f>'Table 3 Levels 1&amp;2'!C23</f>
        <v>4954</v>
      </c>
      <c r="N21" s="313">
        <f t="shared" si="11"/>
        <v>495400</v>
      </c>
      <c r="O21" s="313">
        <f t="shared" si="15"/>
        <v>759538</v>
      </c>
      <c r="P21" s="310">
        <v>686.73</v>
      </c>
      <c r="Q21" s="313">
        <f>'2-1-13 SIS'!S22*'Table 4 Level 3'!P21</f>
        <v>3402060.42</v>
      </c>
      <c r="R21" s="313">
        <f t="shared" si="16"/>
        <v>4161598.42</v>
      </c>
      <c r="T21" s="23">
        <f t="shared" si="17"/>
        <v>686.73</v>
      </c>
      <c r="U21" s="1112">
        <f>'2-1-13 SIS'!S22</f>
        <v>4954</v>
      </c>
      <c r="V21" s="409">
        <f t="shared" si="18"/>
        <v>3402060.42</v>
      </c>
      <c r="W21" s="409">
        <f t="shared" si="19"/>
        <v>0</v>
      </c>
    </row>
    <row r="22" spans="1:23">
      <c r="A22" s="99">
        <v>17</v>
      </c>
      <c r="B22" s="301" t="s">
        <v>108</v>
      </c>
      <c r="C22" s="316">
        <v>25595514</v>
      </c>
      <c r="D22" s="316">
        <v>13580692</v>
      </c>
      <c r="E22" s="316">
        <f t="shared" si="12"/>
        <v>12014822</v>
      </c>
      <c r="F22" s="317">
        <f>'[11]Table 4 Level 3'!F22+'[11]Table 4 Level 3'!H22</f>
        <v>-7208892</v>
      </c>
      <c r="G22" s="317">
        <f t="shared" si="9"/>
        <v>4805930</v>
      </c>
      <c r="H22" s="317">
        <f t="shared" si="13"/>
        <v>-1201483</v>
      </c>
      <c r="I22" s="315">
        <f>IF(F22&lt;0,0,'Table 3 Levels 1&amp;2'!C24)</f>
        <v>0</v>
      </c>
      <c r="J22" s="313">
        <f t="shared" si="10"/>
        <v>0</v>
      </c>
      <c r="K22" s="115">
        <v>10</v>
      </c>
      <c r="L22" s="1110">
        <f t="shared" si="14"/>
        <v>200000</v>
      </c>
      <c r="M22" s="315">
        <f>'Table 3 Levels 1&amp;2'!C24</f>
        <v>43026</v>
      </c>
      <c r="N22" s="313">
        <f t="shared" si="11"/>
        <v>4302600</v>
      </c>
      <c r="O22" s="313">
        <f t="shared" si="15"/>
        <v>21687739</v>
      </c>
      <c r="P22" s="310">
        <f>'Table 5B2_RSD_LA'!F7</f>
        <v>801.47762416806802</v>
      </c>
      <c r="Q22" s="313">
        <f>'2-1-13 SIS'!S23*'Table 4 Level 3'!P22</f>
        <v>34484376.257455297</v>
      </c>
      <c r="R22" s="313">
        <f t="shared" si="16"/>
        <v>56172115.257455297</v>
      </c>
      <c r="T22" s="23">
        <f t="shared" si="17"/>
        <v>801.47762416806802</v>
      </c>
      <c r="U22" s="1112">
        <f>'2-1-13 SIS'!S23</f>
        <v>43026</v>
      </c>
      <c r="V22" s="409">
        <f t="shared" si="18"/>
        <v>34484376.257455297</v>
      </c>
      <c r="W22" s="409">
        <f t="shared" si="19"/>
        <v>0</v>
      </c>
    </row>
    <row r="23" spans="1:23">
      <c r="A23" s="99">
        <v>18</v>
      </c>
      <c r="B23" s="301" t="s">
        <v>109</v>
      </c>
      <c r="C23" s="316">
        <v>0</v>
      </c>
      <c r="D23" s="316">
        <v>0</v>
      </c>
      <c r="E23" s="316">
        <f t="shared" si="12"/>
        <v>0</v>
      </c>
      <c r="F23" s="317">
        <f>'[11]Table 4 Level 3'!F23+'[11]Table 4 Level 3'!H23</f>
        <v>0</v>
      </c>
      <c r="G23" s="317">
        <f t="shared" si="9"/>
        <v>0</v>
      </c>
      <c r="H23" s="317">
        <f t="shared" si="13"/>
        <v>0</v>
      </c>
      <c r="I23" s="315">
        <f>IF(F23&lt;0,0,'Table 3 Levels 1&amp;2'!C25)</f>
        <v>1114</v>
      </c>
      <c r="J23" s="313">
        <f t="shared" si="10"/>
        <v>54899</v>
      </c>
      <c r="K23" s="115">
        <v>1</v>
      </c>
      <c r="L23" s="1110">
        <f t="shared" si="14"/>
        <v>20000</v>
      </c>
      <c r="M23" s="315">
        <f>'Table 3 Levels 1&amp;2'!C25</f>
        <v>1114</v>
      </c>
      <c r="N23" s="313">
        <f t="shared" si="11"/>
        <v>111400</v>
      </c>
      <c r="O23" s="313">
        <f t="shared" si="15"/>
        <v>186299</v>
      </c>
      <c r="P23" s="310">
        <v>845.94999999999993</v>
      </c>
      <c r="Q23" s="313">
        <f>'2-1-13 SIS'!S24*'Table 4 Level 3'!P23</f>
        <v>942388.29999999993</v>
      </c>
      <c r="R23" s="313">
        <f t="shared" si="16"/>
        <v>1128687.2999999998</v>
      </c>
      <c r="T23" s="23">
        <f t="shared" si="17"/>
        <v>845.94999999999993</v>
      </c>
      <c r="U23" s="1112">
        <f>'2-1-13 SIS'!S24</f>
        <v>1114</v>
      </c>
      <c r="V23" s="409">
        <f t="shared" si="18"/>
        <v>942388.29999999993</v>
      </c>
      <c r="W23" s="409">
        <f t="shared" si="19"/>
        <v>0</v>
      </c>
    </row>
    <row r="24" spans="1:23">
      <c r="A24" s="99">
        <v>19</v>
      </c>
      <c r="B24" s="301" t="s">
        <v>110</v>
      </c>
      <c r="C24" s="316">
        <v>0</v>
      </c>
      <c r="D24" s="316">
        <v>0</v>
      </c>
      <c r="E24" s="316">
        <f t="shared" si="12"/>
        <v>0</v>
      </c>
      <c r="F24" s="317">
        <f>'[11]Table 4 Level 3'!F24+'[11]Table 4 Level 3'!H24</f>
        <v>0</v>
      </c>
      <c r="G24" s="317">
        <f t="shared" si="9"/>
        <v>0</v>
      </c>
      <c r="H24" s="317">
        <f t="shared" si="13"/>
        <v>0</v>
      </c>
      <c r="I24" s="315">
        <f>IF(F24&lt;0,0,'Table 3 Levels 1&amp;2'!C26)</f>
        <v>1918</v>
      </c>
      <c r="J24" s="313">
        <f t="shared" si="10"/>
        <v>94521</v>
      </c>
      <c r="K24" s="115">
        <v>0</v>
      </c>
      <c r="L24" s="1110">
        <f t="shared" si="14"/>
        <v>0</v>
      </c>
      <c r="M24" s="315">
        <f>'Table 3 Levels 1&amp;2'!C26</f>
        <v>1918</v>
      </c>
      <c r="N24" s="313">
        <f t="shared" si="11"/>
        <v>191800</v>
      </c>
      <c r="O24" s="313">
        <f t="shared" si="15"/>
        <v>286321</v>
      </c>
      <c r="P24" s="310">
        <v>905.43</v>
      </c>
      <c r="Q24" s="313">
        <f>'2-1-13 SIS'!S25*'Table 4 Level 3'!P24</f>
        <v>1736614.74</v>
      </c>
      <c r="R24" s="313">
        <f t="shared" si="16"/>
        <v>2022935.74</v>
      </c>
      <c r="T24" s="23">
        <f t="shared" si="17"/>
        <v>905.43</v>
      </c>
      <c r="U24" s="1112">
        <f>'2-1-13 SIS'!S25</f>
        <v>1918</v>
      </c>
      <c r="V24" s="409">
        <f t="shared" si="18"/>
        <v>1736614.74</v>
      </c>
      <c r="W24" s="409">
        <f t="shared" si="19"/>
        <v>0</v>
      </c>
    </row>
    <row r="25" spans="1:23">
      <c r="A25" s="100">
        <v>20</v>
      </c>
      <c r="B25" s="302" t="s">
        <v>111</v>
      </c>
      <c r="C25" s="322">
        <v>175620</v>
      </c>
      <c r="D25" s="322">
        <v>0</v>
      </c>
      <c r="E25" s="322">
        <f t="shared" si="12"/>
        <v>175620</v>
      </c>
      <c r="F25" s="323">
        <f>'[11]Table 4 Level 3'!F25+'[11]Table 4 Level 3'!H25</f>
        <v>-105372</v>
      </c>
      <c r="G25" s="323">
        <f t="shared" si="9"/>
        <v>70248</v>
      </c>
      <c r="H25" s="323">
        <f t="shared" si="13"/>
        <v>-17562</v>
      </c>
      <c r="I25" s="321">
        <f>IF(F25&lt;0,0,'Table 3 Levels 1&amp;2'!C27)</f>
        <v>0</v>
      </c>
      <c r="J25" s="319">
        <f t="shared" si="10"/>
        <v>0</v>
      </c>
      <c r="K25" s="1107">
        <v>0</v>
      </c>
      <c r="L25" s="1111">
        <f t="shared" si="14"/>
        <v>0</v>
      </c>
      <c r="M25" s="321">
        <f>'Table 3 Levels 1&amp;2'!C27</f>
        <v>5893</v>
      </c>
      <c r="N25" s="319">
        <f t="shared" si="11"/>
        <v>589300</v>
      </c>
      <c r="O25" s="319">
        <f t="shared" si="15"/>
        <v>641986</v>
      </c>
      <c r="P25" s="318">
        <v>586.16999999999996</v>
      </c>
      <c r="Q25" s="319">
        <f>'2-1-13 SIS'!S26*'Table 4 Level 3'!P25</f>
        <v>3454299.8099999996</v>
      </c>
      <c r="R25" s="319">
        <f t="shared" si="16"/>
        <v>4096285.8099999996</v>
      </c>
      <c r="T25" s="23">
        <f t="shared" si="17"/>
        <v>586.16999999999996</v>
      </c>
      <c r="U25" s="1112">
        <f>'2-1-13 SIS'!S26</f>
        <v>5893</v>
      </c>
      <c r="V25" s="409">
        <f t="shared" si="18"/>
        <v>3454299.8099999996</v>
      </c>
      <c r="W25" s="409">
        <f t="shared" si="19"/>
        <v>0</v>
      </c>
    </row>
    <row r="26" spans="1:23">
      <c r="A26" s="99">
        <v>21</v>
      </c>
      <c r="B26" s="301" t="s">
        <v>112</v>
      </c>
      <c r="C26" s="316">
        <v>0</v>
      </c>
      <c r="D26" s="316">
        <v>0</v>
      </c>
      <c r="E26" s="316">
        <f t="shared" si="12"/>
        <v>0</v>
      </c>
      <c r="F26" s="317">
        <f>'[11]Table 4 Level 3'!F26+'[11]Table 4 Level 3'!H26</f>
        <v>0</v>
      </c>
      <c r="G26" s="317">
        <f t="shared" si="9"/>
        <v>0</v>
      </c>
      <c r="H26" s="317">
        <f t="shared" si="13"/>
        <v>0</v>
      </c>
      <c r="I26" s="315">
        <f>IF(F26&lt;0,0,'Table 3 Levels 1&amp;2'!C28)</f>
        <v>2967</v>
      </c>
      <c r="J26" s="313">
        <f t="shared" si="10"/>
        <v>146216</v>
      </c>
      <c r="K26" s="115">
        <v>0</v>
      </c>
      <c r="L26" s="1110">
        <f t="shared" si="14"/>
        <v>0</v>
      </c>
      <c r="M26" s="315">
        <f>'Table 3 Levels 1&amp;2'!C28</f>
        <v>2967</v>
      </c>
      <c r="N26" s="313">
        <f t="shared" si="11"/>
        <v>296700</v>
      </c>
      <c r="O26" s="313">
        <f t="shared" si="15"/>
        <v>442916</v>
      </c>
      <c r="P26" s="310">
        <v>610.35</v>
      </c>
      <c r="Q26" s="313">
        <f>'2-1-13 SIS'!S27*'Table 4 Level 3'!P26</f>
        <v>1810908.45</v>
      </c>
      <c r="R26" s="313">
        <f t="shared" si="16"/>
        <v>2253824.4500000002</v>
      </c>
      <c r="T26" s="23">
        <f t="shared" si="17"/>
        <v>610.35</v>
      </c>
      <c r="U26" s="1112">
        <f>'2-1-13 SIS'!S27</f>
        <v>2967</v>
      </c>
      <c r="V26" s="409">
        <f t="shared" si="18"/>
        <v>1810908.45</v>
      </c>
      <c r="W26" s="409">
        <f t="shared" si="19"/>
        <v>0</v>
      </c>
    </row>
    <row r="27" spans="1:23">
      <c r="A27" s="99">
        <v>22</v>
      </c>
      <c r="B27" s="301" t="s">
        <v>113</v>
      </c>
      <c r="C27" s="316">
        <v>0</v>
      </c>
      <c r="D27" s="316">
        <v>0</v>
      </c>
      <c r="E27" s="316">
        <f t="shared" si="12"/>
        <v>0</v>
      </c>
      <c r="F27" s="317">
        <f>'[11]Table 4 Level 3'!F27+'[11]Table 4 Level 3'!H27</f>
        <v>0</v>
      </c>
      <c r="G27" s="317">
        <f t="shared" si="9"/>
        <v>0</v>
      </c>
      <c r="H27" s="317">
        <f t="shared" si="13"/>
        <v>0</v>
      </c>
      <c r="I27" s="315">
        <f>IF(F27&lt;0,0,'Table 3 Levels 1&amp;2'!C29)</f>
        <v>3210</v>
      </c>
      <c r="J27" s="313">
        <f t="shared" si="10"/>
        <v>158192</v>
      </c>
      <c r="K27" s="115">
        <v>0</v>
      </c>
      <c r="L27" s="1110">
        <f t="shared" si="14"/>
        <v>0</v>
      </c>
      <c r="M27" s="315">
        <f>'Table 3 Levels 1&amp;2'!C29</f>
        <v>3210</v>
      </c>
      <c r="N27" s="313">
        <f t="shared" si="11"/>
        <v>321000</v>
      </c>
      <c r="O27" s="313">
        <f t="shared" si="15"/>
        <v>479192</v>
      </c>
      <c r="P27" s="310">
        <v>496.36</v>
      </c>
      <c r="Q27" s="313">
        <f>'2-1-13 SIS'!S28*'Table 4 Level 3'!P27</f>
        <v>1593315.6</v>
      </c>
      <c r="R27" s="313">
        <f t="shared" si="16"/>
        <v>2072507.6</v>
      </c>
      <c r="T27" s="23">
        <f t="shared" si="17"/>
        <v>496.36</v>
      </c>
      <c r="U27" s="1112">
        <f>'2-1-13 SIS'!S28</f>
        <v>3210</v>
      </c>
      <c r="V27" s="409">
        <f t="shared" si="18"/>
        <v>1593315.6</v>
      </c>
      <c r="W27" s="409">
        <f t="shared" si="19"/>
        <v>0</v>
      </c>
    </row>
    <row r="28" spans="1:23">
      <c r="A28" s="99">
        <v>23</v>
      </c>
      <c r="B28" s="301" t="s">
        <v>114</v>
      </c>
      <c r="C28" s="316">
        <v>0</v>
      </c>
      <c r="D28" s="316">
        <v>0</v>
      </c>
      <c r="E28" s="316">
        <f t="shared" si="12"/>
        <v>0</v>
      </c>
      <c r="F28" s="317">
        <f>'[11]Table 4 Level 3'!F28+'[11]Table 4 Level 3'!H28</f>
        <v>0</v>
      </c>
      <c r="G28" s="317">
        <f t="shared" si="9"/>
        <v>0</v>
      </c>
      <c r="H28" s="317">
        <f t="shared" si="13"/>
        <v>0</v>
      </c>
      <c r="I28" s="315">
        <f>IF(F28&lt;0,0,'Table 3 Levels 1&amp;2'!C30)</f>
        <v>13428</v>
      </c>
      <c r="J28" s="313">
        <f t="shared" si="10"/>
        <v>661744</v>
      </c>
      <c r="K28" s="115">
        <v>10</v>
      </c>
      <c r="L28" s="1110">
        <f t="shared" si="14"/>
        <v>200000</v>
      </c>
      <c r="M28" s="315">
        <f>'Table 3 Levels 1&amp;2'!C30</f>
        <v>13428</v>
      </c>
      <c r="N28" s="313">
        <f t="shared" si="11"/>
        <v>1342800</v>
      </c>
      <c r="O28" s="313">
        <f t="shared" si="15"/>
        <v>2204544</v>
      </c>
      <c r="P28" s="310">
        <v>688.58</v>
      </c>
      <c r="Q28" s="313">
        <f>'2-1-13 SIS'!S29*'Table 4 Level 3'!P28</f>
        <v>9246252.2400000002</v>
      </c>
      <c r="R28" s="313">
        <f t="shared" si="16"/>
        <v>11450796.24</v>
      </c>
      <c r="T28" s="23">
        <f t="shared" si="17"/>
        <v>688.58</v>
      </c>
      <c r="U28" s="1112">
        <f>'2-1-13 SIS'!S29</f>
        <v>13428</v>
      </c>
      <c r="V28" s="409">
        <f t="shared" si="18"/>
        <v>9246252.2400000002</v>
      </c>
      <c r="W28" s="409">
        <f t="shared" si="19"/>
        <v>0</v>
      </c>
    </row>
    <row r="29" spans="1:23">
      <c r="A29" s="99">
        <v>24</v>
      </c>
      <c r="B29" s="301" t="s">
        <v>115</v>
      </c>
      <c r="C29" s="316">
        <v>2421938</v>
      </c>
      <c r="D29" s="316">
        <v>1654734</v>
      </c>
      <c r="E29" s="316">
        <f t="shared" si="12"/>
        <v>767204</v>
      </c>
      <c r="F29" s="317">
        <f>'[11]Table 4 Level 3'!F29+'[11]Table 4 Level 3'!H29</f>
        <v>-460322</v>
      </c>
      <c r="G29" s="317">
        <f t="shared" si="9"/>
        <v>306882</v>
      </c>
      <c r="H29" s="317">
        <f t="shared" si="13"/>
        <v>-76721</v>
      </c>
      <c r="I29" s="315">
        <f>IF(F29&lt;0,0,'Table 3 Levels 1&amp;2'!C31)</f>
        <v>0</v>
      </c>
      <c r="J29" s="313">
        <f t="shared" si="10"/>
        <v>0</v>
      </c>
      <c r="K29" s="115">
        <v>0</v>
      </c>
      <c r="L29" s="1110">
        <f t="shared" si="14"/>
        <v>0</v>
      </c>
      <c r="M29" s="315">
        <f>'Table 3 Levels 1&amp;2'!C31</f>
        <v>4512</v>
      </c>
      <c r="N29" s="313">
        <f t="shared" si="11"/>
        <v>451200</v>
      </c>
      <c r="O29" s="313">
        <f t="shared" si="15"/>
        <v>2336095</v>
      </c>
      <c r="P29" s="310">
        <v>854.24999999999989</v>
      </c>
      <c r="Q29" s="313">
        <f>'2-1-13 SIS'!S30*'Table 4 Level 3'!P29</f>
        <v>3854375.9999999995</v>
      </c>
      <c r="R29" s="313">
        <f t="shared" si="16"/>
        <v>6190471</v>
      </c>
      <c r="T29" s="23">
        <f t="shared" si="17"/>
        <v>854.24999999999989</v>
      </c>
      <c r="U29" s="1112">
        <f>'2-1-13 SIS'!S30</f>
        <v>4512</v>
      </c>
      <c r="V29" s="409">
        <f t="shared" si="18"/>
        <v>3854375.9999999995</v>
      </c>
      <c r="W29" s="409">
        <f t="shared" si="19"/>
        <v>0</v>
      </c>
    </row>
    <row r="30" spans="1:23">
      <c r="A30" s="100">
        <v>25</v>
      </c>
      <c r="B30" s="302" t="s">
        <v>116</v>
      </c>
      <c r="C30" s="322">
        <v>0</v>
      </c>
      <c r="D30" s="322">
        <v>0</v>
      </c>
      <c r="E30" s="322">
        <f t="shared" si="12"/>
        <v>0</v>
      </c>
      <c r="F30" s="323">
        <f>'[11]Table 4 Level 3'!F30+'[11]Table 4 Level 3'!H30</f>
        <v>0</v>
      </c>
      <c r="G30" s="323">
        <f t="shared" si="9"/>
        <v>0</v>
      </c>
      <c r="H30" s="323">
        <f t="shared" si="13"/>
        <v>0</v>
      </c>
      <c r="I30" s="321">
        <f>IF(F30&lt;0,0,'Table 3 Levels 1&amp;2'!C32)</f>
        <v>2223</v>
      </c>
      <c r="J30" s="319">
        <f t="shared" si="10"/>
        <v>109551</v>
      </c>
      <c r="K30" s="1107">
        <v>0</v>
      </c>
      <c r="L30" s="1111">
        <f t="shared" si="14"/>
        <v>0</v>
      </c>
      <c r="M30" s="321">
        <f>'Table 3 Levels 1&amp;2'!C32</f>
        <v>2223</v>
      </c>
      <c r="N30" s="319">
        <f t="shared" si="11"/>
        <v>222300</v>
      </c>
      <c r="O30" s="319">
        <f t="shared" si="15"/>
        <v>331851</v>
      </c>
      <c r="P30" s="318">
        <v>653.73</v>
      </c>
      <c r="Q30" s="319">
        <f>'2-1-13 SIS'!S31*'Table 4 Level 3'!P30</f>
        <v>1453241.79</v>
      </c>
      <c r="R30" s="319">
        <f t="shared" si="16"/>
        <v>1785092.79</v>
      </c>
      <c r="T30" s="23">
        <f t="shared" si="17"/>
        <v>653.73</v>
      </c>
      <c r="U30" s="1112">
        <f>'2-1-13 SIS'!S31</f>
        <v>2223</v>
      </c>
      <c r="V30" s="409">
        <f t="shared" si="18"/>
        <v>1453241.79</v>
      </c>
      <c r="W30" s="409">
        <f t="shared" si="19"/>
        <v>0</v>
      </c>
    </row>
    <row r="31" spans="1:23">
      <c r="A31" s="99">
        <v>26</v>
      </c>
      <c r="B31" s="301" t="s">
        <v>117</v>
      </c>
      <c r="C31" s="316">
        <v>23386991</v>
      </c>
      <c r="D31" s="316">
        <v>14897747</v>
      </c>
      <c r="E31" s="316">
        <f t="shared" si="12"/>
        <v>8489244</v>
      </c>
      <c r="F31" s="317">
        <f>'[11]Table 4 Level 3'!F31+'[11]Table 4 Level 3'!H31</f>
        <v>-5093546</v>
      </c>
      <c r="G31" s="317">
        <f t="shared" si="9"/>
        <v>3395698</v>
      </c>
      <c r="H31" s="317">
        <f t="shared" si="13"/>
        <v>-848925</v>
      </c>
      <c r="I31" s="315">
        <f>IF(F31&lt;0,0,'Table 3 Levels 1&amp;2'!C33)</f>
        <v>0</v>
      </c>
      <c r="J31" s="313">
        <f t="shared" si="10"/>
        <v>0</v>
      </c>
      <c r="K31" s="115">
        <v>8</v>
      </c>
      <c r="L31" s="1110">
        <f t="shared" si="14"/>
        <v>160000</v>
      </c>
      <c r="M31" s="315">
        <f>'Table 3 Levels 1&amp;2'!C33</f>
        <v>43994</v>
      </c>
      <c r="N31" s="313">
        <f t="shared" si="11"/>
        <v>4399400</v>
      </c>
      <c r="O31" s="313">
        <f t="shared" si="15"/>
        <v>22003920</v>
      </c>
      <c r="P31" s="310">
        <v>836.83</v>
      </c>
      <c r="Q31" s="313">
        <f>'2-1-13 SIS'!S32*'Table 4 Level 3'!P31</f>
        <v>36815499.020000003</v>
      </c>
      <c r="R31" s="313">
        <f t="shared" si="16"/>
        <v>58819419.020000003</v>
      </c>
      <c r="T31" s="23">
        <f t="shared" si="17"/>
        <v>836.83</v>
      </c>
      <c r="U31" s="1112">
        <f>'2-1-13 SIS'!S32</f>
        <v>43994</v>
      </c>
      <c r="V31" s="409">
        <f t="shared" si="18"/>
        <v>36815499.020000003</v>
      </c>
      <c r="W31" s="409">
        <f t="shared" si="19"/>
        <v>0</v>
      </c>
    </row>
    <row r="32" spans="1:23">
      <c r="A32" s="99">
        <v>27</v>
      </c>
      <c r="B32" s="301" t="s">
        <v>118</v>
      </c>
      <c r="C32" s="316">
        <v>0</v>
      </c>
      <c r="D32" s="316">
        <v>0</v>
      </c>
      <c r="E32" s="316">
        <f t="shared" si="12"/>
        <v>0</v>
      </c>
      <c r="F32" s="317">
        <f>'[11]Table 4 Level 3'!F32+'[11]Table 4 Level 3'!H32</f>
        <v>0</v>
      </c>
      <c r="G32" s="317">
        <f t="shared" si="9"/>
        <v>0</v>
      </c>
      <c r="H32" s="317">
        <f t="shared" si="13"/>
        <v>0</v>
      </c>
      <c r="I32" s="315">
        <f>IF(F32&lt;0,0,'Table 3 Levels 1&amp;2'!C34)</f>
        <v>5614</v>
      </c>
      <c r="J32" s="313">
        <f t="shared" si="10"/>
        <v>276663</v>
      </c>
      <c r="K32" s="115">
        <v>0</v>
      </c>
      <c r="L32" s="1110">
        <f t="shared" si="14"/>
        <v>0</v>
      </c>
      <c r="M32" s="315">
        <f>'Table 3 Levels 1&amp;2'!C34</f>
        <v>5614</v>
      </c>
      <c r="N32" s="313">
        <f t="shared" si="11"/>
        <v>561400</v>
      </c>
      <c r="O32" s="313">
        <f t="shared" si="15"/>
        <v>838063</v>
      </c>
      <c r="P32" s="310">
        <v>693.06</v>
      </c>
      <c r="Q32" s="313">
        <f>'2-1-13 SIS'!S33*'Table 4 Level 3'!P32</f>
        <v>3890838.84</v>
      </c>
      <c r="R32" s="313">
        <f t="shared" si="16"/>
        <v>4728901.84</v>
      </c>
      <c r="T32" s="23">
        <f t="shared" si="17"/>
        <v>693.06</v>
      </c>
      <c r="U32" s="1112">
        <f>'2-1-13 SIS'!S33</f>
        <v>5614</v>
      </c>
      <c r="V32" s="409">
        <f t="shared" si="18"/>
        <v>3890838.84</v>
      </c>
      <c r="W32" s="409">
        <f t="shared" si="19"/>
        <v>0</v>
      </c>
    </row>
    <row r="33" spans="1:24">
      <c r="A33" s="99">
        <v>28</v>
      </c>
      <c r="B33" s="301" t="s">
        <v>119</v>
      </c>
      <c r="C33" s="316">
        <v>1996377</v>
      </c>
      <c r="D33" s="316">
        <v>1996377</v>
      </c>
      <c r="E33" s="316">
        <f t="shared" si="12"/>
        <v>0</v>
      </c>
      <c r="F33" s="317">
        <f>'[11]Table 4 Level 3'!F33+'[11]Table 4 Level 3'!H33</f>
        <v>0</v>
      </c>
      <c r="G33" s="317">
        <f t="shared" si="9"/>
        <v>0</v>
      </c>
      <c r="H33" s="317">
        <f t="shared" si="13"/>
        <v>0</v>
      </c>
      <c r="I33" s="315">
        <f>IF(F33&lt;0,0,'Table 3 Levels 1&amp;2'!C35)</f>
        <v>30011</v>
      </c>
      <c r="J33" s="313">
        <f t="shared" si="10"/>
        <v>1478969</v>
      </c>
      <c r="K33" s="115">
        <v>45</v>
      </c>
      <c r="L33" s="1110">
        <f t="shared" si="14"/>
        <v>900000</v>
      </c>
      <c r="M33" s="315">
        <f>'Table 3 Levels 1&amp;2'!C35</f>
        <v>30011</v>
      </c>
      <c r="N33" s="313">
        <f t="shared" si="11"/>
        <v>3001100</v>
      </c>
      <c r="O33" s="313">
        <f t="shared" si="15"/>
        <v>7376446</v>
      </c>
      <c r="P33" s="310">
        <v>694.4</v>
      </c>
      <c r="Q33" s="313">
        <f>'2-1-13 SIS'!S34*'Table 4 Level 3'!P33</f>
        <v>20839638.399999999</v>
      </c>
      <c r="R33" s="313">
        <f t="shared" si="16"/>
        <v>28216084.399999999</v>
      </c>
      <c r="T33" s="23">
        <f t="shared" si="17"/>
        <v>694.4</v>
      </c>
      <c r="U33" s="1112">
        <f>'2-1-13 SIS'!S34</f>
        <v>30011</v>
      </c>
      <c r="V33" s="409">
        <f t="shared" si="18"/>
        <v>20839638.399999999</v>
      </c>
      <c r="W33" s="409">
        <f t="shared" si="19"/>
        <v>0</v>
      </c>
    </row>
    <row r="34" spans="1:24">
      <c r="A34" s="99">
        <v>29</v>
      </c>
      <c r="B34" s="301" t="s">
        <v>120</v>
      </c>
      <c r="C34" s="316">
        <v>0</v>
      </c>
      <c r="D34" s="316">
        <v>0</v>
      </c>
      <c r="E34" s="316">
        <f t="shared" si="12"/>
        <v>0</v>
      </c>
      <c r="F34" s="317">
        <f>'[11]Table 4 Level 3'!F34+'[11]Table 4 Level 3'!H34</f>
        <v>0</v>
      </c>
      <c r="G34" s="317">
        <f t="shared" si="9"/>
        <v>0</v>
      </c>
      <c r="H34" s="317">
        <f t="shared" si="13"/>
        <v>0</v>
      </c>
      <c r="I34" s="315">
        <f>IF(F34&lt;0,0,'Table 3 Levels 1&amp;2'!C36)</f>
        <v>13679</v>
      </c>
      <c r="J34" s="313">
        <f t="shared" si="10"/>
        <v>674113</v>
      </c>
      <c r="K34" s="115">
        <f>25</f>
        <v>25</v>
      </c>
      <c r="L34" s="1110">
        <f t="shared" si="14"/>
        <v>500000</v>
      </c>
      <c r="M34" s="315">
        <f>'Table 3 Levels 1&amp;2'!C36</f>
        <v>13679</v>
      </c>
      <c r="N34" s="313">
        <f t="shared" si="11"/>
        <v>1367900</v>
      </c>
      <c r="O34" s="313">
        <f t="shared" si="15"/>
        <v>2542013</v>
      </c>
      <c r="P34" s="310">
        <v>754.94999999999993</v>
      </c>
      <c r="Q34" s="313">
        <f>'2-1-13 SIS'!S35*'Table 4 Level 3'!P34</f>
        <v>10326961.049999999</v>
      </c>
      <c r="R34" s="313">
        <f t="shared" si="16"/>
        <v>12868974.049999999</v>
      </c>
      <c r="T34" s="23">
        <f t="shared" si="17"/>
        <v>754.94999999999993</v>
      </c>
      <c r="U34" s="1112">
        <f>'2-1-13 SIS'!S35</f>
        <v>13679</v>
      </c>
      <c r="V34" s="409">
        <f t="shared" si="18"/>
        <v>10326961.049999999</v>
      </c>
      <c r="W34" s="409">
        <f t="shared" si="19"/>
        <v>0</v>
      </c>
    </row>
    <row r="35" spans="1:24">
      <c r="A35" s="100">
        <v>30</v>
      </c>
      <c r="B35" s="302" t="s">
        <v>121</v>
      </c>
      <c r="C35" s="322">
        <v>0</v>
      </c>
      <c r="D35" s="322">
        <v>0</v>
      </c>
      <c r="E35" s="322">
        <f t="shared" si="12"/>
        <v>0</v>
      </c>
      <c r="F35" s="323">
        <f>'[11]Table 4 Level 3'!F35+'[11]Table 4 Level 3'!H35</f>
        <v>0</v>
      </c>
      <c r="G35" s="323">
        <f t="shared" si="9"/>
        <v>0</v>
      </c>
      <c r="H35" s="323">
        <f t="shared" si="13"/>
        <v>0</v>
      </c>
      <c r="I35" s="321">
        <f>IF(F35&lt;0,0,'Table 3 Levels 1&amp;2'!C37)</f>
        <v>2476</v>
      </c>
      <c r="J35" s="319">
        <f t="shared" si="10"/>
        <v>122019</v>
      </c>
      <c r="K35" s="1107">
        <v>0</v>
      </c>
      <c r="L35" s="1111">
        <f t="shared" si="14"/>
        <v>0</v>
      </c>
      <c r="M35" s="321">
        <f>'Table 3 Levels 1&amp;2'!C37</f>
        <v>2476</v>
      </c>
      <c r="N35" s="319">
        <f t="shared" si="11"/>
        <v>247600</v>
      </c>
      <c r="O35" s="319">
        <f t="shared" si="15"/>
        <v>369619</v>
      </c>
      <c r="P35" s="318">
        <v>727.17</v>
      </c>
      <c r="Q35" s="319">
        <f>'2-1-13 SIS'!S36*'Table 4 Level 3'!P35</f>
        <v>1800472.92</v>
      </c>
      <c r="R35" s="319">
        <f t="shared" si="16"/>
        <v>2170091.92</v>
      </c>
      <c r="T35" s="23">
        <f t="shared" si="17"/>
        <v>727.17</v>
      </c>
      <c r="U35" s="1112">
        <f>'2-1-13 SIS'!S36</f>
        <v>2476</v>
      </c>
      <c r="V35" s="409">
        <f t="shared" si="18"/>
        <v>1800472.92</v>
      </c>
      <c r="W35" s="409">
        <f t="shared" si="19"/>
        <v>0</v>
      </c>
    </row>
    <row r="36" spans="1:24">
      <c r="A36" s="99">
        <v>31</v>
      </c>
      <c r="B36" s="301" t="s">
        <v>122</v>
      </c>
      <c r="C36" s="316">
        <v>0</v>
      </c>
      <c r="D36" s="316">
        <v>0</v>
      </c>
      <c r="E36" s="316">
        <f t="shared" si="12"/>
        <v>0</v>
      </c>
      <c r="F36" s="317">
        <f>'[11]Table 4 Level 3'!F36+'[11]Table 4 Level 3'!H36</f>
        <v>0</v>
      </c>
      <c r="G36" s="317">
        <f t="shared" si="9"/>
        <v>0</v>
      </c>
      <c r="H36" s="317">
        <f t="shared" si="13"/>
        <v>0</v>
      </c>
      <c r="I36" s="315">
        <f>IF(F36&lt;0,0,'Table 3 Levels 1&amp;2'!C38)</f>
        <v>6405</v>
      </c>
      <c r="J36" s="313">
        <f t="shared" si="10"/>
        <v>315644</v>
      </c>
      <c r="K36" s="115">
        <v>0</v>
      </c>
      <c r="L36" s="1110">
        <f t="shared" si="14"/>
        <v>0</v>
      </c>
      <c r="M36" s="315">
        <f>'Table 3 Levels 1&amp;2'!C38</f>
        <v>6405</v>
      </c>
      <c r="N36" s="313">
        <f t="shared" si="11"/>
        <v>640500</v>
      </c>
      <c r="O36" s="313">
        <f t="shared" si="15"/>
        <v>956144</v>
      </c>
      <c r="P36" s="310">
        <v>620.83000000000004</v>
      </c>
      <c r="Q36" s="313">
        <f>'2-1-13 SIS'!S37*'Table 4 Level 3'!P36</f>
        <v>3976416.1500000004</v>
      </c>
      <c r="R36" s="313">
        <f t="shared" si="16"/>
        <v>4932560.1500000004</v>
      </c>
      <c r="T36" s="23">
        <f t="shared" si="17"/>
        <v>620.83000000000004</v>
      </c>
      <c r="U36" s="1112">
        <f>'2-1-13 SIS'!S37</f>
        <v>6405</v>
      </c>
      <c r="V36" s="409">
        <f t="shared" si="18"/>
        <v>3976416.1500000004</v>
      </c>
      <c r="W36" s="409">
        <f t="shared" si="19"/>
        <v>0</v>
      </c>
    </row>
    <row r="37" spans="1:24">
      <c r="A37" s="99">
        <v>32</v>
      </c>
      <c r="B37" s="301" t="s">
        <v>123</v>
      </c>
      <c r="C37" s="316">
        <v>0</v>
      </c>
      <c r="D37" s="316">
        <v>0</v>
      </c>
      <c r="E37" s="316">
        <f t="shared" si="12"/>
        <v>0</v>
      </c>
      <c r="F37" s="317">
        <f>'[11]Table 4 Level 3'!F37+'[11]Table 4 Level 3'!H37</f>
        <v>0</v>
      </c>
      <c r="G37" s="317">
        <f t="shared" si="9"/>
        <v>0</v>
      </c>
      <c r="H37" s="317">
        <f t="shared" si="13"/>
        <v>0</v>
      </c>
      <c r="I37" s="315">
        <f>IF(F37&lt;0,0,'Table 3 Levels 1&amp;2'!C39)</f>
        <v>24815</v>
      </c>
      <c r="J37" s="313">
        <f t="shared" si="10"/>
        <v>1222905</v>
      </c>
      <c r="K37" s="115">
        <v>0</v>
      </c>
      <c r="L37" s="1110">
        <f t="shared" si="14"/>
        <v>0</v>
      </c>
      <c r="M37" s="315">
        <f>'Table 3 Levels 1&amp;2'!C39</f>
        <v>24815</v>
      </c>
      <c r="N37" s="313">
        <f t="shared" si="11"/>
        <v>2481500</v>
      </c>
      <c r="O37" s="313">
        <f t="shared" si="15"/>
        <v>3704405</v>
      </c>
      <c r="P37" s="310">
        <v>559.77</v>
      </c>
      <c r="Q37" s="313">
        <f>'2-1-13 SIS'!S38*'Table 4 Level 3'!P37</f>
        <v>13890692.549999999</v>
      </c>
      <c r="R37" s="313">
        <f t="shared" si="16"/>
        <v>17595097.549999997</v>
      </c>
      <c r="T37" s="23">
        <f t="shared" si="17"/>
        <v>559.77</v>
      </c>
      <c r="U37" s="1112">
        <f>'2-1-13 SIS'!S38</f>
        <v>24815</v>
      </c>
      <c r="V37" s="409">
        <f t="shared" si="18"/>
        <v>13890692.549999999</v>
      </c>
      <c r="W37" s="409">
        <f t="shared" si="19"/>
        <v>0</v>
      </c>
    </row>
    <row r="38" spans="1:24">
      <c r="A38" s="99">
        <v>33</v>
      </c>
      <c r="B38" s="301" t="s">
        <v>124</v>
      </c>
      <c r="C38" s="316">
        <v>0</v>
      </c>
      <c r="D38" s="316">
        <v>0</v>
      </c>
      <c r="E38" s="316">
        <f t="shared" si="12"/>
        <v>0</v>
      </c>
      <c r="F38" s="317">
        <f>'[11]Table 4 Level 3'!F38+'[11]Table 4 Level 3'!H38</f>
        <v>0</v>
      </c>
      <c r="G38" s="317">
        <f t="shared" ref="G38:G69" si="20">SUM(E38:F38)</f>
        <v>0</v>
      </c>
      <c r="H38" s="317">
        <f t="shared" si="13"/>
        <v>0</v>
      </c>
      <c r="I38" s="315">
        <f>IF(F38&lt;0,0,'Table 3 Levels 1&amp;2'!C40)</f>
        <v>1792</v>
      </c>
      <c r="J38" s="313">
        <f t="shared" ref="J38:J69" si="21">ROUND($J$4*I38,0)</f>
        <v>88311</v>
      </c>
      <c r="K38" s="115">
        <v>0</v>
      </c>
      <c r="L38" s="1110">
        <f t="shared" si="14"/>
        <v>0</v>
      </c>
      <c r="M38" s="315">
        <f>'Table 3 Levels 1&amp;2'!C40</f>
        <v>1792</v>
      </c>
      <c r="N38" s="313">
        <f t="shared" ref="N38:N69" si="22">ROUND(M38*$N$4,0)</f>
        <v>179200</v>
      </c>
      <c r="O38" s="313">
        <f t="shared" si="15"/>
        <v>267511</v>
      </c>
      <c r="P38" s="310">
        <v>655.31000000000006</v>
      </c>
      <c r="Q38" s="313">
        <f>'2-1-13 SIS'!S39*'Table 4 Level 3'!P38</f>
        <v>1174315.52</v>
      </c>
      <c r="R38" s="313">
        <f t="shared" si="16"/>
        <v>1441826.52</v>
      </c>
      <c r="T38" s="23">
        <f t="shared" si="17"/>
        <v>655.31000000000006</v>
      </c>
      <c r="U38" s="1112">
        <f>'2-1-13 SIS'!S39</f>
        <v>1792</v>
      </c>
      <c r="V38" s="409">
        <f t="shared" si="18"/>
        <v>1174315.52</v>
      </c>
      <c r="W38" s="409">
        <f t="shared" si="19"/>
        <v>0</v>
      </c>
    </row>
    <row r="39" spans="1:24">
      <c r="A39" s="99">
        <v>34</v>
      </c>
      <c r="B39" s="301" t="s">
        <v>125</v>
      </c>
      <c r="C39" s="316">
        <v>0</v>
      </c>
      <c r="D39" s="316">
        <v>0</v>
      </c>
      <c r="E39" s="316">
        <f t="shared" si="12"/>
        <v>0</v>
      </c>
      <c r="F39" s="317">
        <f>'[11]Table 4 Level 3'!F39+'[11]Table 4 Level 3'!H39</f>
        <v>0</v>
      </c>
      <c r="G39" s="317">
        <f t="shared" si="20"/>
        <v>0</v>
      </c>
      <c r="H39" s="317">
        <f t="shared" si="13"/>
        <v>0</v>
      </c>
      <c r="I39" s="315">
        <f>IF(F39&lt;0,0,'Table 3 Levels 1&amp;2'!C41)</f>
        <v>4272</v>
      </c>
      <c r="J39" s="313">
        <f t="shared" si="21"/>
        <v>210528</v>
      </c>
      <c r="K39" s="115">
        <v>0</v>
      </c>
      <c r="L39" s="1110">
        <f t="shared" si="14"/>
        <v>0</v>
      </c>
      <c r="M39" s="315">
        <f>'Table 3 Levels 1&amp;2'!C41</f>
        <v>4272</v>
      </c>
      <c r="N39" s="313">
        <f t="shared" si="22"/>
        <v>427200</v>
      </c>
      <c r="O39" s="313">
        <f t="shared" si="15"/>
        <v>637728</v>
      </c>
      <c r="P39" s="310">
        <v>644.11000000000013</v>
      </c>
      <c r="Q39" s="313">
        <f>'2-1-13 SIS'!S40*'Table 4 Level 3'!P39</f>
        <v>2751637.9200000004</v>
      </c>
      <c r="R39" s="313">
        <f t="shared" si="16"/>
        <v>3389365.9200000004</v>
      </c>
      <c r="T39" s="23">
        <f t="shared" si="17"/>
        <v>644.11000000000013</v>
      </c>
      <c r="U39" s="1112">
        <f>'2-1-13 SIS'!S40</f>
        <v>4272</v>
      </c>
      <c r="V39" s="409">
        <f t="shared" si="18"/>
        <v>2751637.9200000004</v>
      </c>
      <c r="W39" s="409">
        <f t="shared" si="19"/>
        <v>0</v>
      </c>
    </row>
    <row r="40" spans="1:24">
      <c r="A40" s="100">
        <v>35</v>
      </c>
      <c r="B40" s="302" t="s">
        <v>126</v>
      </c>
      <c r="C40" s="322">
        <v>0</v>
      </c>
      <c r="D40" s="322">
        <v>0</v>
      </c>
      <c r="E40" s="322">
        <f t="shared" si="12"/>
        <v>0</v>
      </c>
      <c r="F40" s="323">
        <f>'[11]Table 4 Level 3'!F40+'[11]Table 4 Level 3'!H40</f>
        <v>0</v>
      </c>
      <c r="G40" s="323">
        <f t="shared" si="20"/>
        <v>0</v>
      </c>
      <c r="H40" s="323">
        <f t="shared" si="13"/>
        <v>0</v>
      </c>
      <c r="I40" s="321">
        <f>IF(F40&lt;0,0,'Table 3 Levels 1&amp;2'!C42)</f>
        <v>6490</v>
      </c>
      <c r="J40" s="319">
        <f t="shared" si="21"/>
        <v>319833</v>
      </c>
      <c r="K40" s="1107">
        <v>0</v>
      </c>
      <c r="L40" s="1111">
        <f t="shared" si="14"/>
        <v>0</v>
      </c>
      <c r="M40" s="321">
        <f>'Table 3 Levels 1&amp;2'!C42</f>
        <v>6490</v>
      </c>
      <c r="N40" s="319">
        <f t="shared" si="22"/>
        <v>649000</v>
      </c>
      <c r="O40" s="319">
        <f t="shared" si="15"/>
        <v>968833</v>
      </c>
      <c r="P40" s="318">
        <v>537.96</v>
      </c>
      <c r="Q40" s="319">
        <f>'2-1-13 SIS'!S41*'Table 4 Level 3'!P40</f>
        <v>3491360.4000000004</v>
      </c>
      <c r="R40" s="319">
        <f t="shared" si="16"/>
        <v>4460193.4000000004</v>
      </c>
      <c r="T40" s="23">
        <f t="shared" si="17"/>
        <v>537.96</v>
      </c>
      <c r="U40" s="1112">
        <f>'2-1-13 SIS'!S41</f>
        <v>6490</v>
      </c>
      <c r="V40" s="409">
        <f t="shared" si="18"/>
        <v>3491360.4000000004</v>
      </c>
      <c r="W40" s="409">
        <f t="shared" si="19"/>
        <v>0</v>
      </c>
    </row>
    <row r="41" spans="1:24">
      <c r="A41" s="99">
        <v>36</v>
      </c>
      <c r="B41" s="301" t="s">
        <v>127</v>
      </c>
      <c r="C41" s="316">
        <v>0</v>
      </c>
      <c r="D41" s="316">
        <v>0</v>
      </c>
      <c r="E41" s="316">
        <f t="shared" si="12"/>
        <v>0</v>
      </c>
      <c r="F41" s="317">
        <f>'[11]Table 4 Level 3'!F41+'[11]Table 4 Level 3'!H41</f>
        <v>0</v>
      </c>
      <c r="G41" s="317">
        <f t="shared" si="20"/>
        <v>0</v>
      </c>
      <c r="H41" s="327">
        <f t="shared" si="13"/>
        <v>0</v>
      </c>
      <c r="I41" s="325">
        <f>IF(F41&lt;0,0,'Table 3 Levels 1&amp;2'!C43)</f>
        <v>40704</v>
      </c>
      <c r="J41" s="313">
        <f t="shared" si="21"/>
        <v>2005929</v>
      </c>
      <c r="K41" s="115">
        <f>23+18</f>
        <v>41</v>
      </c>
      <c r="L41" s="1110">
        <f t="shared" si="14"/>
        <v>820000</v>
      </c>
      <c r="M41" s="315">
        <f>'Table 3 Levels 1&amp;2'!C43</f>
        <v>40704</v>
      </c>
      <c r="N41" s="313">
        <f t="shared" si="22"/>
        <v>4070400</v>
      </c>
      <c r="O41" s="313">
        <f t="shared" si="15"/>
        <v>6896329</v>
      </c>
      <c r="P41" s="310">
        <f>'Table 5B1_RSD_Orleans'!F7</f>
        <v>727.23177743956114</v>
      </c>
      <c r="Q41" s="1070">
        <f>'Table 5B1_RSD_Orleans'!G72+'Table 5C1A-Madison Prep'!G43+'Table 5C1B-DArbonne'!G43+'Table 5C1C-Intl_VIBE'!G43+'Table 5C1D-NOMMA'!G43+'Table 5C1E-LFNO'!G43+'Table 5C1F-Lake Charles Charter'!G43+'Table 5C1G-JS Clark Academy'!G43+'Table 5C1H-Southwest LA Charter'!G43+'Table 5C2 - LA Virtual Admy'!G41+'Table 5C3 - LA Connections EBR'!G41</f>
        <v>29920183.015967853</v>
      </c>
      <c r="R41" s="313">
        <f>O41+Q41</f>
        <v>36816512.015967853</v>
      </c>
      <c r="T41" s="1066">
        <v>746.0335616438357</v>
      </c>
      <c r="U41" s="1112">
        <f>'2-1-13 SIS'!S42</f>
        <v>40704</v>
      </c>
      <c r="V41" s="1065">
        <f>(T41*('2-1-13 SIS'!G42+'2-1-13 SIS'!H42+'2-1-13 SIS'!I42+'2-1-13 SIS'!J42+'2-1-13 SIS'!K42+'2-1-13 SIS'!L42+'2-1-13 SIS'!M42+'2-1-13 SIS'!N42+'2-1-13 SIS'!O42+'2-1-13 SIS'!P42))+'Table 5B1_RSD_Orleans'!G72</f>
        <v>29927270.334803469</v>
      </c>
      <c r="W41" s="409">
        <f t="shared" si="19"/>
        <v>7087.3188356161118</v>
      </c>
      <c r="X41" s="785"/>
    </row>
    <row r="42" spans="1:24">
      <c r="A42" s="99">
        <v>37</v>
      </c>
      <c r="B42" s="301" t="s">
        <v>128</v>
      </c>
      <c r="C42" s="316">
        <v>0</v>
      </c>
      <c r="D42" s="316">
        <v>0</v>
      </c>
      <c r="E42" s="316">
        <f t="shared" si="12"/>
        <v>0</v>
      </c>
      <c r="F42" s="317">
        <f>'[11]Table 4 Level 3'!F42+'[11]Table 4 Level 3'!H42</f>
        <v>0</v>
      </c>
      <c r="G42" s="317">
        <f t="shared" si="20"/>
        <v>0</v>
      </c>
      <c r="H42" s="317">
        <f t="shared" si="13"/>
        <v>0</v>
      </c>
      <c r="I42" s="315">
        <f>IF(F42&lt;0,0,'Table 3 Levels 1&amp;2'!C44)</f>
        <v>19622</v>
      </c>
      <c r="J42" s="313">
        <f t="shared" si="21"/>
        <v>966990</v>
      </c>
      <c r="K42" s="115">
        <v>1</v>
      </c>
      <c r="L42" s="1110">
        <f t="shared" si="14"/>
        <v>20000</v>
      </c>
      <c r="M42" s="315">
        <f>'Table 3 Levels 1&amp;2'!C44</f>
        <v>19622</v>
      </c>
      <c r="N42" s="313">
        <f t="shared" si="22"/>
        <v>1962200</v>
      </c>
      <c r="O42" s="313">
        <f t="shared" si="15"/>
        <v>2949190</v>
      </c>
      <c r="P42" s="310">
        <v>653.61</v>
      </c>
      <c r="Q42" s="313">
        <f>'2-1-13 SIS'!S43*'Table 4 Level 3'!P42</f>
        <v>12825135.42</v>
      </c>
      <c r="R42" s="313">
        <f t="shared" si="16"/>
        <v>15774325.42</v>
      </c>
      <c r="T42" s="23">
        <f>P42</f>
        <v>653.61</v>
      </c>
      <c r="U42" s="1112">
        <f>'2-1-13 SIS'!S43</f>
        <v>19622</v>
      </c>
      <c r="V42" s="409">
        <f t="shared" si="18"/>
        <v>12825135.42</v>
      </c>
      <c r="W42" s="409">
        <f t="shared" si="19"/>
        <v>0</v>
      </c>
      <c r="X42" s="771"/>
    </row>
    <row r="43" spans="1:24">
      <c r="A43" s="99">
        <v>38</v>
      </c>
      <c r="B43" s="301" t="s">
        <v>129</v>
      </c>
      <c r="C43" s="316">
        <v>5387703</v>
      </c>
      <c r="D43" s="316">
        <v>1258024</v>
      </c>
      <c r="E43" s="316">
        <f t="shared" si="12"/>
        <v>4129679</v>
      </c>
      <c r="F43" s="317">
        <f>'[11]Table 4 Level 3'!F43+'[11]Table 4 Level 3'!H43</f>
        <v>-2477808</v>
      </c>
      <c r="G43" s="437">
        <f t="shared" si="20"/>
        <v>1651871</v>
      </c>
      <c r="H43" s="317">
        <f t="shared" si="13"/>
        <v>-412968</v>
      </c>
      <c r="I43" s="315">
        <f>IF(F43&lt;0,0,'Table 3 Levels 1&amp;2'!C45)</f>
        <v>0</v>
      </c>
      <c r="J43" s="313">
        <f t="shared" si="21"/>
        <v>0</v>
      </c>
      <c r="K43" s="115">
        <v>3</v>
      </c>
      <c r="L43" s="1110">
        <f t="shared" si="14"/>
        <v>60000</v>
      </c>
      <c r="M43" s="315">
        <f>'Table 3 Levels 1&amp;2'!C45</f>
        <v>3810</v>
      </c>
      <c r="N43" s="313">
        <f t="shared" si="22"/>
        <v>381000</v>
      </c>
      <c r="O43" s="313">
        <f t="shared" si="15"/>
        <v>2937927</v>
      </c>
      <c r="P43" s="310">
        <v>829.92000000000007</v>
      </c>
      <c r="Q43" s="313">
        <f>'2-1-13 SIS'!S44*'Table 4 Level 3'!P43</f>
        <v>3161995.2</v>
      </c>
      <c r="R43" s="313">
        <f t="shared" si="16"/>
        <v>6099922.2000000002</v>
      </c>
      <c r="T43" s="23">
        <f t="shared" ref="T43:T74" si="23">P43</f>
        <v>829.92000000000007</v>
      </c>
      <c r="U43" s="1112">
        <f>'2-1-13 SIS'!S44</f>
        <v>3810</v>
      </c>
      <c r="V43" s="409">
        <f t="shared" si="18"/>
        <v>3161995.2</v>
      </c>
      <c r="W43" s="409">
        <f t="shared" si="19"/>
        <v>0</v>
      </c>
    </row>
    <row r="44" spans="1:24">
      <c r="A44" s="99">
        <v>39</v>
      </c>
      <c r="B44" s="301" t="s">
        <v>130</v>
      </c>
      <c r="C44" s="316">
        <v>324688</v>
      </c>
      <c r="D44" s="316">
        <v>324688</v>
      </c>
      <c r="E44" s="316">
        <f t="shared" si="12"/>
        <v>0</v>
      </c>
      <c r="F44" s="317">
        <f>'[11]Table 4 Level 3'!F44+'[11]Table 4 Level 3'!H44</f>
        <v>0</v>
      </c>
      <c r="G44" s="317">
        <f t="shared" si="20"/>
        <v>0</v>
      </c>
      <c r="H44" s="317">
        <f t="shared" si="13"/>
        <v>0</v>
      </c>
      <c r="I44" s="315">
        <f>IF(F44&lt;0,0,'Table 3 Levels 1&amp;2'!C46)</f>
        <v>2839</v>
      </c>
      <c r="J44" s="313">
        <f t="shared" si="21"/>
        <v>139908</v>
      </c>
      <c r="K44" s="115">
        <v>0</v>
      </c>
      <c r="L44" s="1110">
        <f t="shared" si="14"/>
        <v>0</v>
      </c>
      <c r="M44" s="315">
        <f>'Table 3 Levels 1&amp;2'!C46</f>
        <v>2839</v>
      </c>
      <c r="N44" s="313">
        <f t="shared" si="22"/>
        <v>283900</v>
      </c>
      <c r="O44" s="313">
        <f t="shared" si="15"/>
        <v>748496</v>
      </c>
      <c r="P44" s="310">
        <f>'Table 5B2_RSD_LA'!F21</f>
        <v>779.65573042776441</v>
      </c>
      <c r="Q44" s="313">
        <f>'2-1-13 SIS'!S45*'Table 4 Level 3'!P44</f>
        <v>2213442.6186844232</v>
      </c>
      <c r="R44" s="313">
        <f t="shared" si="16"/>
        <v>2961938.6186844232</v>
      </c>
      <c r="T44" s="23">
        <f t="shared" si="23"/>
        <v>779.65573042776441</v>
      </c>
      <c r="U44" s="1112">
        <f>'2-1-13 SIS'!S45</f>
        <v>2839</v>
      </c>
      <c r="V44" s="409">
        <f t="shared" si="18"/>
        <v>2213442.6186844232</v>
      </c>
      <c r="W44" s="409">
        <f t="shared" si="19"/>
        <v>0</v>
      </c>
    </row>
    <row r="45" spans="1:24">
      <c r="A45" s="100">
        <v>40</v>
      </c>
      <c r="B45" s="302" t="s">
        <v>131</v>
      </c>
      <c r="C45" s="322">
        <v>0</v>
      </c>
      <c r="D45" s="322">
        <v>0</v>
      </c>
      <c r="E45" s="322">
        <f t="shared" si="12"/>
        <v>0</v>
      </c>
      <c r="F45" s="323">
        <f>'[11]Table 4 Level 3'!F45+'[11]Table 4 Level 3'!H45</f>
        <v>0</v>
      </c>
      <c r="G45" s="323">
        <f t="shared" si="20"/>
        <v>0</v>
      </c>
      <c r="H45" s="323">
        <f t="shared" si="13"/>
        <v>0</v>
      </c>
      <c r="I45" s="321">
        <f>IF(F45&lt;0,0,'Table 3 Levels 1&amp;2'!C47)</f>
        <v>22975</v>
      </c>
      <c r="J45" s="319">
        <f t="shared" si="21"/>
        <v>1132228</v>
      </c>
      <c r="K45" s="1107">
        <v>0</v>
      </c>
      <c r="L45" s="1111">
        <f t="shared" si="14"/>
        <v>0</v>
      </c>
      <c r="M45" s="321">
        <f>'Table 3 Levels 1&amp;2'!C47</f>
        <v>22975</v>
      </c>
      <c r="N45" s="319">
        <f t="shared" si="22"/>
        <v>2297500</v>
      </c>
      <c r="O45" s="319">
        <f t="shared" si="15"/>
        <v>3429728</v>
      </c>
      <c r="P45" s="318">
        <v>700.2700000000001</v>
      </c>
      <c r="Q45" s="319">
        <f>'2-1-13 SIS'!S46*'Table 4 Level 3'!P45</f>
        <v>16088703.250000002</v>
      </c>
      <c r="R45" s="319">
        <f t="shared" si="16"/>
        <v>19518431.25</v>
      </c>
      <c r="T45" s="23">
        <f t="shared" si="23"/>
        <v>700.2700000000001</v>
      </c>
      <c r="U45" s="1112">
        <f>'2-1-13 SIS'!S46</f>
        <v>22975</v>
      </c>
      <c r="V45" s="409">
        <f t="shared" si="18"/>
        <v>16088703.250000002</v>
      </c>
      <c r="W45" s="409">
        <f t="shared" si="19"/>
        <v>0</v>
      </c>
    </row>
    <row r="46" spans="1:24">
      <c r="A46" s="99">
        <v>41</v>
      </c>
      <c r="B46" s="301" t="s">
        <v>132</v>
      </c>
      <c r="C46" s="316">
        <v>0</v>
      </c>
      <c r="D46" s="316">
        <v>0</v>
      </c>
      <c r="E46" s="316">
        <f t="shared" si="12"/>
        <v>0</v>
      </c>
      <c r="F46" s="317">
        <f>'[11]Table 4 Level 3'!F46+'[11]Table 4 Level 3'!H46</f>
        <v>0</v>
      </c>
      <c r="G46" s="317">
        <f t="shared" si="20"/>
        <v>0</v>
      </c>
      <c r="H46" s="317">
        <f t="shared" si="13"/>
        <v>0</v>
      </c>
      <c r="I46" s="315">
        <f>IF(F46&lt;0,0,'Table 3 Levels 1&amp;2'!C48)</f>
        <v>1411</v>
      </c>
      <c r="J46" s="313">
        <f t="shared" si="21"/>
        <v>69535</v>
      </c>
      <c r="K46" s="115">
        <v>0</v>
      </c>
      <c r="L46" s="1110">
        <f t="shared" si="14"/>
        <v>0</v>
      </c>
      <c r="M46" s="315">
        <f>'Table 3 Levels 1&amp;2'!C48</f>
        <v>1411</v>
      </c>
      <c r="N46" s="313">
        <f t="shared" si="22"/>
        <v>141100</v>
      </c>
      <c r="O46" s="313">
        <f t="shared" si="15"/>
        <v>210635</v>
      </c>
      <c r="P46" s="310">
        <v>886.22</v>
      </c>
      <c r="Q46" s="313">
        <f>'2-1-13 SIS'!S47*'Table 4 Level 3'!P46</f>
        <v>1250456.42</v>
      </c>
      <c r="R46" s="313">
        <f t="shared" si="16"/>
        <v>1461091.42</v>
      </c>
      <c r="T46" s="23">
        <f t="shared" si="23"/>
        <v>886.22</v>
      </c>
      <c r="U46" s="1112">
        <f>'2-1-13 SIS'!S47</f>
        <v>1411</v>
      </c>
      <c r="V46" s="409">
        <f t="shared" si="18"/>
        <v>1250456.42</v>
      </c>
      <c r="W46" s="409">
        <f t="shared" si="19"/>
        <v>0</v>
      </c>
    </row>
    <row r="47" spans="1:24">
      <c r="A47" s="99">
        <v>42</v>
      </c>
      <c r="B47" s="301" t="s">
        <v>133</v>
      </c>
      <c r="C47" s="316">
        <v>0</v>
      </c>
      <c r="D47" s="316">
        <v>0</v>
      </c>
      <c r="E47" s="316">
        <f t="shared" si="12"/>
        <v>0</v>
      </c>
      <c r="F47" s="317">
        <f>'[11]Table 4 Level 3'!F47+'[11]Table 4 Level 3'!H47</f>
        <v>0</v>
      </c>
      <c r="G47" s="317">
        <f t="shared" si="20"/>
        <v>0</v>
      </c>
      <c r="H47" s="317">
        <f t="shared" si="13"/>
        <v>0</v>
      </c>
      <c r="I47" s="315">
        <f>IF(F47&lt;0,0,'Table 3 Levels 1&amp;2'!C49)</f>
        <v>3442</v>
      </c>
      <c r="J47" s="313">
        <f t="shared" si="21"/>
        <v>169625</v>
      </c>
      <c r="K47" s="115">
        <v>0</v>
      </c>
      <c r="L47" s="1110">
        <f t="shared" si="14"/>
        <v>0</v>
      </c>
      <c r="M47" s="315">
        <f>'Table 3 Levels 1&amp;2'!C49</f>
        <v>3442</v>
      </c>
      <c r="N47" s="313">
        <f t="shared" si="22"/>
        <v>344200</v>
      </c>
      <c r="O47" s="313">
        <f t="shared" si="15"/>
        <v>513825</v>
      </c>
      <c r="P47" s="310">
        <v>534.28</v>
      </c>
      <c r="Q47" s="313">
        <f>'2-1-13 SIS'!S48*'Table 4 Level 3'!P47</f>
        <v>1838991.76</v>
      </c>
      <c r="R47" s="313">
        <f t="shared" si="16"/>
        <v>2352816.7599999998</v>
      </c>
      <c r="T47" s="23">
        <f t="shared" si="23"/>
        <v>534.28</v>
      </c>
      <c r="U47" s="1112">
        <f>'2-1-13 SIS'!S48</f>
        <v>3442</v>
      </c>
      <c r="V47" s="409">
        <f t="shared" si="18"/>
        <v>1838991.76</v>
      </c>
      <c r="W47" s="409">
        <f t="shared" si="19"/>
        <v>0</v>
      </c>
    </row>
    <row r="48" spans="1:24">
      <c r="A48" s="99">
        <v>43</v>
      </c>
      <c r="B48" s="301" t="s">
        <v>134</v>
      </c>
      <c r="C48" s="316">
        <v>0</v>
      </c>
      <c r="D48" s="316">
        <v>0</v>
      </c>
      <c r="E48" s="316">
        <f t="shared" si="12"/>
        <v>0</v>
      </c>
      <c r="F48" s="317">
        <f>'[11]Table 4 Level 3'!F48+'[11]Table 4 Level 3'!H48</f>
        <v>0</v>
      </c>
      <c r="G48" s="317">
        <f t="shared" si="20"/>
        <v>0</v>
      </c>
      <c r="H48" s="317">
        <f t="shared" si="13"/>
        <v>0</v>
      </c>
      <c r="I48" s="315">
        <f>IF(F48&lt;0,0,'Table 3 Levels 1&amp;2'!C50)</f>
        <v>4023</v>
      </c>
      <c r="J48" s="313">
        <f t="shared" si="21"/>
        <v>198257</v>
      </c>
      <c r="K48" s="115">
        <v>0</v>
      </c>
      <c r="L48" s="1110">
        <f t="shared" si="14"/>
        <v>0</v>
      </c>
      <c r="M48" s="315">
        <f>'Table 3 Levels 1&amp;2'!C50</f>
        <v>4023</v>
      </c>
      <c r="N48" s="313">
        <f t="shared" si="22"/>
        <v>402300</v>
      </c>
      <c r="O48" s="313">
        <f t="shared" si="15"/>
        <v>600557</v>
      </c>
      <c r="P48" s="310">
        <v>574.6099999999999</v>
      </c>
      <c r="Q48" s="313">
        <f>'2-1-13 SIS'!S49*'Table 4 Level 3'!P48</f>
        <v>2311656.0299999998</v>
      </c>
      <c r="R48" s="313">
        <f t="shared" si="16"/>
        <v>2912213.03</v>
      </c>
      <c r="T48" s="23">
        <f t="shared" si="23"/>
        <v>574.6099999999999</v>
      </c>
      <c r="U48" s="1112">
        <f>'2-1-13 SIS'!S49</f>
        <v>4023</v>
      </c>
      <c r="V48" s="409">
        <f t="shared" si="18"/>
        <v>2311656.0299999998</v>
      </c>
      <c r="W48" s="409">
        <f t="shared" si="19"/>
        <v>0</v>
      </c>
    </row>
    <row r="49" spans="1:24">
      <c r="A49" s="99">
        <v>44</v>
      </c>
      <c r="B49" s="301" t="s">
        <v>135</v>
      </c>
      <c r="C49" s="316">
        <v>0</v>
      </c>
      <c r="D49" s="316">
        <v>0</v>
      </c>
      <c r="E49" s="316">
        <f t="shared" si="12"/>
        <v>0</v>
      </c>
      <c r="F49" s="317">
        <f>'[11]Table 4 Level 3'!F49+'[11]Table 4 Level 3'!H49</f>
        <v>0</v>
      </c>
      <c r="G49" s="317">
        <f t="shared" si="20"/>
        <v>0</v>
      </c>
      <c r="H49" s="317">
        <f t="shared" si="13"/>
        <v>0</v>
      </c>
      <c r="I49" s="315">
        <f>IF(F49&lt;0,0,'Table 3 Levels 1&amp;2'!C51)</f>
        <v>6380</v>
      </c>
      <c r="J49" s="313">
        <f t="shared" si="21"/>
        <v>314412</v>
      </c>
      <c r="K49" s="115">
        <v>0</v>
      </c>
      <c r="L49" s="1110">
        <f t="shared" si="14"/>
        <v>0</v>
      </c>
      <c r="M49" s="315">
        <f>'Table 3 Levels 1&amp;2'!C51</f>
        <v>6380</v>
      </c>
      <c r="N49" s="313">
        <f t="shared" si="22"/>
        <v>638000</v>
      </c>
      <c r="O49" s="313">
        <f t="shared" si="15"/>
        <v>952412</v>
      </c>
      <c r="P49" s="310">
        <v>663.16000000000008</v>
      </c>
      <c r="Q49" s="313">
        <f>'2-1-13 SIS'!S50*'Table 4 Level 3'!P49</f>
        <v>4230960.8000000007</v>
      </c>
      <c r="R49" s="313">
        <f t="shared" si="16"/>
        <v>5183372.8000000007</v>
      </c>
      <c r="T49" s="23">
        <f t="shared" si="23"/>
        <v>663.16000000000008</v>
      </c>
      <c r="U49" s="1112">
        <f>'2-1-13 SIS'!S50</f>
        <v>6380</v>
      </c>
      <c r="V49" s="409">
        <f t="shared" si="18"/>
        <v>4230960.8000000007</v>
      </c>
      <c r="W49" s="409">
        <f t="shared" si="19"/>
        <v>0</v>
      </c>
    </row>
    <row r="50" spans="1:24">
      <c r="A50" s="100">
        <v>45</v>
      </c>
      <c r="B50" s="302" t="s">
        <v>136</v>
      </c>
      <c r="C50" s="322">
        <v>9520260</v>
      </c>
      <c r="D50" s="322">
        <v>2883682</v>
      </c>
      <c r="E50" s="322">
        <f t="shared" si="12"/>
        <v>6636578</v>
      </c>
      <c r="F50" s="323">
        <f>'[11]Table 4 Level 3'!F50+'[11]Table 4 Level 3'!H50</f>
        <v>-4485644</v>
      </c>
      <c r="G50" s="323">
        <f t="shared" si="20"/>
        <v>2150934</v>
      </c>
      <c r="H50" s="420">
        <f t="shared" si="13"/>
        <v>-537734</v>
      </c>
      <c r="I50" s="321">
        <f>IF(F50&lt;0,0,'Table 3 Levels 1&amp;2'!C52)</f>
        <v>0</v>
      </c>
      <c r="J50" s="319">
        <f t="shared" si="21"/>
        <v>0</v>
      </c>
      <c r="K50" s="1107">
        <v>0</v>
      </c>
      <c r="L50" s="1111">
        <f t="shared" si="14"/>
        <v>0</v>
      </c>
      <c r="M50" s="321">
        <f>'Table 3 Levels 1&amp;2'!C52</f>
        <v>9478</v>
      </c>
      <c r="N50" s="319">
        <f t="shared" si="22"/>
        <v>947800</v>
      </c>
      <c r="O50" s="319">
        <f t="shared" si="15"/>
        <v>5444682</v>
      </c>
      <c r="P50" s="318">
        <v>753.96000000000015</v>
      </c>
      <c r="Q50" s="319">
        <f>'2-1-13 SIS'!S51*'Table 4 Level 3'!P50</f>
        <v>7146032.8800000018</v>
      </c>
      <c r="R50" s="319">
        <f t="shared" si="16"/>
        <v>12590714.880000003</v>
      </c>
      <c r="T50" s="23">
        <f t="shared" si="23"/>
        <v>753.96000000000015</v>
      </c>
      <c r="U50" s="1112">
        <f>'2-1-13 SIS'!S51</f>
        <v>9478</v>
      </c>
      <c r="V50" s="409">
        <f t="shared" si="18"/>
        <v>7146032.8800000018</v>
      </c>
      <c r="W50" s="409">
        <f t="shared" si="19"/>
        <v>0</v>
      </c>
    </row>
    <row r="51" spans="1:24">
      <c r="A51" s="99">
        <v>46</v>
      </c>
      <c r="B51" s="301" t="s">
        <v>137</v>
      </c>
      <c r="C51" s="316">
        <v>0</v>
      </c>
      <c r="D51" s="316">
        <v>0</v>
      </c>
      <c r="E51" s="316">
        <f t="shared" si="12"/>
        <v>0</v>
      </c>
      <c r="F51" s="317">
        <f>'[11]Table 4 Level 3'!F51+'[11]Table 4 Level 3'!H51</f>
        <v>0</v>
      </c>
      <c r="G51" s="317">
        <f t="shared" si="20"/>
        <v>0</v>
      </c>
      <c r="H51" s="317">
        <f t="shared" si="13"/>
        <v>0</v>
      </c>
      <c r="I51" s="315">
        <f>IF(F51&lt;0,0,'Table 3 Levels 1&amp;2'!C53)</f>
        <v>1076</v>
      </c>
      <c r="J51" s="313">
        <f t="shared" si="21"/>
        <v>53026</v>
      </c>
      <c r="K51" s="115">
        <v>0</v>
      </c>
      <c r="L51" s="1110">
        <f t="shared" si="14"/>
        <v>0</v>
      </c>
      <c r="M51" s="315">
        <f>'Table 3 Levels 1&amp;2'!C53</f>
        <v>1076</v>
      </c>
      <c r="N51" s="313">
        <f t="shared" si="22"/>
        <v>107600</v>
      </c>
      <c r="O51" s="313">
        <f t="shared" si="15"/>
        <v>160626</v>
      </c>
      <c r="P51" s="310">
        <v>728.06</v>
      </c>
      <c r="Q51" s="313">
        <f>'2-1-13 SIS'!S52*'Table 4 Level 3'!P51</f>
        <v>783392.55999999994</v>
      </c>
      <c r="R51" s="313">
        <f t="shared" si="16"/>
        <v>944018.55999999994</v>
      </c>
      <c r="T51" s="23">
        <f t="shared" si="23"/>
        <v>728.06</v>
      </c>
      <c r="U51" s="1112">
        <f>'2-1-13 SIS'!S52</f>
        <v>1076</v>
      </c>
      <c r="V51" s="409">
        <f t="shared" si="18"/>
        <v>783392.55999999994</v>
      </c>
      <c r="W51" s="409">
        <f t="shared" si="19"/>
        <v>0</v>
      </c>
    </row>
    <row r="52" spans="1:24">
      <c r="A52" s="99">
        <v>47</v>
      </c>
      <c r="B52" s="301" t="s">
        <v>138</v>
      </c>
      <c r="C52" s="316">
        <v>1851066</v>
      </c>
      <c r="D52" s="316">
        <v>1060614</v>
      </c>
      <c r="E52" s="316">
        <f t="shared" si="12"/>
        <v>790452</v>
      </c>
      <c r="F52" s="317">
        <f>'[11]Table 4 Level 3'!F52+'[11]Table 4 Level 3'!H52</f>
        <v>-474270</v>
      </c>
      <c r="G52" s="317">
        <f t="shared" si="20"/>
        <v>316182</v>
      </c>
      <c r="H52" s="317">
        <f t="shared" si="13"/>
        <v>-79046</v>
      </c>
      <c r="I52" s="315">
        <f>IF(F52&lt;0,0,'Table 3 Levels 1&amp;2'!C54)</f>
        <v>0</v>
      </c>
      <c r="J52" s="313">
        <f t="shared" si="21"/>
        <v>0</v>
      </c>
      <c r="K52" s="115">
        <v>0</v>
      </c>
      <c r="L52" s="1110">
        <f t="shared" si="14"/>
        <v>0</v>
      </c>
      <c r="M52" s="315">
        <f>'Table 3 Levels 1&amp;2'!C54</f>
        <v>3621</v>
      </c>
      <c r="N52" s="313">
        <f t="shared" si="22"/>
        <v>362100</v>
      </c>
      <c r="O52" s="313">
        <f t="shared" si="15"/>
        <v>1659850</v>
      </c>
      <c r="P52" s="310">
        <v>910.76</v>
      </c>
      <c r="Q52" s="313">
        <f>'2-1-13 SIS'!S53*'Table 4 Level 3'!P52</f>
        <v>3297861.96</v>
      </c>
      <c r="R52" s="313">
        <f t="shared" si="16"/>
        <v>4957711.96</v>
      </c>
      <c r="T52" s="23">
        <f t="shared" si="23"/>
        <v>910.76</v>
      </c>
      <c r="U52" s="1112">
        <f>'2-1-13 SIS'!S53</f>
        <v>3621</v>
      </c>
      <c r="V52" s="409">
        <f t="shared" si="18"/>
        <v>3297861.96</v>
      </c>
      <c r="W52" s="409">
        <f t="shared" si="19"/>
        <v>0</v>
      </c>
    </row>
    <row r="53" spans="1:24">
      <c r="A53" s="99">
        <v>48</v>
      </c>
      <c r="B53" s="301" t="s">
        <v>195</v>
      </c>
      <c r="C53" s="316">
        <v>0</v>
      </c>
      <c r="D53" s="316">
        <v>0</v>
      </c>
      <c r="E53" s="316">
        <f t="shared" si="12"/>
        <v>0</v>
      </c>
      <c r="F53" s="317">
        <f>'[11]Table 4 Level 3'!F53+'[11]Table 4 Level 3'!H53</f>
        <v>0</v>
      </c>
      <c r="G53" s="317">
        <f t="shared" si="20"/>
        <v>0</v>
      </c>
      <c r="H53" s="317">
        <f t="shared" si="13"/>
        <v>0</v>
      </c>
      <c r="I53" s="315">
        <f>IF(F53&lt;0,0,'Table 3 Levels 1&amp;2'!C55)</f>
        <v>5804</v>
      </c>
      <c r="J53" s="313">
        <f t="shared" si="21"/>
        <v>286026</v>
      </c>
      <c r="K53" s="115">
        <v>0</v>
      </c>
      <c r="L53" s="1110">
        <f t="shared" si="14"/>
        <v>0</v>
      </c>
      <c r="M53" s="315">
        <f>'Table 3 Levels 1&amp;2'!C55</f>
        <v>5804</v>
      </c>
      <c r="N53" s="313">
        <f t="shared" si="22"/>
        <v>580400</v>
      </c>
      <c r="O53" s="313">
        <f t="shared" si="15"/>
        <v>866426</v>
      </c>
      <c r="P53" s="310">
        <v>871.07</v>
      </c>
      <c r="Q53" s="313">
        <f>'2-1-13 SIS'!S54*'Table 4 Level 3'!P53</f>
        <v>5055690.28</v>
      </c>
      <c r="R53" s="313">
        <f t="shared" si="16"/>
        <v>5922116.2800000003</v>
      </c>
      <c r="T53" s="23">
        <f t="shared" si="23"/>
        <v>871.07</v>
      </c>
      <c r="U53" s="1112">
        <f>'2-1-13 SIS'!S54</f>
        <v>5804</v>
      </c>
      <c r="V53" s="409">
        <f t="shared" si="18"/>
        <v>5055690.28</v>
      </c>
      <c r="W53" s="409">
        <f t="shared" si="19"/>
        <v>0</v>
      </c>
    </row>
    <row r="54" spans="1:24">
      <c r="A54" s="99">
        <v>49</v>
      </c>
      <c r="B54" s="301" t="s">
        <v>139</v>
      </c>
      <c r="C54" s="316">
        <v>0</v>
      </c>
      <c r="D54" s="316">
        <v>0</v>
      </c>
      <c r="E54" s="316">
        <f t="shared" si="12"/>
        <v>0</v>
      </c>
      <c r="F54" s="317">
        <f>'[11]Table 4 Level 3'!F54+'[11]Table 4 Level 3'!H54</f>
        <v>0</v>
      </c>
      <c r="G54" s="317">
        <f t="shared" si="20"/>
        <v>0</v>
      </c>
      <c r="H54" s="317">
        <f t="shared" si="13"/>
        <v>0</v>
      </c>
      <c r="I54" s="315">
        <f>IF(F54&lt;0,0,'Table 3 Levels 1&amp;2'!C56)</f>
        <v>14494</v>
      </c>
      <c r="J54" s="313">
        <f t="shared" si="21"/>
        <v>714277</v>
      </c>
      <c r="K54" s="115">
        <v>4</v>
      </c>
      <c r="L54" s="1110">
        <f t="shared" si="14"/>
        <v>80000</v>
      </c>
      <c r="M54" s="315">
        <f>'Table 3 Levels 1&amp;2'!C56</f>
        <v>14494</v>
      </c>
      <c r="N54" s="313">
        <f t="shared" si="22"/>
        <v>1449400</v>
      </c>
      <c r="O54" s="313">
        <f t="shared" si="15"/>
        <v>2243677</v>
      </c>
      <c r="P54" s="310">
        <v>574.43999999999994</v>
      </c>
      <c r="Q54" s="313">
        <f>'2-1-13 SIS'!S55*'Table 4 Level 3'!P54</f>
        <v>8325933.3599999994</v>
      </c>
      <c r="R54" s="313">
        <f t="shared" si="16"/>
        <v>10569610.359999999</v>
      </c>
      <c r="T54" s="23">
        <f t="shared" si="23"/>
        <v>574.43999999999994</v>
      </c>
      <c r="U54" s="1112">
        <f>'2-1-13 SIS'!S55</f>
        <v>14494</v>
      </c>
      <c r="V54" s="409">
        <f t="shared" si="18"/>
        <v>8325933.3599999994</v>
      </c>
      <c r="W54" s="409">
        <f t="shared" si="19"/>
        <v>0</v>
      </c>
    </row>
    <row r="55" spans="1:24">
      <c r="A55" s="100">
        <v>50</v>
      </c>
      <c r="B55" s="302" t="s">
        <v>140</v>
      </c>
      <c r="C55" s="322">
        <v>0</v>
      </c>
      <c r="D55" s="322">
        <v>0</v>
      </c>
      <c r="E55" s="322">
        <f t="shared" si="12"/>
        <v>0</v>
      </c>
      <c r="F55" s="323">
        <f>'[11]Table 4 Level 3'!F55+'[11]Table 4 Level 3'!H55</f>
        <v>0</v>
      </c>
      <c r="G55" s="323">
        <f t="shared" si="20"/>
        <v>0</v>
      </c>
      <c r="H55" s="323">
        <f t="shared" si="13"/>
        <v>0</v>
      </c>
      <c r="I55" s="321">
        <f>IF(F55&lt;0,0,'Table 3 Levels 1&amp;2'!C57)</f>
        <v>7887</v>
      </c>
      <c r="J55" s="319">
        <f t="shared" si="21"/>
        <v>388678</v>
      </c>
      <c r="K55" s="1107">
        <v>9</v>
      </c>
      <c r="L55" s="1111">
        <f t="shared" si="14"/>
        <v>180000</v>
      </c>
      <c r="M55" s="321">
        <f>'Table 3 Levels 1&amp;2'!C57</f>
        <v>7887</v>
      </c>
      <c r="N55" s="319">
        <f t="shared" si="22"/>
        <v>788700</v>
      </c>
      <c r="O55" s="319">
        <f t="shared" si="15"/>
        <v>1357378</v>
      </c>
      <c r="P55" s="318">
        <v>634.46</v>
      </c>
      <c r="Q55" s="319">
        <f>'2-1-13 SIS'!S56*'Table 4 Level 3'!P55</f>
        <v>5003986.0200000005</v>
      </c>
      <c r="R55" s="319">
        <f t="shared" si="16"/>
        <v>6361364.0200000005</v>
      </c>
      <c r="T55" s="23">
        <f t="shared" si="23"/>
        <v>634.46</v>
      </c>
      <c r="U55" s="1112">
        <f>'2-1-13 SIS'!S56</f>
        <v>7887</v>
      </c>
      <c r="V55" s="409">
        <f t="shared" si="18"/>
        <v>5003986.0200000005</v>
      </c>
      <c r="W55" s="409">
        <f t="shared" si="19"/>
        <v>0</v>
      </c>
    </row>
    <row r="56" spans="1:24">
      <c r="A56" s="99">
        <v>51</v>
      </c>
      <c r="B56" s="301" t="s">
        <v>141</v>
      </c>
      <c r="C56" s="316">
        <v>0</v>
      </c>
      <c r="D56" s="316">
        <v>0</v>
      </c>
      <c r="E56" s="316">
        <f t="shared" si="12"/>
        <v>0</v>
      </c>
      <c r="F56" s="317">
        <f>'[11]Table 4 Level 3'!F56+'[11]Table 4 Level 3'!H56</f>
        <v>0</v>
      </c>
      <c r="G56" s="317">
        <f t="shared" si="20"/>
        <v>0</v>
      </c>
      <c r="H56" s="317">
        <f t="shared" si="13"/>
        <v>0</v>
      </c>
      <c r="I56" s="315">
        <f>IF(F56&lt;0,0,'Table 3 Levels 1&amp;2'!C58)</f>
        <v>8997</v>
      </c>
      <c r="J56" s="313">
        <f t="shared" si="21"/>
        <v>443380</v>
      </c>
      <c r="K56" s="115">
        <v>0</v>
      </c>
      <c r="L56" s="1110">
        <f t="shared" si="14"/>
        <v>0</v>
      </c>
      <c r="M56" s="315">
        <f>'Table 3 Levels 1&amp;2'!C58</f>
        <v>8997</v>
      </c>
      <c r="N56" s="313">
        <f t="shared" si="22"/>
        <v>899700</v>
      </c>
      <c r="O56" s="313">
        <f t="shared" si="15"/>
        <v>1343080</v>
      </c>
      <c r="P56" s="310">
        <v>706.66</v>
      </c>
      <c r="Q56" s="313">
        <f>'2-1-13 SIS'!S57*'Table 4 Level 3'!P56</f>
        <v>6357820.0199999996</v>
      </c>
      <c r="R56" s="313">
        <f t="shared" si="16"/>
        <v>7700900.0199999996</v>
      </c>
      <c r="T56" s="23">
        <f t="shared" si="23"/>
        <v>706.66</v>
      </c>
      <c r="U56" s="1112">
        <f>'2-1-13 SIS'!S57</f>
        <v>8997</v>
      </c>
      <c r="V56" s="409">
        <f t="shared" si="18"/>
        <v>6357820.0199999996</v>
      </c>
      <c r="W56" s="409">
        <f t="shared" si="19"/>
        <v>0</v>
      </c>
    </row>
    <row r="57" spans="1:24">
      <c r="A57" s="99">
        <v>52</v>
      </c>
      <c r="B57" s="301" t="s">
        <v>142</v>
      </c>
      <c r="C57" s="316">
        <v>0</v>
      </c>
      <c r="D57" s="316">
        <v>0</v>
      </c>
      <c r="E57" s="316">
        <f t="shared" si="12"/>
        <v>0</v>
      </c>
      <c r="F57" s="317">
        <f>'[11]Table 4 Level 3'!F57+'[11]Table 4 Level 3'!H57</f>
        <v>0</v>
      </c>
      <c r="G57" s="317">
        <f t="shared" si="20"/>
        <v>0</v>
      </c>
      <c r="H57" s="317">
        <f t="shared" si="13"/>
        <v>0</v>
      </c>
      <c r="I57" s="315">
        <f>IF(F57&lt;0,0,'Table 3 Levels 1&amp;2'!C59)</f>
        <v>37078</v>
      </c>
      <c r="J57" s="313">
        <f t="shared" si="21"/>
        <v>1827237</v>
      </c>
      <c r="K57" s="115">
        <v>0</v>
      </c>
      <c r="L57" s="1110">
        <f t="shared" si="14"/>
        <v>0</v>
      </c>
      <c r="M57" s="315">
        <f>'Table 3 Levels 1&amp;2'!C59</f>
        <v>37078</v>
      </c>
      <c r="N57" s="313">
        <f t="shared" si="22"/>
        <v>3707800</v>
      </c>
      <c r="O57" s="313">
        <f t="shared" si="15"/>
        <v>5535037</v>
      </c>
      <c r="P57" s="310">
        <v>658.37</v>
      </c>
      <c r="Q57" s="313">
        <f>'2-1-13 SIS'!S58*'Table 4 Level 3'!P57</f>
        <v>24411042.859999999</v>
      </c>
      <c r="R57" s="313">
        <f t="shared" si="16"/>
        <v>29946079.859999999</v>
      </c>
      <c r="T57" s="23">
        <f t="shared" si="23"/>
        <v>658.37</v>
      </c>
      <c r="U57" s="1112">
        <f>'2-1-13 SIS'!S58</f>
        <v>37078</v>
      </c>
      <c r="V57" s="409">
        <f t="shared" si="18"/>
        <v>24411042.859999999</v>
      </c>
      <c r="W57" s="409">
        <f t="shared" si="19"/>
        <v>0</v>
      </c>
    </row>
    <row r="58" spans="1:24">
      <c r="A58" s="99">
        <v>53</v>
      </c>
      <c r="B58" s="301" t="s">
        <v>143</v>
      </c>
      <c r="C58" s="316">
        <v>0</v>
      </c>
      <c r="D58" s="316">
        <v>0</v>
      </c>
      <c r="E58" s="316">
        <f t="shared" si="12"/>
        <v>0</v>
      </c>
      <c r="F58" s="317">
        <f>'[11]Table 4 Level 3'!F58+'[11]Table 4 Level 3'!H58</f>
        <v>0</v>
      </c>
      <c r="G58" s="317">
        <f t="shared" si="20"/>
        <v>0</v>
      </c>
      <c r="H58" s="317">
        <f t="shared" si="13"/>
        <v>0</v>
      </c>
      <c r="I58" s="315">
        <f>IF(F58&lt;0,0,'Table 3 Levels 1&amp;2'!C60)</f>
        <v>19145</v>
      </c>
      <c r="J58" s="313">
        <f t="shared" si="21"/>
        <v>943483</v>
      </c>
      <c r="K58" s="115">
        <v>3</v>
      </c>
      <c r="L58" s="1110">
        <f t="shared" si="14"/>
        <v>60000</v>
      </c>
      <c r="M58" s="315">
        <f>'Table 3 Levels 1&amp;2'!C60</f>
        <v>19145</v>
      </c>
      <c r="N58" s="313">
        <f t="shared" si="22"/>
        <v>1914500</v>
      </c>
      <c r="O58" s="313">
        <f t="shared" si="15"/>
        <v>2917983</v>
      </c>
      <c r="P58" s="310">
        <v>689.74</v>
      </c>
      <c r="Q58" s="313">
        <f>'2-1-13 SIS'!S59*'Table 4 Level 3'!P58</f>
        <v>13205072.300000001</v>
      </c>
      <c r="R58" s="313">
        <f t="shared" si="16"/>
        <v>16123055.300000001</v>
      </c>
      <c r="T58" s="23">
        <f t="shared" si="23"/>
        <v>689.74</v>
      </c>
      <c r="U58" s="1112">
        <f>'2-1-13 SIS'!S59</f>
        <v>19145</v>
      </c>
      <c r="V58" s="409">
        <f t="shared" si="18"/>
        <v>13205072.300000001</v>
      </c>
      <c r="W58" s="409">
        <f t="shared" si="19"/>
        <v>0</v>
      </c>
    </row>
    <row r="59" spans="1:24">
      <c r="A59" s="99">
        <v>54</v>
      </c>
      <c r="B59" s="301" t="s">
        <v>144</v>
      </c>
      <c r="C59" s="316">
        <v>0</v>
      </c>
      <c r="D59" s="316">
        <v>0</v>
      </c>
      <c r="E59" s="316">
        <f t="shared" si="12"/>
        <v>0</v>
      </c>
      <c r="F59" s="317">
        <f>'[11]Table 4 Level 3'!F59+'[11]Table 4 Level 3'!H59</f>
        <v>0</v>
      </c>
      <c r="G59" s="317">
        <f t="shared" si="20"/>
        <v>0</v>
      </c>
      <c r="H59" s="317">
        <f t="shared" si="13"/>
        <v>0</v>
      </c>
      <c r="I59" s="315">
        <f>IF(F59&lt;0,0,'Table 3 Levels 1&amp;2'!C61)</f>
        <v>682</v>
      </c>
      <c r="J59" s="313">
        <f t="shared" si="21"/>
        <v>33610</v>
      </c>
      <c r="K59" s="115">
        <v>0</v>
      </c>
      <c r="L59" s="1110">
        <f t="shared" si="14"/>
        <v>0</v>
      </c>
      <c r="M59" s="315">
        <f>'Table 3 Levels 1&amp;2'!C61</f>
        <v>682</v>
      </c>
      <c r="N59" s="313">
        <f t="shared" si="22"/>
        <v>68200</v>
      </c>
      <c r="O59" s="313">
        <f t="shared" si="15"/>
        <v>101810</v>
      </c>
      <c r="P59" s="310">
        <v>951.45</v>
      </c>
      <c r="Q59" s="313">
        <f>'2-1-13 SIS'!S60*'Table 4 Level 3'!P59</f>
        <v>648888.9</v>
      </c>
      <c r="R59" s="313">
        <f t="shared" si="16"/>
        <v>750698.9</v>
      </c>
      <c r="T59" s="23">
        <f t="shared" si="23"/>
        <v>951.45</v>
      </c>
      <c r="U59" s="1112">
        <f>'2-1-13 SIS'!S60</f>
        <v>682</v>
      </c>
      <c r="V59" s="409">
        <f t="shared" si="18"/>
        <v>648888.9</v>
      </c>
      <c r="W59" s="409">
        <f t="shared" si="19"/>
        <v>0</v>
      </c>
    </row>
    <row r="60" spans="1:24">
      <c r="A60" s="100">
        <v>55</v>
      </c>
      <c r="B60" s="302" t="s">
        <v>145</v>
      </c>
      <c r="C60" s="322">
        <v>0</v>
      </c>
      <c r="D60" s="322">
        <v>0</v>
      </c>
      <c r="E60" s="322">
        <f t="shared" si="12"/>
        <v>0</v>
      </c>
      <c r="F60" s="323">
        <f>'[11]Table 4 Level 3'!F60+'[11]Table 4 Level 3'!H60</f>
        <v>0</v>
      </c>
      <c r="G60" s="323">
        <f t="shared" si="20"/>
        <v>0</v>
      </c>
      <c r="H60" s="323">
        <f t="shared" si="13"/>
        <v>0</v>
      </c>
      <c r="I60" s="321">
        <f>IF(F60&lt;0,0,'Table 3 Levels 1&amp;2'!C62)</f>
        <v>17756</v>
      </c>
      <c r="J60" s="319">
        <f t="shared" si="21"/>
        <v>875031</v>
      </c>
      <c r="K60" s="1107">
        <v>0</v>
      </c>
      <c r="L60" s="1111">
        <f t="shared" si="14"/>
        <v>0</v>
      </c>
      <c r="M60" s="321">
        <f>'Table 3 Levels 1&amp;2'!C62</f>
        <v>17756</v>
      </c>
      <c r="N60" s="319">
        <f t="shared" si="22"/>
        <v>1775600</v>
      </c>
      <c r="O60" s="319">
        <f t="shared" si="15"/>
        <v>2650631</v>
      </c>
      <c r="P60" s="318">
        <v>795.14</v>
      </c>
      <c r="Q60" s="319">
        <f>'2-1-13 SIS'!S61*'Table 4 Level 3'!P60</f>
        <v>14118505.84</v>
      </c>
      <c r="R60" s="319">
        <f t="shared" si="16"/>
        <v>16769136.84</v>
      </c>
      <c r="T60" s="23">
        <f t="shared" si="23"/>
        <v>795.14</v>
      </c>
      <c r="U60" s="1112">
        <f>'2-1-13 SIS'!S61</f>
        <v>17756</v>
      </c>
      <c r="V60" s="409">
        <f t="shared" si="18"/>
        <v>14118505.84</v>
      </c>
      <c r="W60" s="409">
        <f t="shared" si="19"/>
        <v>0</v>
      </c>
    </row>
    <row r="61" spans="1:24">
      <c r="A61" s="99">
        <v>56</v>
      </c>
      <c r="B61" s="301" t="s">
        <v>146</v>
      </c>
      <c r="C61" s="316">
        <v>0</v>
      </c>
      <c r="D61" s="316">
        <v>0</v>
      </c>
      <c r="E61" s="316">
        <f t="shared" si="12"/>
        <v>0</v>
      </c>
      <c r="F61" s="317">
        <f>'[11]Table 4 Level 3'!F61+'[11]Table 4 Level 3'!H61</f>
        <v>0</v>
      </c>
      <c r="G61" s="317">
        <f t="shared" si="20"/>
        <v>0</v>
      </c>
      <c r="H61" s="317">
        <f t="shared" si="13"/>
        <v>0</v>
      </c>
      <c r="I61" s="315">
        <f>IF(F61&lt;0,0,'Table 3 Levels 1&amp;2'!C63)</f>
        <v>2860</v>
      </c>
      <c r="J61" s="313">
        <f t="shared" si="21"/>
        <v>140943</v>
      </c>
      <c r="K61" s="115">
        <v>0</v>
      </c>
      <c r="L61" s="1110">
        <f t="shared" si="14"/>
        <v>0</v>
      </c>
      <c r="M61" s="315">
        <f>'Table 3 Levels 1&amp;2'!C63</f>
        <v>2860</v>
      </c>
      <c r="N61" s="313">
        <f t="shared" si="22"/>
        <v>286000</v>
      </c>
      <c r="O61" s="313">
        <f t="shared" si="15"/>
        <v>426943</v>
      </c>
      <c r="P61" s="310">
        <v>614.66000000000008</v>
      </c>
      <c r="Q61" s="1070">
        <f>('2-1-13 SIS'!S62+1)*'Table 4 Level 3'!P61</f>
        <v>1757927.6000000003</v>
      </c>
      <c r="R61" s="313">
        <f t="shared" si="16"/>
        <v>2184870.6000000006</v>
      </c>
      <c r="T61" s="23">
        <f t="shared" si="23"/>
        <v>614.66000000000008</v>
      </c>
      <c r="U61" s="1112">
        <f>'2-1-13 SIS'!S62</f>
        <v>2859</v>
      </c>
      <c r="V61" s="409">
        <f t="shared" si="18"/>
        <v>1757312.9400000002</v>
      </c>
      <c r="W61" s="409">
        <f t="shared" si="19"/>
        <v>-614.66000000014901</v>
      </c>
      <c r="X61" s="771"/>
    </row>
    <row r="62" spans="1:24">
      <c r="A62" s="99">
        <v>57</v>
      </c>
      <c r="B62" s="301" t="s">
        <v>147</v>
      </c>
      <c r="C62" s="316">
        <v>0</v>
      </c>
      <c r="D62" s="316">
        <v>0</v>
      </c>
      <c r="E62" s="316">
        <f t="shared" si="12"/>
        <v>0</v>
      </c>
      <c r="F62" s="317">
        <f>'[11]Table 4 Level 3'!F62+'[11]Table 4 Level 3'!H62</f>
        <v>0</v>
      </c>
      <c r="G62" s="317">
        <f t="shared" si="20"/>
        <v>0</v>
      </c>
      <c r="H62" s="317">
        <f t="shared" si="13"/>
        <v>0</v>
      </c>
      <c r="I62" s="315">
        <f>IF(F62&lt;0,0,'Table 3 Levels 1&amp;2'!C64)</f>
        <v>9047</v>
      </c>
      <c r="J62" s="313">
        <f t="shared" si="21"/>
        <v>445844</v>
      </c>
      <c r="K62" s="115">
        <v>0</v>
      </c>
      <c r="L62" s="1110">
        <f t="shared" si="14"/>
        <v>0</v>
      </c>
      <c r="M62" s="315">
        <f>'Table 3 Levels 1&amp;2'!C64</f>
        <v>9047</v>
      </c>
      <c r="N62" s="313">
        <f t="shared" si="22"/>
        <v>904700</v>
      </c>
      <c r="O62" s="313">
        <f t="shared" si="15"/>
        <v>1350544</v>
      </c>
      <c r="P62" s="310">
        <v>764.51</v>
      </c>
      <c r="Q62" s="313">
        <f>'2-1-13 SIS'!S63*'Table 4 Level 3'!P62</f>
        <v>6916521.9699999997</v>
      </c>
      <c r="R62" s="313">
        <f t="shared" si="16"/>
        <v>8267065.9699999997</v>
      </c>
      <c r="T62" s="23">
        <f t="shared" si="23"/>
        <v>764.51</v>
      </c>
      <c r="U62" s="1112">
        <f>'2-1-13 SIS'!S63</f>
        <v>9047</v>
      </c>
      <c r="V62" s="409">
        <f t="shared" si="18"/>
        <v>6916521.9699999997</v>
      </c>
      <c r="W62" s="409">
        <f t="shared" si="19"/>
        <v>0</v>
      </c>
    </row>
    <row r="63" spans="1:24">
      <c r="A63" s="99">
        <v>58</v>
      </c>
      <c r="B63" s="301" t="s">
        <v>148</v>
      </c>
      <c r="C63" s="316">
        <v>0</v>
      </c>
      <c r="D63" s="316">
        <v>0</v>
      </c>
      <c r="E63" s="316">
        <f t="shared" si="12"/>
        <v>0</v>
      </c>
      <c r="F63" s="317">
        <f>'[11]Table 4 Level 3'!F63+'[11]Table 4 Level 3'!H63</f>
        <v>0</v>
      </c>
      <c r="G63" s="317">
        <f t="shared" si="20"/>
        <v>0</v>
      </c>
      <c r="H63" s="317">
        <f t="shared" si="13"/>
        <v>0</v>
      </c>
      <c r="I63" s="315">
        <f>IF(F63&lt;0,0,'Table 3 Levels 1&amp;2'!C65)</f>
        <v>9090</v>
      </c>
      <c r="J63" s="313">
        <f t="shared" si="21"/>
        <v>447963</v>
      </c>
      <c r="K63" s="115">
        <v>0</v>
      </c>
      <c r="L63" s="1110">
        <f t="shared" si="14"/>
        <v>0</v>
      </c>
      <c r="M63" s="315">
        <f>'Table 3 Levels 1&amp;2'!C65</f>
        <v>9090</v>
      </c>
      <c r="N63" s="313">
        <f t="shared" si="22"/>
        <v>909000</v>
      </c>
      <c r="O63" s="313">
        <f t="shared" si="15"/>
        <v>1356963</v>
      </c>
      <c r="P63" s="310">
        <v>697.04</v>
      </c>
      <c r="Q63" s="313">
        <f>'2-1-13 SIS'!S64*'Table 4 Level 3'!P63</f>
        <v>6336093.5999999996</v>
      </c>
      <c r="R63" s="313">
        <f t="shared" si="16"/>
        <v>7693056.5999999996</v>
      </c>
      <c r="T63" s="23">
        <f t="shared" si="23"/>
        <v>697.04</v>
      </c>
      <c r="U63" s="1112">
        <f>'2-1-13 SIS'!S64</f>
        <v>9090</v>
      </c>
      <c r="V63" s="409">
        <f t="shared" si="18"/>
        <v>6336093.5999999996</v>
      </c>
      <c r="W63" s="409">
        <f t="shared" si="19"/>
        <v>0</v>
      </c>
    </row>
    <row r="64" spans="1:24">
      <c r="A64" s="99">
        <v>59</v>
      </c>
      <c r="B64" s="301" t="s">
        <v>149</v>
      </c>
      <c r="C64" s="316">
        <v>0</v>
      </c>
      <c r="D64" s="316">
        <v>0</v>
      </c>
      <c r="E64" s="316">
        <f t="shared" si="12"/>
        <v>0</v>
      </c>
      <c r="F64" s="317">
        <f>'[11]Table 4 Level 3'!F64+'[11]Table 4 Level 3'!H64</f>
        <v>0</v>
      </c>
      <c r="G64" s="317">
        <f t="shared" si="20"/>
        <v>0</v>
      </c>
      <c r="H64" s="317">
        <f t="shared" si="13"/>
        <v>0</v>
      </c>
      <c r="I64" s="315">
        <f>IF(F64&lt;0,0,'Table 3 Levels 1&amp;2'!C66)</f>
        <v>5247</v>
      </c>
      <c r="J64" s="313">
        <f t="shared" si="21"/>
        <v>258577</v>
      </c>
      <c r="K64" s="115">
        <v>0</v>
      </c>
      <c r="L64" s="1110">
        <f t="shared" si="14"/>
        <v>0</v>
      </c>
      <c r="M64" s="315">
        <f>'Table 3 Levels 1&amp;2'!C66</f>
        <v>5247</v>
      </c>
      <c r="N64" s="313">
        <f t="shared" si="22"/>
        <v>524700</v>
      </c>
      <c r="O64" s="313">
        <f t="shared" si="15"/>
        <v>783277</v>
      </c>
      <c r="P64" s="310">
        <v>689.52</v>
      </c>
      <c r="Q64" s="313">
        <f>'2-1-13 SIS'!S65*'Table 4 Level 3'!P64</f>
        <v>3617911.44</v>
      </c>
      <c r="R64" s="313">
        <f t="shared" si="16"/>
        <v>4401188.4399999995</v>
      </c>
      <c r="T64" s="23">
        <f t="shared" si="23"/>
        <v>689.52</v>
      </c>
      <c r="U64" s="1112">
        <f>'2-1-13 SIS'!S65</f>
        <v>5247</v>
      </c>
      <c r="V64" s="409">
        <f t="shared" si="18"/>
        <v>3617911.44</v>
      </c>
      <c r="W64" s="409">
        <f t="shared" si="19"/>
        <v>0</v>
      </c>
    </row>
    <row r="65" spans="1:23">
      <c r="A65" s="100">
        <v>60</v>
      </c>
      <c r="B65" s="302" t="s">
        <v>150</v>
      </c>
      <c r="C65" s="322">
        <v>0</v>
      </c>
      <c r="D65" s="322">
        <v>0</v>
      </c>
      <c r="E65" s="322">
        <f t="shared" si="12"/>
        <v>0</v>
      </c>
      <c r="F65" s="323">
        <f>'[11]Table 4 Level 3'!F65+'[11]Table 4 Level 3'!H65</f>
        <v>0</v>
      </c>
      <c r="G65" s="323">
        <f t="shared" si="20"/>
        <v>0</v>
      </c>
      <c r="H65" s="323">
        <f t="shared" si="13"/>
        <v>0</v>
      </c>
      <c r="I65" s="321">
        <f>IF(F65&lt;0,0,'Table 3 Levels 1&amp;2'!C67)</f>
        <v>6493</v>
      </c>
      <c r="J65" s="319">
        <f t="shared" si="21"/>
        <v>319981</v>
      </c>
      <c r="K65" s="1107">
        <v>0</v>
      </c>
      <c r="L65" s="1111">
        <f t="shared" si="14"/>
        <v>0</v>
      </c>
      <c r="M65" s="321">
        <f>'Table 3 Levels 1&amp;2'!C67</f>
        <v>6493</v>
      </c>
      <c r="N65" s="319">
        <f t="shared" si="22"/>
        <v>649300</v>
      </c>
      <c r="O65" s="319">
        <f t="shared" si="15"/>
        <v>969281</v>
      </c>
      <c r="P65" s="318">
        <v>594.04</v>
      </c>
      <c r="Q65" s="319">
        <f>'2-1-13 SIS'!S66*'Table 4 Level 3'!P65</f>
        <v>3857101.7199999997</v>
      </c>
      <c r="R65" s="319">
        <f t="shared" si="16"/>
        <v>4826382.72</v>
      </c>
      <c r="T65" s="23">
        <f t="shared" si="23"/>
        <v>594.04</v>
      </c>
      <c r="U65" s="1112">
        <f>'2-1-13 SIS'!S66</f>
        <v>6493</v>
      </c>
      <c r="V65" s="409">
        <f t="shared" si="18"/>
        <v>3857101.7199999997</v>
      </c>
      <c r="W65" s="409">
        <f t="shared" si="19"/>
        <v>0</v>
      </c>
    </row>
    <row r="66" spans="1:23">
      <c r="A66" s="99">
        <v>61</v>
      </c>
      <c r="B66" s="301" t="s">
        <v>151</v>
      </c>
      <c r="C66" s="316">
        <v>0</v>
      </c>
      <c r="D66" s="316">
        <v>0</v>
      </c>
      <c r="E66" s="316">
        <f t="shared" si="12"/>
        <v>0</v>
      </c>
      <c r="F66" s="317">
        <f>'[11]Table 4 Level 3'!F66+'[11]Table 4 Level 3'!H66</f>
        <v>0</v>
      </c>
      <c r="G66" s="317">
        <f t="shared" si="20"/>
        <v>0</v>
      </c>
      <c r="H66" s="317">
        <f t="shared" si="13"/>
        <v>0</v>
      </c>
      <c r="I66" s="315">
        <f>IF(F66&lt;0,0,'Table 3 Levels 1&amp;2'!C68)</f>
        <v>3620</v>
      </c>
      <c r="J66" s="313">
        <f t="shared" si="21"/>
        <v>178397</v>
      </c>
      <c r="K66" s="115">
        <v>0</v>
      </c>
      <c r="L66" s="1110">
        <f t="shared" si="14"/>
        <v>0</v>
      </c>
      <c r="M66" s="315">
        <f>'Table 3 Levels 1&amp;2'!C68</f>
        <v>3620</v>
      </c>
      <c r="N66" s="313">
        <f t="shared" si="22"/>
        <v>362000</v>
      </c>
      <c r="O66" s="313">
        <f t="shared" si="15"/>
        <v>540397</v>
      </c>
      <c r="P66" s="310">
        <v>833.70999999999992</v>
      </c>
      <c r="Q66" s="313">
        <f>'2-1-13 SIS'!S67*'Table 4 Level 3'!P66</f>
        <v>3018030.1999999997</v>
      </c>
      <c r="R66" s="313">
        <f t="shared" si="16"/>
        <v>3558427.1999999997</v>
      </c>
      <c r="T66" s="23">
        <f t="shared" si="23"/>
        <v>833.70999999999992</v>
      </c>
      <c r="U66" s="1112">
        <f>'2-1-13 SIS'!S67</f>
        <v>3620</v>
      </c>
      <c r="V66" s="409">
        <f t="shared" si="18"/>
        <v>3018030.1999999997</v>
      </c>
      <c r="W66" s="409">
        <f t="shared" si="19"/>
        <v>0</v>
      </c>
    </row>
    <row r="67" spans="1:23">
      <c r="A67" s="99">
        <v>62</v>
      </c>
      <c r="B67" s="301" t="s">
        <v>152</v>
      </c>
      <c r="C67" s="316">
        <v>0</v>
      </c>
      <c r="D67" s="316">
        <v>0</v>
      </c>
      <c r="E67" s="316">
        <f t="shared" si="12"/>
        <v>0</v>
      </c>
      <c r="F67" s="317">
        <f>'[11]Table 4 Level 3'!F67+'[11]Table 4 Level 3'!H67</f>
        <v>0</v>
      </c>
      <c r="G67" s="317">
        <f t="shared" si="20"/>
        <v>0</v>
      </c>
      <c r="H67" s="317">
        <f t="shared" si="13"/>
        <v>0</v>
      </c>
      <c r="I67" s="315">
        <f>IF(F67&lt;0,0,'Table 3 Levels 1&amp;2'!C69)</f>
        <v>2105</v>
      </c>
      <c r="J67" s="313">
        <f t="shared" si="21"/>
        <v>103736</v>
      </c>
      <c r="K67" s="115">
        <v>0</v>
      </c>
      <c r="L67" s="1110">
        <f t="shared" si="14"/>
        <v>0</v>
      </c>
      <c r="M67" s="315">
        <f>'Table 3 Levels 1&amp;2'!C69</f>
        <v>2105</v>
      </c>
      <c r="N67" s="313">
        <f t="shared" si="22"/>
        <v>210500</v>
      </c>
      <c r="O67" s="313">
        <f t="shared" si="15"/>
        <v>314236</v>
      </c>
      <c r="P67" s="310">
        <v>516.08000000000004</v>
      </c>
      <c r="Q67" s="313">
        <f>'2-1-13 SIS'!S68*'Table 4 Level 3'!P67</f>
        <v>1086348.4000000001</v>
      </c>
      <c r="R67" s="313">
        <f t="shared" si="16"/>
        <v>1400584.4000000001</v>
      </c>
      <c r="T67" s="23">
        <f t="shared" si="23"/>
        <v>516.08000000000004</v>
      </c>
      <c r="U67" s="1112">
        <f>'2-1-13 SIS'!S68</f>
        <v>2105</v>
      </c>
      <c r="V67" s="409">
        <f t="shared" si="18"/>
        <v>1086348.4000000001</v>
      </c>
      <c r="W67" s="409">
        <f t="shared" si="19"/>
        <v>0</v>
      </c>
    </row>
    <row r="68" spans="1:23">
      <c r="A68" s="99">
        <v>63</v>
      </c>
      <c r="B68" s="301" t="s">
        <v>153</v>
      </c>
      <c r="C68" s="316">
        <v>5908357</v>
      </c>
      <c r="D68" s="316">
        <v>680156</v>
      </c>
      <c r="E68" s="316">
        <f t="shared" si="12"/>
        <v>5228201</v>
      </c>
      <c r="F68" s="317">
        <f>'[11]Table 4 Level 3'!F68+'[11]Table 4 Level 3'!H68</f>
        <v>-3136920</v>
      </c>
      <c r="G68" s="317">
        <f t="shared" si="20"/>
        <v>2091281</v>
      </c>
      <c r="H68" s="317">
        <f t="shared" si="13"/>
        <v>-522820</v>
      </c>
      <c r="I68" s="315">
        <f>IF(F68&lt;0,0,'Table 3 Levels 1&amp;2'!C70)</f>
        <v>0</v>
      </c>
      <c r="J68" s="313">
        <f t="shared" si="21"/>
        <v>0</v>
      </c>
      <c r="K68" s="115">
        <v>0</v>
      </c>
      <c r="L68" s="1110">
        <f t="shared" si="14"/>
        <v>0</v>
      </c>
      <c r="M68" s="315">
        <f>'Table 3 Levels 1&amp;2'!C70</f>
        <v>2038</v>
      </c>
      <c r="N68" s="313">
        <f t="shared" si="22"/>
        <v>203800</v>
      </c>
      <c r="O68" s="313">
        <f t="shared" si="15"/>
        <v>2452417</v>
      </c>
      <c r="P68" s="310">
        <v>756.79</v>
      </c>
      <c r="Q68" s="313">
        <f>'2-1-13 SIS'!S69*'Table 4 Level 3'!P68</f>
        <v>1542338.02</v>
      </c>
      <c r="R68" s="313">
        <f t="shared" si="16"/>
        <v>3994755.02</v>
      </c>
      <c r="T68" s="23">
        <f t="shared" si="23"/>
        <v>756.79</v>
      </c>
      <c r="U68" s="1112">
        <f>'2-1-13 SIS'!S69</f>
        <v>2038</v>
      </c>
      <c r="V68" s="409">
        <f t="shared" si="18"/>
        <v>1542338.02</v>
      </c>
      <c r="W68" s="409">
        <f t="shared" si="19"/>
        <v>0</v>
      </c>
    </row>
    <row r="69" spans="1:23">
      <c r="A69" s="99">
        <v>64</v>
      </c>
      <c r="B69" s="301" t="s">
        <v>154</v>
      </c>
      <c r="C69" s="316">
        <v>0</v>
      </c>
      <c r="D69" s="316">
        <v>0</v>
      </c>
      <c r="E69" s="316">
        <f t="shared" si="12"/>
        <v>0</v>
      </c>
      <c r="F69" s="317">
        <f>'[11]Table 4 Level 3'!F69+'[11]Table 4 Level 3'!H69</f>
        <v>0</v>
      </c>
      <c r="G69" s="317">
        <f t="shared" si="20"/>
        <v>0</v>
      </c>
      <c r="H69" s="317">
        <f t="shared" si="13"/>
        <v>0</v>
      </c>
      <c r="I69" s="315">
        <f>IF(F69&lt;0,0,'Table 3 Levels 1&amp;2'!C71)</f>
        <v>2396</v>
      </c>
      <c r="J69" s="313">
        <f t="shared" si="21"/>
        <v>118077</v>
      </c>
      <c r="K69" s="115">
        <v>0</v>
      </c>
      <c r="L69" s="1110">
        <f t="shared" si="14"/>
        <v>0</v>
      </c>
      <c r="M69" s="315">
        <f>'Table 3 Levels 1&amp;2'!C71</f>
        <v>2396</v>
      </c>
      <c r="N69" s="313">
        <f t="shared" si="22"/>
        <v>239600</v>
      </c>
      <c r="O69" s="313">
        <f t="shared" si="15"/>
        <v>357677</v>
      </c>
      <c r="P69" s="310">
        <v>592.66</v>
      </c>
      <c r="Q69" s="313">
        <f>'2-1-13 SIS'!S70*'Table 4 Level 3'!P69</f>
        <v>1420013.3599999999</v>
      </c>
      <c r="R69" s="313">
        <f t="shared" si="16"/>
        <v>1777690.3599999999</v>
      </c>
      <c r="T69" s="23">
        <f t="shared" si="23"/>
        <v>592.66</v>
      </c>
      <c r="U69" s="1112">
        <f>'2-1-13 SIS'!S70</f>
        <v>2396</v>
      </c>
      <c r="V69" s="409">
        <f t="shared" si="18"/>
        <v>1420013.3599999999</v>
      </c>
      <c r="W69" s="409">
        <f t="shared" si="19"/>
        <v>0</v>
      </c>
    </row>
    <row r="70" spans="1:23">
      <c r="A70" s="100">
        <v>65</v>
      </c>
      <c r="B70" s="302" t="s">
        <v>155</v>
      </c>
      <c r="C70" s="322">
        <v>0</v>
      </c>
      <c r="D70" s="322">
        <v>0</v>
      </c>
      <c r="E70" s="322">
        <f t="shared" si="12"/>
        <v>0</v>
      </c>
      <c r="F70" s="323">
        <f>'[11]Table 4 Level 3'!F70+'[11]Table 4 Level 3'!H70</f>
        <v>0</v>
      </c>
      <c r="G70" s="323">
        <f>SUM(E70:F70)</f>
        <v>0</v>
      </c>
      <c r="H70" s="323">
        <f t="shared" si="13"/>
        <v>0</v>
      </c>
      <c r="I70" s="321">
        <f>IF(F70&lt;0,0,'Table 3 Levels 1&amp;2'!C72)</f>
        <v>8246</v>
      </c>
      <c r="J70" s="319">
        <f>ROUND($J$4*I70,0)</f>
        <v>406370</v>
      </c>
      <c r="K70" s="1107">
        <v>0</v>
      </c>
      <c r="L70" s="1111">
        <f t="shared" si="14"/>
        <v>0</v>
      </c>
      <c r="M70" s="321">
        <f>'Table 3 Levels 1&amp;2'!C72</f>
        <v>8246</v>
      </c>
      <c r="N70" s="319">
        <f>ROUND(M70*$N$4,0)</f>
        <v>824600</v>
      </c>
      <c r="O70" s="319">
        <f t="shared" si="15"/>
        <v>1230970</v>
      </c>
      <c r="P70" s="318">
        <v>829.12</v>
      </c>
      <c r="Q70" s="319">
        <f>'2-1-13 SIS'!S71*'Table 4 Level 3'!P70</f>
        <v>6836923.5200000005</v>
      </c>
      <c r="R70" s="319">
        <f t="shared" si="16"/>
        <v>8067893.5200000005</v>
      </c>
      <c r="T70" s="23">
        <f t="shared" si="23"/>
        <v>829.12</v>
      </c>
      <c r="U70" s="1112">
        <f>'2-1-13 SIS'!S71</f>
        <v>8246</v>
      </c>
      <c r="V70" s="409">
        <f t="shared" si="18"/>
        <v>6836923.5200000005</v>
      </c>
      <c r="W70" s="409">
        <f t="shared" si="19"/>
        <v>0</v>
      </c>
    </row>
    <row r="71" spans="1:23">
      <c r="A71" s="134">
        <v>66</v>
      </c>
      <c r="B71" s="303" t="s">
        <v>156</v>
      </c>
      <c r="C71" s="326">
        <v>0</v>
      </c>
      <c r="D71" s="326">
        <v>0</v>
      </c>
      <c r="E71" s="326">
        <f>C71-D71</f>
        <v>0</v>
      </c>
      <c r="F71" s="327">
        <f>'[11]Table 4 Level 3'!F71+'[11]Table 4 Level 3'!H71</f>
        <v>0</v>
      </c>
      <c r="G71" s="327">
        <f>SUM(E71:F71)</f>
        <v>0</v>
      </c>
      <c r="H71" s="327">
        <f t="shared" ref="H71:H74" si="24">ROUND(-G71/4,0)</f>
        <v>0</v>
      </c>
      <c r="I71" s="325">
        <f>IF(F71&lt;0,0,'Table 3 Levels 1&amp;2'!C73)</f>
        <v>2025</v>
      </c>
      <c r="J71" s="311">
        <f>ROUND($J$4*I71,0)</f>
        <v>99794</v>
      </c>
      <c r="K71" s="115">
        <v>0</v>
      </c>
      <c r="L71" s="1110">
        <f t="shared" ref="L71:L74" si="25">ROUND($L$4*K71,0)</f>
        <v>0</v>
      </c>
      <c r="M71" s="325">
        <f>'Table 3 Levels 1&amp;2'!C73</f>
        <v>2025</v>
      </c>
      <c r="N71" s="311">
        <f>ROUND(M71*$N$4,0)</f>
        <v>202500</v>
      </c>
      <c r="O71" s="311">
        <f t="shared" ref="O71:O74" si="26">D71+E71+F71+H71+J71+L71+N71</f>
        <v>302294</v>
      </c>
      <c r="P71" s="312">
        <v>730.06</v>
      </c>
      <c r="Q71" s="311">
        <f>'2-1-13 SIS'!S72*'Table 4 Level 3'!P71</f>
        <v>1478371.5</v>
      </c>
      <c r="R71" s="311">
        <f>O71+Q71</f>
        <v>1780665.5</v>
      </c>
      <c r="T71" s="23">
        <f t="shared" si="23"/>
        <v>730.06</v>
      </c>
      <c r="U71" s="1112">
        <f>'2-1-13 SIS'!S72</f>
        <v>2025</v>
      </c>
      <c r="V71" s="409">
        <f t="shared" ref="V71:V74" si="27">U71*T71</f>
        <v>1478371.5</v>
      </c>
      <c r="W71" s="409">
        <f t="shared" ref="W71:W74" si="28">V71-Q71</f>
        <v>0</v>
      </c>
    </row>
    <row r="72" spans="1:23">
      <c r="A72" s="351">
        <v>67</v>
      </c>
      <c r="B72" s="304" t="s">
        <v>32</v>
      </c>
      <c r="C72" s="316">
        <v>0</v>
      </c>
      <c r="D72" s="316">
        <v>0</v>
      </c>
      <c r="E72" s="316">
        <f>C72-D72</f>
        <v>0</v>
      </c>
      <c r="F72" s="317">
        <f>'[11]Table 4 Level 3'!F72+'[11]Table 4 Level 3'!H72</f>
        <v>0</v>
      </c>
      <c r="G72" s="317">
        <f>SUM(E72:F72)</f>
        <v>0</v>
      </c>
      <c r="H72" s="317">
        <f t="shared" si="24"/>
        <v>0</v>
      </c>
      <c r="I72" s="315">
        <f>IF(F72&lt;0,0,'Table 3 Levels 1&amp;2'!C74)</f>
        <v>5098</v>
      </c>
      <c r="J72" s="313">
        <f>ROUND($J$4*I72,0)</f>
        <v>251234</v>
      </c>
      <c r="K72" s="115">
        <v>0</v>
      </c>
      <c r="L72" s="1110">
        <f t="shared" si="25"/>
        <v>0</v>
      </c>
      <c r="M72" s="315">
        <f>'Table 3 Levels 1&amp;2'!C74</f>
        <v>5098</v>
      </c>
      <c r="N72" s="313">
        <f>ROUND(M72*$N$4,0)</f>
        <v>509800</v>
      </c>
      <c r="O72" s="313">
        <f t="shared" si="26"/>
        <v>761034</v>
      </c>
      <c r="P72" s="310">
        <v>715.61</v>
      </c>
      <c r="Q72" s="313">
        <f>'2-1-13 SIS'!S73*'Table 4 Level 3'!P72</f>
        <v>3648179.7800000003</v>
      </c>
      <c r="R72" s="313">
        <f>O72+Q72</f>
        <v>4409213.78</v>
      </c>
      <c r="T72" s="23">
        <f t="shared" si="23"/>
        <v>715.61</v>
      </c>
      <c r="U72" s="1112">
        <f>'2-1-13 SIS'!S73</f>
        <v>5098</v>
      </c>
      <c r="V72" s="409">
        <f t="shared" si="27"/>
        <v>3648179.7800000003</v>
      </c>
      <c r="W72" s="409">
        <f t="shared" si="28"/>
        <v>0</v>
      </c>
    </row>
    <row r="73" spans="1:23">
      <c r="A73" s="99">
        <v>68</v>
      </c>
      <c r="B73" s="301" t="s">
        <v>30</v>
      </c>
      <c r="C73" s="316">
        <v>0</v>
      </c>
      <c r="D73" s="316">
        <v>0</v>
      </c>
      <c r="E73" s="316">
        <f>C73-D73</f>
        <v>0</v>
      </c>
      <c r="F73" s="317">
        <f>'[11]Table 4 Level 3'!F73+'[11]Table 4 Level 3'!H73</f>
        <v>0</v>
      </c>
      <c r="G73" s="317">
        <f>SUM(E73:F73)</f>
        <v>0</v>
      </c>
      <c r="H73" s="317">
        <f t="shared" si="24"/>
        <v>0</v>
      </c>
      <c r="I73" s="315">
        <f>IF(F73&lt;0,0,'Table 3 Levels 1&amp;2'!C75)</f>
        <v>1714</v>
      </c>
      <c r="J73" s="313">
        <f>ROUND($J$4*I73,0)</f>
        <v>84467</v>
      </c>
      <c r="K73" s="115">
        <v>0</v>
      </c>
      <c r="L73" s="1110">
        <f t="shared" si="25"/>
        <v>0</v>
      </c>
      <c r="M73" s="315">
        <f>'Table 3 Levels 1&amp;2'!C75</f>
        <v>1714</v>
      </c>
      <c r="N73" s="313">
        <f>ROUND(M73*$N$4,0)</f>
        <v>171400</v>
      </c>
      <c r="O73" s="313">
        <f t="shared" si="26"/>
        <v>255867</v>
      </c>
      <c r="P73" s="310">
        <v>798.7</v>
      </c>
      <c r="Q73" s="313">
        <f>'2-1-13 SIS'!S74*'Table 4 Level 3'!P73</f>
        <v>1368971.8</v>
      </c>
      <c r="R73" s="313">
        <f>O73+Q73</f>
        <v>1624838.8</v>
      </c>
      <c r="T73" s="23">
        <f t="shared" si="23"/>
        <v>798.7</v>
      </c>
      <c r="U73" s="1112">
        <f>'2-1-13 SIS'!S74</f>
        <v>1714</v>
      </c>
      <c r="V73" s="409">
        <f t="shared" si="27"/>
        <v>1368971.8</v>
      </c>
      <c r="W73" s="409">
        <f t="shared" si="28"/>
        <v>0</v>
      </c>
    </row>
    <row r="74" spans="1:23">
      <c r="A74" s="100">
        <v>69</v>
      </c>
      <c r="B74" s="302" t="s">
        <v>205</v>
      </c>
      <c r="C74" s="322">
        <v>0</v>
      </c>
      <c r="D74" s="322">
        <v>0</v>
      </c>
      <c r="E74" s="322">
        <f>C74-D74</f>
        <v>0</v>
      </c>
      <c r="F74" s="323">
        <f>'[11]Table 4 Level 3'!F74+'[11]Table 4 Level 3'!H74</f>
        <v>0</v>
      </c>
      <c r="G74" s="323">
        <f>SUM(E74:F74)</f>
        <v>0</v>
      </c>
      <c r="H74" s="323">
        <f t="shared" si="24"/>
        <v>0</v>
      </c>
      <c r="I74" s="321">
        <f>IF(F74&lt;0,0,'Table 3 Levels 1&amp;2'!C76)</f>
        <v>4193</v>
      </c>
      <c r="J74" s="319">
        <f>ROUND($J$4*I74,0)</f>
        <v>206635</v>
      </c>
      <c r="K74" s="1107">
        <v>0</v>
      </c>
      <c r="L74" s="1111">
        <f t="shared" si="25"/>
        <v>0</v>
      </c>
      <c r="M74" s="321">
        <f>'Table 3 Levels 1&amp;2'!C76</f>
        <v>4193</v>
      </c>
      <c r="N74" s="319">
        <f>ROUND(M74*$N$4,0)</f>
        <v>419300</v>
      </c>
      <c r="O74" s="319">
        <f t="shared" si="26"/>
        <v>625935</v>
      </c>
      <c r="P74" s="318">
        <v>705.67</v>
      </c>
      <c r="Q74" s="319">
        <f>'2-1-13 SIS'!S75*'Table 4 Level 3'!P74</f>
        <v>2958874.31</v>
      </c>
      <c r="R74" s="319">
        <f>O74+Q74</f>
        <v>3584809.31</v>
      </c>
      <c r="T74" s="23">
        <f t="shared" si="23"/>
        <v>705.67</v>
      </c>
      <c r="U74" s="1112">
        <f>'2-1-13 SIS'!S75</f>
        <v>4193</v>
      </c>
      <c r="V74" s="409">
        <f t="shared" si="27"/>
        <v>2958874.31</v>
      </c>
      <c r="W74" s="409">
        <f t="shared" si="28"/>
        <v>0</v>
      </c>
    </row>
    <row r="75" spans="1:23" s="8" customFormat="1" ht="13.5" thickBot="1">
      <c r="A75" s="411"/>
      <c r="B75" s="412" t="s">
        <v>157</v>
      </c>
      <c r="C75" s="459">
        <f t="shared" ref="C75:J75" si="29">SUM(C6:C74)</f>
        <v>76792933</v>
      </c>
      <c r="D75" s="459">
        <f t="shared" si="29"/>
        <v>38336714</v>
      </c>
      <c r="E75" s="459">
        <f t="shared" si="29"/>
        <v>38456219</v>
      </c>
      <c r="F75" s="460">
        <f t="shared" si="29"/>
        <v>-23577426</v>
      </c>
      <c r="G75" s="460">
        <f t="shared" si="29"/>
        <v>14878793</v>
      </c>
      <c r="H75" s="460">
        <f t="shared" si="29"/>
        <v>-3719701</v>
      </c>
      <c r="I75" s="461">
        <f t="shared" si="29"/>
        <v>553909</v>
      </c>
      <c r="J75" s="459">
        <f t="shared" si="29"/>
        <v>27297125</v>
      </c>
      <c r="K75" s="461">
        <f>SUM(K6:K74)</f>
        <v>212</v>
      </c>
      <c r="L75" s="459">
        <f>SUM(L6:L74)</f>
        <v>4240000</v>
      </c>
      <c r="M75" s="415">
        <f>SUM(M6:M74)</f>
        <v>673908</v>
      </c>
      <c r="N75" s="416">
        <f>SUM(N6:N74)</f>
        <v>67390800</v>
      </c>
      <c r="O75" s="416">
        <f>SUM(O6:O74)</f>
        <v>148423731</v>
      </c>
      <c r="P75" s="414">
        <f>Q75/'Table 3 Levels 1&amp;2'!C77</f>
        <v>704.49059912051428</v>
      </c>
      <c r="Q75" s="413">
        <f>SUM(Q6:Q74)</f>
        <v>474761850.67210752</v>
      </c>
      <c r="R75" s="416">
        <f>SUM(R6:R74)</f>
        <v>623185581.67210746</v>
      </c>
      <c r="T75" s="8">
        <v>703.90028204588873</v>
      </c>
      <c r="U75" s="1112">
        <f>SUM(U6:U74)</f>
        <v>673907</v>
      </c>
      <c r="V75" s="1063">
        <f>SUM(V6:V74)</f>
        <v>474768323.33094311</v>
      </c>
    </row>
    <row r="76" spans="1:23" s="8" customFormat="1" ht="13.5" thickTop="1">
      <c r="A76" s="418"/>
      <c r="B76" s="421"/>
      <c r="C76" s="753"/>
      <c r="D76" s="753"/>
      <c r="E76" s="753"/>
      <c r="F76" s="754"/>
      <c r="G76" s="754"/>
      <c r="H76" s="2225"/>
      <c r="I76" s="755"/>
      <c r="J76" s="753"/>
      <c r="K76" s="753"/>
      <c r="L76" s="753"/>
      <c r="M76" s="756"/>
      <c r="N76" s="262"/>
      <c r="O76" s="262"/>
      <c r="P76" s="97"/>
      <c r="Q76" s="757"/>
      <c r="R76" s="262"/>
      <c r="U76" s="1288" t="s">
        <v>741</v>
      </c>
      <c r="V76" s="1064">
        <v>615</v>
      </c>
    </row>
    <row r="77" spans="1:23" s="8" customFormat="1">
      <c r="A77" s="37"/>
      <c r="B77" s="38"/>
      <c r="C77" s="116"/>
      <c r="D77" s="116"/>
      <c r="E77" s="116"/>
      <c r="F77" s="116"/>
      <c r="G77" s="116"/>
      <c r="H77" s="2226"/>
      <c r="I77" s="116"/>
      <c r="J77" s="116"/>
      <c r="K77" s="116"/>
      <c r="L77" s="116"/>
      <c r="M77" s="116"/>
      <c r="N77" s="116"/>
      <c r="O77" s="116"/>
      <c r="P77" s="771"/>
      <c r="Q77" s="305"/>
      <c r="V77" s="1063">
        <f>SUM(V75:V76)</f>
        <v>474768938.33094311</v>
      </c>
    </row>
    <row r="78" spans="1:23">
      <c r="A78" s="441"/>
      <c r="B78" s="447"/>
      <c r="C78" s="64"/>
      <c r="D78" s="64"/>
      <c r="E78" s="135"/>
      <c r="F78" s="196"/>
      <c r="G78" s="138"/>
      <c r="H78" s="2226"/>
      <c r="I78" s="138"/>
      <c r="J78" s="138"/>
      <c r="K78" s="138"/>
      <c r="L78" s="138"/>
      <c r="M78" s="64"/>
      <c r="N78" s="64"/>
      <c r="O78" s="64"/>
      <c r="U78" s="1067"/>
      <c r="V78" s="1068"/>
      <c r="W78" s="771"/>
    </row>
    <row r="79" spans="1:23" ht="13.5" customHeight="1">
      <c r="A79" s="441"/>
      <c r="B79" s="447"/>
      <c r="C79" s="64"/>
      <c r="D79" s="64"/>
      <c r="E79" s="348"/>
      <c r="F79" s="138"/>
      <c r="G79" s="2533"/>
      <c r="H79" s="196"/>
      <c r="I79" s="64"/>
      <c r="J79" s="138"/>
      <c r="K79" s="138"/>
      <c r="L79" s="138"/>
      <c r="M79" s="135"/>
      <c r="N79" s="135"/>
      <c r="O79" s="135"/>
      <c r="P79" s="2206"/>
      <c r="Q79" s="2206"/>
      <c r="R79" s="2206"/>
      <c r="U79" s="1289"/>
      <c r="V79" s="1290"/>
    </row>
    <row r="80" spans="1:23" ht="12.75" customHeight="1">
      <c r="A80" s="441"/>
      <c r="B80" s="448"/>
      <c r="E80" s="23"/>
      <c r="F80" s="771"/>
      <c r="G80" s="64"/>
      <c r="H80" s="348"/>
      <c r="I80" s="64"/>
      <c r="J80" s="64"/>
      <c r="K80" s="64"/>
      <c r="L80" s="64"/>
      <c r="P80" s="2203"/>
      <c r="Q80" s="2203"/>
      <c r="R80" s="2203"/>
      <c r="S80" s="976"/>
      <c r="T80" s="976"/>
      <c r="U80" s="771"/>
      <c r="V80" s="976"/>
      <c r="W80" s="976"/>
    </row>
    <row r="81" spans="1:22">
      <c r="A81" s="441"/>
      <c r="B81" s="447"/>
      <c r="G81" s="64"/>
      <c r="H81" s="422"/>
      <c r="I81" s="64"/>
      <c r="J81" s="64"/>
      <c r="K81" s="64"/>
      <c r="L81" s="64"/>
      <c r="P81" s="2203"/>
      <c r="Q81" s="2203"/>
      <c r="R81" s="2203"/>
      <c r="V81" s="785"/>
    </row>
    <row r="82" spans="1:22">
      <c r="A82" s="441"/>
      <c r="B82" s="447"/>
      <c r="G82" s="64"/>
      <c r="H82" s="64"/>
      <c r="I82" s="64"/>
      <c r="J82" s="64"/>
      <c r="K82" s="64"/>
      <c r="L82" s="64"/>
      <c r="P82" s="2204"/>
      <c r="Q82" s="2205"/>
      <c r="R82" s="2205"/>
    </row>
    <row r="83" spans="1:22">
      <c r="A83" s="418"/>
      <c r="B83" s="421"/>
      <c r="G83" s="64"/>
      <c r="H83" s="64"/>
      <c r="I83" s="64"/>
      <c r="J83" s="64"/>
      <c r="K83" s="64"/>
      <c r="L83" s="64"/>
      <c r="P83" s="785"/>
    </row>
    <row r="84" spans="1:22">
      <c r="A84" s="418"/>
      <c r="B84" s="421"/>
      <c r="G84" s="64"/>
      <c r="H84" s="64"/>
      <c r="I84" s="64"/>
      <c r="J84" s="64"/>
      <c r="K84" s="64"/>
      <c r="L84" s="64"/>
    </row>
    <row r="85" spans="1:22">
      <c r="A85" s="64"/>
      <c r="B85" s="64"/>
    </row>
  </sheetData>
  <mergeCells count="25">
    <mergeCell ref="H76:H78"/>
    <mergeCell ref="F3:F4"/>
    <mergeCell ref="D3:D4"/>
    <mergeCell ref="M2:N2"/>
    <mergeCell ref="G3:G4"/>
    <mergeCell ref="E3:E4"/>
    <mergeCell ref="C3:C4"/>
    <mergeCell ref="A2:A4"/>
    <mergeCell ref="B2:B4"/>
    <mergeCell ref="P3:P4"/>
    <mergeCell ref="Q3:Q4"/>
    <mergeCell ref="H3:H4"/>
    <mergeCell ref="I3:I4"/>
    <mergeCell ref="O2:O4"/>
    <mergeCell ref="C2:J2"/>
    <mergeCell ref="M3:M4"/>
    <mergeCell ref="P2:Q2"/>
    <mergeCell ref="K2:L2"/>
    <mergeCell ref="K3:K4"/>
    <mergeCell ref="U3:U4"/>
    <mergeCell ref="P80:R80"/>
    <mergeCell ref="P81:R81"/>
    <mergeCell ref="P82:R82"/>
    <mergeCell ref="R2:R4"/>
    <mergeCell ref="P79:R79"/>
  </mergeCells>
  <phoneticPr fontId="0" type="noConversion"/>
  <printOptions horizontalCentered="1"/>
  <pageMargins left="0.25" right="0.24" top="1.08" bottom="0.27" header="0.32" footer="0.35"/>
  <pageSetup paperSize="5" scale="80" firstPageNumber="32" orientation="portrait" useFirstPageNumber="1" r:id="rId1"/>
  <headerFooter alignWithMargins="0">
    <oddHeader>&amp;L&amp;"Arial,Bold"&amp;18Table 4:  FY2013-14 Budget Letter &amp;20
Level 3 Supplementary Funding</oddHeader>
    <oddFooter>&amp;R&amp;12&amp;P</oddFooter>
  </headerFooter>
  <colBreaks count="2" manualBreakCount="2">
    <brk id="15" max="75" man="1"/>
    <brk id="19" max="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view="pageBreakPreview" zoomScaleNormal="80" zoomScaleSheetLayoutView="100" workbookViewId="0">
      <pane xSplit="2" ySplit="3" topLeftCell="C4" activePane="bottomRight" state="frozen"/>
      <selection activeCell="A8" sqref="A8:A9"/>
      <selection pane="topRight" activeCell="A8" sqref="A8:A9"/>
      <selection pane="bottomLeft" activeCell="A8" sqref="A8:A9"/>
      <selection pane="bottomRight"/>
    </sheetView>
  </sheetViews>
  <sheetFormatPr defaultColWidth="9.140625" defaultRowHeight="12.75"/>
  <cols>
    <col min="1" max="1" width="4.28515625" style="1283" customWidth="1"/>
    <col min="2" max="2" width="23" style="1283" customWidth="1"/>
    <col min="3" max="3" width="14.28515625" style="1283" customWidth="1"/>
    <col min="4" max="4" width="13.7109375" style="1283" customWidth="1"/>
    <col min="5" max="5" width="15.42578125" style="1228" customWidth="1"/>
    <col min="6" max="6" width="13.85546875" style="1228" customWidth="1"/>
    <col min="7" max="7" width="15.7109375" style="1228" customWidth="1"/>
    <col min="8" max="8" width="11" style="1228" customWidth="1"/>
    <col min="9" max="16384" width="9.140625" style="1228"/>
  </cols>
  <sheetData>
    <row r="1" spans="1:7" ht="88.5" customHeight="1">
      <c r="A1" s="1224" t="s">
        <v>183</v>
      </c>
      <c r="B1" s="1225" t="s">
        <v>242</v>
      </c>
      <c r="C1" s="2229" t="s">
        <v>769</v>
      </c>
      <c r="D1" s="1226" t="s">
        <v>229</v>
      </c>
      <c r="E1" s="2231" t="s">
        <v>770</v>
      </c>
      <c r="F1" s="1227" t="s">
        <v>230</v>
      </c>
      <c r="G1" s="2233" t="s">
        <v>85</v>
      </c>
    </row>
    <row r="2" spans="1:7">
      <c r="A2" s="1229"/>
      <c r="B2" s="1229"/>
      <c r="C2" s="2230"/>
      <c r="D2" s="1230">
        <v>6000</v>
      </c>
      <c r="E2" s="2232"/>
      <c r="F2" s="1231">
        <v>4000</v>
      </c>
      <c r="G2" s="2234"/>
    </row>
    <row r="3" spans="1:7">
      <c r="A3" s="1232"/>
      <c r="B3" s="1233"/>
      <c r="C3" s="1234">
        <f>B3+1</f>
        <v>1</v>
      </c>
      <c r="D3" s="1234">
        <f>C3+1</f>
        <v>2</v>
      </c>
      <c r="E3" s="1234">
        <f>D3+1</f>
        <v>3</v>
      </c>
      <c r="F3" s="1234">
        <f>E3+1</f>
        <v>4</v>
      </c>
      <c r="G3" s="1234">
        <f>F3+1</f>
        <v>5</v>
      </c>
    </row>
    <row r="4" spans="1:7">
      <c r="A4" s="1235">
        <v>1</v>
      </c>
      <c r="B4" s="1236" t="s">
        <v>92</v>
      </c>
      <c r="C4" s="1237">
        <v>0</v>
      </c>
      <c r="D4" s="1238">
        <f>ROUND($D$2*C4,0)</f>
        <v>0</v>
      </c>
      <c r="E4" s="1237">
        <v>0</v>
      </c>
      <c r="F4" s="1238">
        <f>ROUND($F$2*E4,0)</f>
        <v>0</v>
      </c>
      <c r="G4" s="1239">
        <f>D4+F4</f>
        <v>0</v>
      </c>
    </row>
    <row r="5" spans="1:7">
      <c r="A5" s="1235">
        <v>2</v>
      </c>
      <c r="B5" s="1236" t="s">
        <v>93</v>
      </c>
      <c r="C5" s="1237">
        <v>0</v>
      </c>
      <c r="D5" s="1238">
        <f t="shared" ref="D5:D68" si="0">ROUND($D$2*C5,0)</f>
        <v>0</v>
      </c>
      <c r="E5" s="1237">
        <v>0</v>
      </c>
      <c r="F5" s="1238">
        <f t="shared" ref="F5:F68" si="1">ROUND($F$2*E5,0)</f>
        <v>0</v>
      </c>
      <c r="G5" s="1239">
        <f t="shared" ref="G5:G68" si="2">D5+F5</f>
        <v>0</v>
      </c>
    </row>
    <row r="6" spans="1:7">
      <c r="A6" s="1235">
        <v>3</v>
      </c>
      <c r="B6" s="1236" t="s">
        <v>94</v>
      </c>
      <c r="C6" s="1237">
        <v>0</v>
      </c>
      <c r="D6" s="1238">
        <f t="shared" si="0"/>
        <v>0</v>
      </c>
      <c r="E6" s="1237">
        <v>0</v>
      </c>
      <c r="F6" s="1238">
        <f t="shared" si="1"/>
        <v>0</v>
      </c>
      <c r="G6" s="1239">
        <f t="shared" si="2"/>
        <v>0</v>
      </c>
    </row>
    <row r="7" spans="1:7">
      <c r="A7" s="1235">
        <v>4</v>
      </c>
      <c r="B7" s="1236" t="s">
        <v>95</v>
      </c>
      <c r="C7" s="1237">
        <v>3</v>
      </c>
      <c r="D7" s="1238">
        <f t="shared" si="0"/>
        <v>18000</v>
      </c>
      <c r="E7" s="1237">
        <v>1</v>
      </c>
      <c r="F7" s="1238">
        <f t="shared" si="1"/>
        <v>4000</v>
      </c>
      <c r="G7" s="1239">
        <f t="shared" si="2"/>
        <v>22000</v>
      </c>
    </row>
    <row r="8" spans="1:7">
      <c r="A8" s="1240">
        <v>5</v>
      </c>
      <c r="B8" s="1241" t="s">
        <v>96</v>
      </c>
      <c r="C8" s="1242">
        <v>0</v>
      </c>
      <c r="D8" s="1243">
        <f t="shared" si="0"/>
        <v>0</v>
      </c>
      <c r="E8" s="1242">
        <v>0</v>
      </c>
      <c r="F8" s="1243">
        <f t="shared" si="1"/>
        <v>0</v>
      </c>
      <c r="G8" s="1244">
        <f t="shared" si="2"/>
        <v>0</v>
      </c>
    </row>
    <row r="9" spans="1:7">
      <c r="A9" s="1235">
        <v>6</v>
      </c>
      <c r="B9" s="1236" t="s">
        <v>97</v>
      </c>
      <c r="C9" s="1237">
        <v>0</v>
      </c>
      <c r="D9" s="1238">
        <f t="shared" si="0"/>
        <v>0</v>
      </c>
      <c r="E9" s="1237">
        <v>0</v>
      </c>
      <c r="F9" s="1238">
        <f t="shared" si="1"/>
        <v>0</v>
      </c>
      <c r="G9" s="1239">
        <f t="shared" si="2"/>
        <v>0</v>
      </c>
    </row>
    <row r="10" spans="1:7">
      <c r="A10" s="1235">
        <v>7</v>
      </c>
      <c r="B10" s="1236" t="s">
        <v>98</v>
      </c>
      <c r="C10" s="1237">
        <v>0</v>
      </c>
      <c r="D10" s="1238">
        <f t="shared" si="0"/>
        <v>0</v>
      </c>
      <c r="E10" s="1237">
        <v>0</v>
      </c>
      <c r="F10" s="1238">
        <f t="shared" si="1"/>
        <v>0</v>
      </c>
      <c r="G10" s="1239">
        <f t="shared" si="2"/>
        <v>0</v>
      </c>
    </row>
    <row r="11" spans="1:7">
      <c r="A11" s="1235">
        <v>8</v>
      </c>
      <c r="B11" s="1236" t="s">
        <v>99</v>
      </c>
      <c r="C11" s="1237">
        <v>1</v>
      </c>
      <c r="D11" s="1238">
        <f t="shared" si="0"/>
        <v>6000</v>
      </c>
      <c r="E11" s="1237">
        <v>1</v>
      </c>
      <c r="F11" s="1238">
        <f t="shared" si="1"/>
        <v>4000</v>
      </c>
      <c r="G11" s="1239">
        <f t="shared" si="2"/>
        <v>10000</v>
      </c>
    </row>
    <row r="12" spans="1:7">
      <c r="A12" s="1235">
        <v>9</v>
      </c>
      <c r="B12" s="1236" t="s">
        <v>100</v>
      </c>
      <c r="C12" s="1237">
        <v>5</v>
      </c>
      <c r="D12" s="1238">
        <f t="shared" si="0"/>
        <v>30000</v>
      </c>
      <c r="E12" s="1237">
        <v>2</v>
      </c>
      <c r="F12" s="1238">
        <f t="shared" si="1"/>
        <v>8000</v>
      </c>
      <c r="G12" s="1239">
        <f t="shared" si="2"/>
        <v>38000</v>
      </c>
    </row>
    <row r="13" spans="1:7">
      <c r="A13" s="1240">
        <v>10</v>
      </c>
      <c r="B13" s="1241" t="s">
        <v>101</v>
      </c>
      <c r="C13" s="1242">
        <v>14</v>
      </c>
      <c r="D13" s="1243">
        <f t="shared" si="0"/>
        <v>84000</v>
      </c>
      <c r="E13" s="1242">
        <v>11</v>
      </c>
      <c r="F13" s="1243">
        <f t="shared" si="1"/>
        <v>44000</v>
      </c>
      <c r="G13" s="1244">
        <f t="shared" si="2"/>
        <v>128000</v>
      </c>
    </row>
    <row r="14" spans="1:7">
      <c r="A14" s="1235">
        <v>11</v>
      </c>
      <c r="B14" s="1236" t="s">
        <v>102</v>
      </c>
      <c r="C14" s="1237">
        <v>0</v>
      </c>
      <c r="D14" s="1238">
        <f t="shared" si="0"/>
        <v>0</v>
      </c>
      <c r="E14" s="1237">
        <v>0</v>
      </c>
      <c r="F14" s="1238">
        <f t="shared" si="1"/>
        <v>0</v>
      </c>
      <c r="G14" s="1239">
        <f t="shared" si="2"/>
        <v>0</v>
      </c>
    </row>
    <row r="15" spans="1:7">
      <c r="A15" s="1235">
        <v>12</v>
      </c>
      <c r="B15" s="1236" t="s">
        <v>103</v>
      </c>
      <c r="C15" s="1237">
        <v>0</v>
      </c>
      <c r="D15" s="1238">
        <f t="shared" si="0"/>
        <v>0</v>
      </c>
      <c r="E15" s="1237">
        <v>0</v>
      </c>
      <c r="F15" s="1238">
        <f t="shared" si="1"/>
        <v>0</v>
      </c>
      <c r="G15" s="1239">
        <f t="shared" si="2"/>
        <v>0</v>
      </c>
    </row>
    <row r="16" spans="1:7">
      <c r="A16" s="1235">
        <v>13</v>
      </c>
      <c r="B16" s="1236" t="s">
        <v>104</v>
      </c>
      <c r="C16" s="1237">
        <v>0</v>
      </c>
      <c r="D16" s="1238">
        <f t="shared" si="0"/>
        <v>0</v>
      </c>
      <c r="E16" s="1237">
        <v>0</v>
      </c>
      <c r="F16" s="1238">
        <f t="shared" si="1"/>
        <v>0</v>
      </c>
      <c r="G16" s="1239">
        <f t="shared" si="2"/>
        <v>0</v>
      </c>
    </row>
    <row r="17" spans="1:7">
      <c r="A17" s="1235">
        <v>14</v>
      </c>
      <c r="B17" s="1236" t="s">
        <v>105</v>
      </c>
      <c r="C17" s="1237">
        <v>0</v>
      </c>
      <c r="D17" s="1238">
        <f t="shared" si="0"/>
        <v>0</v>
      </c>
      <c r="E17" s="1237">
        <v>0</v>
      </c>
      <c r="F17" s="1238">
        <f t="shared" si="1"/>
        <v>0</v>
      </c>
      <c r="G17" s="1239">
        <f t="shared" si="2"/>
        <v>0</v>
      </c>
    </row>
    <row r="18" spans="1:7">
      <c r="A18" s="1240">
        <v>15</v>
      </c>
      <c r="B18" s="1241" t="s">
        <v>106</v>
      </c>
      <c r="C18" s="1242">
        <v>2</v>
      </c>
      <c r="D18" s="1243">
        <f t="shared" si="0"/>
        <v>12000</v>
      </c>
      <c r="E18" s="1242">
        <v>0</v>
      </c>
      <c r="F18" s="1243">
        <f t="shared" si="1"/>
        <v>0</v>
      </c>
      <c r="G18" s="1244">
        <f t="shared" si="2"/>
        <v>12000</v>
      </c>
    </row>
    <row r="19" spans="1:7">
      <c r="A19" s="1235">
        <v>16</v>
      </c>
      <c r="B19" s="1236" t="s">
        <v>107</v>
      </c>
      <c r="C19" s="1237">
        <v>0</v>
      </c>
      <c r="D19" s="1238">
        <f t="shared" si="0"/>
        <v>0</v>
      </c>
      <c r="E19" s="1237">
        <v>0</v>
      </c>
      <c r="F19" s="1238">
        <f t="shared" si="1"/>
        <v>0</v>
      </c>
      <c r="G19" s="1239">
        <f t="shared" si="2"/>
        <v>0</v>
      </c>
    </row>
    <row r="20" spans="1:7">
      <c r="A20" s="1235">
        <v>17</v>
      </c>
      <c r="B20" s="1236" t="s">
        <v>108</v>
      </c>
      <c r="C20" s="1237">
        <v>4</v>
      </c>
      <c r="D20" s="1238">
        <f t="shared" si="0"/>
        <v>24000</v>
      </c>
      <c r="E20" s="1237">
        <v>5</v>
      </c>
      <c r="F20" s="1238">
        <f t="shared" si="1"/>
        <v>20000</v>
      </c>
      <c r="G20" s="1239">
        <f t="shared" si="2"/>
        <v>44000</v>
      </c>
    </row>
    <row r="21" spans="1:7">
      <c r="A21" s="1235">
        <v>18</v>
      </c>
      <c r="B21" s="1236" t="s">
        <v>109</v>
      </c>
      <c r="C21" s="1237">
        <v>0</v>
      </c>
      <c r="D21" s="1238">
        <f t="shared" si="0"/>
        <v>0</v>
      </c>
      <c r="E21" s="1237">
        <v>0</v>
      </c>
      <c r="F21" s="1238">
        <f t="shared" si="1"/>
        <v>0</v>
      </c>
      <c r="G21" s="1239">
        <f t="shared" si="2"/>
        <v>0</v>
      </c>
    </row>
    <row r="22" spans="1:7">
      <c r="A22" s="1235">
        <v>19</v>
      </c>
      <c r="B22" s="1236" t="s">
        <v>110</v>
      </c>
      <c r="C22" s="1237">
        <v>0</v>
      </c>
      <c r="D22" s="1238">
        <f t="shared" si="0"/>
        <v>0</v>
      </c>
      <c r="E22" s="1237">
        <v>0</v>
      </c>
      <c r="F22" s="1238">
        <f t="shared" si="1"/>
        <v>0</v>
      </c>
      <c r="G22" s="1239">
        <f t="shared" si="2"/>
        <v>0</v>
      </c>
    </row>
    <row r="23" spans="1:7">
      <c r="A23" s="1240">
        <v>20</v>
      </c>
      <c r="B23" s="1241" t="s">
        <v>111</v>
      </c>
      <c r="C23" s="1242">
        <v>0</v>
      </c>
      <c r="D23" s="1243">
        <f t="shared" si="0"/>
        <v>0</v>
      </c>
      <c r="E23" s="1242">
        <v>0</v>
      </c>
      <c r="F23" s="1243">
        <f t="shared" si="1"/>
        <v>0</v>
      </c>
      <c r="G23" s="1244">
        <f t="shared" si="2"/>
        <v>0</v>
      </c>
    </row>
    <row r="24" spans="1:7">
      <c r="A24" s="1235">
        <v>21</v>
      </c>
      <c r="B24" s="1236" t="s">
        <v>112</v>
      </c>
      <c r="C24" s="1237">
        <v>0</v>
      </c>
      <c r="D24" s="1238">
        <f t="shared" si="0"/>
        <v>0</v>
      </c>
      <c r="E24" s="1237">
        <v>0</v>
      </c>
      <c r="F24" s="1238">
        <f t="shared" si="1"/>
        <v>0</v>
      </c>
      <c r="G24" s="1239">
        <f t="shared" si="2"/>
        <v>0</v>
      </c>
    </row>
    <row r="25" spans="1:7">
      <c r="A25" s="1235">
        <v>22</v>
      </c>
      <c r="B25" s="1236" t="s">
        <v>113</v>
      </c>
      <c r="C25" s="1237">
        <v>0</v>
      </c>
      <c r="D25" s="1238">
        <f t="shared" si="0"/>
        <v>0</v>
      </c>
      <c r="E25" s="1237">
        <v>0</v>
      </c>
      <c r="F25" s="1238">
        <f t="shared" si="1"/>
        <v>0</v>
      </c>
      <c r="G25" s="1239">
        <f t="shared" si="2"/>
        <v>0</v>
      </c>
    </row>
    <row r="26" spans="1:7">
      <c r="A26" s="1235">
        <v>23</v>
      </c>
      <c r="B26" s="1236" t="s">
        <v>114</v>
      </c>
      <c r="C26" s="1237">
        <v>1</v>
      </c>
      <c r="D26" s="1238">
        <f t="shared" si="0"/>
        <v>6000</v>
      </c>
      <c r="E26" s="1237">
        <v>5</v>
      </c>
      <c r="F26" s="1238">
        <f t="shared" si="1"/>
        <v>20000</v>
      </c>
      <c r="G26" s="1239">
        <f t="shared" si="2"/>
        <v>26000</v>
      </c>
    </row>
    <row r="27" spans="1:7">
      <c r="A27" s="1235">
        <v>24</v>
      </c>
      <c r="B27" s="1236" t="s">
        <v>115</v>
      </c>
      <c r="C27" s="1237">
        <v>0</v>
      </c>
      <c r="D27" s="1238">
        <f t="shared" si="0"/>
        <v>0</v>
      </c>
      <c r="E27" s="1237">
        <v>0</v>
      </c>
      <c r="F27" s="1238">
        <f t="shared" si="1"/>
        <v>0</v>
      </c>
      <c r="G27" s="1239">
        <f t="shared" si="2"/>
        <v>0</v>
      </c>
    </row>
    <row r="28" spans="1:7">
      <c r="A28" s="1240">
        <v>25</v>
      </c>
      <c r="B28" s="1241" t="s">
        <v>116</v>
      </c>
      <c r="C28" s="1242">
        <v>0</v>
      </c>
      <c r="D28" s="1243">
        <f t="shared" si="0"/>
        <v>0</v>
      </c>
      <c r="E28" s="1242">
        <v>0</v>
      </c>
      <c r="F28" s="1243">
        <f t="shared" si="1"/>
        <v>0</v>
      </c>
      <c r="G28" s="1244">
        <f t="shared" si="2"/>
        <v>0</v>
      </c>
    </row>
    <row r="29" spans="1:7">
      <c r="A29" s="1235">
        <v>26</v>
      </c>
      <c r="B29" s="1236" t="s">
        <v>117</v>
      </c>
      <c r="C29" s="1237">
        <v>1</v>
      </c>
      <c r="D29" s="1238">
        <f t="shared" si="0"/>
        <v>6000</v>
      </c>
      <c r="E29" s="1237">
        <v>0</v>
      </c>
      <c r="F29" s="1238">
        <f t="shared" si="1"/>
        <v>0</v>
      </c>
      <c r="G29" s="1239">
        <f t="shared" si="2"/>
        <v>6000</v>
      </c>
    </row>
    <row r="30" spans="1:7">
      <c r="A30" s="1235">
        <v>27</v>
      </c>
      <c r="B30" s="1236" t="s">
        <v>118</v>
      </c>
      <c r="C30" s="1237">
        <v>0</v>
      </c>
      <c r="D30" s="1238">
        <f t="shared" si="0"/>
        <v>0</v>
      </c>
      <c r="E30" s="1237">
        <v>0</v>
      </c>
      <c r="F30" s="1238">
        <f t="shared" si="1"/>
        <v>0</v>
      </c>
      <c r="G30" s="1239">
        <f t="shared" si="2"/>
        <v>0</v>
      </c>
    </row>
    <row r="31" spans="1:7">
      <c r="A31" s="1235">
        <v>28</v>
      </c>
      <c r="B31" s="1236" t="s">
        <v>119</v>
      </c>
      <c r="C31" s="1237">
        <v>8</v>
      </c>
      <c r="D31" s="1238">
        <f t="shared" si="0"/>
        <v>48000</v>
      </c>
      <c r="E31" s="1237">
        <v>7</v>
      </c>
      <c r="F31" s="1238">
        <f t="shared" si="1"/>
        <v>28000</v>
      </c>
      <c r="G31" s="1239">
        <f t="shared" si="2"/>
        <v>76000</v>
      </c>
    </row>
    <row r="32" spans="1:7">
      <c r="A32" s="1235">
        <v>29</v>
      </c>
      <c r="B32" s="1236" t="s">
        <v>120</v>
      </c>
      <c r="C32" s="1237">
        <v>6</v>
      </c>
      <c r="D32" s="1238">
        <f t="shared" si="0"/>
        <v>36000</v>
      </c>
      <c r="E32" s="1237">
        <v>2</v>
      </c>
      <c r="F32" s="1238">
        <f t="shared" si="1"/>
        <v>8000</v>
      </c>
      <c r="G32" s="1239">
        <f t="shared" si="2"/>
        <v>44000</v>
      </c>
    </row>
    <row r="33" spans="1:7">
      <c r="A33" s="1240">
        <v>30</v>
      </c>
      <c r="B33" s="1241" t="s">
        <v>121</v>
      </c>
      <c r="C33" s="1242">
        <v>0</v>
      </c>
      <c r="D33" s="1243">
        <f t="shared" si="0"/>
        <v>0</v>
      </c>
      <c r="E33" s="1242">
        <v>0</v>
      </c>
      <c r="F33" s="1243">
        <f t="shared" si="1"/>
        <v>0</v>
      </c>
      <c r="G33" s="1244">
        <f t="shared" si="2"/>
        <v>0</v>
      </c>
    </row>
    <row r="34" spans="1:7">
      <c r="A34" s="1235">
        <v>31</v>
      </c>
      <c r="B34" s="1236" t="s">
        <v>122</v>
      </c>
      <c r="C34" s="1237">
        <v>0</v>
      </c>
      <c r="D34" s="1238">
        <f t="shared" si="0"/>
        <v>0</v>
      </c>
      <c r="E34" s="1237">
        <v>0</v>
      </c>
      <c r="F34" s="1238">
        <f t="shared" si="1"/>
        <v>0</v>
      </c>
      <c r="G34" s="1239">
        <f t="shared" si="2"/>
        <v>0</v>
      </c>
    </row>
    <row r="35" spans="1:7">
      <c r="A35" s="1235">
        <v>32</v>
      </c>
      <c r="B35" s="1236" t="s">
        <v>123</v>
      </c>
      <c r="C35" s="1237">
        <v>0</v>
      </c>
      <c r="D35" s="1238">
        <f t="shared" si="0"/>
        <v>0</v>
      </c>
      <c r="E35" s="1237">
        <v>0</v>
      </c>
      <c r="F35" s="1238">
        <f t="shared" si="1"/>
        <v>0</v>
      </c>
      <c r="G35" s="1239">
        <f t="shared" si="2"/>
        <v>0</v>
      </c>
    </row>
    <row r="36" spans="1:7">
      <c r="A36" s="1235">
        <v>33</v>
      </c>
      <c r="B36" s="1236" t="s">
        <v>124</v>
      </c>
      <c r="C36" s="1237">
        <v>0</v>
      </c>
      <c r="D36" s="1238">
        <f t="shared" si="0"/>
        <v>0</v>
      </c>
      <c r="E36" s="1237">
        <v>0</v>
      </c>
      <c r="F36" s="1238">
        <f t="shared" si="1"/>
        <v>0</v>
      </c>
      <c r="G36" s="1239">
        <f t="shared" si="2"/>
        <v>0</v>
      </c>
    </row>
    <row r="37" spans="1:7">
      <c r="A37" s="1235">
        <v>34</v>
      </c>
      <c r="B37" s="1236" t="s">
        <v>125</v>
      </c>
      <c r="C37" s="1237">
        <v>0</v>
      </c>
      <c r="D37" s="1238">
        <f t="shared" si="0"/>
        <v>0</v>
      </c>
      <c r="E37" s="1237">
        <v>0</v>
      </c>
      <c r="F37" s="1238">
        <f t="shared" si="1"/>
        <v>0</v>
      </c>
      <c r="G37" s="1239">
        <f t="shared" si="2"/>
        <v>0</v>
      </c>
    </row>
    <row r="38" spans="1:7">
      <c r="A38" s="1240">
        <v>35</v>
      </c>
      <c r="B38" s="1241" t="s">
        <v>126</v>
      </c>
      <c r="C38" s="1242">
        <v>0</v>
      </c>
      <c r="D38" s="1243">
        <f t="shared" si="0"/>
        <v>0</v>
      </c>
      <c r="E38" s="1242">
        <v>0</v>
      </c>
      <c r="F38" s="1243">
        <f t="shared" si="1"/>
        <v>0</v>
      </c>
      <c r="G38" s="1244">
        <f t="shared" si="2"/>
        <v>0</v>
      </c>
    </row>
    <row r="39" spans="1:7">
      <c r="A39" s="1235">
        <v>36</v>
      </c>
      <c r="B39" s="1236" t="s">
        <v>127</v>
      </c>
      <c r="C39" s="1237">
        <v>8</v>
      </c>
      <c r="D39" s="1238">
        <f t="shared" si="0"/>
        <v>48000</v>
      </c>
      <c r="E39" s="1237">
        <v>9</v>
      </c>
      <c r="F39" s="1238">
        <f t="shared" si="1"/>
        <v>36000</v>
      </c>
      <c r="G39" s="1239">
        <f t="shared" si="2"/>
        <v>84000</v>
      </c>
    </row>
    <row r="40" spans="1:7">
      <c r="A40" s="1235">
        <v>37</v>
      </c>
      <c r="B40" s="1236" t="s">
        <v>128</v>
      </c>
      <c r="C40" s="1237">
        <v>0</v>
      </c>
      <c r="D40" s="1238">
        <f t="shared" si="0"/>
        <v>0</v>
      </c>
      <c r="E40" s="1237">
        <v>0</v>
      </c>
      <c r="F40" s="1238">
        <f t="shared" si="1"/>
        <v>0</v>
      </c>
      <c r="G40" s="1239">
        <f t="shared" si="2"/>
        <v>0</v>
      </c>
    </row>
    <row r="41" spans="1:7">
      <c r="A41" s="1235">
        <v>38</v>
      </c>
      <c r="B41" s="1236" t="s">
        <v>129</v>
      </c>
      <c r="C41" s="1237">
        <v>0</v>
      </c>
      <c r="D41" s="1238">
        <f t="shared" si="0"/>
        <v>0</v>
      </c>
      <c r="E41" s="1237">
        <v>1</v>
      </c>
      <c r="F41" s="1238">
        <f t="shared" si="1"/>
        <v>4000</v>
      </c>
      <c r="G41" s="1239">
        <f t="shared" si="2"/>
        <v>4000</v>
      </c>
    </row>
    <row r="42" spans="1:7">
      <c r="A42" s="1235">
        <v>39</v>
      </c>
      <c r="B42" s="1236" t="s">
        <v>130</v>
      </c>
      <c r="C42" s="1237">
        <v>0</v>
      </c>
      <c r="D42" s="1238">
        <f t="shared" si="0"/>
        <v>0</v>
      </c>
      <c r="E42" s="1237">
        <v>0</v>
      </c>
      <c r="F42" s="1238">
        <f t="shared" si="1"/>
        <v>0</v>
      </c>
      <c r="G42" s="1239">
        <f t="shared" si="2"/>
        <v>0</v>
      </c>
    </row>
    <row r="43" spans="1:7">
      <c r="A43" s="1240">
        <v>40</v>
      </c>
      <c r="B43" s="1241" t="s">
        <v>131</v>
      </c>
      <c r="C43" s="1242">
        <v>0</v>
      </c>
      <c r="D43" s="1243">
        <f t="shared" si="0"/>
        <v>0</v>
      </c>
      <c r="E43" s="1242">
        <v>0</v>
      </c>
      <c r="F43" s="1243">
        <f t="shared" si="1"/>
        <v>0</v>
      </c>
      <c r="G43" s="1244">
        <f t="shared" si="2"/>
        <v>0</v>
      </c>
    </row>
    <row r="44" spans="1:7">
      <c r="A44" s="1235">
        <v>41</v>
      </c>
      <c r="B44" s="1236" t="s">
        <v>132</v>
      </c>
      <c r="C44" s="1237">
        <v>0</v>
      </c>
      <c r="D44" s="1238">
        <f t="shared" si="0"/>
        <v>0</v>
      </c>
      <c r="E44" s="1237">
        <v>0</v>
      </c>
      <c r="F44" s="1238">
        <f t="shared" si="1"/>
        <v>0</v>
      </c>
      <c r="G44" s="1239">
        <f t="shared" si="2"/>
        <v>0</v>
      </c>
    </row>
    <row r="45" spans="1:7">
      <c r="A45" s="1235">
        <v>42</v>
      </c>
      <c r="B45" s="1236" t="s">
        <v>133</v>
      </c>
      <c r="C45" s="1237">
        <v>0</v>
      </c>
      <c r="D45" s="1238">
        <f t="shared" si="0"/>
        <v>0</v>
      </c>
      <c r="E45" s="1237">
        <v>0</v>
      </c>
      <c r="F45" s="1238">
        <f t="shared" si="1"/>
        <v>0</v>
      </c>
      <c r="G45" s="1239">
        <f t="shared" si="2"/>
        <v>0</v>
      </c>
    </row>
    <row r="46" spans="1:7">
      <c r="A46" s="1235">
        <v>43</v>
      </c>
      <c r="B46" s="1236" t="s">
        <v>134</v>
      </c>
      <c r="C46" s="1237">
        <v>0</v>
      </c>
      <c r="D46" s="1238">
        <f t="shared" si="0"/>
        <v>0</v>
      </c>
      <c r="E46" s="1237">
        <v>0</v>
      </c>
      <c r="F46" s="1238">
        <f t="shared" si="1"/>
        <v>0</v>
      </c>
      <c r="G46" s="1239">
        <f t="shared" si="2"/>
        <v>0</v>
      </c>
    </row>
    <row r="47" spans="1:7">
      <c r="A47" s="1235">
        <v>44</v>
      </c>
      <c r="B47" s="1236" t="s">
        <v>135</v>
      </c>
      <c r="C47" s="1237">
        <v>0</v>
      </c>
      <c r="D47" s="1238">
        <f t="shared" si="0"/>
        <v>0</v>
      </c>
      <c r="E47" s="1237">
        <v>0</v>
      </c>
      <c r="F47" s="1238">
        <f t="shared" si="1"/>
        <v>0</v>
      </c>
      <c r="G47" s="1239">
        <f t="shared" si="2"/>
        <v>0</v>
      </c>
    </row>
    <row r="48" spans="1:7">
      <c r="A48" s="1240">
        <v>45</v>
      </c>
      <c r="B48" s="1241" t="s">
        <v>136</v>
      </c>
      <c r="C48" s="1242">
        <v>0</v>
      </c>
      <c r="D48" s="1243">
        <f t="shared" si="0"/>
        <v>0</v>
      </c>
      <c r="E48" s="1242">
        <v>0</v>
      </c>
      <c r="F48" s="1243">
        <f t="shared" si="1"/>
        <v>0</v>
      </c>
      <c r="G48" s="1244">
        <f t="shared" si="2"/>
        <v>0</v>
      </c>
    </row>
    <row r="49" spans="1:7">
      <c r="A49" s="1235">
        <v>46</v>
      </c>
      <c r="B49" s="1236" t="s">
        <v>137</v>
      </c>
      <c r="C49" s="1237">
        <v>0</v>
      </c>
      <c r="D49" s="1238">
        <f t="shared" si="0"/>
        <v>0</v>
      </c>
      <c r="E49" s="1237">
        <v>0</v>
      </c>
      <c r="F49" s="1238">
        <f t="shared" si="1"/>
        <v>0</v>
      </c>
      <c r="G49" s="1239">
        <f t="shared" si="2"/>
        <v>0</v>
      </c>
    </row>
    <row r="50" spans="1:7">
      <c r="A50" s="1235">
        <v>47</v>
      </c>
      <c r="B50" s="1236" t="s">
        <v>138</v>
      </c>
      <c r="C50" s="1237">
        <v>0</v>
      </c>
      <c r="D50" s="1238">
        <f t="shared" si="0"/>
        <v>0</v>
      </c>
      <c r="E50" s="1237">
        <v>0</v>
      </c>
      <c r="F50" s="1238">
        <f t="shared" si="1"/>
        <v>0</v>
      </c>
      <c r="G50" s="1239">
        <f t="shared" si="2"/>
        <v>0</v>
      </c>
    </row>
    <row r="51" spans="1:7">
      <c r="A51" s="1235">
        <v>48</v>
      </c>
      <c r="B51" s="1236" t="s">
        <v>195</v>
      </c>
      <c r="C51" s="1237">
        <v>0</v>
      </c>
      <c r="D51" s="1238">
        <f t="shared" si="0"/>
        <v>0</v>
      </c>
      <c r="E51" s="1237">
        <v>0</v>
      </c>
      <c r="F51" s="1238">
        <f t="shared" si="1"/>
        <v>0</v>
      </c>
      <c r="G51" s="1239">
        <f t="shared" si="2"/>
        <v>0</v>
      </c>
    </row>
    <row r="52" spans="1:7">
      <c r="A52" s="1235">
        <v>49</v>
      </c>
      <c r="B52" s="1236" t="s">
        <v>139</v>
      </c>
      <c r="C52" s="1237">
        <v>0</v>
      </c>
      <c r="D52" s="1238">
        <f t="shared" si="0"/>
        <v>0</v>
      </c>
      <c r="E52" s="1237">
        <v>0</v>
      </c>
      <c r="F52" s="1238">
        <f t="shared" si="1"/>
        <v>0</v>
      </c>
      <c r="G52" s="1239">
        <f t="shared" si="2"/>
        <v>0</v>
      </c>
    </row>
    <row r="53" spans="1:7">
      <c r="A53" s="1240">
        <v>50</v>
      </c>
      <c r="B53" s="1241" t="s">
        <v>140</v>
      </c>
      <c r="C53" s="1242">
        <v>2</v>
      </c>
      <c r="D53" s="1243">
        <f t="shared" si="0"/>
        <v>12000</v>
      </c>
      <c r="E53" s="1242">
        <v>3</v>
      </c>
      <c r="F53" s="1243">
        <f t="shared" si="1"/>
        <v>12000</v>
      </c>
      <c r="G53" s="1244">
        <f t="shared" si="2"/>
        <v>24000</v>
      </c>
    </row>
    <row r="54" spans="1:7">
      <c r="A54" s="1235">
        <v>51</v>
      </c>
      <c r="B54" s="1236" t="s">
        <v>141</v>
      </c>
      <c r="C54" s="1237">
        <v>0</v>
      </c>
      <c r="D54" s="1238">
        <f t="shared" si="0"/>
        <v>0</v>
      </c>
      <c r="E54" s="1237">
        <v>0</v>
      </c>
      <c r="F54" s="1238">
        <f t="shared" si="1"/>
        <v>0</v>
      </c>
      <c r="G54" s="1239">
        <f t="shared" si="2"/>
        <v>0</v>
      </c>
    </row>
    <row r="55" spans="1:7">
      <c r="A55" s="1235">
        <v>52</v>
      </c>
      <c r="B55" s="1236" t="s">
        <v>142</v>
      </c>
      <c r="C55" s="1237">
        <v>0</v>
      </c>
      <c r="D55" s="1238">
        <f t="shared" si="0"/>
        <v>0</v>
      </c>
      <c r="E55" s="1237">
        <v>0</v>
      </c>
      <c r="F55" s="1238">
        <f t="shared" si="1"/>
        <v>0</v>
      </c>
      <c r="G55" s="1239">
        <f t="shared" si="2"/>
        <v>0</v>
      </c>
    </row>
    <row r="56" spans="1:7">
      <c r="A56" s="1235">
        <v>53</v>
      </c>
      <c r="B56" s="1236" t="s">
        <v>143</v>
      </c>
      <c r="C56" s="1237">
        <v>3</v>
      </c>
      <c r="D56" s="1238">
        <f t="shared" si="0"/>
        <v>18000</v>
      </c>
      <c r="E56" s="1237">
        <v>1</v>
      </c>
      <c r="F56" s="1238">
        <f t="shared" si="1"/>
        <v>4000</v>
      </c>
      <c r="G56" s="1239">
        <f t="shared" si="2"/>
        <v>22000</v>
      </c>
    </row>
    <row r="57" spans="1:7">
      <c r="A57" s="1235">
        <v>54</v>
      </c>
      <c r="B57" s="1236" t="s">
        <v>144</v>
      </c>
      <c r="C57" s="1237">
        <v>0</v>
      </c>
      <c r="D57" s="1238">
        <f t="shared" si="0"/>
        <v>0</v>
      </c>
      <c r="E57" s="1237">
        <v>0</v>
      </c>
      <c r="F57" s="1238">
        <f t="shared" si="1"/>
        <v>0</v>
      </c>
      <c r="G57" s="1239">
        <f t="shared" si="2"/>
        <v>0</v>
      </c>
    </row>
    <row r="58" spans="1:7">
      <c r="A58" s="1240">
        <v>55</v>
      </c>
      <c r="B58" s="1241" t="s">
        <v>145</v>
      </c>
      <c r="C58" s="1242">
        <v>0</v>
      </c>
      <c r="D58" s="1243">
        <f t="shared" si="0"/>
        <v>0</v>
      </c>
      <c r="E58" s="1242">
        <v>0</v>
      </c>
      <c r="F58" s="1243">
        <f t="shared" si="1"/>
        <v>0</v>
      </c>
      <c r="G58" s="1244">
        <f t="shared" si="2"/>
        <v>0</v>
      </c>
    </row>
    <row r="59" spans="1:7">
      <c r="A59" s="1235">
        <v>56</v>
      </c>
      <c r="B59" s="1236" t="s">
        <v>146</v>
      </c>
      <c r="C59" s="1237">
        <v>0</v>
      </c>
      <c r="D59" s="1238">
        <f t="shared" si="0"/>
        <v>0</v>
      </c>
      <c r="E59" s="1237">
        <v>0</v>
      </c>
      <c r="F59" s="1238">
        <f t="shared" si="1"/>
        <v>0</v>
      </c>
      <c r="G59" s="1239">
        <f t="shared" si="2"/>
        <v>0</v>
      </c>
    </row>
    <row r="60" spans="1:7">
      <c r="A60" s="1235">
        <v>57</v>
      </c>
      <c r="B60" s="1236" t="s">
        <v>147</v>
      </c>
      <c r="C60" s="1237">
        <v>0</v>
      </c>
      <c r="D60" s="1238">
        <f t="shared" si="0"/>
        <v>0</v>
      </c>
      <c r="E60" s="1237">
        <v>0</v>
      </c>
      <c r="F60" s="1238">
        <f t="shared" si="1"/>
        <v>0</v>
      </c>
      <c r="G60" s="1239">
        <f t="shared" si="2"/>
        <v>0</v>
      </c>
    </row>
    <row r="61" spans="1:7">
      <c r="A61" s="1235">
        <v>58</v>
      </c>
      <c r="B61" s="1236" t="s">
        <v>148</v>
      </c>
      <c r="C61" s="1237">
        <v>0</v>
      </c>
      <c r="D61" s="1238">
        <f t="shared" si="0"/>
        <v>0</v>
      </c>
      <c r="E61" s="1237">
        <v>0</v>
      </c>
      <c r="F61" s="1238">
        <f t="shared" si="1"/>
        <v>0</v>
      </c>
      <c r="G61" s="1239">
        <f t="shared" si="2"/>
        <v>0</v>
      </c>
    </row>
    <row r="62" spans="1:7">
      <c r="A62" s="1235">
        <v>59</v>
      </c>
      <c r="B62" s="1236" t="s">
        <v>149</v>
      </c>
      <c r="C62" s="1237">
        <v>0</v>
      </c>
      <c r="D62" s="1238">
        <f t="shared" si="0"/>
        <v>0</v>
      </c>
      <c r="E62" s="1237">
        <v>0</v>
      </c>
      <c r="F62" s="1238">
        <f t="shared" si="1"/>
        <v>0</v>
      </c>
      <c r="G62" s="1239">
        <f t="shared" si="2"/>
        <v>0</v>
      </c>
    </row>
    <row r="63" spans="1:7">
      <c r="A63" s="1240">
        <v>60</v>
      </c>
      <c r="B63" s="1241" t="s">
        <v>150</v>
      </c>
      <c r="C63" s="1242">
        <v>0</v>
      </c>
      <c r="D63" s="1243">
        <f t="shared" si="0"/>
        <v>0</v>
      </c>
      <c r="E63" s="1242">
        <v>0</v>
      </c>
      <c r="F63" s="1243">
        <f t="shared" si="1"/>
        <v>0</v>
      </c>
      <c r="G63" s="1244">
        <f t="shared" si="2"/>
        <v>0</v>
      </c>
    </row>
    <row r="64" spans="1:7">
      <c r="A64" s="1235">
        <v>61</v>
      </c>
      <c r="B64" s="1236" t="s">
        <v>151</v>
      </c>
      <c r="C64" s="1237">
        <v>0</v>
      </c>
      <c r="D64" s="1238">
        <f t="shared" si="0"/>
        <v>0</v>
      </c>
      <c r="E64" s="1237">
        <v>0</v>
      </c>
      <c r="F64" s="1238">
        <f t="shared" si="1"/>
        <v>0</v>
      </c>
      <c r="G64" s="1239">
        <f t="shared" si="2"/>
        <v>0</v>
      </c>
    </row>
    <row r="65" spans="1:7">
      <c r="A65" s="1235">
        <v>62</v>
      </c>
      <c r="B65" s="1236" t="s">
        <v>152</v>
      </c>
      <c r="C65" s="1237">
        <v>0</v>
      </c>
      <c r="D65" s="1238">
        <f t="shared" si="0"/>
        <v>0</v>
      </c>
      <c r="E65" s="1237">
        <v>0</v>
      </c>
      <c r="F65" s="1238">
        <f t="shared" si="1"/>
        <v>0</v>
      </c>
      <c r="G65" s="1239">
        <f t="shared" si="2"/>
        <v>0</v>
      </c>
    </row>
    <row r="66" spans="1:7">
      <c r="A66" s="1235">
        <v>63</v>
      </c>
      <c r="B66" s="1236" t="s">
        <v>153</v>
      </c>
      <c r="C66" s="1237">
        <v>0</v>
      </c>
      <c r="D66" s="1238">
        <f t="shared" si="0"/>
        <v>0</v>
      </c>
      <c r="E66" s="1237">
        <v>0</v>
      </c>
      <c r="F66" s="1238">
        <f t="shared" si="1"/>
        <v>0</v>
      </c>
      <c r="G66" s="1239">
        <f t="shared" si="2"/>
        <v>0</v>
      </c>
    </row>
    <row r="67" spans="1:7">
      <c r="A67" s="1235">
        <v>64</v>
      </c>
      <c r="B67" s="1236" t="s">
        <v>154</v>
      </c>
      <c r="C67" s="1237">
        <v>0</v>
      </c>
      <c r="D67" s="1238">
        <f t="shared" si="0"/>
        <v>0</v>
      </c>
      <c r="E67" s="1237">
        <v>0</v>
      </c>
      <c r="F67" s="1238">
        <f t="shared" si="1"/>
        <v>0</v>
      </c>
      <c r="G67" s="1239">
        <f t="shared" si="2"/>
        <v>0</v>
      </c>
    </row>
    <row r="68" spans="1:7">
      <c r="A68" s="1240">
        <v>65</v>
      </c>
      <c r="B68" s="1241" t="s">
        <v>155</v>
      </c>
      <c r="C68" s="1245">
        <v>0</v>
      </c>
      <c r="D68" s="1243">
        <f t="shared" si="0"/>
        <v>0</v>
      </c>
      <c r="E68" s="1245">
        <v>0</v>
      </c>
      <c r="F68" s="1243">
        <f t="shared" si="1"/>
        <v>0</v>
      </c>
      <c r="G68" s="1244">
        <f t="shared" si="2"/>
        <v>0</v>
      </c>
    </row>
    <row r="69" spans="1:7">
      <c r="A69" s="1246">
        <v>66</v>
      </c>
      <c r="B69" s="1247" t="s">
        <v>156</v>
      </c>
      <c r="C69" s="1248">
        <v>0</v>
      </c>
      <c r="D69" s="1249">
        <f>ROUND($D$2*C69,0)</f>
        <v>0</v>
      </c>
      <c r="E69" s="1248">
        <v>0</v>
      </c>
      <c r="F69" s="1249">
        <f>ROUND($F$2*E69,0)</f>
        <v>0</v>
      </c>
      <c r="G69" s="1250">
        <f>D69+F69</f>
        <v>0</v>
      </c>
    </row>
    <row r="70" spans="1:7">
      <c r="A70" s="1251">
        <v>67</v>
      </c>
      <c r="B70" s="1252" t="s">
        <v>32</v>
      </c>
      <c r="C70" s="1237">
        <v>0</v>
      </c>
      <c r="D70" s="1238">
        <f>ROUND($D$2*C70,0)</f>
        <v>0</v>
      </c>
      <c r="E70" s="1237">
        <v>0</v>
      </c>
      <c r="F70" s="1238">
        <f>ROUND($F$2*E70,0)</f>
        <v>0</v>
      </c>
      <c r="G70" s="1239">
        <f>D70+F70</f>
        <v>0</v>
      </c>
    </row>
    <row r="71" spans="1:7">
      <c r="A71" s="1235">
        <v>68</v>
      </c>
      <c r="B71" s="1236" t="s">
        <v>30</v>
      </c>
      <c r="C71" s="1237">
        <v>0</v>
      </c>
      <c r="D71" s="1238">
        <f>ROUND($D$2*C71,0)</f>
        <v>0</v>
      </c>
      <c r="E71" s="1237">
        <v>0</v>
      </c>
      <c r="F71" s="1238">
        <f>ROUND($F$2*E71,0)</f>
        <v>0</v>
      </c>
      <c r="G71" s="1239">
        <f>D71+F71</f>
        <v>0</v>
      </c>
    </row>
    <row r="72" spans="1:7">
      <c r="A72" s="1240">
        <v>69</v>
      </c>
      <c r="B72" s="1241" t="s">
        <v>205</v>
      </c>
      <c r="C72" s="1245">
        <v>0</v>
      </c>
      <c r="D72" s="1243">
        <f>ROUND($D$2*C72,0)</f>
        <v>0</v>
      </c>
      <c r="E72" s="1245">
        <v>0</v>
      </c>
      <c r="F72" s="1243">
        <f>ROUND($F$2*E72,0)</f>
        <v>0</v>
      </c>
      <c r="G72" s="1244">
        <f>D72+F72</f>
        <v>0</v>
      </c>
    </row>
    <row r="73" spans="1:7" ht="13.5" thickBot="1">
      <c r="A73" s="1253"/>
      <c r="B73" s="1254" t="s">
        <v>731</v>
      </c>
      <c r="C73" s="415">
        <f>SUM(C4:C72)</f>
        <v>58</v>
      </c>
      <c r="D73" s="1255">
        <f>SUM(D4:D72)</f>
        <v>348000</v>
      </c>
      <c r="E73" s="415">
        <f>SUM(E4:E72)</f>
        <v>48</v>
      </c>
      <c r="F73" s="1255">
        <f>SUM(F4:F72)</f>
        <v>192000</v>
      </c>
      <c r="G73" s="1256">
        <f>SUM(G4:G72)</f>
        <v>540000</v>
      </c>
    </row>
    <row r="74" spans="1:7" ht="13.5" thickTop="1">
      <c r="A74" s="1257"/>
      <c r="B74" s="1258" t="s">
        <v>732</v>
      </c>
      <c r="C74" s="1259">
        <v>6</v>
      </c>
      <c r="D74" s="1260">
        <f t="shared" ref="D74:D75" si="3">ROUND($D$2*C74,0)</f>
        <v>36000</v>
      </c>
      <c r="E74" s="1261">
        <v>10</v>
      </c>
      <c r="F74" s="1260">
        <f t="shared" ref="F74:F75" si="4">ROUND($F$2*E74,0)</f>
        <v>40000</v>
      </c>
      <c r="G74" s="1262">
        <f t="shared" ref="G74:G75" si="5">D74+F74</f>
        <v>76000</v>
      </c>
    </row>
    <row r="75" spans="1:7">
      <c r="A75" s="1263"/>
      <c r="B75" s="1264" t="s">
        <v>733</v>
      </c>
      <c r="C75" s="1265">
        <v>15</v>
      </c>
      <c r="D75" s="1266">
        <f t="shared" si="3"/>
        <v>90000</v>
      </c>
      <c r="E75" s="1265">
        <v>7</v>
      </c>
      <c r="F75" s="1266">
        <f t="shared" si="4"/>
        <v>28000</v>
      </c>
      <c r="G75" s="1267">
        <f t="shared" si="5"/>
        <v>118000</v>
      </c>
    </row>
    <row r="76" spans="1:7" ht="13.5" thickBot="1">
      <c r="A76" s="1268"/>
      <c r="B76" s="1269" t="s">
        <v>734</v>
      </c>
      <c r="C76" s="1270">
        <f>SUM(C74:C75)</f>
        <v>21</v>
      </c>
      <c r="D76" s="1271">
        <f t="shared" ref="D76:G76" si="6">SUM(D74:D75)</f>
        <v>126000</v>
      </c>
      <c r="E76" s="1270">
        <f t="shared" si="6"/>
        <v>17</v>
      </c>
      <c r="F76" s="1271">
        <f t="shared" si="6"/>
        <v>68000</v>
      </c>
      <c r="G76" s="1272">
        <f t="shared" si="6"/>
        <v>194000</v>
      </c>
    </row>
    <row r="77" spans="1:7" ht="14.25" thickTop="1" thickBot="1">
      <c r="A77" s="1273"/>
      <c r="B77" s="1269" t="s">
        <v>735</v>
      </c>
      <c r="C77" s="1270">
        <f>SUM(C76,C73)</f>
        <v>79</v>
      </c>
      <c r="D77" s="1274">
        <f t="shared" ref="D77:G77" si="7">SUM(D76,D73)</f>
        <v>474000</v>
      </c>
      <c r="E77" s="1270">
        <f t="shared" si="7"/>
        <v>65</v>
      </c>
      <c r="F77" s="1275">
        <f t="shared" si="7"/>
        <v>260000</v>
      </c>
      <c r="G77" s="1276">
        <f t="shared" si="7"/>
        <v>734000</v>
      </c>
    </row>
    <row r="78" spans="1:7" s="1280" customFormat="1" ht="13.5" thickTop="1">
      <c r="A78" s="1277"/>
      <c r="B78" s="1278"/>
      <c r="C78" s="1279"/>
      <c r="D78" s="1279"/>
    </row>
    <row r="79" spans="1:7" s="1280" customFormat="1">
      <c r="A79" s="1281"/>
      <c r="B79" s="1282"/>
      <c r="C79" s="1279"/>
      <c r="D79" s="1279"/>
    </row>
    <row r="80" spans="1:7" s="1280" customFormat="1">
      <c r="A80" s="1281"/>
      <c r="B80" s="1282"/>
      <c r="C80" s="1279"/>
      <c r="D80" s="1279"/>
    </row>
    <row r="81" spans="1:4" s="1280" customFormat="1">
      <c r="A81" s="1279"/>
      <c r="B81" s="1279"/>
      <c r="C81" s="1279"/>
      <c r="D81" s="1279"/>
    </row>
    <row r="82" spans="1:4" s="1280" customFormat="1">
      <c r="A82" s="1279"/>
      <c r="B82" s="1279"/>
      <c r="C82" s="1279"/>
      <c r="D82" s="1279"/>
    </row>
    <row r="83" spans="1:4" s="1280" customFormat="1">
      <c r="A83" s="1279"/>
      <c r="B83" s="1279"/>
      <c r="C83" s="1279"/>
      <c r="D83" s="1279"/>
    </row>
  </sheetData>
  <mergeCells count="3">
    <mergeCell ref="C1:C2"/>
    <mergeCell ref="E1:E2"/>
    <mergeCell ref="G1:G2"/>
  </mergeCells>
  <printOptions horizontalCentered="1"/>
  <pageMargins left="0.75" right="0.75" top="1.32" bottom="0.35" header="0.52" footer="0.35"/>
  <pageSetup paperSize="5" scale="80" firstPageNumber="35" orientation="portrait" useFirstPageNumber="1" r:id="rId1"/>
  <headerFooter alignWithMargins="0">
    <oddHeader>&amp;L&amp;"Arial,Bold"&amp;18Table 4A: &amp;20 &amp;18FY2013-14 Budget Letter&amp;20 &amp;"Arial,Regular"&amp;10
&amp;18Foreign Associate Teacher Stipends (Preliminary)</oddHead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view="pageBreakPreview" zoomScale="80" zoomScaleNormal="75" zoomScaleSheetLayoutView="80" workbookViewId="0">
      <selection activeCell="A4" sqref="A4"/>
    </sheetView>
  </sheetViews>
  <sheetFormatPr defaultRowHeight="12.75"/>
  <cols>
    <col min="1" max="1" width="23.85546875" bestFit="1" customWidth="1"/>
    <col min="2" max="2" width="11.7109375" bestFit="1" customWidth="1"/>
    <col min="3" max="3" width="14.5703125" bestFit="1" customWidth="1"/>
    <col min="4" max="4" width="16.7109375" bestFit="1" customWidth="1"/>
    <col min="5" max="5" width="12.28515625" bestFit="1" customWidth="1"/>
    <col min="6" max="6" width="14.5703125" bestFit="1" customWidth="1"/>
    <col min="7" max="7" width="11.5703125" bestFit="1" customWidth="1"/>
    <col min="8" max="8" width="12.7109375" style="1464" bestFit="1" customWidth="1"/>
    <col min="9" max="9" width="13.5703125" style="1464" bestFit="1" customWidth="1"/>
    <col min="10" max="10" width="10.85546875" style="1464" bestFit="1" customWidth="1"/>
    <col min="11" max="11" width="11.85546875" style="1464" bestFit="1" customWidth="1"/>
    <col min="12" max="13" width="11.85546875" bestFit="1" customWidth="1"/>
    <col min="14" max="14" width="13.5703125" style="1464" bestFit="1" customWidth="1"/>
    <col min="15" max="15" width="12.42578125" style="1464" bestFit="1" customWidth="1"/>
    <col min="16" max="16" width="13.42578125" bestFit="1" customWidth="1"/>
    <col min="17" max="17" width="13.42578125" customWidth="1"/>
  </cols>
  <sheetData>
    <row r="1" spans="1:16" s="2" customFormat="1" ht="33" customHeight="1">
      <c r="A1" s="2241" t="s">
        <v>928</v>
      </c>
      <c r="B1" s="2241"/>
      <c r="C1" s="2241"/>
      <c r="D1" s="2241"/>
      <c r="E1" s="2241"/>
      <c r="F1" s="2241"/>
      <c r="G1" s="2241"/>
      <c r="H1" s="1567"/>
      <c r="I1" s="1567"/>
      <c r="J1" s="1567"/>
      <c r="K1" s="1567"/>
    </row>
    <row r="2" spans="1:16" ht="28.15" hidden="1" customHeight="1">
      <c r="B2" s="73" t="s">
        <v>74</v>
      </c>
      <c r="C2" s="73"/>
      <c r="D2" s="74" t="s">
        <v>198</v>
      </c>
      <c r="E2" s="121"/>
      <c r="F2" s="35"/>
      <c r="G2" s="35"/>
      <c r="H2" s="35"/>
      <c r="I2" s="35"/>
      <c r="J2" s="35"/>
      <c r="K2" s="35"/>
    </row>
    <row r="3" spans="1:16" ht="26.25" customHeight="1">
      <c r="A3" s="2241" t="s">
        <v>417</v>
      </c>
      <c r="B3" s="2241"/>
      <c r="C3" s="2241"/>
      <c r="D3" s="2241"/>
      <c r="E3" s="2241"/>
      <c r="F3" s="2241"/>
      <c r="G3" s="2241"/>
      <c r="H3" s="1567"/>
      <c r="I3" s="1567"/>
      <c r="J3" s="1567"/>
      <c r="K3" s="1567"/>
    </row>
    <row r="4" spans="1:16" ht="32.25" customHeight="1">
      <c r="B4" s="73"/>
      <c r="C4" s="73"/>
      <c r="D4" s="696"/>
      <c r="E4" s="695"/>
      <c r="F4" s="695"/>
      <c r="G4" s="695"/>
      <c r="H4" s="2235" t="s">
        <v>772</v>
      </c>
      <c r="I4" s="2236"/>
      <c r="J4" s="2237"/>
      <c r="K4" s="1572"/>
    </row>
    <row r="5" spans="1:16" ht="99" customHeight="1">
      <c r="A5" s="2207" t="s">
        <v>191</v>
      </c>
      <c r="B5" s="2207" t="s">
        <v>783</v>
      </c>
      <c r="C5" s="67" t="s">
        <v>810</v>
      </c>
      <c r="D5" s="2181" t="s">
        <v>526</v>
      </c>
      <c r="E5" s="2242" t="s">
        <v>353</v>
      </c>
      <c r="F5" s="2242" t="s">
        <v>345</v>
      </c>
      <c r="G5" s="2244" t="s">
        <v>809</v>
      </c>
      <c r="H5" s="2240" t="s">
        <v>812</v>
      </c>
      <c r="I5" s="2240" t="s">
        <v>811</v>
      </c>
      <c r="J5" s="2240" t="s">
        <v>847</v>
      </c>
      <c r="K5" s="2181" t="s">
        <v>817</v>
      </c>
      <c r="L5" s="2238" t="s">
        <v>512</v>
      </c>
      <c r="M5" s="2181" t="s">
        <v>818</v>
      </c>
      <c r="N5" s="2245" t="s">
        <v>781</v>
      </c>
      <c r="O5" s="2245" t="s">
        <v>780</v>
      </c>
      <c r="P5" s="2207" t="s">
        <v>779</v>
      </c>
    </row>
    <row r="6" spans="1:16" ht="46.5" customHeight="1">
      <c r="A6" s="2153"/>
      <c r="B6" s="2153"/>
      <c r="C6" s="557" t="s">
        <v>568</v>
      </c>
      <c r="D6" s="2150"/>
      <c r="E6" s="2243"/>
      <c r="F6" s="2243"/>
      <c r="G6" s="2150"/>
      <c r="H6" s="2180"/>
      <c r="I6" s="2180"/>
      <c r="J6" s="2180"/>
      <c r="K6" s="2150"/>
      <c r="L6" s="2239"/>
      <c r="M6" s="2150"/>
      <c r="N6" s="2150"/>
      <c r="O6" s="2150"/>
      <c r="P6" s="2153"/>
    </row>
    <row r="7" spans="1:16">
      <c r="A7" s="114"/>
      <c r="B7" s="221">
        <v>1</v>
      </c>
      <c r="C7" s="221">
        <f t="shared" ref="C7:G7" si="0">B7+1</f>
        <v>2</v>
      </c>
      <c r="D7" s="221">
        <f t="shared" si="0"/>
        <v>3</v>
      </c>
      <c r="E7" s="221">
        <f t="shared" si="0"/>
        <v>4</v>
      </c>
      <c r="F7" s="221">
        <f t="shared" si="0"/>
        <v>5</v>
      </c>
      <c r="G7" s="221">
        <f t="shared" si="0"/>
        <v>6</v>
      </c>
      <c r="H7" s="221">
        <f t="shared" ref="H7" si="1">G7+1</f>
        <v>7</v>
      </c>
      <c r="I7" s="221">
        <f t="shared" ref="I7" si="2">H7+1</f>
        <v>8</v>
      </c>
      <c r="J7" s="221">
        <f t="shared" ref="J7" si="3">I7+1</f>
        <v>9</v>
      </c>
      <c r="K7" s="221">
        <f t="shared" ref="K7" si="4">J7+1</f>
        <v>10</v>
      </c>
      <c r="L7" s="221">
        <f t="shared" ref="L7" si="5">K7+1</f>
        <v>11</v>
      </c>
      <c r="M7" s="221">
        <f t="shared" ref="M7" si="6">L7+1</f>
        <v>12</v>
      </c>
      <c r="N7" s="221">
        <f t="shared" ref="N7" si="7">M7+1</f>
        <v>13</v>
      </c>
      <c r="O7" s="221">
        <f t="shared" ref="O7" si="8">N7+1</f>
        <v>14</v>
      </c>
      <c r="P7" s="221">
        <f t="shared" ref="P7" si="9">O7+1</f>
        <v>15</v>
      </c>
    </row>
    <row r="8" spans="1:16" ht="25.5">
      <c r="A8" s="223" t="s">
        <v>240</v>
      </c>
      <c r="B8" s="222">
        <f>'[12]ALL-Reformatted'!$AF$77</f>
        <v>1376</v>
      </c>
      <c r="C8" s="58">
        <f>'Table 3 Levels 1&amp;2'!AL77</f>
        <v>4355.8307194085073</v>
      </c>
      <c r="D8" s="58">
        <f>B8*ROUND(C8,0)</f>
        <v>5993856</v>
      </c>
      <c r="E8" s="58">
        <f>'[13]Table 5A Lab Schools'!$G$8+'[13]Table 5A Lab Schools'!$K$8+'[13]Table 5A Lab Schools'!$D$17+'[13]Table 4 Level 3'!$C$75</f>
        <v>605.97185873605952</v>
      </c>
      <c r="F8" s="58">
        <f>E8*B8</f>
        <v>833817.27762081788</v>
      </c>
      <c r="G8" s="555">
        <f>D8+F8</f>
        <v>6827673.2776208175</v>
      </c>
      <c r="H8" s="1973">
        <f>+'[3]October midyear adj'!K77</f>
        <v>109159.65671918046</v>
      </c>
      <c r="I8" s="1973">
        <f>'[3]February midyear adj '!$K$77</f>
        <v>-9923.6051562891334</v>
      </c>
      <c r="J8" s="2006">
        <f>SUM(H8:I8)</f>
        <v>99236.051562891327</v>
      </c>
      <c r="K8" s="555">
        <f>+G8+J8</f>
        <v>6926909.3291837089</v>
      </c>
      <c r="L8" s="58">
        <v>0</v>
      </c>
      <c r="M8" s="555">
        <f>SUM(K8:L8)</f>
        <v>6926909.3291837089</v>
      </c>
      <c r="N8" s="555">
        <f>+'[4]Table 5A Labs, NOCCA,LSMSA'!J8*8+2</f>
        <v>4551784.185080545</v>
      </c>
      <c r="O8" s="555">
        <f>+M8-N8</f>
        <v>2375125.1441031639</v>
      </c>
      <c r="P8" s="58">
        <f>ROUND(O8/4,0)</f>
        <v>593781</v>
      </c>
    </row>
    <row r="9" spans="1:16" ht="25.5">
      <c r="A9" s="224" t="s">
        <v>241</v>
      </c>
      <c r="B9" s="222">
        <f>'[12]ALL-Reformatted'!$AG$77</f>
        <v>391</v>
      </c>
      <c r="C9" s="58">
        <f>'Table 3 Levels 1&amp;2'!AL77</f>
        <v>4355.8307194085073</v>
      </c>
      <c r="D9" s="58">
        <f>B9*ROUND(C9,0)</f>
        <v>1703196</v>
      </c>
      <c r="E9" s="58">
        <f>'[13]Table 5A Lab Schools'!$G$9+'[13]Table 5A Lab Schools'!$K$9+'[13]Table 5A Lab Schools'!$D$18+'[13]Table 4 Level 3'!$C$75</f>
        <v>699.89832861189802</v>
      </c>
      <c r="F9" s="58">
        <f>E9*B9</f>
        <v>273660.24648725212</v>
      </c>
      <c r="G9" s="555">
        <f>D9+F9</f>
        <v>1976856.2464872522</v>
      </c>
      <c r="H9" s="1973">
        <f>+'[3]October midyear adj'!K78</f>
        <v>717913.5248188976</v>
      </c>
      <c r="I9" s="1973">
        <f>'[3]February midyear adj '!$K$78</f>
        <v>139032.54882056115</v>
      </c>
      <c r="J9" s="2006">
        <f>SUM(H9:I9)</f>
        <v>856946.07363945874</v>
      </c>
      <c r="K9" s="555">
        <f>+G9+J9</f>
        <v>2833802.3201267109</v>
      </c>
      <c r="L9" s="58">
        <f>'[2]Adjusted Amounts'!$I$79</f>
        <v>2515.1664215795245</v>
      </c>
      <c r="M9" s="555">
        <f>SUM(K9:L9)</f>
        <v>2836317.4865482906</v>
      </c>
      <c r="N9" s="555">
        <f>+'[4]Table 5A Labs, NOCCA,LSMSA'!J9*8+3</f>
        <v>1319583.941939221</v>
      </c>
      <c r="O9" s="555">
        <f>+M9-N9</f>
        <v>1516733.5446090696</v>
      </c>
      <c r="P9" s="58">
        <f>ROUND(O9/4,0)</f>
        <v>379183</v>
      </c>
    </row>
    <row r="10" spans="1:16" s="8" customFormat="1" ht="25.5" customHeight="1" thickBot="1">
      <c r="A10" s="43" t="s">
        <v>173</v>
      </c>
      <c r="B10" s="76">
        <f>SUM(B8:B9)</f>
        <v>1767</v>
      </c>
      <c r="C10" s="45"/>
      <c r="D10" s="44">
        <f>SUM(D8:D9)</f>
        <v>7697052</v>
      </c>
      <c r="E10" s="44"/>
      <c r="F10" s="44">
        <f t="shared" ref="F10:P10" si="10">SUM(F8:F9)</f>
        <v>1107477.5241080699</v>
      </c>
      <c r="G10" s="556">
        <f t="shared" si="10"/>
        <v>8804529.524108069</v>
      </c>
      <c r="H10" s="1974">
        <f t="shared" si="10"/>
        <v>827073.181538078</v>
      </c>
      <c r="I10" s="1974">
        <f t="shared" si="10"/>
        <v>129108.94366427201</v>
      </c>
      <c r="J10" s="2007">
        <f t="shared" si="10"/>
        <v>956182.12520235009</v>
      </c>
      <c r="K10" s="556">
        <f t="shared" si="10"/>
        <v>9760711.6493104193</v>
      </c>
      <c r="L10" s="44">
        <f>SUM(L8:L9)</f>
        <v>2515.1664215795245</v>
      </c>
      <c r="M10" s="556">
        <f t="shared" si="10"/>
        <v>9763226.8157319985</v>
      </c>
      <c r="N10" s="556">
        <f t="shared" si="10"/>
        <v>5871368.1270197658</v>
      </c>
      <c r="O10" s="556">
        <f t="shared" si="10"/>
        <v>3891858.6887122337</v>
      </c>
      <c r="P10" s="44">
        <f t="shared" si="10"/>
        <v>972964</v>
      </c>
    </row>
    <row r="11" spans="1:16" s="8" customFormat="1" ht="13.5" thickTop="1">
      <c r="A11" s="94"/>
      <c r="B11" s="95"/>
      <c r="C11" s="96"/>
      <c r="D11" s="97"/>
    </row>
    <row r="12" spans="1:16" s="8" customFormat="1">
      <c r="A12" s="94"/>
      <c r="B12" s="95"/>
      <c r="C12" s="96"/>
      <c r="D12" s="97"/>
    </row>
    <row r="14" spans="1:16" ht="27">
      <c r="A14" s="2241" t="s">
        <v>927</v>
      </c>
      <c r="B14" s="2241"/>
      <c r="C14" s="2241"/>
      <c r="D14" s="2241"/>
      <c r="E14" s="2241"/>
      <c r="F14" s="2241"/>
      <c r="G14" s="2241"/>
      <c r="H14" s="1567"/>
      <c r="I14" s="1567"/>
      <c r="J14" s="1567"/>
      <c r="K14" s="1567"/>
      <c r="L14" s="8"/>
      <c r="M14" s="8"/>
      <c r="N14" s="8"/>
      <c r="O14" s="8"/>
      <c r="P14" s="8"/>
    </row>
    <row r="15" spans="1:16" s="1464" customFormat="1" ht="27.6" customHeight="1">
      <c r="A15" s="2241" t="s">
        <v>782</v>
      </c>
      <c r="B15" s="2241"/>
      <c r="C15" s="2241"/>
      <c r="D15" s="2241"/>
      <c r="E15" s="2241"/>
      <c r="F15" s="1569"/>
      <c r="G15" s="1569"/>
      <c r="H15" s="1569"/>
      <c r="I15" s="1569"/>
      <c r="J15" s="1569"/>
      <c r="K15" s="1569"/>
      <c r="L15" s="8"/>
      <c r="M15" s="8"/>
      <c r="N15" s="8"/>
      <c r="O15" s="8"/>
      <c r="P15" s="8"/>
    </row>
    <row r="16" spans="1:16" ht="26.45" customHeight="1">
      <c r="H16" s="2235" t="s">
        <v>772</v>
      </c>
      <c r="I16" s="2236"/>
      <c r="J16" s="2237"/>
    </row>
    <row r="17" spans="1:16" s="1464" customFormat="1" ht="99" customHeight="1">
      <c r="A17" s="2207" t="s">
        <v>191</v>
      </c>
      <c r="B17" s="2207" t="s">
        <v>813</v>
      </c>
      <c r="C17" s="1566" t="s">
        <v>810</v>
      </c>
      <c r="D17" s="2181" t="s">
        <v>526</v>
      </c>
      <c r="E17" s="2242" t="s">
        <v>353</v>
      </c>
      <c r="F17" s="2242" t="s">
        <v>345</v>
      </c>
      <c r="G17" s="2244" t="s">
        <v>809</v>
      </c>
      <c r="H17" s="2240" t="s">
        <v>812</v>
      </c>
      <c r="I17" s="2240" t="s">
        <v>811</v>
      </c>
      <c r="J17" s="2240" t="s">
        <v>847</v>
      </c>
      <c r="K17" s="2181" t="s">
        <v>817</v>
      </c>
      <c r="L17" s="2238" t="s">
        <v>814</v>
      </c>
      <c r="M17" s="2181" t="s">
        <v>818</v>
      </c>
      <c r="N17" s="1517" t="s">
        <v>781</v>
      </c>
      <c r="O17" s="1517" t="s">
        <v>780</v>
      </c>
      <c r="P17" s="2207" t="s">
        <v>779</v>
      </c>
    </row>
    <row r="18" spans="1:16" s="1464" customFormat="1" ht="46.5" customHeight="1">
      <c r="A18" s="2153"/>
      <c r="B18" s="2153"/>
      <c r="C18" s="557" t="s">
        <v>568</v>
      </c>
      <c r="D18" s="2150"/>
      <c r="E18" s="2243"/>
      <c r="F18" s="2243"/>
      <c r="G18" s="2150"/>
      <c r="H18" s="2180"/>
      <c r="I18" s="2180"/>
      <c r="J18" s="2180"/>
      <c r="K18" s="2150"/>
      <c r="L18" s="2239"/>
      <c r="M18" s="2150"/>
      <c r="N18" s="1565"/>
      <c r="O18" s="1565"/>
      <c r="P18" s="2153"/>
    </row>
    <row r="19" spans="1:16" s="1464" customFormat="1">
      <c r="A19" s="114"/>
      <c r="B19" s="221">
        <v>1</v>
      </c>
      <c r="C19" s="221">
        <f t="shared" ref="C19" si="11">B19+1</f>
        <v>2</v>
      </c>
      <c r="D19" s="221">
        <f t="shared" ref="D19" si="12">C19+1</f>
        <v>3</v>
      </c>
      <c r="E19" s="221">
        <f t="shared" ref="E19" si="13">D19+1</f>
        <v>4</v>
      </c>
      <c r="F19" s="221">
        <f t="shared" ref="F19" si="14">E19+1</f>
        <v>5</v>
      </c>
      <c r="G19" s="221">
        <f t="shared" ref="G19" si="15">F19+1</f>
        <v>6</v>
      </c>
      <c r="H19" s="221">
        <f t="shared" ref="H19" si="16">G19+1</f>
        <v>7</v>
      </c>
      <c r="I19" s="221">
        <f t="shared" ref="I19" si="17">H19+1</f>
        <v>8</v>
      </c>
      <c r="J19" s="221">
        <f t="shared" ref="J19" si="18">I19+1</f>
        <v>9</v>
      </c>
      <c r="K19" s="221">
        <f t="shared" ref="K19" si="19">J19+1</f>
        <v>10</v>
      </c>
      <c r="L19" s="221">
        <f t="shared" ref="L19" si="20">K19+1</f>
        <v>11</v>
      </c>
      <c r="M19" s="221">
        <f t="shared" ref="M19" si="21">L19+1</f>
        <v>12</v>
      </c>
      <c r="N19" s="221">
        <f t="shared" ref="N19" si="22">M19+1</f>
        <v>13</v>
      </c>
      <c r="O19" s="221">
        <f t="shared" ref="O19" si="23">N19+1</f>
        <v>14</v>
      </c>
      <c r="P19" s="221">
        <f t="shared" ref="P19" si="24">O19+1</f>
        <v>15</v>
      </c>
    </row>
    <row r="20" spans="1:16" ht="54" customHeight="1">
      <c r="A20" s="223" t="s">
        <v>815</v>
      </c>
      <c r="B20" s="1213">
        <v>275</v>
      </c>
      <c r="C20" s="58">
        <f>'Table 3 Levels 1&amp;2'!AL77</f>
        <v>4355.8307194085073</v>
      </c>
      <c r="D20" s="58">
        <f>B20*ROUND(C20,0)</f>
        <v>1197900</v>
      </c>
      <c r="E20" s="58">
        <f>'Table 4 Level 3'!P75</f>
        <v>704.49059912051428</v>
      </c>
      <c r="F20" s="58">
        <f>E20*B20</f>
        <v>193734.91475814141</v>
      </c>
      <c r="G20" s="555">
        <f>D20+F20</f>
        <v>1391634.9147581414</v>
      </c>
      <c r="H20" s="1973">
        <f>+'[3]October midyear adj'!$K$81</f>
        <v>116387.3903261675</v>
      </c>
      <c r="I20" s="1973">
        <f>'[3]February midyear adj '!$K$81</f>
        <v>-50603.213185290217</v>
      </c>
      <c r="J20" s="2006">
        <f>SUM(H20:I20)</f>
        <v>65784.177140877291</v>
      </c>
      <c r="K20" s="555">
        <f>+G20+J20</f>
        <v>1457419.0918990187</v>
      </c>
      <c r="L20" s="58">
        <v>0</v>
      </c>
      <c r="M20" s="555">
        <f>SUM(K20:L20)</f>
        <v>1457419.0918990187</v>
      </c>
      <c r="N20" s="555">
        <f>+'[4]Table 5A Labs, NOCCA,LSMSA'!J19*8+3</f>
        <v>927759.60983876092</v>
      </c>
      <c r="O20" s="555">
        <f t="shared" ref="O20:O21" si="25">+M20-N20</f>
        <v>529659.48206025781</v>
      </c>
      <c r="P20" s="58">
        <f t="shared" ref="P20:P21" si="26">ROUND(O20/4,0)</f>
        <v>132415</v>
      </c>
    </row>
    <row r="21" spans="1:16" ht="52.15" customHeight="1">
      <c r="A21" s="1214" t="s">
        <v>816</v>
      </c>
      <c r="B21" s="1213">
        <v>114</v>
      </c>
      <c r="C21" s="58">
        <f>'Table 3 Levels 1&amp;2'!AL77</f>
        <v>4355.8307194085073</v>
      </c>
      <c r="D21" s="58">
        <f>B21*ROUND(C21,0)</f>
        <v>496584</v>
      </c>
      <c r="E21" s="58">
        <f>'Table 4 Level 3'!P75</f>
        <v>704.49059912051428</v>
      </c>
      <c r="F21" s="58">
        <f>E21*B21</f>
        <v>80311.928299738633</v>
      </c>
      <c r="G21" s="555">
        <f>D21+F21</f>
        <v>576895.92829973868</v>
      </c>
      <c r="H21" s="1973">
        <f>+'[3]October midyear adj'!$K$83</f>
        <v>318800.24306732835</v>
      </c>
      <c r="I21" s="1973">
        <f>'[3]February midyear adj '!$K$83</f>
        <v>-5060.3213185290215</v>
      </c>
      <c r="J21" s="2006">
        <f>SUM(H21:I21)</f>
        <v>313739.92174879933</v>
      </c>
      <c r="K21" s="555">
        <f>+G21+J21</f>
        <v>890635.85004853806</v>
      </c>
      <c r="L21" s="58">
        <v>0</v>
      </c>
      <c r="M21" s="555">
        <f>SUM(K21:L21)</f>
        <v>890635.85004853806</v>
      </c>
      <c r="N21" s="555">
        <f>+'[4]Table 5A Labs, NOCCA,LSMSA'!J20*8+3</f>
        <v>384600.2855331591</v>
      </c>
      <c r="O21" s="555">
        <f t="shared" si="25"/>
        <v>506035.56451537897</v>
      </c>
      <c r="P21" s="58">
        <f t="shared" si="26"/>
        <v>126509</v>
      </c>
    </row>
    <row r="22" spans="1:16" ht="13.5" thickBot="1">
      <c r="A22" s="1215" t="s">
        <v>173</v>
      </c>
      <c r="B22" s="1216">
        <f>SUM(B20:B21)</f>
        <v>389</v>
      </c>
      <c r="C22" s="1217"/>
      <c r="D22" s="1218">
        <f>SUM(D20:D21)</f>
        <v>1694484</v>
      </c>
      <c r="E22" s="1218"/>
      <c r="F22" s="1218">
        <f>SUM(F20:F21)</f>
        <v>274046.84305788006</v>
      </c>
      <c r="G22" s="1219">
        <f>SUM(G20:G21)</f>
        <v>1968530.8430578802</v>
      </c>
      <c r="H22" s="1974">
        <f t="shared" ref="H22:K22" si="27">SUM(H20:H21)</f>
        <v>435187.63339349587</v>
      </c>
      <c r="I22" s="1974">
        <f t="shared" si="27"/>
        <v>-55663.534503819239</v>
      </c>
      <c r="J22" s="2007">
        <f t="shared" si="27"/>
        <v>379524.09888967662</v>
      </c>
      <c r="K22" s="556">
        <f t="shared" si="27"/>
        <v>2348054.941947557</v>
      </c>
      <c r="L22" s="1218">
        <f>SUM(L20:L21)</f>
        <v>0</v>
      </c>
      <c r="M22" s="1219">
        <f>SUM(M20:M21)</f>
        <v>2348054.941947557</v>
      </c>
      <c r="N22" s="556">
        <f t="shared" ref="N22:O22" si="28">SUM(N20:N21)</f>
        <v>1312359.89537192</v>
      </c>
      <c r="O22" s="556">
        <f t="shared" si="28"/>
        <v>1035695.0465756368</v>
      </c>
      <c r="P22" s="1218">
        <f>SUM(P20:P21)</f>
        <v>258924</v>
      </c>
    </row>
    <row r="23" spans="1:16" ht="13.5" thickTop="1"/>
  </sheetData>
  <mergeCells count="34">
    <mergeCell ref="N5:N6"/>
    <mergeCell ref="O5:O6"/>
    <mergeCell ref="A14:G14"/>
    <mergeCell ref="A17:A18"/>
    <mergeCell ref="B17:B18"/>
    <mergeCell ref="D17:D18"/>
    <mergeCell ref="E17:E18"/>
    <mergeCell ref="F17:F18"/>
    <mergeCell ref="A15:E15"/>
    <mergeCell ref="G17:G18"/>
    <mergeCell ref="E5:E6"/>
    <mergeCell ref="A1:G1"/>
    <mergeCell ref="A5:A6"/>
    <mergeCell ref="A3:G3"/>
    <mergeCell ref="B5:B6"/>
    <mergeCell ref="D5:D6"/>
    <mergeCell ref="F5:F6"/>
    <mergeCell ref="G5:G6"/>
    <mergeCell ref="H4:J4"/>
    <mergeCell ref="K5:K6"/>
    <mergeCell ref="K17:K18"/>
    <mergeCell ref="M5:M6"/>
    <mergeCell ref="P5:P6"/>
    <mergeCell ref="L5:L6"/>
    <mergeCell ref="L17:L18"/>
    <mergeCell ref="M17:M18"/>
    <mergeCell ref="P17:P18"/>
    <mergeCell ref="H16:J16"/>
    <mergeCell ref="H17:H18"/>
    <mergeCell ref="I17:I18"/>
    <mergeCell ref="J17:J18"/>
    <mergeCell ref="H5:H6"/>
    <mergeCell ref="I5:I6"/>
    <mergeCell ref="J5:J6"/>
  </mergeCells>
  <phoneticPr fontId="0" type="noConversion"/>
  <printOptions horizontalCentered="1"/>
  <pageMargins left="0.25" right="0" top="0.25" bottom="0.25" header="0.25" footer="0.25"/>
  <pageSetup paperSize="5" scale="80" firstPageNumber="37" orientation="landscape" useFirstPageNumber="1" r:id="rId1"/>
  <headerFooter alignWithMargins="0">
    <oddHeader xml:space="preserve">&amp;R
</oddHeader>
    <oddFooter>&amp;R&amp;12&amp;P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2"/>
  <sheetViews>
    <sheetView view="pageBreakPreview" zoomScale="70" zoomScaleNormal="75" zoomScaleSheetLayoutView="70" workbookViewId="0">
      <pane xSplit="2" ySplit="6" topLeftCell="C7" activePane="bottomRight" state="frozen"/>
      <selection activeCell="B3" sqref="B3:B5"/>
      <selection pane="topRight" activeCell="B3" sqref="B3:B5"/>
      <selection pane="bottomLeft" activeCell="B3" sqref="B3:B5"/>
      <selection pane="bottomRight" sqref="A1:S1"/>
    </sheetView>
  </sheetViews>
  <sheetFormatPr defaultColWidth="9.140625" defaultRowHeight="12.75"/>
  <cols>
    <col min="1" max="1" width="8.7109375" style="1015" customWidth="1"/>
    <col min="2" max="2" width="39.28515625" style="1015" customWidth="1"/>
    <col min="3" max="3" width="12" style="1015" customWidth="1"/>
    <col min="4" max="4" width="14.5703125" style="1015" bestFit="1" customWidth="1"/>
    <col min="5" max="5" width="17.5703125" style="1015" bestFit="1" customWidth="1"/>
    <col min="6" max="6" width="16.7109375" style="1015" customWidth="1"/>
    <col min="7" max="7" width="16.85546875" style="1015" customWidth="1"/>
    <col min="8" max="8" width="18.42578125" style="1015" bestFit="1" customWidth="1"/>
    <col min="9" max="9" width="13.85546875" style="1015" bestFit="1" customWidth="1"/>
    <col min="10" max="10" width="13.5703125" style="1015" bestFit="1" customWidth="1"/>
    <col min="11" max="11" width="13.85546875" style="1015" bestFit="1" customWidth="1"/>
    <col min="12" max="12" width="15.7109375" style="1015" bestFit="1" customWidth="1"/>
    <col min="13" max="13" width="13.85546875" style="1015" bestFit="1" customWidth="1"/>
    <col min="14" max="14" width="11.85546875" style="1015" bestFit="1" customWidth="1"/>
    <col min="15" max="15" width="13.85546875" style="1015" bestFit="1" customWidth="1"/>
    <col min="16" max="16" width="15.7109375" style="1015" bestFit="1" customWidth="1"/>
    <col min="17" max="17" width="11.85546875" style="1015" bestFit="1" customWidth="1"/>
    <col min="18" max="18" width="13.140625" style="1015" customWidth="1"/>
    <col min="19" max="19" width="15.7109375" style="1015" bestFit="1" customWidth="1"/>
    <col min="20" max="20" width="10.85546875" style="1015" bestFit="1" customWidth="1"/>
    <col min="21" max="21" width="16" style="1015" bestFit="1" customWidth="1"/>
    <col min="22" max="27" width="16" style="1015" customWidth="1"/>
    <col min="28" max="30" width="14.28515625" style="1015" bestFit="1" customWidth="1"/>
    <col min="31" max="31" width="16" style="1015" bestFit="1" customWidth="1"/>
    <col min="32" max="32" width="12.28515625" style="1015" bestFit="1" customWidth="1"/>
    <col min="33" max="33" width="12.28515625" style="1015" customWidth="1"/>
    <col min="34" max="34" width="16" style="1015" bestFit="1" customWidth="1"/>
    <col min="35" max="35" width="19.7109375" style="1015" customWidth="1"/>
    <col min="36" max="36" width="16" style="1015" customWidth="1"/>
    <col min="37" max="37" width="16.140625" style="1015" customWidth="1"/>
    <col min="38" max="38" width="10.7109375" style="528" hidden="1" customWidth="1"/>
    <col min="39" max="39" width="17.5703125" style="528" hidden="1" customWidth="1"/>
    <col min="40" max="42" width="9.140625" style="528" hidden="1" customWidth="1"/>
    <col min="43" max="44" width="9.140625" style="528"/>
    <col min="45" max="16384" width="9.140625" style="1015"/>
  </cols>
  <sheetData>
    <row r="1" spans="1:42" ht="43.5" customHeight="1">
      <c r="A1" s="2260" t="s">
        <v>464</v>
      </c>
      <c r="B1" s="2261"/>
      <c r="C1" s="2261"/>
      <c r="D1" s="2261"/>
      <c r="E1" s="2261"/>
      <c r="F1" s="2261"/>
      <c r="G1" s="2261"/>
      <c r="H1" s="2261"/>
      <c r="I1" s="2261"/>
      <c r="J1" s="2261"/>
      <c r="K1" s="2261"/>
      <c r="L1" s="2261"/>
      <c r="M1" s="2261"/>
      <c r="N1" s="2261"/>
      <c r="O1" s="2261"/>
      <c r="P1" s="2261"/>
      <c r="Q1" s="2261"/>
      <c r="R1" s="2261"/>
      <c r="S1" s="2262"/>
    </row>
    <row r="2" spans="1:42" ht="10.5" customHeight="1">
      <c r="A2" s="1074"/>
      <c r="B2" s="1074"/>
      <c r="C2" s="1074"/>
      <c r="D2" s="1074"/>
      <c r="E2" s="1074"/>
      <c r="F2" s="1075"/>
      <c r="G2" s="1075"/>
      <c r="H2" s="1074"/>
      <c r="I2" s="1074"/>
      <c r="J2" s="1074"/>
      <c r="K2" s="1074"/>
      <c r="L2" s="1074"/>
      <c r="M2" s="1074"/>
      <c r="N2" s="1074"/>
      <c r="O2" s="1074"/>
      <c r="P2" s="1074"/>
      <c r="Q2" s="1074"/>
      <c r="R2" s="1074"/>
      <c r="S2" s="1074"/>
      <c r="AA2" s="1511"/>
    </row>
    <row r="3" spans="1:42" ht="39.75" customHeight="1">
      <c r="C3" s="1016"/>
      <c r="D3" s="2033">
        <f>'Table 3 Levels 1&amp;2'!AL43</f>
        <v>3520.4894337711748</v>
      </c>
      <c r="E3" s="1017"/>
      <c r="F3" s="2270" t="s">
        <v>350</v>
      </c>
      <c r="G3" s="2271"/>
      <c r="H3" s="1017"/>
      <c r="I3" s="2275" t="s">
        <v>772</v>
      </c>
      <c r="J3" s="2276"/>
      <c r="K3" s="2277"/>
      <c r="L3" s="1017"/>
      <c r="M3" s="2280" t="s">
        <v>382</v>
      </c>
      <c r="N3" s="2280"/>
      <c r="O3" s="2280"/>
      <c r="P3" s="737"/>
      <c r="Q3" s="1018"/>
      <c r="R3" s="1018"/>
      <c r="S3" s="1019"/>
      <c r="T3" s="1019"/>
      <c r="U3" s="1019"/>
      <c r="V3" s="2272" t="s">
        <v>772</v>
      </c>
      <c r="W3" s="2273"/>
      <c r="X3" s="2273"/>
      <c r="Y3" s="2273"/>
      <c r="Z3" s="2274"/>
      <c r="AA3" s="1990"/>
      <c r="AB3" s="1019"/>
      <c r="AC3" s="1019"/>
      <c r="AD3" s="1019"/>
      <c r="AE3" s="1019"/>
      <c r="AF3" s="1019"/>
      <c r="AG3" s="1019"/>
      <c r="AH3" s="1019"/>
      <c r="AI3" s="1019"/>
      <c r="AJ3" s="1019"/>
      <c r="AK3" s="1019"/>
    </row>
    <row r="4" spans="1:42" ht="112.5" customHeight="1">
      <c r="A4" s="2255" t="s">
        <v>386</v>
      </c>
      <c r="B4" s="2255" t="s">
        <v>183</v>
      </c>
      <c r="C4" s="2255" t="s">
        <v>501</v>
      </c>
      <c r="D4" s="2032" t="s">
        <v>532</v>
      </c>
      <c r="E4" s="2253" t="s">
        <v>530</v>
      </c>
      <c r="F4" s="2255" t="s">
        <v>352</v>
      </c>
      <c r="G4" s="2255" t="s">
        <v>349</v>
      </c>
      <c r="H4" s="2253" t="s">
        <v>828</v>
      </c>
      <c r="I4" s="2278" t="s">
        <v>784</v>
      </c>
      <c r="J4" s="2278" t="s">
        <v>785</v>
      </c>
      <c r="K4" s="2278" t="s">
        <v>937</v>
      </c>
      <c r="L4" s="2259" t="s">
        <v>936</v>
      </c>
      <c r="M4" s="1676" t="s">
        <v>383</v>
      </c>
      <c r="N4" s="1676" t="s">
        <v>934</v>
      </c>
      <c r="O4" s="2281" t="s">
        <v>926</v>
      </c>
      <c r="P4" s="2181" t="s">
        <v>935</v>
      </c>
      <c r="Q4" s="2257" t="s">
        <v>814</v>
      </c>
      <c r="R4" s="2257" t="s">
        <v>1002</v>
      </c>
      <c r="S4" s="2253" t="s">
        <v>823</v>
      </c>
      <c r="T4" s="2253" t="s">
        <v>983</v>
      </c>
      <c r="U4" s="2266" t="s">
        <v>531</v>
      </c>
      <c r="V4" s="2284" t="s">
        <v>819</v>
      </c>
      <c r="W4" s="2284" t="s">
        <v>787</v>
      </c>
      <c r="X4" s="2284" t="s">
        <v>820</v>
      </c>
      <c r="Y4" s="2284" t="s">
        <v>821</v>
      </c>
      <c r="Z4" s="1674" t="s">
        <v>791</v>
      </c>
      <c r="AA4" s="2286" t="s">
        <v>799</v>
      </c>
      <c r="AB4" s="1020" t="s">
        <v>410</v>
      </c>
      <c r="AC4" s="1020" t="s">
        <v>410</v>
      </c>
      <c r="AD4" s="2268" t="s">
        <v>410</v>
      </c>
      <c r="AE4" s="2266" t="s">
        <v>805</v>
      </c>
      <c r="AF4" s="2257" t="s">
        <v>814</v>
      </c>
      <c r="AG4" s="2257" t="s">
        <v>984</v>
      </c>
      <c r="AH4" s="2263" t="s">
        <v>806</v>
      </c>
      <c r="AI4" s="2283" t="s">
        <v>807</v>
      </c>
      <c r="AJ4" s="2283" t="s">
        <v>795</v>
      </c>
      <c r="AK4" s="2266" t="s">
        <v>460</v>
      </c>
      <c r="AM4" s="528">
        <v>0</v>
      </c>
    </row>
    <row r="5" spans="1:42" ht="57.75" customHeight="1">
      <c r="A5" s="2256" t="s">
        <v>77</v>
      </c>
      <c r="B5" s="2256"/>
      <c r="C5" s="2256"/>
      <c r="D5" s="1021" t="s">
        <v>569</v>
      </c>
      <c r="E5" s="2254"/>
      <c r="F5" s="2256"/>
      <c r="G5" s="2256"/>
      <c r="H5" s="2254"/>
      <c r="I5" s="2279"/>
      <c r="J5" s="2279"/>
      <c r="K5" s="2279"/>
      <c r="L5" s="2254"/>
      <c r="M5" s="736">
        <v>1.7500000000000002E-2</v>
      </c>
      <c r="N5" s="736">
        <v>2.5000000000000001E-3</v>
      </c>
      <c r="O5" s="2282"/>
      <c r="P5" s="2150"/>
      <c r="Q5" s="2258"/>
      <c r="R5" s="2258"/>
      <c r="S5" s="2254"/>
      <c r="T5" s="2254"/>
      <c r="U5" s="2267"/>
      <c r="V5" s="2285"/>
      <c r="W5" s="2285"/>
      <c r="X5" s="2285"/>
      <c r="Y5" s="2285"/>
      <c r="Z5" s="1675"/>
      <c r="AA5" s="2287" t="s">
        <v>792</v>
      </c>
      <c r="AB5" s="1022">
        <v>1.7500000000000002E-2</v>
      </c>
      <c r="AC5" s="1022">
        <v>2.5000000000000001E-3</v>
      </c>
      <c r="AD5" s="2269"/>
      <c r="AE5" s="2267"/>
      <c r="AF5" s="2258"/>
      <c r="AG5" s="2258"/>
      <c r="AH5" s="2264"/>
      <c r="AI5" s="2264"/>
      <c r="AJ5" s="2264"/>
      <c r="AK5" s="2267"/>
      <c r="AM5" s="1073"/>
    </row>
    <row r="6" spans="1:42">
      <c r="A6" s="1023"/>
      <c r="B6" s="1023"/>
      <c r="C6" s="1024">
        <v>1</v>
      </c>
      <c r="D6" s="1024">
        <f t="shared" ref="D6:H6" si="0">C6+1</f>
        <v>2</v>
      </c>
      <c r="E6" s="1024">
        <f t="shared" si="0"/>
        <v>3</v>
      </c>
      <c r="F6" s="1024">
        <f t="shared" si="0"/>
        <v>4</v>
      </c>
      <c r="G6" s="1024">
        <f t="shared" si="0"/>
        <v>5</v>
      </c>
      <c r="H6" s="1024">
        <f t="shared" si="0"/>
        <v>6</v>
      </c>
      <c r="I6" s="1024">
        <f t="shared" ref="I6" si="1">H6+1</f>
        <v>7</v>
      </c>
      <c r="J6" s="1024">
        <f t="shared" ref="J6" si="2">I6+1</f>
        <v>8</v>
      </c>
      <c r="K6" s="1024">
        <f t="shared" ref="K6" si="3">J6+1</f>
        <v>9</v>
      </c>
      <c r="L6" s="1024">
        <f t="shared" ref="L6" si="4">K6+1</f>
        <v>10</v>
      </c>
      <c r="M6" s="1024">
        <f t="shared" ref="M6" si="5">L6+1</f>
        <v>11</v>
      </c>
      <c r="N6" s="1024">
        <f t="shared" ref="N6" si="6">M6+1</f>
        <v>12</v>
      </c>
      <c r="O6" s="1024">
        <f t="shared" ref="O6" si="7">N6+1</f>
        <v>13</v>
      </c>
      <c r="P6" s="1024">
        <f t="shared" ref="P6" si="8">O6+1</f>
        <v>14</v>
      </c>
      <c r="Q6" s="1024">
        <f t="shared" ref="Q6" si="9">P6+1</f>
        <v>15</v>
      </c>
      <c r="R6" s="2069"/>
      <c r="S6" s="1024">
        <f>Q6+1</f>
        <v>16</v>
      </c>
      <c r="T6" s="1024">
        <f t="shared" ref="T6" si="10">S6+1</f>
        <v>17</v>
      </c>
      <c r="U6" s="1024">
        <f t="shared" ref="U6" si="11">T6+1</f>
        <v>18</v>
      </c>
      <c r="V6" s="1024">
        <f t="shared" ref="V6" si="12">U6+1</f>
        <v>19</v>
      </c>
      <c r="W6" s="1024">
        <f t="shared" ref="W6" si="13">V6+1</f>
        <v>20</v>
      </c>
      <c r="X6" s="1024">
        <f t="shared" ref="X6" si="14">W6+1</f>
        <v>21</v>
      </c>
      <c r="Y6" s="1024">
        <f t="shared" ref="Y6" si="15">X6+1</f>
        <v>22</v>
      </c>
      <c r="Z6" s="1024">
        <f t="shared" ref="Z6" si="16">Y6+1</f>
        <v>23</v>
      </c>
      <c r="AA6" s="1024">
        <f t="shared" ref="AA6" si="17">Z6+1</f>
        <v>24</v>
      </c>
      <c r="AB6" s="1024">
        <f t="shared" ref="AB6" si="18">AA6+1</f>
        <v>25</v>
      </c>
      <c r="AC6" s="1024">
        <f t="shared" ref="AC6" si="19">AB6+1</f>
        <v>26</v>
      </c>
      <c r="AD6" s="1024">
        <f t="shared" ref="AD6" si="20">AC6+1</f>
        <v>27</v>
      </c>
      <c r="AE6" s="1024">
        <f t="shared" ref="AE6" si="21">AD6+1</f>
        <v>28</v>
      </c>
      <c r="AF6" s="1024">
        <f t="shared" ref="AF6" si="22">AE6+1</f>
        <v>29</v>
      </c>
      <c r="AG6" s="2069"/>
      <c r="AH6" s="1024">
        <f t="shared" ref="AH6" si="23">AF6+1</f>
        <v>30</v>
      </c>
      <c r="AI6" s="1024">
        <f t="shared" ref="AI6" si="24">AH6+1</f>
        <v>31</v>
      </c>
      <c r="AJ6" s="1024">
        <f t="shared" ref="AJ6:AK6" si="25">AI6+1</f>
        <v>32</v>
      </c>
      <c r="AK6" s="1024">
        <f t="shared" si="25"/>
        <v>33</v>
      </c>
    </row>
    <row r="7" spans="1:42" ht="30.75">
      <c r="A7" s="1007" t="s">
        <v>380</v>
      </c>
      <c r="B7" s="1008" t="s">
        <v>742</v>
      </c>
      <c r="C7" s="1009">
        <f>'2-1-13 SIS'!C42+'2-1-13 SIS'!R42</f>
        <v>10997</v>
      </c>
      <c r="D7" s="1010">
        <f>$D$3</f>
        <v>3520.4894337711748</v>
      </c>
      <c r="E7" s="1010">
        <f>ROUND(C7*D7,0)</f>
        <v>38714822</v>
      </c>
      <c r="F7" s="1010">
        <v>727.23177743956114</v>
      </c>
      <c r="G7" s="1010">
        <f>F7*C7</f>
        <v>7997367.8565028543</v>
      </c>
      <c r="H7" s="1011">
        <f>E7+G7</f>
        <v>46712189.856502853</v>
      </c>
      <c r="I7" s="1678"/>
      <c r="J7" s="1678"/>
      <c r="K7" s="2008">
        <f>+I7+J7</f>
        <v>0</v>
      </c>
      <c r="L7" s="1011">
        <f>+H7+K7</f>
        <v>46712189.856502853</v>
      </c>
      <c r="M7" s="1706"/>
      <c r="N7" s="1706"/>
      <c r="O7" s="1706">
        <f>+M7+N7</f>
        <v>0</v>
      </c>
      <c r="P7" s="1706">
        <f>+L7+O7</f>
        <v>46712189.856502853</v>
      </c>
      <c r="Q7" s="1707" t="s">
        <v>65</v>
      </c>
      <c r="R7" s="1707"/>
      <c r="S7" s="1708" t="s">
        <v>86</v>
      </c>
      <c r="T7" s="1708"/>
      <c r="U7" s="1709"/>
      <c r="V7" s="1709"/>
      <c r="W7" s="1709"/>
      <c r="X7" s="1709"/>
      <c r="Y7" s="1709"/>
      <c r="Z7" s="1709"/>
      <c r="AA7" s="1709"/>
      <c r="AB7" s="1709"/>
      <c r="AC7" s="1709"/>
      <c r="AD7" s="1709"/>
      <c r="AE7" s="1709"/>
      <c r="AF7" s="1709"/>
      <c r="AG7" s="1709"/>
      <c r="AH7" s="1709"/>
      <c r="AI7" s="1709"/>
      <c r="AJ7" s="1709"/>
      <c r="AK7" s="1709"/>
    </row>
    <row r="8" spans="1:42" ht="8.25" customHeight="1">
      <c r="A8" s="1012"/>
      <c r="B8" s="2250"/>
      <c r="C8" s="2251"/>
      <c r="D8" s="2251"/>
      <c r="E8" s="2251"/>
      <c r="F8" s="2251"/>
      <c r="G8" s="2251"/>
      <c r="H8" s="2251"/>
      <c r="I8" s="2252"/>
      <c r="J8" s="2252"/>
      <c r="K8" s="2252"/>
      <c r="L8" s="2252"/>
      <c r="M8" s="2252"/>
      <c r="N8" s="2252"/>
      <c r="O8" s="2252"/>
      <c r="P8" s="2252"/>
      <c r="Q8" s="2251"/>
      <c r="R8" s="2252"/>
      <c r="S8" s="2251"/>
      <c r="T8" s="1025"/>
      <c r="U8" s="2265"/>
      <c r="V8" s="2252"/>
      <c r="W8" s="2252"/>
      <c r="X8" s="2252"/>
      <c r="Y8" s="2252"/>
      <c r="Z8" s="2252"/>
      <c r="AA8" s="2252"/>
      <c r="AB8" s="2252"/>
      <c r="AC8" s="2252"/>
      <c r="AD8" s="2252"/>
      <c r="AE8" s="2252"/>
      <c r="AF8" s="2252"/>
      <c r="AG8" s="2252"/>
      <c r="AH8" s="2252"/>
      <c r="AI8" s="2252"/>
      <c r="AJ8" s="2252"/>
      <c r="AK8" s="2252"/>
      <c r="AL8" s="2252"/>
      <c r="AM8" s="2252"/>
      <c r="AN8" s="2252"/>
      <c r="AO8" s="2252"/>
      <c r="AP8" s="2252"/>
    </row>
    <row r="9" spans="1:42" ht="24.75" customHeight="1">
      <c r="A9" s="1013" t="s">
        <v>379</v>
      </c>
      <c r="B9" s="1014" t="s">
        <v>388</v>
      </c>
      <c r="C9" s="1006">
        <f>3759-C30-C32-C41-C68-C20+317+253+346+384</f>
        <v>2381</v>
      </c>
      <c r="D9" s="1010">
        <f>$D$3</f>
        <v>3520.4894337711748</v>
      </c>
      <c r="E9" s="1010">
        <f>ROUND(C9*D9,0)</f>
        <v>8382285</v>
      </c>
      <c r="F9" s="1010">
        <v>797.0524448632965</v>
      </c>
      <c r="G9" s="1010">
        <f>F9*C9</f>
        <v>1897781.871219509</v>
      </c>
      <c r="H9" s="1011">
        <f>E9+G9</f>
        <v>10280066.871219508</v>
      </c>
      <c r="I9" s="1678">
        <f>+'[3]October midyear adj'!$K$128</f>
        <v>-6122274.3839036813</v>
      </c>
      <c r="J9" s="1678">
        <f>'[3]February midyear adj '!$K$128</f>
        <v>77715.753815420496</v>
      </c>
      <c r="K9" s="2008">
        <f>+I9+J9</f>
        <v>-6044558.6300882604</v>
      </c>
      <c r="L9" s="1011">
        <f>+H9+K9</f>
        <v>4235508.241131248</v>
      </c>
      <c r="M9" s="1678">
        <f>-M69</f>
        <v>2094654.9081542857</v>
      </c>
      <c r="N9" s="1678"/>
      <c r="O9" s="1678">
        <f>+M9+N9</f>
        <v>2094654.9081542857</v>
      </c>
      <c r="P9" s="1977">
        <f>+L9+O9</f>
        <v>6330163.1492855335</v>
      </c>
      <c r="Q9" s="1010">
        <f>'[2]Adjusted Amounts'!$I$149</f>
        <v>-322157.92574859853</v>
      </c>
      <c r="R9" s="1010">
        <v>-21288</v>
      </c>
      <c r="S9" s="1011">
        <f>P9+Q9+R9</f>
        <v>5986717.2235369347</v>
      </c>
      <c r="T9" s="1026">
        <f>'[14]FY2013-14 Final'!$D$43</f>
        <v>4668</v>
      </c>
      <c r="U9" s="1510">
        <f>C9*T9</f>
        <v>11114508</v>
      </c>
      <c r="V9" s="2020">
        <f>+'[3]October midyear adj'!$E$128</f>
        <v>-1418</v>
      </c>
      <c r="W9" s="1986">
        <f>+T9*V9</f>
        <v>-6619224</v>
      </c>
      <c r="X9" s="2020">
        <f>'[3]February midyear adj '!$E$128</f>
        <v>36</v>
      </c>
      <c r="Y9" s="1986">
        <f>(+T9*X9)*0.5</f>
        <v>84024</v>
      </c>
      <c r="Z9" s="2003">
        <f>+W9+Y9</f>
        <v>-6535200</v>
      </c>
      <c r="AA9" s="1510">
        <f>+U9+Z9</f>
        <v>4579308</v>
      </c>
      <c r="AB9" s="1496">
        <f>-AB69</f>
        <v>2318581.02</v>
      </c>
      <c r="AC9" s="1496"/>
      <c r="AD9" s="1496">
        <f>AB9+AC9</f>
        <v>2318581.02</v>
      </c>
      <c r="AE9" s="2002">
        <f>AA9+AD9</f>
        <v>6897889.0199999996</v>
      </c>
      <c r="AF9" s="1495">
        <f>'[15]Adjusted Amounts'!$Q$149</f>
        <v>-73370.5</v>
      </c>
      <c r="AG9" s="1495">
        <v>44058</v>
      </c>
      <c r="AH9" s="1510">
        <f>SUM(AE9:AF9)+AG9</f>
        <v>6868576.5199999996</v>
      </c>
      <c r="AI9" s="1986">
        <f>'[16]Table 5B1_RSD_Orleans'!Y7+'[17]Table 5B1_RSD_Orleans'!AK7+'[18]Table 5B1_RSD_Orleans'!AK7*3+'[19]Table 5B1_RSD_Orleans'!AK7+'[20]Table 5B1_RSD_Orleans'!AK7+'[21]Table 5B1_RSD_Orleans'!AK7-2</f>
        <v>5160385.3669469701</v>
      </c>
      <c r="AJ9" s="1986">
        <f>+AH9-AI9</f>
        <v>1708191.1530530294</v>
      </c>
      <c r="AK9" s="1510">
        <f>ROUND(AJ9/4,0)</f>
        <v>427048</v>
      </c>
      <c r="AL9" s="1511"/>
      <c r="AM9" s="1511"/>
      <c r="AN9" s="1511"/>
      <c r="AO9" s="1511"/>
      <c r="AP9" s="1511"/>
    </row>
    <row r="10" spans="1:42" ht="8.25" customHeight="1">
      <c r="A10" s="1027"/>
      <c r="B10" s="2250"/>
      <c r="C10" s="2251"/>
      <c r="D10" s="2251"/>
      <c r="E10" s="2251"/>
      <c r="F10" s="2251"/>
      <c r="G10" s="2251"/>
      <c r="H10" s="2251"/>
      <c r="I10" s="2252"/>
      <c r="J10" s="2252"/>
      <c r="K10" s="2252"/>
      <c r="L10" s="2252"/>
      <c r="M10" s="2252"/>
      <c r="N10" s="2252"/>
      <c r="O10" s="2252"/>
      <c r="P10" s="2252"/>
      <c r="Q10" s="2251"/>
      <c r="R10" s="2252"/>
      <c r="S10" s="2251"/>
      <c r="T10" s="1025"/>
      <c r="U10" s="2265"/>
      <c r="V10" s="2252"/>
      <c r="W10" s="2252"/>
      <c r="X10" s="2252"/>
      <c r="Y10" s="2252"/>
      <c r="Z10" s="2252"/>
      <c r="AA10" s="2252"/>
      <c r="AB10" s="2252"/>
      <c r="AC10" s="2252"/>
      <c r="AD10" s="2252"/>
      <c r="AE10" s="2252"/>
      <c r="AF10" s="2252"/>
      <c r="AG10" s="2252"/>
      <c r="AH10" s="2252"/>
      <c r="AI10" s="2252"/>
      <c r="AJ10" s="2252"/>
      <c r="AK10" s="2252"/>
      <c r="AL10" s="2252"/>
      <c r="AM10" s="2252"/>
      <c r="AN10" s="2252"/>
      <c r="AO10" s="2252"/>
      <c r="AP10" s="2252"/>
    </row>
    <row r="11" spans="1:42" ht="21" customHeight="1">
      <c r="A11" s="1028"/>
      <c r="B11" s="1029" t="s">
        <v>78</v>
      </c>
      <c r="C11" s="1009"/>
      <c r="D11" s="1010"/>
      <c r="E11" s="1010"/>
      <c r="F11" s="1010"/>
      <c r="G11" s="1010"/>
      <c r="H11" s="1011"/>
      <c r="I11" s="1678"/>
      <c r="J11" s="1678"/>
      <c r="K11" s="2008"/>
      <c r="L11" s="1011"/>
      <c r="M11" s="1678"/>
      <c r="N11" s="1678"/>
      <c r="O11" s="1678"/>
      <c r="P11" s="1977"/>
      <c r="Q11" s="1026"/>
      <c r="R11" s="1026"/>
      <c r="S11" s="1011"/>
      <c r="T11" s="1026"/>
      <c r="U11" s="1011"/>
      <c r="V11" s="2021"/>
      <c r="W11" s="1678"/>
      <c r="X11" s="2021"/>
      <c r="Y11" s="1678"/>
      <c r="Z11" s="1982"/>
      <c r="AA11" s="1011"/>
      <c r="AB11" s="1026"/>
      <c r="AC11" s="1026"/>
      <c r="AD11" s="1026"/>
      <c r="AE11" s="1977"/>
      <c r="AF11" s="1026"/>
      <c r="AG11" s="1026"/>
      <c r="AH11" s="1011"/>
      <c r="AI11" s="1678"/>
      <c r="AJ11" s="1678"/>
      <c r="AK11" s="1011"/>
    </row>
    <row r="12" spans="1:42" ht="30">
      <c r="A12" s="1337">
        <v>300001</v>
      </c>
      <c r="B12" s="1338" t="str">
        <f>IFERROR(VLOOKUP(A12,'[22]Table 4 Level 4'!$B$137:$C$194,2,FALSE),"na")</f>
        <v>Pierre A. Capdau Learning Acdmy (New Beg.)</v>
      </c>
      <c r="C12" s="1339">
        <f>'[23]RSD-NO by Site'!D5</f>
        <v>398</v>
      </c>
      <c r="D12" s="1340">
        <f t="shared" ref="D12:D68" si="26">$D$3</f>
        <v>3520.4894337711748</v>
      </c>
      <c r="E12" s="1340">
        <f t="shared" ref="E12:E61" si="27">ROUND(C12*D12,0)</f>
        <v>1401155</v>
      </c>
      <c r="F12" s="1340">
        <v>767.72184717013943</v>
      </c>
      <c r="G12" s="1340">
        <f t="shared" ref="G12:G61" si="28">F12*C12</f>
        <v>305553.29517371551</v>
      </c>
      <c r="H12" s="1341">
        <f>E12+G12</f>
        <v>1706708.2951737156</v>
      </c>
      <c r="I12" s="1679">
        <f>+'[3]October midyear adj'!K141</f>
        <v>-111493.49330447416</v>
      </c>
      <c r="J12" s="1679">
        <f>'[3]February midyear adj '!K141</f>
        <v>8576.4225618826276</v>
      </c>
      <c r="K12" s="2009">
        <f t="shared" ref="K12:K68" si="29">+I12+J12</f>
        <v>-102917.07074259153</v>
      </c>
      <c r="L12" s="1341">
        <f t="shared" ref="L12:L68" si="30">+H12+K12</f>
        <v>1603791.2244311241</v>
      </c>
      <c r="M12" s="1679">
        <f>-L12*$M$5</f>
        <v>-28066.346427544675</v>
      </c>
      <c r="N12" s="1679">
        <f>-L12*$N$5</f>
        <v>-4009.4780610778103</v>
      </c>
      <c r="O12" s="1679">
        <f t="shared" ref="O12:O68" si="31">+M12+N12</f>
        <v>-32075.824488622486</v>
      </c>
      <c r="P12" s="1978">
        <f t="shared" ref="P12:P68" si="32">+L12+O12</f>
        <v>1571715.3999425014</v>
      </c>
      <c r="Q12" s="1342">
        <f>'[2]Adjusted Amounts'!I162</f>
        <v>0</v>
      </c>
      <c r="R12" s="1342">
        <v>0</v>
      </c>
      <c r="S12" s="1341">
        <f>P12+Q12+R12</f>
        <v>1571715.3999425014</v>
      </c>
      <c r="T12" s="1342">
        <f>$T$9</f>
        <v>4668</v>
      </c>
      <c r="U12" s="1341">
        <f t="shared" ref="U12:U63" si="33">C12*T12</f>
        <v>1857864</v>
      </c>
      <c r="V12" s="2022">
        <f>+'[3]October midyear adj'!E141</f>
        <v>-26</v>
      </c>
      <c r="W12" s="1679">
        <f t="shared" ref="W12:W68" si="34">+T12*V12</f>
        <v>-121368</v>
      </c>
      <c r="X12" s="2022">
        <f>'[3]February midyear adj '!E141</f>
        <v>4</v>
      </c>
      <c r="Y12" s="1679">
        <f>(+T12*X12)*0.5</f>
        <v>9336</v>
      </c>
      <c r="Z12" s="1983">
        <f t="shared" ref="Z12:Z68" si="35">+W12+Y12</f>
        <v>-112032</v>
      </c>
      <c r="AA12" s="1341">
        <f t="shared" ref="AA12:AA68" si="36">+U12+Z12</f>
        <v>1745832</v>
      </c>
      <c r="AB12" s="1342">
        <f>-$AB$5*AA12</f>
        <v>-30552.06</v>
      </c>
      <c r="AC12" s="1342">
        <f>-$AC$5*AA12</f>
        <v>-4364.58</v>
      </c>
      <c r="AD12" s="1342">
        <f>AB12+AC12</f>
        <v>-34916.639999999999</v>
      </c>
      <c r="AE12" s="1978">
        <f t="shared" ref="AE12:AE68" si="37">AA12+AD12</f>
        <v>1710915.36</v>
      </c>
      <c r="AF12" s="1342">
        <f>'[15]Adjusted Amounts'!Q162</f>
        <v>0</v>
      </c>
      <c r="AG12" s="1342">
        <v>0</v>
      </c>
      <c r="AH12" s="1341">
        <f>SUM(AE12:AG12)</f>
        <v>1710915.36</v>
      </c>
      <c r="AI12" s="1989">
        <f>'[16]Table 5B1_RSD_Orleans'!Y10+'[17]Table 5B1_RSD_Orleans'!AK10+'[18]Table 5B1_RSD_Orleans'!AK10*3+'[19]Table 5B1_RSD_Orleans'!AK10+'[20]Table 5B1_RSD_Orleans'!AK10+'[21]Table 5B1_RSD_Orleans'!AK10-2</f>
        <v>1214842.0358787877</v>
      </c>
      <c r="AJ12" s="1989">
        <f t="shared" ref="AJ12:AJ68" si="38">+AH12-AI12</f>
        <v>496073.32412121235</v>
      </c>
      <c r="AK12" s="2053">
        <f t="shared" ref="AK12:AK68" si="39">ROUND(AJ12/4,0)</f>
        <v>124018</v>
      </c>
    </row>
    <row r="13" spans="1:42" ht="15">
      <c r="A13" s="1343">
        <v>300002</v>
      </c>
      <c r="B13" s="1344" t="str">
        <f>IFERROR(VLOOKUP(A13,'[22]Table 4 Level 4'!$B$137:$C$194,2,FALSE),"na")</f>
        <v>Medard H. Nelson Elem (New Beg.)</v>
      </c>
      <c r="C13" s="1345">
        <f>'[23]RSD-NO by Site'!D6</f>
        <v>456</v>
      </c>
      <c r="D13" s="1346">
        <f t="shared" si="26"/>
        <v>3520.4894337711748</v>
      </c>
      <c r="E13" s="1346">
        <f t="shared" si="27"/>
        <v>1605343</v>
      </c>
      <c r="F13" s="1346">
        <v>730.66950653120466</v>
      </c>
      <c r="G13" s="1346">
        <f t="shared" si="28"/>
        <v>333185.29497822933</v>
      </c>
      <c r="H13" s="1347">
        <f t="shared" ref="H13:H61" si="40">E13+G13</f>
        <v>1938528.2949782293</v>
      </c>
      <c r="I13" s="1680">
        <f>+'[3]October midyear adj'!K142</f>
        <v>140288.24502997851</v>
      </c>
      <c r="J13" s="1680">
        <f>'[3]February midyear adj '!K142</f>
        <v>6376.7384104535686</v>
      </c>
      <c r="K13" s="2010">
        <f t="shared" si="29"/>
        <v>146664.98344043209</v>
      </c>
      <c r="L13" s="1347">
        <f t="shared" si="30"/>
        <v>2085193.2784186613</v>
      </c>
      <c r="M13" s="1680">
        <f t="shared" ref="M13:M68" si="41">-L13*$M$5</f>
        <v>-36490.882372326574</v>
      </c>
      <c r="N13" s="1680">
        <f t="shared" ref="N13:N68" si="42">-L13*$N$5</f>
        <v>-5212.9831960466536</v>
      </c>
      <c r="O13" s="1680">
        <f t="shared" si="31"/>
        <v>-41703.865568373229</v>
      </c>
      <c r="P13" s="1979">
        <f t="shared" si="32"/>
        <v>2043489.4128502882</v>
      </c>
      <c r="Q13" s="1348">
        <f>'[2]Adjusted Amounts'!I163</f>
        <v>-14065.621132128788</v>
      </c>
      <c r="R13" s="1348">
        <v>0</v>
      </c>
      <c r="S13" s="1347">
        <f t="shared" ref="S13:S68" si="43">P13+Q13+R13</f>
        <v>2029423.7917181593</v>
      </c>
      <c r="T13" s="1348">
        <f t="shared" ref="T13:T68" si="44">$T$9</f>
        <v>4668</v>
      </c>
      <c r="U13" s="1347">
        <f t="shared" si="33"/>
        <v>2128608</v>
      </c>
      <c r="V13" s="2023">
        <f>+'[3]October midyear adj'!E142</f>
        <v>33</v>
      </c>
      <c r="W13" s="1680">
        <f t="shared" si="34"/>
        <v>154044</v>
      </c>
      <c r="X13" s="2023">
        <f>'[3]February midyear adj '!E142</f>
        <v>3</v>
      </c>
      <c r="Y13" s="1680">
        <f t="shared" ref="Y13:Y68" si="45">(+T13*X13)*0.5</f>
        <v>7002</v>
      </c>
      <c r="Z13" s="1984">
        <f t="shared" si="35"/>
        <v>161046</v>
      </c>
      <c r="AA13" s="1347">
        <f t="shared" si="36"/>
        <v>2289654</v>
      </c>
      <c r="AB13" s="1348">
        <f t="shared" ref="AB13:AB68" si="46">-$AB$5*AA13</f>
        <v>-40068.945000000007</v>
      </c>
      <c r="AC13" s="1348">
        <f t="shared" ref="AC13:AC68" si="47">-$AC$5*AA13</f>
        <v>-5724.1350000000002</v>
      </c>
      <c r="AD13" s="1348">
        <f t="shared" ref="AD13:AD63" si="48">AB13+AC13</f>
        <v>-45793.080000000009</v>
      </c>
      <c r="AE13" s="1979">
        <f t="shared" si="37"/>
        <v>2243860.92</v>
      </c>
      <c r="AF13" s="1348">
        <f>'[15]Adjusted Amounts'!Q163</f>
        <v>0</v>
      </c>
      <c r="AG13" s="1348">
        <v>0</v>
      </c>
      <c r="AH13" s="1347">
        <f t="shared" ref="AH13:AH68" si="49">SUM(AE13:AG13)</f>
        <v>2243860.92</v>
      </c>
      <c r="AI13" s="1986">
        <f>'[16]Table 5B1_RSD_Orleans'!Y11+'[17]Table 5B1_RSD_Orleans'!AK11+'[18]Table 5B1_RSD_Orleans'!AK11*3+'[19]Table 5B1_RSD_Orleans'!AK11+'[20]Table 5B1_RSD_Orleans'!AK11+'[21]Table 5B1_RSD_Orleans'!AK11-3</f>
        <v>1391879.6014545455</v>
      </c>
      <c r="AJ13" s="1986">
        <f t="shared" si="38"/>
        <v>851981.31854545441</v>
      </c>
      <c r="AK13" s="1347">
        <f t="shared" si="39"/>
        <v>212995</v>
      </c>
    </row>
    <row r="14" spans="1:42" ht="30">
      <c r="A14" s="1343">
        <v>300003</v>
      </c>
      <c r="B14" s="1344" t="str">
        <f>IFERROR(VLOOKUP(A14,'[22]Table 4 Level 4'!$B$137:$C$194,2,FALSE),"na")</f>
        <v>Lake Area New Tech Early College (New Beg.)</v>
      </c>
      <c r="C14" s="1345">
        <f>'[23]RSD-NO by Site'!D7</f>
        <v>658</v>
      </c>
      <c r="D14" s="1346">
        <f t="shared" si="26"/>
        <v>3520.4894337711748</v>
      </c>
      <c r="E14" s="1346">
        <f t="shared" si="27"/>
        <v>2316482</v>
      </c>
      <c r="F14" s="1346">
        <v>767.72184717013943</v>
      </c>
      <c r="G14" s="1346">
        <f t="shared" si="28"/>
        <v>505160.97543795174</v>
      </c>
      <c r="H14" s="1347">
        <f t="shared" si="40"/>
        <v>2821642.9754379517</v>
      </c>
      <c r="I14" s="1680">
        <f>+'[3]October midyear adj'!K143</f>
        <v>34305.690247530511</v>
      </c>
      <c r="J14" s="1680">
        <f>'[3]February midyear adj '!K143</f>
        <v>-12864.633842823941</v>
      </c>
      <c r="K14" s="2010">
        <f t="shared" si="29"/>
        <v>21441.056404706571</v>
      </c>
      <c r="L14" s="1347">
        <f t="shared" si="30"/>
        <v>2843084.0318426583</v>
      </c>
      <c r="M14" s="1680">
        <f t="shared" si="41"/>
        <v>-49753.970557246525</v>
      </c>
      <c r="N14" s="1680">
        <f t="shared" si="42"/>
        <v>-7107.7100796066461</v>
      </c>
      <c r="O14" s="1680">
        <f t="shared" si="31"/>
        <v>-56861.680636853169</v>
      </c>
      <c r="P14" s="1979">
        <f t="shared" si="32"/>
        <v>2786222.3512058053</v>
      </c>
      <c r="Q14" s="1348">
        <f>'[2]Adjusted Amounts'!I164</f>
        <v>-14946.984579716975</v>
      </c>
      <c r="R14" s="1348">
        <v>0</v>
      </c>
      <c r="S14" s="1347">
        <f t="shared" si="43"/>
        <v>2771275.3666260885</v>
      </c>
      <c r="T14" s="1348">
        <f t="shared" si="44"/>
        <v>4668</v>
      </c>
      <c r="U14" s="1347">
        <f t="shared" si="33"/>
        <v>3071544</v>
      </c>
      <c r="V14" s="2023">
        <f>+'[3]October midyear adj'!E143</f>
        <v>8</v>
      </c>
      <c r="W14" s="1680">
        <f t="shared" si="34"/>
        <v>37344</v>
      </c>
      <c r="X14" s="2023">
        <f>'[3]February midyear adj '!E143</f>
        <v>-6</v>
      </c>
      <c r="Y14" s="1680">
        <f t="shared" si="45"/>
        <v>-14004</v>
      </c>
      <c r="Z14" s="1984">
        <f t="shared" si="35"/>
        <v>23340</v>
      </c>
      <c r="AA14" s="1347">
        <f t="shared" si="36"/>
        <v>3094884</v>
      </c>
      <c r="AB14" s="1348">
        <f t="shared" si="46"/>
        <v>-54160.470000000008</v>
      </c>
      <c r="AC14" s="1348">
        <f t="shared" si="47"/>
        <v>-7737.21</v>
      </c>
      <c r="AD14" s="1348">
        <f t="shared" si="48"/>
        <v>-61897.680000000008</v>
      </c>
      <c r="AE14" s="1979">
        <f t="shared" si="37"/>
        <v>3032986.32</v>
      </c>
      <c r="AF14" s="1348">
        <f>'[15]Adjusted Amounts'!Q164</f>
        <v>-12602</v>
      </c>
      <c r="AG14" s="1348">
        <v>0</v>
      </c>
      <c r="AH14" s="1347">
        <f t="shared" si="49"/>
        <v>3020384.32</v>
      </c>
      <c r="AI14" s="1986">
        <f>'[16]Table 5B1_RSD_Orleans'!Y12+'[17]Table 5B1_RSD_Orleans'!AK12+'[18]Table 5B1_RSD_Orleans'!AK12*3+'[19]Table 5B1_RSD_Orleans'!AK12+'[20]Table 5B1_RSD_Orleans'!AK12+'[21]Table 5B1_RSD_Orleans'!AK12+3</f>
        <v>2000063.3261818183</v>
      </c>
      <c r="AJ14" s="1986">
        <f t="shared" si="38"/>
        <v>1020320.9938181816</v>
      </c>
      <c r="AK14" s="1347">
        <f t="shared" si="39"/>
        <v>255080</v>
      </c>
    </row>
    <row r="15" spans="1:42" ht="15">
      <c r="A15" s="1349">
        <v>300004</v>
      </c>
      <c r="B15" s="1350" t="str">
        <f>IFERROR(VLOOKUP(A15,'[22]Table 4 Level 4'!$B$137:$C$194,2,FALSE),"na")</f>
        <v>Gentilly Terrace Elem (New Beg.)</v>
      </c>
      <c r="C15" s="1345">
        <f>'[23]RSD-NO by Site'!D8</f>
        <v>412</v>
      </c>
      <c r="D15" s="1346">
        <f t="shared" si="26"/>
        <v>3520.4894337711748</v>
      </c>
      <c r="E15" s="1346">
        <f t="shared" si="27"/>
        <v>1450442</v>
      </c>
      <c r="F15" s="1348">
        <v>746.0335616438357</v>
      </c>
      <c r="G15" s="1346">
        <f t="shared" si="28"/>
        <v>307365.82739726029</v>
      </c>
      <c r="H15" s="1347">
        <f t="shared" si="40"/>
        <v>1757807.8273972603</v>
      </c>
      <c r="I15" s="1680">
        <f>+'[3]October midyear adj'!K144</f>
        <v>85330.459908300225</v>
      </c>
      <c r="J15" s="1680">
        <f>'[3]February midyear adj '!K144</f>
        <v>31998.922465612581</v>
      </c>
      <c r="K15" s="2010">
        <f t="shared" si="29"/>
        <v>117329.38237391281</v>
      </c>
      <c r="L15" s="1347">
        <f t="shared" si="30"/>
        <v>1875137.2097711731</v>
      </c>
      <c r="M15" s="1680">
        <f t="shared" si="41"/>
        <v>-32814.90117099553</v>
      </c>
      <c r="N15" s="1680">
        <f t="shared" si="42"/>
        <v>-4687.8430244279325</v>
      </c>
      <c r="O15" s="1680">
        <f t="shared" si="31"/>
        <v>-37502.74419542346</v>
      </c>
      <c r="P15" s="1979">
        <f t="shared" si="32"/>
        <v>1837634.4655757495</v>
      </c>
      <c r="Q15" s="1348">
        <f>'[2]Adjusted Amounts'!I165</f>
        <v>-9433.2933428891047</v>
      </c>
      <c r="R15" s="1348">
        <v>0</v>
      </c>
      <c r="S15" s="1347">
        <f t="shared" si="43"/>
        <v>1828201.1722328605</v>
      </c>
      <c r="T15" s="1348">
        <f t="shared" si="44"/>
        <v>4668</v>
      </c>
      <c r="U15" s="1347">
        <f t="shared" si="33"/>
        <v>1923216</v>
      </c>
      <c r="V15" s="2023">
        <f>+'[3]October midyear adj'!E144</f>
        <v>20</v>
      </c>
      <c r="W15" s="1680">
        <f t="shared" si="34"/>
        <v>93360</v>
      </c>
      <c r="X15" s="2023">
        <f>'[3]February midyear adj '!E144</f>
        <v>15</v>
      </c>
      <c r="Y15" s="1680">
        <f t="shared" si="45"/>
        <v>35010</v>
      </c>
      <c r="Z15" s="1984">
        <f t="shared" si="35"/>
        <v>128370</v>
      </c>
      <c r="AA15" s="1347">
        <f t="shared" si="36"/>
        <v>2051586</v>
      </c>
      <c r="AB15" s="1348">
        <f t="shared" si="46"/>
        <v>-35902.755000000005</v>
      </c>
      <c r="AC15" s="1348">
        <f t="shared" si="47"/>
        <v>-5128.9650000000001</v>
      </c>
      <c r="AD15" s="1348">
        <f t="shared" si="48"/>
        <v>-41031.72</v>
      </c>
      <c r="AE15" s="1979">
        <f t="shared" si="37"/>
        <v>2010554.28</v>
      </c>
      <c r="AF15" s="1348">
        <f>'[15]Adjusted Amounts'!Q165</f>
        <v>-10493.5</v>
      </c>
      <c r="AG15" s="1348">
        <v>0</v>
      </c>
      <c r="AH15" s="1347">
        <f t="shared" si="49"/>
        <v>2000060.78</v>
      </c>
      <c r="AI15" s="1986">
        <f>'[16]Table 5B1_RSD_Orleans'!Y13+'[17]Table 5B1_RSD_Orleans'!AK13+'[18]Table 5B1_RSD_Orleans'!AK13*3+'[19]Table 5B1_RSD_Orleans'!AK13+'[20]Table 5B1_RSD_Orleans'!AK13+'[21]Table 5B1_RSD_Orleans'!AK13+2</f>
        <v>1250583.8476060608</v>
      </c>
      <c r="AJ15" s="1986">
        <f t="shared" si="38"/>
        <v>749476.93239393923</v>
      </c>
      <c r="AK15" s="1347">
        <f t="shared" si="39"/>
        <v>187369</v>
      </c>
    </row>
    <row r="16" spans="1:42" ht="45">
      <c r="A16" s="1351">
        <v>360001</v>
      </c>
      <c r="B16" s="2056" t="str">
        <f>IFERROR(VLOOKUP(A16,'[22]Table 4 Level 4'!$B$137:$C$194,2,FALSE),"na")</f>
        <v>The NET Charter School (Educators for Qual Alt)
Not in a District Building</v>
      </c>
      <c r="C16" s="1353">
        <f>'[23]RSD-NO by Site'!D9</f>
        <v>156</v>
      </c>
      <c r="D16" s="1354">
        <f t="shared" si="26"/>
        <v>3520.4894337711748</v>
      </c>
      <c r="E16" s="1354">
        <f t="shared" si="27"/>
        <v>549196</v>
      </c>
      <c r="F16" s="1356">
        <v>746.0335616438357</v>
      </c>
      <c r="G16" s="1354">
        <f t="shared" si="28"/>
        <v>116381.23561643837</v>
      </c>
      <c r="H16" s="1355">
        <f t="shared" si="40"/>
        <v>665577.23561643832</v>
      </c>
      <c r="I16" s="1681">
        <f>+'[3]October midyear adj'!K145</f>
        <v>12799.568986245033</v>
      </c>
      <c r="J16" s="1681">
        <f>'[3]February midyear adj '!K145</f>
        <v>-29865.660967905074</v>
      </c>
      <c r="K16" s="2011">
        <f t="shared" si="29"/>
        <v>-17066.091981660044</v>
      </c>
      <c r="L16" s="1355">
        <f t="shared" si="30"/>
        <v>648511.14363477833</v>
      </c>
      <c r="M16" s="1681">
        <f t="shared" si="41"/>
        <v>-11348.945013608622</v>
      </c>
      <c r="N16" s="1681">
        <f t="shared" si="42"/>
        <v>-1621.2778590869459</v>
      </c>
      <c r="O16" s="1681">
        <f t="shared" si="31"/>
        <v>-12970.222872695567</v>
      </c>
      <c r="P16" s="1980">
        <f t="shared" si="32"/>
        <v>635540.92076208279</v>
      </c>
      <c r="Q16" s="1356">
        <f>'[2]Adjusted Amounts'!I166</f>
        <v>0</v>
      </c>
      <c r="R16" s="1356">
        <v>0</v>
      </c>
      <c r="S16" s="1355">
        <f t="shared" si="43"/>
        <v>635540.92076208279</v>
      </c>
      <c r="T16" s="1356">
        <f>T17</f>
        <v>5433</v>
      </c>
      <c r="U16" s="1355">
        <f t="shared" si="33"/>
        <v>847548</v>
      </c>
      <c r="V16" s="2024">
        <f>+'[3]October midyear adj'!E145</f>
        <v>3</v>
      </c>
      <c r="W16" s="1681">
        <f t="shared" si="34"/>
        <v>16299</v>
      </c>
      <c r="X16" s="2024">
        <f>'[3]February midyear adj '!E145</f>
        <v>-14</v>
      </c>
      <c r="Y16" s="1681">
        <f t="shared" si="45"/>
        <v>-38031</v>
      </c>
      <c r="Z16" s="1985">
        <f t="shared" si="35"/>
        <v>-21732</v>
      </c>
      <c r="AA16" s="1355">
        <f t="shared" si="36"/>
        <v>825816</v>
      </c>
      <c r="AB16" s="1356">
        <f t="shared" si="46"/>
        <v>-14451.78</v>
      </c>
      <c r="AC16" s="1356">
        <f t="shared" si="47"/>
        <v>-2064.54</v>
      </c>
      <c r="AD16" s="1356">
        <f t="shared" si="48"/>
        <v>-16516.32</v>
      </c>
      <c r="AE16" s="1980">
        <f t="shared" si="37"/>
        <v>809299.68</v>
      </c>
      <c r="AF16" s="1356">
        <f>'[15]Adjusted Amounts'!Q166</f>
        <v>0</v>
      </c>
      <c r="AG16" s="1356">
        <v>0</v>
      </c>
      <c r="AH16" s="1355">
        <f t="shared" si="49"/>
        <v>809299.68</v>
      </c>
      <c r="AI16" s="1678">
        <f>'[16]Table 5B1_RSD_Orleans'!Y14+'[17]Table 5B1_RSD_Orleans'!AK14+'[18]Table 5B1_RSD_Orleans'!AK14*3+'[19]Table 5B1_RSD_Orleans'!AK14+'[20]Table 5B1_RSD_Orleans'!AK14+'[21]Table 5B1_RSD_Orleans'!AK14-3</f>
        <v>554544.15890909079</v>
      </c>
      <c r="AJ16" s="1678">
        <f t="shared" si="38"/>
        <v>254755.52109090926</v>
      </c>
      <c r="AK16" s="1011">
        <f t="shared" si="39"/>
        <v>63689</v>
      </c>
    </row>
    <row r="17" spans="1:37" ht="45">
      <c r="A17" s="1337">
        <v>361001</v>
      </c>
      <c r="B17" s="2057" t="str">
        <f>IFERROR(VLOOKUP(A17,'[22]Table 4 Level 4'!$B$137:$C$194,2,FALSE),"na")</f>
        <v>Crescent Leadership Acdmy (Crescent Ldrsp Acdmy.)
Not in a District Building</v>
      </c>
      <c r="C17" s="1357">
        <f>'[23]RSD-NO by Site'!D10</f>
        <v>163</v>
      </c>
      <c r="D17" s="1340">
        <f t="shared" si="26"/>
        <v>3520.4894337711748</v>
      </c>
      <c r="E17" s="1340">
        <f>ROUND(C17*D17,0)</f>
        <v>573840</v>
      </c>
      <c r="F17" s="1340">
        <v>746.0335616438357</v>
      </c>
      <c r="G17" s="1340">
        <f>F17*C17</f>
        <v>121603.47054794522</v>
      </c>
      <c r="H17" s="1341">
        <f>E17+G17</f>
        <v>695443.47054794524</v>
      </c>
      <c r="I17" s="1679">
        <f>+'[3]October midyear adj'!K146</f>
        <v>273057.4717065607</v>
      </c>
      <c r="J17" s="1679">
        <f>'[3]February midyear adj '!K146</f>
        <v>14932.830483952537</v>
      </c>
      <c r="K17" s="2009">
        <f t="shared" si="29"/>
        <v>287990.30219051323</v>
      </c>
      <c r="L17" s="1341">
        <f t="shared" si="30"/>
        <v>983433.77273845847</v>
      </c>
      <c r="M17" s="1679">
        <f t="shared" si="41"/>
        <v>-17210.091022923025</v>
      </c>
      <c r="N17" s="1679">
        <f t="shared" si="42"/>
        <v>-2458.5844318461463</v>
      </c>
      <c r="O17" s="1679">
        <f t="shared" si="31"/>
        <v>-19668.675454769171</v>
      </c>
      <c r="P17" s="1978">
        <f t="shared" si="32"/>
        <v>963765.09728368931</v>
      </c>
      <c r="Q17" s="1342">
        <f>'[2]Adjusted Amounts'!I167</f>
        <v>0</v>
      </c>
      <c r="R17" s="1342">
        <v>0</v>
      </c>
      <c r="S17" s="1341">
        <f t="shared" si="43"/>
        <v>963765.09728368931</v>
      </c>
      <c r="T17" s="1342">
        <f>'[14]FY2013-14 Final'!$K$43</f>
        <v>5433</v>
      </c>
      <c r="U17" s="1341">
        <f>C17*T17</f>
        <v>885579</v>
      </c>
      <c r="V17" s="2022">
        <f>+'[3]October midyear adj'!E146</f>
        <v>64</v>
      </c>
      <c r="W17" s="1679">
        <f t="shared" si="34"/>
        <v>347712</v>
      </c>
      <c r="X17" s="2022">
        <f>'[3]February midyear adj '!E146</f>
        <v>7</v>
      </c>
      <c r="Y17" s="1679">
        <f t="shared" si="45"/>
        <v>19015.5</v>
      </c>
      <c r="Z17" s="1983">
        <f t="shared" si="35"/>
        <v>366727.5</v>
      </c>
      <c r="AA17" s="1341">
        <f t="shared" si="36"/>
        <v>1252306.5</v>
      </c>
      <c r="AB17" s="1342">
        <f t="shared" si="46"/>
        <v>-21915.36375</v>
      </c>
      <c r="AC17" s="1342">
        <f t="shared" si="47"/>
        <v>-3130.7662500000001</v>
      </c>
      <c r="AD17" s="1342">
        <f>AB17+AC17</f>
        <v>-25046.13</v>
      </c>
      <c r="AE17" s="1978">
        <f t="shared" si="37"/>
        <v>1227260.3700000001</v>
      </c>
      <c r="AF17" s="1342">
        <f>'[15]Adjusted Amounts'!Q167</f>
        <v>0</v>
      </c>
      <c r="AG17" s="1342">
        <v>0</v>
      </c>
      <c r="AH17" s="1341">
        <f t="shared" si="49"/>
        <v>1227260.3700000001</v>
      </c>
      <c r="AI17" s="1679">
        <f>'[16]Table 5B1_RSD_Orleans'!Y15+'[17]Table 5B1_RSD_Orleans'!AK15+'[18]Table 5B1_RSD_Orleans'!AK15*3+'[19]Table 5B1_RSD_Orleans'!AK15+'[20]Table 5B1_RSD_Orleans'!AK15+'[21]Table 5B1_RSD_Orleans'!AK15+2</f>
        <v>647683.84451515158</v>
      </c>
      <c r="AJ17" s="1679">
        <f t="shared" si="38"/>
        <v>579576.52548484853</v>
      </c>
      <c r="AK17" s="1341">
        <f t="shared" si="39"/>
        <v>144894</v>
      </c>
    </row>
    <row r="18" spans="1:37" ht="15">
      <c r="A18" s="1343">
        <v>362001</v>
      </c>
      <c r="B18" s="1344" t="str">
        <f>IFERROR(VLOOKUP(A18,'[22]Table 4 Level 4'!$B$137:$C$194,2,FALSE),"na")</f>
        <v>John McDonogh H.S. (Future Is Now)</v>
      </c>
      <c r="C18" s="1358">
        <f>'[23]RSD-NO by Site'!D11</f>
        <v>377</v>
      </c>
      <c r="D18" s="1346">
        <f t="shared" si="26"/>
        <v>3520.4894337711748</v>
      </c>
      <c r="E18" s="1346">
        <f>ROUND(C18*D18,0)</f>
        <v>1327225</v>
      </c>
      <c r="F18" s="1346">
        <v>746.0335616438357</v>
      </c>
      <c r="G18" s="1346">
        <f>F18*C18</f>
        <v>281254.65273972607</v>
      </c>
      <c r="H18" s="1347">
        <f>E18+G18</f>
        <v>1608479.652739726</v>
      </c>
      <c r="I18" s="1680">
        <f>+'[3]October midyear adj'!K147</f>
        <v>-281590.51769739069</v>
      </c>
      <c r="J18" s="1680">
        <f>'[3]February midyear adj '!K147</f>
        <v>-19199.35347936755</v>
      </c>
      <c r="K18" s="2010">
        <f t="shared" si="29"/>
        <v>-300789.87117675826</v>
      </c>
      <c r="L18" s="1347">
        <f t="shared" si="30"/>
        <v>1307689.7815629677</v>
      </c>
      <c r="M18" s="1680">
        <f t="shared" si="41"/>
        <v>-22884.571177351936</v>
      </c>
      <c r="N18" s="1680">
        <f t="shared" si="42"/>
        <v>-3269.2244539074195</v>
      </c>
      <c r="O18" s="1680">
        <f t="shared" si="31"/>
        <v>-26153.795631259356</v>
      </c>
      <c r="P18" s="1979">
        <f t="shared" si="32"/>
        <v>1281535.9859317082</v>
      </c>
      <c r="Q18" s="1348">
        <f>'[2]Adjusted Amounts'!I168</f>
        <v>-113097.28260242619</v>
      </c>
      <c r="R18" s="1348">
        <v>56549</v>
      </c>
      <c r="S18" s="1347">
        <f t="shared" si="43"/>
        <v>1224987.7033292821</v>
      </c>
      <c r="T18" s="1348">
        <f t="shared" si="44"/>
        <v>4668</v>
      </c>
      <c r="U18" s="1347">
        <f>C18*T18</f>
        <v>1759836</v>
      </c>
      <c r="V18" s="2023">
        <f>+'[3]October midyear adj'!E147</f>
        <v>-66</v>
      </c>
      <c r="W18" s="1680">
        <f t="shared" si="34"/>
        <v>-308088</v>
      </c>
      <c r="X18" s="2023">
        <f>'[3]February midyear adj '!E147</f>
        <v>-9</v>
      </c>
      <c r="Y18" s="1680">
        <f t="shared" si="45"/>
        <v>-21006</v>
      </c>
      <c r="Z18" s="1984">
        <f t="shared" si="35"/>
        <v>-329094</v>
      </c>
      <c r="AA18" s="1347">
        <f t="shared" si="36"/>
        <v>1430742</v>
      </c>
      <c r="AB18" s="1348">
        <f t="shared" si="46"/>
        <v>-25037.985000000001</v>
      </c>
      <c r="AC18" s="1348">
        <f t="shared" si="47"/>
        <v>-3576.855</v>
      </c>
      <c r="AD18" s="1348">
        <f>AB18+AC18</f>
        <v>-28614.84</v>
      </c>
      <c r="AE18" s="1979">
        <f t="shared" si="37"/>
        <v>1402127.16</v>
      </c>
      <c r="AF18" s="1348">
        <f>'[15]Adjusted Amounts'!Q168</f>
        <v>-113292</v>
      </c>
      <c r="AG18" s="1348">
        <v>56646</v>
      </c>
      <c r="AH18" s="1347">
        <f t="shared" si="49"/>
        <v>1345481.16</v>
      </c>
      <c r="AI18" s="1680">
        <f>'[16]Table 5B1_RSD_Orleans'!Y16+'[17]Table 5B1_RSD_Orleans'!AK16+'[18]Table 5B1_RSD_Orleans'!AK16*3+'[19]Table 5B1_RSD_Orleans'!AK16+'[20]Table 5B1_RSD_Orleans'!AK16+'[21]Table 5B1_RSD_Orleans'!AK16-1</f>
        <v>1075215.8671515151</v>
      </c>
      <c r="AJ18" s="1680">
        <f t="shared" si="38"/>
        <v>270265.29284848482</v>
      </c>
      <c r="AK18" s="1347">
        <f t="shared" si="39"/>
        <v>67566</v>
      </c>
    </row>
    <row r="19" spans="1:37" ht="30">
      <c r="A19" s="1349">
        <v>363001</v>
      </c>
      <c r="B19" s="1350" t="str">
        <f>IFERROR(VLOOKUP(A19,'[22]Table 4 Level 4'!$B$137:$C$194,2,FALSE),"na")</f>
        <v>Harriet Tubman Charter School (Crescent City)</v>
      </c>
      <c r="C19" s="1345">
        <f>'[23]RSD-NO by Site'!D12</f>
        <v>530</v>
      </c>
      <c r="D19" s="1346">
        <f t="shared" si="26"/>
        <v>3520.4894337711748</v>
      </c>
      <c r="E19" s="1346">
        <f t="shared" ref="E19:E29" si="50">ROUND(C19*D19,0)</f>
        <v>1865859</v>
      </c>
      <c r="F19" s="1346">
        <v>746.0335616438357</v>
      </c>
      <c r="G19" s="1346">
        <f t="shared" ref="G19:G29" si="51">F19*C19</f>
        <v>395397.78767123295</v>
      </c>
      <c r="H19" s="1347">
        <f t="shared" ref="H19:H29" si="52">E19+G19</f>
        <v>2261256.7876712331</v>
      </c>
      <c r="I19" s="1680">
        <f>+'[3]October midyear adj'!K148</f>
        <v>4266.5229954150109</v>
      </c>
      <c r="J19" s="1680">
        <f>'[3]February midyear adj '!K148</f>
        <v>-21332.614977075056</v>
      </c>
      <c r="K19" s="2010">
        <f t="shared" si="29"/>
        <v>-17066.091981660044</v>
      </c>
      <c r="L19" s="1347">
        <f t="shared" si="30"/>
        <v>2244190.695689573</v>
      </c>
      <c r="M19" s="1680">
        <f t="shared" si="41"/>
        <v>-39273.337174567532</v>
      </c>
      <c r="N19" s="1680">
        <f t="shared" si="42"/>
        <v>-5610.4767392239328</v>
      </c>
      <c r="O19" s="1680">
        <f t="shared" si="31"/>
        <v>-44883.813913791462</v>
      </c>
      <c r="P19" s="1979">
        <f t="shared" si="32"/>
        <v>2199306.8817757815</v>
      </c>
      <c r="Q19" s="1348">
        <f>'[2]Adjusted Amounts'!I169</f>
        <v>-31062.573315865986</v>
      </c>
      <c r="R19" s="1348">
        <v>0</v>
      </c>
      <c r="S19" s="1347">
        <f t="shared" si="43"/>
        <v>2168244.3084599157</v>
      </c>
      <c r="T19" s="1348">
        <f t="shared" si="44"/>
        <v>4668</v>
      </c>
      <c r="U19" s="1347">
        <f t="shared" si="33"/>
        <v>2474040</v>
      </c>
      <c r="V19" s="2023">
        <f>+'[3]October midyear adj'!E148</f>
        <v>1</v>
      </c>
      <c r="W19" s="1680">
        <f t="shared" si="34"/>
        <v>4668</v>
      </c>
      <c r="X19" s="2023">
        <f>'[3]February midyear adj '!E148</f>
        <v>-10</v>
      </c>
      <c r="Y19" s="1680">
        <f t="shared" si="45"/>
        <v>-23340</v>
      </c>
      <c r="Z19" s="1984">
        <f t="shared" si="35"/>
        <v>-18672</v>
      </c>
      <c r="AA19" s="1347">
        <f t="shared" si="36"/>
        <v>2455368</v>
      </c>
      <c r="AB19" s="1348">
        <f t="shared" si="46"/>
        <v>-42968.94</v>
      </c>
      <c r="AC19" s="1348">
        <f t="shared" si="47"/>
        <v>-6138.42</v>
      </c>
      <c r="AD19" s="1348">
        <f t="shared" si="48"/>
        <v>-49107.360000000001</v>
      </c>
      <c r="AE19" s="1979">
        <f t="shared" si="37"/>
        <v>2406260.64</v>
      </c>
      <c r="AF19" s="1348">
        <f>'[15]Adjusted Amounts'!Q169</f>
        <v>-27298.5</v>
      </c>
      <c r="AG19" s="1348">
        <v>0</v>
      </c>
      <c r="AH19" s="1347">
        <f t="shared" si="49"/>
        <v>2378962.14</v>
      </c>
      <c r="AI19" s="1680">
        <f>'[16]Table 5B1_RSD_Orleans'!Y17+'[17]Table 5B1_RSD_Orleans'!AK17+'[18]Table 5B1_RSD_Orleans'!AK17*3+'[19]Table 5B1_RSD_Orleans'!AK17+'[20]Table 5B1_RSD_Orleans'!AK17+'[21]Table 5B1_RSD_Orleans'!AK17+1</f>
        <v>1599559.6837878786</v>
      </c>
      <c r="AJ19" s="1680">
        <f t="shared" si="38"/>
        <v>779402.45621212153</v>
      </c>
      <c r="AK19" s="1347">
        <f t="shared" si="39"/>
        <v>194851</v>
      </c>
    </row>
    <row r="20" spans="1:37" ht="30">
      <c r="A20" s="1359">
        <v>363002</v>
      </c>
      <c r="B20" s="1360" t="str">
        <f>IFERROR(VLOOKUP(A20,'[22]Table 4 Level 4'!$B$137:$C$194,2,FALSE),"na")</f>
        <v>Paul Habans Elem (Crescent City Schools)</v>
      </c>
      <c r="C20" s="1361">
        <v>460</v>
      </c>
      <c r="D20" s="1346">
        <f t="shared" si="26"/>
        <v>3520.4894337711748</v>
      </c>
      <c r="E20" s="1346">
        <f>ROUND(C20*D20,0)</f>
        <v>1619425</v>
      </c>
      <c r="F20" s="1346">
        <v>746.0335616438357</v>
      </c>
      <c r="G20" s="1346">
        <f>F20*C20</f>
        <v>343175.43835616444</v>
      </c>
      <c r="H20" s="1347">
        <f>E20+G20</f>
        <v>1962600.4383561644</v>
      </c>
      <c r="I20" s="1680">
        <f>+'[3]October midyear adj'!K149</f>
        <v>-520515.80544063135</v>
      </c>
      <c r="J20" s="1680">
        <f>'[3]February midyear adj '!K149</f>
        <v>66131.106428932675</v>
      </c>
      <c r="K20" s="2010">
        <f t="shared" si="29"/>
        <v>-454384.69901169866</v>
      </c>
      <c r="L20" s="1347">
        <f t="shared" si="30"/>
        <v>1508215.7393444658</v>
      </c>
      <c r="M20" s="1680">
        <f t="shared" si="41"/>
        <v>-26393.775438528155</v>
      </c>
      <c r="N20" s="1680">
        <f t="shared" si="42"/>
        <v>-3770.5393483611647</v>
      </c>
      <c r="O20" s="1680">
        <f t="shared" si="31"/>
        <v>-30164.314786889321</v>
      </c>
      <c r="P20" s="1979">
        <f t="shared" si="32"/>
        <v>1478051.4245575764</v>
      </c>
      <c r="Q20" s="1348">
        <v>0</v>
      </c>
      <c r="R20" s="1348">
        <v>0</v>
      </c>
      <c r="S20" s="1347">
        <f t="shared" si="43"/>
        <v>1478051.4245575764</v>
      </c>
      <c r="T20" s="1348">
        <f t="shared" si="44"/>
        <v>4668</v>
      </c>
      <c r="U20" s="1347">
        <f>C20*T20</f>
        <v>2147280</v>
      </c>
      <c r="V20" s="2023">
        <f>+'[3]October midyear adj'!E149</f>
        <v>-122</v>
      </c>
      <c r="W20" s="1680">
        <f t="shared" si="34"/>
        <v>-569496</v>
      </c>
      <c r="X20" s="2023">
        <f>'[3]February midyear adj '!E149</f>
        <v>31</v>
      </c>
      <c r="Y20" s="1680">
        <f t="shared" si="45"/>
        <v>72354</v>
      </c>
      <c r="Z20" s="1984">
        <f t="shared" si="35"/>
        <v>-497142</v>
      </c>
      <c r="AA20" s="1347">
        <f t="shared" si="36"/>
        <v>1650138</v>
      </c>
      <c r="AB20" s="1348">
        <f t="shared" si="46"/>
        <v>-28877.415000000005</v>
      </c>
      <c r="AC20" s="1348">
        <f t="shared" si="47"/>
        <v>-4125.3450000000003</v>
      </c>
      <c r="AD20" s="1348">
        <f>AB20+AC20</f>
        <v>-33002.76</v>
      </c>
      <c r="AE20" s="1979">
        <f t="shared" si="37"/>
        <v>1617135.24</v>
      </c>
      <c r="AF20" s="1348">
        <v>0</v>
      </c>
      <c r="AG20" s="1348">
        <v>0</v>
      </c>
      <c r="AH20" s="1347">
        <f t="shared" si="49"/>
        <v>1617135.24</v>
      </c>
      <c r="AI20" s="1680">
        <f>'[16]Table 5B1_RSD_Orleans'!Y18+'[17]Table 5B1_RSD_Orleans'!AK18+'[18]Table 5B1_RSD_Orleans'!AK18*3+'[19]Table 5B1_RSD_Orleans'!AK18+'[20]Table 5B1_RSD_Orleans'!AK18+'[21]Table 5B1_RSD_Orleans'!AK18-3</f>
        <v>1083672.9961212121</v>
      </c>
      <c r="AJ20" s="1680">
        <f t="shared" si="38"/>
        <v>533462.24387878785</v>
      </c>
      <c r="AK20" s="1347">
        <f t="shared" si="39"/>
        <v>133366</v>
      </c>
    </row>
    <row r="21" spans="1:37" ht="30">
      <c r="A21" s="1362">
        <v>364001</v>
      </c>
      <c r="B21" s="1363" t="str">
        <f>IFERROR(VLOOKUP(A21,'[22]Table 4 Level 4'!$B$137:$C$194,2,FALSE),"na")</f>
        <v>Fannie C. Williams Charter School (Comm Leaders)</v>
      </c>
      <c r="C21" s="1364">
        <f>'[23]RSD-NO by Site'!D13</f>
        <v>523</v>
      </c>
      <c r="D21" s="1354">
        <f t="shared" si="26"/>
        <v>3520.4894337711748</v>
      </c>
      <c r="E21" s="1354">
        <f t="shared" si="50"/>
        <v>1841216</v>
      </c>
      <c r="F21" s="1354">
        <v>746.0335616438357</v>
      </c>
      <c r="G21" s="1354">
        <f t="shared" si="51"/>
        <v>390175.55273972609</v>
      </c>
      <c r="H21" s="1355">
        <f t="shared" si="52"/>
        <v>2231391.5527397259</v>
      </c>
      <c r="I21" s="1681">
        <f>+'[3]October midyear adj'!K150</f>
        <v>76797.4139174702</v>
      </c>
      <c r="J21" s="1681">
        <f>'[3]February midyear adj '!K150</f>
        <v>14932.830483952537</v>
      </c>
      <c r="K21" s="2011">
        <f t="shared" si="29"/>
        <v>91730.244401422737</v>
      </c>
      <c r="L21" s="1355">
        <f t="shared" si="30"/>
        <v>2323121.7971411487</v>
      </c>
      <c r="M21" s="1681">
        <f t="shared" si="41"/>
        <v>-40654.631449970104</v>
      </c>
      <c r="N21" s="1681">
        <f t="shared" si="42"/>
        <v>-5807.8044928528716</v>
      </c>
      <c r="O21" s="1681">
        <f t="shared" si="31"/>
        <v>-46462.435942822973</v>
      </c>
      <c r="P21" s="1980">
        <f t="shared" si="32"/>
        <v>2276659.3611983256</v>
      </c>
      <c r="Q21" s="1356">
        <f>'[2]Adjusted Amounts'!I170</f>
        <v>0</v>
      </c>
      <c r="R21" s="1356">
        <v>0</v>
      </c>
      <c r="S21" s="1355">
        <f t="shared" si="43"/>
        <v>2276659.3611983256</v>
      </c>
      <c r="T21" s="1356">
        <f t="shared" si="44"/>
        <v>4668</v>
      </c>
      <c r="U21" s="1355">
        <f t="shared" si="33"/>
        <v>2441364</v>
      </c>
      <c r="V21" s="2024">
        <f>+'[3]October midyear adj'!E150</f>
        <v>18</v>
      </c>
      <c r="W21" s="1681">
        <f t="shared" si="34"/>
        <v>84024</v>
      </c>
      <c r="X21" s="2024">
        <f>'[3]February midyear adj '!E150</f>
        <v>7</v>
      </c>
      <c r="Y21" s="1681">
        <f t="shared" si="45"/>
        <v>16338</v>
      </c>
      <c r="Z21" s="1985">
        <f t="shared" si="35"/>
        <v>100362</v>
      </c>
      <c r="AA21" s="1355">
        <f t="shared" si="36"/>
        <v>2541726</v>
      </c>
      <c r="AB21" s="1356">
        <f t="shared" si="46"/>
        <v>-44480.205000000002</v>
      </c>
      <c r="AC21" s="1356">
        <f t="shared" si="47"/>
        <v>-6354.3150000000005</v>
      </c>
      <c r="AD21" s="1356">
        <f t="shared" si="48"/>
        <v>-50834.520000000004</v>
      </c>
      <c r="AE21" s="1980">
        <f t="shared" si="37"/>
        <v>2490891.48</v>
      </c>
      <c r="AF21" s="1356">
        <v>0</v>
      </c>
      <c r="AG21" s="1356">
        <v>0</v>
      </c>
      <c r="AH21" s="1355">
        <f t="shared" si="49"/>
        <v>2490891.48</v>
      </c>
      <c r="AI21" s="1681">
        <f>'[16]Table 5B1_RSD_Orleans'!Y19+'[17]Table 5B1_RSD_Orleans'!AK19+'[18]Table 5B1_RSD_Orleans'!AK19*3+'[19]Table 5B1_RSD_Orleans'!AK19+'[20]Table 5B1_RSD_Orleans'!AK19+'[21]Table 5B1_RSD_Orleans'!AK19+1</f>
        <v>1596392.1328484847</v>
      </c>
      <c r="AJ21" s="1681">
        <f t="shared" si="38"/>
        <v>894499.34715151531</v>
      </c>
      <c r="AK21" s="1355">
        <f t="shared" si="39"/>
        <v>223625</v>
      </c>
    </row>
    <row r="22" spans="1:37" ht="45">
      <c r="A22" s="1365">
        <v>366001</v>
      </c>
      <c r="B22" s="2055" t="str">
        <f>IFERROR(VLOOKUP(A22,'[22]Table 4 Level 4'!$B$137:$C$194,2,FALSE),"na")</f>
        <v>Lagniappe Academies of N.O. (Lagniappe Academies)
Not in a District Building</v>
      </c>
      <c r="C22" s="1339">
        <f>'[23]RSD-NO by Site'!D14</f>
        <v>121</v>
      </c>
      <c r="D22" s="1340">
        <f t="shared" si="26"/>
        <v>3520.4894337711748</v>
      </c>
      <c r="E22" s="1340">
        <f t="shared" si="50"/>
        <v>425979</v>
      </c>
      <c r="F22" s="1340">
        <v>746.0335616438357</v>
      </c>
      <c r="G22" s="1340">
        <f t="shared" si="51"/>
        <v>90270.060958904112</v>
      </c>
      <c r="H22" s="1341">
        <f t="shared" si="52"/>
        <v>516249.0609589041</v>
      </c>
      <c r="I22" s="1679">
        <f>+'[3]October midyear adj'!K151</f>
        <v>174927.44281201545</v>
      </c>
      <c r="J22" s="1679">
        <f>'[3]February midyear adj '!K151</f>
        <v>4266.5229954150109</v>
      </c>
      <c r="K22" s="2009">
        <f t="shared" si="29"/>
        <v>179193.96580743045</v>
      </c>
      <c r="L22" s="1341">
        <f t="shared" si="30"/>
        <v>695443.02676633454</v>
      </c>
      <c r="M22" s="1679">
        <f t="shared" si="41"/>
        <v>-12170.252968410856</v>
      </c>
      <c r="N22" s="1679">
        <f t="shared" si="42"/>
        <v>-1738.6075669158363</v>
      </c>
      <c r="O22" s="1679">
        <f t="shared" si="31"/>
        <v>-13908.860535326692</v>
      </c>
      <c r="P22" s="1978">
        <f t="shared" si="32"/>
        <v>681534.1662310079</v>
      </c>
      <c r="Q22" s="1342">
        <f>'[2]Adjusted Amounts'!I171</f>
        <v>-1055.7168538204842</v>
      </c>
      <c r="R22" s="1342">
        <v>0</v>
      </c>
      <c r="S22" s="1341">
        <f t="shared" si="43"/>
        <v>680478.44937718741</v>
      </c>
      <c r="T22" s="1342">
        <f>'[14]FY2013-14 Final'!$K$43</f>
        <v>5433</v>
      </c>
      <c r="U22" s="1341">
        <f t="shared" si="33"/>
        <v>657393</v>
      </c>
      <c r="V22" s="2022">
        <f>+'[3]October midyear adj'!E151</f>
        <v>41</v>
      </c>
      <c r="W22" s="1679">
        <f t="shared" si="34"/>
        <v>222753</v>
      </c>
      <c r="X22" s="2022">
        <f>'[3]February midyear adj '!E151</f>
        <v>2</v>
      </c>
      <c r="Y22" s="1679">
        <f t="shared" si="45"/>
        <v>5433</v>
      </c>
      <c r="Z22" s="1983">
        <f t="shared" si="35"/>
        <v>228186</v>
      </c>
      <c r="AA22" s="1341">
        <f t="shared" si="36"/>
        <v>885579</v>
      </c>
      <c r="AB22" s="1342">
        <f t="shared" si="46"/>
        <v>-15497.632500000002</v>
      </c>
      <c r="AC22" s="1342">
        <f t="shared" si="47"/>
        <v>-2213.9475000000002</v>
      </c>
      <c r="AD22" s="1342">
        <f t="shared" si="48"/>
        <v>-17711.580000000002</v>
      </c>
      <c r="AE22" s="1978">
        <f t="shared" si="37"/>
        <v>867867.42</v>
      </c>
      <c r="AF22" s="1342">
        <f>'[15]Adjusted Amounts'!Q171</f>
        <v>-2789.5</v>
      </c>
      <c r="AG22" s="1342">
        <v>0</v>
      </c>
      <c r="AH22" s="1341">
        <f t="shared" si="49"/>
        <v>865077.92</v>
      </c>
      <c r="AI22" s="1679">
        <f>'[16]Table 5B1_RSD_Orleans'!Y20+'[17]Table 5B1_RSD_Orleans'!AK20+'[18]Table 5B1_RSD_Orleans'!AK20*3+'[19]Table 5B1_RSD_Orleans'!AK20+'[20]Table 5B1_RSD_Orleans'!AK20+'[21]Table 5B1_RSD_Orleans'!AK20+1</f>
        <v>580286.0787272728</v>
      </c>
      <c r="AJ22" s="1679">
        <f t="shared" si="38"/>
        <v>284791.84127272724</v>
      </c>
      <c r="AK22" s="1341">
        <f t="shared" si="39"/>
        <v>71198</v>
      </c>
    </row>
    <row r="23" spans="1:37" ht="30">
      <c r="A23" s="1349">
        <v>367001</v>
      </c>
      <c r="B23" s="1350" t="str">
        <f>IFERROR(VLOOKUP(A23,'[22]Table 4 Level 4'!$B$137:$C$194,2,FALSE),"na")</f>
        <v>Edgar P. Harney Spirit of Excellence Acdmy (Spirit of Excel)</v>
      </c>
      <c r="C23" s="1345">
        <f>'[23]RSD-NO by Site'!D15</f>
        <v>393</v>
      </c>
      <c r="D23" s="1346">
        <f t="shared" si="26"/>
        <v>3520.4894337711748</v>
      </c>
      <c r="E23" s="1346">
        <f t="shared" si="50"/>
        <v>1383552</v>
      </c>
      <c r="F23" s="1346">
        <v>746.0335616438357</v>
      </c>
      <c r="G23" s="1346">
        <f t="shared" si="51"/>
        <v>293191.18972602743</v>
      </c>
      <c r="H23" s="1347">
        <f t="shared" si="52"/>
        <v>1676743.1897260274</v>
      </c>
      <c r="I23" s="1680">
        <f>+'[3]October midyear adj'!K152</f>
        <v>-162127.87382577042</v>
      </c>
      <c r="J23" s="1680">
        <f>'[3]February midyear adj '!K152</f>
        <v>34132.183963320087</v>
      </c>
      <c r="K23" s="2010">
        <f t="shared" si="29"/>
        <v>-127995.68986245034</v>
      </c>
      <c r="L23" s="1347">
        <f t="shared" si="30"/>
        <v>1548747.4998635771</v>
      </c>
      <c r="M23" s="1680">
        <f t="shared" si="41"/>
        <v>-27103.081247612601</v>
      </c>
      <c r="N23" s="1680">
        <f t="shared" si="42"/>
        <v>-3871.8687496589428</v>
      </c>
      <c r="O23" s="1680">
        <f t="shared" si="31"/>
        <v>-30974.949997271542</v>
      </c>
      <c r="P23" s="1979">
        <f t="shared" si="32"/>
        <v>1517772.5498663054</v>
      </c>
      <c r="Q23" s="1348">
        <f>'[2]Adjusted Amounts'!I172</f>
        <v>0</v>
      </c>
      <c r="R23" s="1348">
        <v>0</v>
      </c>
      <c r="S23" s="1347">
        <f t="shared" si="43"/>
        <v>1517772.5498663054</v>
      </c>
      <c r="T23" s="1348">
        <f t="shared" si="44"/>
        <v>4668</v>
      </c>
      <c r="U23" s="1347">
        <f t="shared" si="33"/>
        <v>1834524</v>
      </c>
      <c r="V23" s="2023">
        <f>+'[3]October midyear adj'!E152</f>
        <v>-38</v>
      </c>
      <c r="W23" s="1680">
        <f t="shared" si="34"/>
        <v>-177384</v>
      </c>
      <c r="X23" s="2023">
        <f>'[3]February midyear adj '!E152</f>
        <v>16</v>
      </c>
      <c r="Y23" s="1680">
        <f t="shared" si="45"/>
        <v>37344</v>
      </c>
      <c r="Z23" s="1984">
        <f t="shared" si="35"/>
        <v>-140040</v>
      </c>
      <c r="AA23" s="1347">
        <f t="shared" si="36"/>
        <v>1694484</v>
      </c>
      <c r="AB23" s="1348">
        <f t="shared" si="46"/>
        <v>-29653.47</v>
      </c>
      <c r="AC23" s="1348">
        <f t="shared" si="47"/>
        <v>-4236.21</v>
      </c>
      <c r="AD23" s="1348">
        <f t="shared" si="48"/>
        <v>-33889.68</v>
      </c>
      <c r="AE23" s="1979">
        <f t="shared" si="37"/>
        <v>1660594.32</v>
      </c>
      <c r="AF23" s="1348">
        <f>'[15]Adjusted Amounts'!Q172</f>
        <v>0</v>
      </c>
      <c r="AG23" s="1348">
        <v>0</v>
      </c>
      <c r="AH23" s="1347">
        <f t="shared" si="49"/>
        <v>1660594.32</v>
      </c>
      <c r="AI23" s="1680">
        <f>'[16]Table 5B1_RSD_Orleans'!Y21+'[17]Table 5B1_RSD_Orleans'!AK21+'[18]Table 5B1_RSD_Orleans'!AK21*3+'[19]Table 5B1_RSD_Orleans'!AK21+'[20]Table 5B1_RSD_Orleans'!AK21+'[21]Table 5B1_RSD_Orleans'!AK21+1</f>
        <v>1199583.5134545455</v>
      </c>
      <c r="AJ23" s="1680">
        <f t="shared" si="38"/>
        <v>461010.80654545454</v>
      </c>
      <c r="AK23" s="1347">
        <f t="shared" si="39"/>
        <v>115253</v>
      </c>
    </row>
    <row r="24" spans="1:37" ht="45">
      <c r="A24" s="1349">
        <v>368001</v>
      </c>
      <c r="B24" s="2054" t="str">
        <f>IFERROR(VLOOKUP(A24,'[22]Table 4 Level 4'!$B$137:$C$194,2,FALSE),"na")</f>
        <v>Morris Jeff Community School (Morris Jeff Comm. School)
Not in a District Building</v>
      </c>
      <c r="C24" s="1345">
        <f>'[23]RSD-NO by Site'!D16</f>
        <v>262</v>
      </c>
      <c r="D24" s="1346">
        <f t="shared" si="26"/>
        <v>3520.4894337711748</v>
      </c>
      <c r="E24" s="1346">
        <f t="shared" si="50"/>
        <v>922368</v>
      </c>
      <c r="F24" s="1346">
        <v>746.0335616438357</v>
      </c>
      <c r="G24" s="1346">
        <f t="shared" si="51"/>
        <v>195460.79315068494</v>
      </c>
      <c r="H24" s="1347">
        <f t="shared" si="52"/>
        <v>1117828.793150685</v>
      </c>
      <c r="I24" s="1680">
        <f>+'[3]October midyear adj'!K153</f>
        <v>426652.2995415011</v>
      </c>
      <c r="J24" s="1680">
        <f>'[3]February midyear adj '!K153</f>
        <v>14932.830483952537</v>
      </c>
      <c r="K24" s="2010">
        <f t="shared" si="29"/>
        <v>441585.13002545363</v>
      </c>
      <c r="L24" s="1347">
        <f t="shared" si="30"/>
        <v>1559413.9231761387</v>
      </c>
      <c r="M24" s="1680">
        <f t="shared" si="41"/>
        <v>-27289.743655582428</v>
      </c>
      <c r="N24" s="1680">
        <f t="shared" si="42"/>
        <v>-3898.5348079403466</v>
      </c>
      <c r="O24" s="1680">
        <f t="shared" si="31"/>
        <v>-31188.278463522773</v>
      </c>
      <c r="P24" s="1979">
        <f t="shared" si="32"/>
        <v>1528225.644712616</v>
      </c>
      <c r="Q24" s="1348">
        <v>520</v>
      </c>
      <c r="R24" s="1348">
        <v>0</v>
      </c>
      <c r="S24" s="1347">
        <f t="shared" si="43"/>
        <v>1528745.644712616</v>
      </c>
      <c r="T24" s="1348">
        <f>T17</f>
        <v>5433</v>
      </c>
      <c r="U24" s="1347">
        <f t="shared" si="33"/>
        <v>1423446</v>
      </c>
      <c r="V24" s="2023">
        <f>+'[3]October midyear adj'!E153</f>
        <v>100</v>
      </c>
      <c r="W24" s="1680">
        <f t="shared" si="34"/>
        <v>543300</v>
      </c>
      <c r="X24" s="2023">
        <f>'[3]February midyear adj '!E153</f>
        <v>7</v>
      </c>
      <c r="Y24" s="1680">
        <f t="shared" si="45"/>
        <v>19015.5</v>
      </c>
      <c r="Z24" s="1984">
        <f t="shared" si="35"/>
        <v>562315.5</v>
      </c>
      <c r="AA24" s="1347">
        <f t="shared" si="36"/>
        <v>1985761.5</v>
      </c>
      <c r="AB24" s="1348">
        <f t="shared" si="46"/>
        <v>-34750.826250000006</v>
      </c>
      <c r="AC24" s="1348">
        <f t="shared" si="47"/>
        <v>-4964.4037500000004</v>
      </c>
      <c r="AD24" s="1348">
        <f t="shared" si="48"/>
        <v>-39715.230000000003</v>
      </c>
      <c r="AE24" s="1979">
        <f t="shared" si="37"/>
        <v>1946046.27</v>
      </c>
      <c r="AF24" s="1348">
        <v>0</v>
      </c>
      <c r="AG24" s="1348">
        <v>0</v>
      </c>
      <c r="AH24" s="1347">
        <f t="shared" si="49"/>
        <v>1946046.27</v>
      </c>
      <c r="AI24" s="1680">
        <f>'[16]Table 5B1_RSD_Orleans'!Y22+'[17]Table 5B1_RSD_Orleans'!AK22+'[18]Table 5B1_RSD_Orleans'!AK22*3+'[19]Table 5B1_RSD_Orleans'!AK22+'[20]Table 5B1_RSD_Orleans'!AK22+'[21]Table 5B1_RSD_Orleans'!AK22-1</f>
        <v>1235966.3193333331</v>
      </c>
      <c r="AJ24" s="1680">
        <f t="shared" si="38"/>
        <v>710079.95066666696</v>
      </c>
      <c r="AK24" s="1347">
        <f t="shared" si="39"/>
        <v>177520</v>
      </c>
    </row>
    <row r="25" spans="1:37" ht="30">
      <c r="A25" s="1349">
        <v>369001</v>
      </c>
      <c r="B25" s="1350" t="str">
        <f>IFERROR(VLOOKUP(A25,'[22]Table 4 Level 4'!$B$137:$C$194,2,FALSE),"na")</f>
        <v>ReNEW Cultural Arts Acdmy. (ReNEW)</v>
      </c>
      <c r="C25" s="1345">
        <f>'[23]RSD-NO by Site'!D17+15</f>
        <v>651</v>
      </c>
      <c r="D25" s="1346">
        <f t="shared" si="26"/>
        <v>3520.4894337711748</v>
      </c>
      <c r="E25" s="1346">
        <f t="shared" si="50"/>
        <v>2291839</v>
      </c>
      <c r="F25" s="1346">
        <v>746.0335616438357</v>
      </c>
      <c r="G25" s="1346">
        <f t="shared" si="51"/>
        <v>485667.84863013704</v>
      </c>
      <c r="H25" s="1347">
        <f t="shared" si="52"/>
        <v>2777506.8486301368</v>
      </c>
      <c r="I25" s="1680">
        <f>+'[3]October midyear adj'!K154</f>
        <v>-179193.96580743045</v>
      </c>
      <c r="J25" s="1680">
        <f>'[3]February midyear adj '!K154</f>
        <v>4266.5229954150109</v>
      </c>
      <c r="K25" s="2010">
        <f t="shared" si="29"/>
        <v>-174927.44281201545</v>
      </c>
      <c r="L25" s="1347">
        <f t="shared" si="30"/>
        <v>2602579.4058181215</v>
      </c>
      <c r="M25" s="1680">
        <f t="shared" si="41"/>
        <v>-45545.139601817129</v>
      </c>
      <c r="N25" s="1680">
        <f t="shared" si="42"/>
        <v>-6506.4485145453036</v>
      </c>
      <c r="O25" s="1680">
        <f t="shared" si="31"/>
        <v>-52051.588116362429</v>
      </c>
      <c r="P25" s="1979">
        <f t="shared" si="32"/>
        <v>2550527.8177017593</v>
      </c>
      <c r="Q25" s="1348">
        <f>'[2]Adjusted Amounts'!I174</f>
        <v>2908.2904948400173</v>
      </c>
      <c r="R25" s="1348">
        <v>0</v>
      </c>
      <c r="S25" s="1347">
        <f t="shared" si="43"/>
        <v>2553436.1081965994</v>
      </c>
      <c r="T25" s="1348">
        <f t="shared" si="44"/>
        <v>4668</v>
      </c>
      <c r="U25" s="1347">
        <f t="shared" si="33"/>
        <v>3038868</v>
      </c>
      <c r="V25" s="2023">
        <f>+'[3]October midyear adj'!E154</f>
        <v>-42</v>
      </c>
      <c r="W25" s="1680">
        <f t="shared" si="34"/>
        <v>-196056</v>
      </c>
      <c r="X25" s="2023">
        <f>'[3]February midyear adj '!E154</f>
        <v>2</v>
      </c>
      <c r="Y25" s="1680">
        <f t="shared" si="45"/>
        <v>4668</v>
      </c>
      <c r="Z25" s="1984">
        <f t="shared" si="35"/>
        <v>-191388</v>
      </c>
      <c r="AA25" s="1347">
        <f t="shared" si="36"/>
        <v>2847480</v>
      </c>
      <c r="AB25" s="1348">
        <f t="shared" si="46"/>
        <v>-49830.9</v>
      </c>
      <c r="AC25" s="1348">
        <f t="shared" si="47"/>
        <v>-7118.7</v>
      </c>
      <c r="AD25" s="1348">
        <f t="shared" si="48"/>
        <v>-56949.599999999999</v>
      </c>
      <c r="AE25" s="1979">
        <f t="shared" si="37"/>
        <v>2790530.4</v>
      </c>
      <c r="AF25" s="1348">
        <f>'[15]Adjusted Amounts'!Q174</f>
        <v>6304.5</v>
      </c>
      <c r="AG25" s="1348">
        <v>0</v>
      </c>
      <c r="AH25" s="1347">
        <f t="shared" si="49"/>
        <v>2796834.9</v>
      </c>
      <c r="AI25" s="1680">
        <f>'[16]Table 5B1_RSD_Orleans'!Y23+'[17]Table 5B1_RSD_Orleans'!AK23+'[18]Table 5B1_RSD_Orleans'!AK23*3+'[19]Table 5B1_RSD_Orleans'!AK23+'[20]Table 5B1_RSD_Orleans'!AK23+'[21]Table 5B1_RSD_Orleans'!AK23-2</f>
        <v>1991296.3691818183</v>
      </c>
      <c r="AJ25" s="1680">
        <f t="shared" si="38"/>
        <v>805538.53081818158</v>
      </c>
      <c r="AK25" s="1347">
        <f t="shared" si="39"/>
        <v>201385</v>
      </c>
    </row>
    <row r="26" spans="1:37" ht="15">
      <c r="A26" s="1362">
        <v>369002</v>
      </c>
      <c r="B26" s="1363" t="str">
        <f>IFERROR(VLOOKUP(A26,'[22]Table 4 Level 4'!$B$137:$C$194,2,FALSE),"na")</f>
        <v>ReNEW SciTech Acdmy. (ReNEW)</v>
      </c>
      <c r="C26" s="1364">
        <f>'[23]RSD-NO by Site'!D18</f>
        <v>655</v>
      </c>
      <c r="D26" s="1354">
        <f t="shared" si="26"/>
        <v>3520.4894337711748</v>
      </c>
      <c r="E26" s="1354">
        <f t="shared" si="50"/>
        <v>2305921</v>
      </c>
      <c r="F26" s="1354">
        <v>746.0335616438357</v>
      </c>
      <c r="G26" s="1354">
        <f t="shared" si="51"/>
        <v>488651.9828767124</v>
      </c>
      <c r="H26" s="1355">
        <f t="shared" si="52"/>
        <v>2794572.9828767125</v>
      </c>
      <c r="I26" s="1681">
        <f>+'[3]October midyear adj'!K155</f>
        <v>153594.8278349404</v>
      </c>
      <c r="J26" s="1681">
        <f>'[3]February midyear adj '!K155</f>
        <v>2133.2614977075054</v>
      </c>
      <c r="K26" s="2011">
        <f t="shared" si="29"/>
        <v>155728.08933264791</v>
      </c>
      <c r="L26" s="1355">
        <f t="shared" si="30"/>
        <v>2950301.0722093605</v>
      </c>
      <c r="M26" s="1681">
        <f t="shared" si="41"/>
        <v>-51630.268763663815</v>
      </c>
      <c r="N26" s="1681">
        <f t="shared" si="42"/>
        <v>-7375.7526805234011</v>
      </c>
      <c r="O26" s="1681">
        <f t="shared" si="31"/>
        <v>-59006.021444187216</v>
      </c>
      <c r="P26" s="1980">
        <f t="shared" si="32"/>
        <v>2891295.0507651735</v>
      </c>
      <c r="Q26" s="1356">
        <f>'[2]Adjusted Amounts'!I175</f>
        <v>-1517.3749542244705</v>
      </c>
      <c r="R26" s="1356">
        <v>0</v>
      </c>
      <c r="S26" s="1355">
        <f t="shared" si="43"/>
        <v>2889777.6758109489</v>
      </c>
      <c r="T26" s="1356">
        <f t="shared" si="44"/>
        <v>4668</v>
      </c>
      <c r="U26" s="1355">
        <f t="shared" si="33"/>
        <v>3057540</v>
      </c>
      <c r="V26" s="2024">
        <f>+'[3]October midyear adj'!E155</f>
        <v>36</v>
      </c>
      <c r="W26" s="1681">
        <f t="shared" si="34"/>
        <v>168048</v>
      </c>
      <c r="X26" s="2024">
        <f>'[3]February midyear adj '!E155</f>
        <v>1</v>
      </c>
      <c r="Y26" s="1681">
        <f t="shared" si="45"/>
        <v>2334</v>
      </c>
      <c r="Z26" s="1985">
        <f t="shared" si="35"/>
        <v>170382</v>
      </c>
      <c r="AA26" s="1355">
        <f t="shared" si="36"/>
        <v>3227922</v>
      </c>
      <c r="AB26" s="1356">
        <f t="shared" si="46"/>
        <v>-56488.635000000002</v>
      </c>
      <c r="AC26" s="1356">
        <f t="shared" si="47"/>
        <v>-8069.8050000000003</v>
      </c>
      <c r="AD26" s="1356">
        <f t="shared" si="48"/>
        <v>-64558.44</v>
      </c>
      <c r="AE26" s="1980">
        <f t="shared" si="37"/>
        <v>3163363.56</v>
      </c>
      <c r="AF26" s="1356">
        <f>'[15]Adjusted Amounts'!Q175</f>
        <v>2101.5</v>
      </c>
      <c r="AG26" s="1356">
        <v>0</v>
      </c>
      <c r="AH26" s="1355">
        <f t="shared" si="49"/>
        <v>3165465.06</v>
      </c>
      <c r="AI26" s="1681">
        <f>'[16]Table 5B1_RSD_Orleans'!Y24+'[17]Table 5B1_RSD_Orleans'!AK24+'[18]Table 5B1_RSD_Orleans'!AK24*3+'[19]Table 5B1_RSD_Orleans'!AK24+'[20]Table 5B1_RSD_Orleans'!AK24+'[21]Table 5B1_RSD_Orleans'!AK24-2</f>
        <v>2000703.7807575758</v>
      </c>
      <c r="AJ26" s="1681">
        <f t="shared" si="38"/>
        <v>1164761.2792424243</v>
      </c>
      <c r="AK26" s="1355">
        <f t="shared" si="39"/>
        <v>291190</v>
      </c>
    </row>
    <row r="27" spans="1:37" ht="30">
      <c r="A27" s="1365">
        <v>369003</v>
      </c>
      <c r="B27" s="1366" t="str">
        <f>IFERROR(VLOOKUP(A27,'[22]Table 4 Level 4'!$B$137:$C$194,2,FALSE),"na")</f>
        <v>ReNEW Delores T. Aaron Elem (ReNEW)</v>
      </c>
      <c r="C27" s="1339">
        <f>'[23]RSD-NO by Site'!D19</f>
        <v>639</v>
      </c>
      <c r="D27" s="1340">
        <f t="shared" si="26"/>
        <v>3520.4894337711748</v>
      </c>
      <c r="E27" s="1340">
        <f t="shared" si="50"/>
        <v>2249593</v>
      </c>
      <c r="F27" s="1340">
        <v>746.0335616438357</v>
      </c>
      <c r="G27" s="1340">
        <f t="shared" si="51"/>
        <v>476715.44589041104</v>
      </c>
      <c r="H27" s="1341">
        <f t="shared" si="52"/>
        <v>2726308.4458904108</v>
      </c>
      <c r="I27" s="1679">
        <f>+'[3]October midyear adj'!K156</f>
        <v>277323.99470197572</v>
      </c>
      <c r="J27" s="1679">
        <f>'[3]February midyear adj '!K156</f>
        <v>8533.0459908300218</v>
      </c>
      <c r="K27" s="2009">
        <f t="shared" si="29"/>
        <v>285857.04069280572</v>
      </c>
      <c r="L27" s="1341">
        <f t="shared" si="30"/>
        <v>3012165.4865832166</v>
      </c>
      <c r="M27" s="1679">
        <f t="shared" si="41"/>
        <v>-52712.896015206294</v>
      </c>
      <c r="N27" s="1679">
        <f t="shared" si="42"/>
        <v>-7530.4137164580416</v>
      </c>
      <c r="O27" s="1679">
        <f t="shared" si="31"/>
        <v>-60243.309731664333</v>
      </c>
      <c r="P27" s="1978">
        <f t="shared" si="32"/>
        <v>2951922.1768515524</v>
      </c>
      <c r="Q27" s="1342">
        <f>'[2]Adjusted Amounts'!I176</f>
        <v>0</v>
      </c>
      <c r="R27" s="1342">
        <v>0</v>
      </c>
      <c r="S27" s="1341">
        <f t="shared" si="43"/>
        <v>2951922.1768515524</v>
      </c>
      <c r="T27" s="1342">
        <f t="shared" si="44"/>
        <v>4668</v>
      </c>
      <c r="U27" s="1341">
        <f t="shared" si="33"/>
        <v>2982852</v>
      </c>
      <c r="V27" s="2022">
        <f>+'[3]October midyear adj'!E156</f>
        <v>65</v>
      </c>
      <c r="W27" s="1679">
        <f t="shared" si="34"/>
        <v>303420</v>
      </c>
      <c r="X27" s="2022">
        <f>'[3]February midyear adj '!E156</f>
        <v>4</v>
      </c>
      <c r="Y27" s="1679">
        <f t="shared" si="45"/>
        <v>9336</v>
      </c>
      <c r="Z27" s="1983">
        <f t="shared" si="35"/>
        <v>312756</v>
      </c>
      <c r="AA27" s="1341">
        <f t="shared" si="36"/>
        <v>3295608</v>
      </c>
      <c r="AB27" s="1342">
        <f t="shared" si="46"/>
        <v>-57673.140000000007</v>
      </c>
      <c r="AC27" s="1342">
        <f t="shared" si="47"/>
        <v>-8239.02</v>
      </c>
      <c r="AD27" s="1342">
        <f t="shared" si="48"/>
        <v>-65912.160000000003</v>
      </c>
      <c r="AE27" s="1978">
        <f t="shared" si="37"/>
        <v>3229695.84</v>
      </c>
      <c r="AF27" s="1342">
        <f>'[15]Adjusted Amounts'!Q176</f>
        <v>0</v>
      </c>
      <c r="AG27" s="1342">
        <v>0</v>
      </c>
      <c r="AH27" s="1341">
        <f t="shared" si="49"/>
        <v>3229695.84</v>
      </c>
      <c r="AI27" s="1989">
        <f>'[16]Table 5B1_RSD_Orleans'!Y25+'[17]Table 5B1_RSD_Orleans'!AK25+'[18]Table 5B1_RSD_Orleans'!AK25*3+'[19]Table 5B1_RSD_Orleans'!AK25+'[20]Table 5B1_RSD_Orleans'!AK25+'[21]Table 5B1_RSD_Orleans'!AK25-3</f>
        <v>1950463.9730909094</v>
      </c>
      <c r="AJ27" s="1989">
        <f t="shared" si="38"/>
        <v>1279231.8669090904</v>
      </c>
      <c r="AK27" s="2053">
        <f t="shared" si="39"/>
        <v>319808</v>
      </c>
    </row>
    <row r="28" spans="1:37" ht="30">
      <c r="A28" s="1349">
        <v>369004</v>
      </c>
      <c r="B28" s="1350" t="str">
        <f>IFERROR(VLOOKUP(A28,'[22]Table 4 Level 4'!$B$137:$C$194,2,FALSE),"na")</f>
        <v>ReNEW Accelerated High School (ReNEW)</v>
      </c>
      <c r="C28" s="1345">
        <f>'[23]RSD-NO by Site'!D20</f>
        <v>188</v>
      </c>
      <c r="D28" s="1346">
        <f t="shared" si="26"/>
        <v>3520.4894337711748</v>
      </c>
      <c r="E28" s="1346">
        <f t="shared" si="50"/>
        <v>661852</v>
      </c>
      <c r="F28" s="1346">
        <v>746.0335616438357</v>
      </c>
      <c r="G28" s="1346">
        <f t="shared" si="51"/>
        <v>140254.30958904111</v>
      </c>
      <c r="H28" s="1347">
        <f t="shared" si="52"/>
        <v>802106.30958904116</v>
      </c>
      <c r="I28" s="1680">
        <f>+'[3]October midyear adj'!K157</f>
        <v>-72530.890922055187</v>
      </c>
      <c r="J28" s="1680">
        <f>'[3]February midyear adj '!K157</f>
        <v>6399.7844931225163</v>
      </c>
      <c r="K28" s="2010">
        <f t="shared" si="29"/>
        <v>-66131.106428932675</v>
      </c>
      <c r="L28" s="1347">
        <f t="shared" si="30"/>
        <v>735975.20316010853</v>
      </c>
      <c r="M28" s="1680">
        <f t="shared" si="41"/>
        <v>-12879.566055301901</v>
      </c>
      <c r="N28" s="1680">
        <f t="shared" si="42"/>
        <v>-1839.9380079002713</v>
      </c>
      <c r="O28" s="1680">
        <f t="shared" si="31"/>
        <v>-14719.504063202172</v>
      </c>
      <c r="P28" s="1979">
        <f t="shared" si="32"/>
        <v>721255.69909690635</v>
      </c>
      <c r="Q28" s="1348">
        <f>'[2]Adjusted Amounts'!I177</f>
        <v>210.84242529510993</v>
      </c>
      <c r="R28" s="1348">
        <v>0</v>
      </c>
      <c r="S28" s="1347">
        <f t="shared" si="43"/>
        <v>721466.5415222015</v>
      </c>
      <c r="T28" s="1348">
        <f t="shared" si="44"/>
        <v>4668</v>
      </c>
      <c r="U28" s="1347">
        <f t="shared" si="33"/>
        <v>877584</v>
      </c>
      <c r="V28" s="2023">
        <f>+'[3]October midyear adj'!E157</f>
        <v>-17</v>
      </c>
      <c r="W28" s="1680">
        <f t="shared" si="34"/>
        <v>-79356</v>
      </c>
      <c r="X28" s="2023">
        <f>'[3]February midyear adj '!E157</f>
        <v>3</v>
      </c>
      <c r="Y28" s="1680">
        <f t="shared" si="45"/>
        <v>7002</v>
      </c>
      <c r="Z28" s="1984">
        <f t="shared" si="35"/>
        <v>-72354</v>
      </c>
      <c r="AA28" s="1347">
        <f t="shared" si="36"/>
        <v>805230</v>
      </c>
      <c r="AB28" s="1348">
        <f t="shared" si="46"/>
        <v>-14091.525000000001</v>
      </c>
      <c r="AC28" s="1348">
        <f t="shared" si="47"/>
        <v>-2013.075</v>
      </c>
      <c r="AD28" s="1348">
        <f t="shared" si="48"/>
        <v>-16104.600000000002</v>
      </c>
      <c r="AE28" s="1979">
        <f t="shared" si="37"/>
        <v>789125.4</v>
      </c>
      <c r="AF28" s="1348">
        <f>'[15]Adjusted Amounts'!Q177</f>
        <v>2115.5</v>
      </c>
      <c r="AG28" s="1348">
        <v>0</v>
      </c>
      <c r="AH28" s="1347">
        <f t="shared" si="49"/>
        <v>791240.9</v>
      </c>
      <c r="AI28" s="1986">
        <f>'[16]Table 5B1_RSD_Orleans'!Y26+'[17]Table 5B1_RSD_Orleans'!AK26+'[18]Table 5B1_RSD_Orleans'!AK26*3+'[19]Table 5B1_RSD_Orleans'!AK26+'[20]Table 5B1_RSD_Orleans'!AK26+'[21]Table 5B1_RSD_Orleans'!AK26-1</f>
        <v>575255.60390909086</v>
      </c>
      <c r="AJ28" s="1986">
        <f t="shared" si="38"/>
        <v>215985.29609090916</v>
      </c>
      <c r="AK28" s="1347">
        <f t="shared" si="39"/>
        <v>53996</v>
      </c>
    </row>
    <row r="29" spans="1:37" ht="30">
      <c r="A29" s="1349">
        <v>369005</v>
      </c>
      <c r="B29" s="1350" t="str">
        <f>IFERROR(VLOOKUP(A29,'[22]Table 4 Level 4'!$B$137:$C$194,2,FALSE),"na")</f>
        <v>ReNEW Accelerated High, West Bank (ReNEW)</v>
      </c>
      <c r="C29" s="1345">
        <f>'[23]RSD-NO by Site'!D21</f>
        <v>180</v>
      </c>
      <c r="D29" s="1346">
        <f t="shared" si="26"/>
        <v>3520.4894337711748</v>
      </c>
      <c r="E29" s="1346">
        <f t="shared" si="50"/>
        <v>633688</v>
      </c>
      <c r="F29" s="1346">
        <v>746.0335616438357</v>
      </c>
      <c r="G29" s="1346">
        <f t="shared" si="51"/>
        <v>134286.04109589042</v>
      </c>
      <c r="H29" s="1347">
        <f t="shared" si="52"/>
        <v>767974.04109589045</v>
      </c>
      <c r="I29" s="1680">
        <f>+'[3]October midyear adj'!K158</f>
        <v>-89596.982903715223</v>
      </c>
      <c r="J29" s="1680">
        <f>'[3]February midyear adj '!K158</f>
        <v>38398.7069587351</v>
      </c>
      <c r="K29" s="2010">
        <f t="shared" si="29"/>
        <v>-51198.275944980123</v>
      </c>
      <c r="L29" s="1347">
        <f t="shared" si="30"/>
        <v>716775.76515091036</v>
      </c>
      <c r="M29" s="1680">
        <f t="shared" si="41"/>
        <v>-12543.575890140932</v>
      </c>
      <c r="N29" s="1680">
        <f t="shared" si="42"/>
        <v>-1791.939412877276</v>
      </c>
      <c r="O29" s="1680">
        <f t="shared" si="31"/>
        <v>-14335.515303018208</v>
      </c>
      <c r="P29" s="1979">
        <f t="shared" si="32"/>
        <v>702440.24984789221</v>
      </c>
      <c r="Q29" s="1348">
        <f>'[2]Adjusted Amounts'!I178</f>
        <v>-4198.5679285379201</v>
      </c>
      <c r="R29" s="1348">
        <v>0</v>
      </c>
      <c r="S29" s="1347">
        <f t="shared" si="43"/>
        <v>698241.68191935425</v>
      </c>
      <c r="T29" s="1348">
        <f t="shared" si="44"/>
        <v>4668</v>
      </c>
      <c r="U29" s="1347">
        <f t="shared" si="33"/>
        <v>840240</v>
      </c>
      <c r="V29" s="2023">
        <f>+'[3]October midyear adj'!E158</f>
        <v>-21</v>
      </c>
      <c r="W29" s="1680">
        <f t="shared" si="34"/>
        <v>-98028</v>
      </c>
      <c r="X29" s="2023">
        <f>'[3]February midyear adj '!E158</f>
        <v>18</v>
      </c>
      <c r="Y29" s="1680">
        <f t="shared" si="45"/>
        <v>42012</v>
      </c>
      <c r="Z29" s="1984">
        <f t="shared" si="35"/>
        <v>-56016</v>
      </c>
      <c r="AA29" s="1347">
        <f t="shared" si="36"/>
        <v>784224</v>
      </c>
      <c r="AB29" s="1348">
        <f t="shared" si="46"/>
        <v>-13723.920000000002</v>
      </c>
      <c r="AC29" s="1348">
        <f t="shared" si="47"/>
        <v>-1960.56</v>
      </c>
      <c r="AD29" s="1348">
        <f t="shared" si="48"/>
        <v>-15684.480000000001</v>
      </c>
      <c r="AE29" s="1979">
        <f t="shared" si="37"/>
        <v>768539.52</v>
      </c>
      <c r="AF29" s="1348">
        <f>'[15]Adjusted Amounts'!Q178</f>
        <v>-6304.5</v>
      </c>
      <c r="AG29" s="1348">
        <v>0</v>
      </c>
      <c r="AH29" s="1347">
        <f t="shared" si="49"/>
        <v>762235.02</v>
      </c>
      <c r="AI29" s="1986">
        <f>'[16]Table 5B1_RSD_Orleans'!Y27+'[17]Table 5B1_RSD_Orleans'!AK27+'[18]Table 5B1_RSD_Orleans'!AK27*3+'[19]Table 5B1_RSD_Orleans'!AK27+'[20]Table 5B1_RSD_Orleans'!AK27+'[21]Table 5B1_RSD_Orleans'!AK27</f>
        <v>545224.23227272741</v>
      </c>
      <c r="AJ29" s="1986">
        <f t="shared" si="38"/>
        <v>217010.7877272726</v>
      </c>
      <c r="AK29" s="1347">
        <f t="shared" si="39"/>
        <v>54253</v>
      </c>
    </row>
    <row r="30" spans="1:37" ht="30">
      <c r="A30" s="1359">
        <v>369006</v>
      </c>
      <c r="B30" s="1360" t="str">
        <f>IFERROR(VLOOKUP(A30,'[22]Table 4 Level 4'!$B$137:$C$194,2,FALSE),"na")</f>
        <v>ReNEW Schaumburg Elem (ReNEW)</v>
      </c>
      <c r="C30" s="1361">
        <v>818</v>
      </c>
      <c r="D30" s="1346">
        <f t="shared" si="26"/>
        <v>3520.4894337711748</v>
      </c>
      <c r="E30" s="1346">
        <f t="shared" si="27"/>
        <v>2879760</v>
      </c>
      <c r="F30" s="1346">
        <v>746.0335616438357</v>
      </c>
      <c r="G30" s="1346">
        <f t="shared" si="28"/>
        <v>610255.45342465758</v>
      </c>
      <c r="H30" s="1347">
        <f t="shared" si="40"/>
        <v>3490015.4534246577</v>
      </c>
      <c r="I30" s="1680">
        <f>+'[3]October midyear adj'!K159</f>
        <v>-170660.91981660045</v>
      </c>
      <c r="J30" s="1680">
        <f>'[3]February midyear adj '!K159</f>
        <v>-2133.2614977075054</v>
      </c>
      <c r="K30" s="2010">
        <f t="shared" si="29"/>
        <v>-172794.18131430796</v>
      </c>
      <c r="L30" s="1347">
        <f t="shared" si="30"/>
        <v>3317221.2721103495</v>
      </c>
      <c r="M30" s="1680">
        <f t="shared" si="41"/>
        <v>-58051.372261931123</v>
      </c>
      <c r="N30" s="1680">
        <f t="shared" si="42"/>
        <v>-8293.0531802758742</v>
      </c>
      <c r="O30" s="1680">
        <f t="shared" si="31"/>
        <v>-66344.425442206993</v>
      </c>
      <c r="P30" s="1979">
        <f t="shared" si="32"/>
        <v>3250876.8466681424</v>
      </c>
      <c r="Q30" s="1348">
        <v>0</v>
      </c>
      <c r="R30" s="1348">
        <v>0</v>
      </c>
      <c r="S30" s="1347">
        <f t="shared" si="43"/>
        <v>3250876.8466681424</v>
      </c>
      <c r="T30" s="1348">
        <f t="shared" si="44"/>
        <v>4668</v>
      </c>
      <c r="U30" s="1347">
        <f t="shared" si="33"/>
        <v>3818424</v>
      </c>
      <c r="V30" s="2023">
        <f>+'[3]October midyear adj'!E159</f>
        <v>-40</v>
      </c>
      <c r="W30" s="1680">
        <f t="shared" si="34"/>
        <v>-186720</v>
      </c>
      <c r="X30" s="2023">
        <f>'[3]February midyear adj '!E159</f>
        <v>-1</v>
      </c>
      <c r="Y30" s="1680">
        <f t="shared" si="45"/>
        <v>-2334</v>
      </c>
      <c r="Z30" s="1984">
        <f t="shared" si="35"/>
        <v>-189054</v>
      </c>
      <c r="AA30" s="1347">
        <f t="shared" si="36"/>
        <v>3629370</v>
      </c>
      <c r="AB30" s="1348">
        <f t="shared" si="46"/>
        <v>-63513.975000000006</v>
      </c>
      <c r="AC30" s="1348">
        <f t="shared" si="47"/>
        <v>-9073.4250000000011</v>
      </c>
      <c r="AD30" s="1348">
        <f t="shared" si="48"/>
        <v>-72587.400000000009</v>
      </c>
      <c r="AE30" s="1979">
        <f t="shared" si="37"/>
        <v>3556782.6</v>
      </c>
      <c r="AF30" s="1348">
        <v>0</v>
      </c>
      <c r="AG30" s="1348">
        <v>0</v>
      </c>
      <c r="AH30" s="1347">
        <f t="shared" si="49"/>
        <v>3556782.6</v>
      </c>
      <c r="AI30" s="1986">
        <f>'[16]Table 5B1_RSD_Orleans'!Y28+'[17]Table 5B1_RSD_Orleans'!AK28+'[18]Table 5B1_RSD_Orleans'!AK28*3+'[19]Table 5B1_RSD_Orleans'!AK28+'[20]Table 5B1_RSD_Orleans'!AK28+'[21]Table 5B1_RSD_Orleans'!AK28-2</f>
        <v>2496839.6104242424</v>
      </c>
      <c r="AJ30" s="1986">
        <f t="shared" si="38"/>
        <v>1059942.9895757576</v>
      </c>
      <c r="AK30" s="1347">
        <f t="shared" si="39"/>
        <v>264986</v>
      </c>
    </row>
    <row r="31" spans="1:37" ht="15">
      <c r="A31" s="1362">
        <v>373001</v>
      </c>
      <c r="B31" s="1363" t="str">
        <f>IFERROR(VLOOKUP(A31,'[22]Table 4 Level 4'!$B$137:$C$194,2,FALSE),"na")</f>
        <v>Arise Academy (Arise Academy)</v>
      </c>
      <c r="C31" s="1364">
        <f>'[23]RSD-NO by Site'!$D$23</f>
        <v>399</v>
      </c>
      <c r="D31" s="1354">
        <f t="shared" si="26"/>
        <v>3520.4894337711748</v>
      </c>
      <c r="E31" s="1354">
        <f t="shared" si="27"/>
        <v>1404675</v>
      </c>
      <c r="F31" s="1354">
        <v>746.0335616438357</v>
      </c>
      <c r="G31" s="1354">
        <f t="shared" si="28"/>
        <v>297667.39109589043</v>
      </c>
      <c r="H31" s="1355">
        <f t="shared" si="40"/>
        <v>1702342.3910958904</v>
      </c>
      <c r="I31" s="1681">
        <f>+'[3]October midyear adj'!K160</f>
        <v>200526.58078450552</v>
      </c>
      <c r="J31" s="1681">
        <f>'[3]February midyear adj '!K160</f>
        <v>8533.0459908300218</v>
      </c>
      <c r="K31" s="2011">
        <f t="shared" si="29"/>
        <v>209059.62677533555</v>
      </c>
      <c r="L31" s="1355">
        <f t="shared" si="30"/>
        <v>1911402.017871226</v>
      </c>
      <c r="M31" s="1681">
        <f t="shared" si="41"/>
        <v>-33449.535312746455</v>
      </c>
      <c r="N31" s="1681">
        <f t="shared" si="42"/>
        <v>-4778.5050446780651</v>
      </c>
      <c r="O31" s="1681">
        <f t="shared" si="31"/>
        <v>-38228.040357424521</v>
      </c>
      <c r="P31" s="1980">
        <f t="shared" si="32"/>
        <v>1873173.9775138015</v>
      </c>
      <c r="Q31" s="1356">
        <f>'[2]Adjusted Amounts'!I180</f>
        <v>0</v>
      </c>
      <c r="R31" s="1356">
        <v>0</v>
      </c>
      <c r="S31" s="1355">
        <f t="shared" si="43"/>
        <v>1873173.9775138015</v>
      </c>
      <c r="T31" s="1356">
        <f t="shared" si="44"/>
        <v>4668</v>
      </c>
      <c r="U31" s="1355">
        <f t="shared" si="33"/>
        <v>1862532</v>
      </c>
      <c r="V31" s="2024">
        <f>+'[3]October midyear adj'!E160</f>
        <v>47</v>
      </c>
      <c r="W31" s="1681">
        <f t="shared" si="34"/>
        <v>219396</v>
      </c>
      <c r="X31" s="2024">
        <f>'[3]February midyear adj '!E160</f>
        <v>4</v>
      </c>
      <c r="Y31" s="1681">
        <f t="shared" si="45"/>
        <v>9336</v>
      </c>
      <c r="Z31" s="1985">
        <f t="shared" si="35"/>
        <v>228732</v>
      </c>
      <c r="AA31" s="1355">
        <f t="shared" si="36"/>
        <v>2091264</v>
      </c>
      <c r="AB31" s="1356">
        <f t="shared" si="46"/>
        <v>-36597.120000000003</v>
      </c>
      <c r="AC31" s="1356">
        <f t="shared" si="47"/>
        <v>-5228.16</v>
      </c>
      <c r="AD31" s="1356">
        <f t="shared" si="48"/>
        <v>-41825.279999999999</v>
      </c>
      <c r="AE31" s="1980">
        <f t="shared" si="37"/>
        <v>2049438.72</v>
      </c>
      <c r="AF31" s="1356">
        <f>'[15]Adjusted Amounts'!Q180</f>
        <v>0</v>
      </c>
      <c r="AG31" s="1356">
        <v>0</v>
      </c>
      <c r="AH31" s="1355">
        <f t="shared" si="49"/>
        <v>2049438.72</v>
      </c>
      <c r="AI31" s="1678">
        <f>'[16]Table 5B1_RSD_Orleans'!Y29+'[17]Table 5B1_RSD_Orleans'!AK29+'[18]Table 5B1_RSD_Orleans'!AK29*3+'[19]Table 5B1_RSD_Orleans'!AK29+'[20]Table 5B1_RSD_Orleans'!AK29+'[21]Table 5B1_RSD_Orleans'!AK29-1</f>
        <v>1217896.114909091</v>
      </c>
      <c r="AJ31" s="1678">
        <f t="shared" si="38"/>
        <v>831542.60509090894</v>
      </c>
      <c r="AK31" s="1011">
        <f t="shared" si="39"/>
        <v>207886</v>
      </c>
    </row>
    <row r="32" spans="1:37" ht="30">
      <c r="A32" s="1367">
        <v>373002</v>
      </c>
      <c r="B32" s="1368" t="str">
        <f>IFERROR(VLOOKUP(A32,'[22]Table 4 Level 4'!$B$137:$C$194,2,FALSE),"na")</f>
        <v>Mildred Osborne Elem (Arise Academy)</v>
      </c>
      <c r="C32" s="1369">
        <v>398</v>
      </c>
      <c r="D32" s="1340">
        <f t="shared" si="26"/>
        <v>3520.4894337711748</v>
      </c>
      <c r="E32" s="1340">
        <f t="shared" si="27"/>
        <v>1401155</v>
      </c>
      <c r="F32" s="1340">
        <v>746.0335616438357</v>
      </c>
      <c r="G32" s="1340">
        <f t="shared" si="28"/>
        <v>296921.35753424664</v>
      </c>
      <c r="H32" s="1341">
        <f t="shared" si="40"/>
        <v>1698076.3575342465</v>
      </c>
      <c r="I32" s="1679">
        <f>+'[3]October midyear adj'!K161</f>
        <v>-81063.936912885212</v>
      </c>
      <c r="J32" s="1679">
        <f>'[3]February midyear adj '!K161</f>
        <v>0</v>
      </c>
      <c r="K32" s="2009">
        <f t="shared" si="29"/>
        <v>-81063.936912885212</v>
      </c>
      <c r="L32" s="1341">
        <f t="shared" si="30"/>
        <v>1617012.4206213614</v>
      </c>
      <c r="M32" s="1679">
        <f t="shared" si="41"/>
        <v>-28297.717360873827</v>
      </c>
      <c r="N32" s="1679">
        <f t="shared" si="42"/>
        <v>-4042.5310515534034</v>
      </c>
      <c r="O32" s="1679">
        <f t="shared" si="31"/>
        <v>-32340.248412427231</v>
      </c>
      <c r="P32" s="1978">
        <f t="shared" si="32"/>
        <v>1584672.1722089341</v>
      </c>
      <c r="Q32" s="1342">
        <v>0</v>
      </c>
      <c r="R32" s="1342">
        <v>0</v>
      </c>
      <c r="S32" s="1341">
        <f t="shared" si="43"/>
        <v>1584672.1722089341</v>
      </c>
      <c r="T32" s="1342">
        <f t="shared" si="44"/>
        <v>4668</v>
      </c>
      <c r="U32" s="1341">
        <f t="shared" si="33"/>
        <v>1857864</v>
      </c>
      <c r="V32" s="2022">
        <f>+'[3]October midyear adj'!E161</f>
        <v>-19</v>
      </c>
      <c r="W32" s="1679">
        <f t="shared" si="34"/>
        <v>-88692</v>
      </c>
      <c r="X32" s="2022">
        <f>'[3]February midyear adj '!E161</f>
        <v>0</v>
      </c>
      <c r="Y32" s="1679">
        <f t="shared" si="45"/>
        <v>0</v>
      </c>
      <c r="Z32" s="1983">
        <f t="shared" si="35"/>
        <v>-88692</v>
      </c>
      <c r="AA32" s="1341">
        <f t="shared" si="36"/>
        <v>1769172</v>
      </c>
      <c r="AB32" s="1342">
        <f t="shared" si="46"/>
        <v>-30960.510000000002</v>
      </c>
      <c r="AC32" s="1342">
        <f t="shared" si="47"/>
        <v>-4422.93</v>
      </c>
      <c r="AD32" s="1342">
        <f t="shared" si="48"/>
        <v>-35383.440000000002</v>
      </c>
      <c r="AE32" s="1978">
        <f t="shared" si="37"/>
        <v>1733788.56</v>
      </c>
      <c r="AF32" s="1342">
        <v>0</v>
      </c>
      <c r="AG32" s="1342">
        <v>0</v>
      </c>
      <c r="AH32" s="1341">
        <f t="shared" si="49"/>
        <v>1733788.56</v>
      </c>
      <c r="AI32" s="1679">
        <f>'[16]Table 5B1_RSD_Orleans'!Y30+'[17]Table 5B1_RSD_Orleans'!AK30+'[18]Table 5B1_RSD_Orleans'!AK30*3+'[19]Table 5B1_RSD_Orleans'!AK30+'[20]Table 5B1_RSD_Orleans'!AK30+'[21]Table 5B1_RSD_Orleans'!AK30-2</f>
        <v>1214842.0358787877</v>
      </c>
      <c r="AJ32" s="1679">
        <f t="shared" si="38"/>
        <v>518946.52412121231</v>
      </c>
      <c r="AK32" s="1341">
        <f t="shared" si="39"/>
        <v>129737</v>
      </c>
    </row>
    <row r="33" spans="1:44" ht="30">
      <c r="A33" s="1349">
        <v>374001</v>
      </c>
      <c r="B33" s="1350" t="str">
        <f>IFERROR(VLOOKUP(A33,'[22]Table 4 Level 4'!$B$137:$C$194,2,FALSE),"na")</f>
        <v>Success Preparatory Academy (Success Prep)</v>
      </c>
      <c r="C33" s="1345">
        <f>'[23]RSD-NO by Site'!D24</f>
        <v>402</v>
      </c>
      <c r="D33" s="1346">
        <f t="shared" si="26"/>
        <v>3520.4894337711748</v>
      </c>
      <c r="E33" s="1346">
        <f t="shared" si="27"/>
        <v>1415237</v>
      </c>
      <c r="F33" s="1346">
        <v>746.0335616438357</v>
      </c>
      <c r="G33" s="1346">
        <f t="shared" si="28"/>
        <v>299905.49178082193</v>
      </c>
      <c r="H33" s="1347">
        <f t="shared" si="40"/>
        <v>1715142.4917808219</v>
      </c>
      <c r="I33" s="1680">
        <f>+'[3]October midyear adj'!K162</f>
        <v>234658.7647478256</v>
      </c>
      <c r="J33" s="1680">
        <f>'[3]February midyear adj '!K162</f>
        <v>21332.614977075056</v>
      </c>
      <c r="K33" s="2010">
        <f t="shared" si="29"/>
        <v>255991.37972490065</v>
      </c>
      <c r="L33" s="1347">
        <f t="shared" si="30"/>
        <v>1971133.8715057226</v>
      </c>
      <c r="M33" s="1680">
        <f t="shared" si="41"/>
        <v>-34494.842751350152</v>
      </c>
      <c r="N33" s="1680">
        <f t="shared" si="42"/>
        <v>-4927.8346787643068</v>
      </c>
      <c r="O33" s="1680">
        <f t="shared" si="31"/>
        <v>-39422.677430114461</v>
      </c>
      <c r="P33" s="1979">
        <f t="shared" si="32"/>
        <v>1931711.1940756082</v>
      </c>
      <c r="Q33" s="1348">
        <f>'[2]Adjusted Amounts'!I180</f>
        <v>0</v>
      </c>
      <c r="R33" s="1348">
        <v>0</v>
      </c>
      <c r="S33" s="1347">
        <f t="shared" si="43"/>
        <v>1931711.1940756082</v>
      </c>
      <c r="T33" s="1348">
        <f t="shared" si="44"/>
        <v>4668</v>
      </c>
      <c r="U33" s="1347">
        <f t="shared" si="33"/>
        <v>1876536</v>
      </c>
      <c r="V33" s="2023">
        <f>+'[3]October midyear adj'!E162</f>
        <v>55</v>
      </c>
      <c r="W33" s="1680">
        <f t="shared" si="34"/>
        <v>256740</v>
      </c>
      <c r="X33" s="2023">
        <f>'[3]February midyear adj '!E162</f>
        <v>10</v>
      </c>
      <c r="Y33" s="1680">
        <f t="shared" si="45"/>
        <v>23340</v>
      </c>
      <c r="Z33" s="1984">
        <f t="shared" si="35"/>
        <v>280080</v>
      </c>
      <c r="AA33" s="1347">
        <f t="shared" si="36"/>
        <v>2156616</v>
      </c>
      <c r="AB33" s="1348">
        <f t="shared" si="46"/>
        <v>-37740.780000000006</v>
      </c>
      <c r="AC33" s="1348">
        <f t="shared" si="47"/>
        <v>-5391.54</v>
      </c>
      <c r="AD33" s="1348">
        <f t="shared" si="48"/>
        <v>-43132.320000000007</v>
      </c>
      <c r="AE33" s="1979">
        <f t="shared" si="37"/>
        <v>2113483.6800000002</v>
      </c>
      <c r="AF33" s="1348">
        <f>'[15]Adjusted Amounts'!Q180</f>
        <v>0</v>
      </c>
      <c r="AG33" s="1348">
        <v>0</v>
      </c>
      <c r="AH33" s="1347">
        <f t="shared" si="49"/>
        <v>2113483.6800000002</v>
      </c>
      <c r="AI33" s="1680">
        <f>'[16]Table 5B1_RSD_Orleans'!Y31+'[17]Table 5B1_RSD_Orleans'!AK31+'[18]Table 5B1_RSD_Orleans'!AK31*3+'[19]Table 5B1_RSD_Orleans'!AK31+'[20]Table 5B1_RSD_Orleans'!AK31+'[21]Table 5B1_RSD_Orleans'!AK31+2</f>
        <v>1227055.7701818184</v>
      </c>
      <c r="AJ33" s="1680">
        <f t="shared" si="38"/>
        <v>886427.90981818177</v>
      </c>
      <c r="AK33" s="1347">
        <f t="shared" si="39"/>
        <v>221607</v>
      </c>
    </row>
    <row r="34" spans="1:44" ht="30">
      <c r="A34" s="1343">
        <v>381001</v>
      </c>
      <c r="B34" s="1344" t="str">
        <f>IFERROR(VLOOKUP(A34,'[22]Table 4 Level 4'!$B$137:$C$194,2,FALSE),"na")</f>
        <v>Akili Academy of N.O. (Crescent City Schools)</v>
      </c>
      <c r="C34" s="1370">
        <f>'[23]RSD-NO by Site'!D29</f>
        <v>381</v>
      </c>
      <c r="D34" s="1346">
        <f t="shared" si="26"/>
        <v>3520.4894337711748</v>
      </c>
      <c r="E34" s="1346">
        <f t="shared" ref="E34:E35" si="53">ROUND(C34*D34,0)</f>
        <v>1341306</v>
      </c>
      <c r="F34" s="1680">
        <v>743.65689655172423</v>
      </c>
      <c r="G34" s="1346">
        <f t="shared" ref="G34:G35" si="54">F34*C34</f>
        <v>283333.27758620691</v>
      </c>
      <c r="H34" s="1347">
        <f t="shared" ref="H34:H35" si="55">E34+G34</f>
        <v>1624639.2775862068</v>
      </c>
      <c r="I34" s="1680">
        <f>+'[3]October midyear adj'!K163</f>
        <v>388037.31605938385</v>
      </c>
      <c r="J34" s="1680">
        <f>'[3]February midyear adj '!K163</f>
        <v>21320.731651614497</v>
      </c>
      <c r="K34" s="2010">
        <f t="shared" si="29"/>
        <v>409358.04771099833</v>
      </c>
      <c r="L34" s="1347">
        <f t="shared" si="30"/>
        <v>2033997.3252972052</v>
      </c>
      <c r="M34" s="1680">
        <f t="shared" si="41"/>
        <v>-35594.953192701098</v>
      </c>
      <c r="N34" s="1680">
        <f t="shared" si="42"/>
        <v>-5084.9933132430133</v>
      </c>
      <c r="O34" s="1680">
        <f t="shared" si="31"/>
        <v>-40679.946505944114</v>
      </c>
      <c r="P34" s="1979">
        <f t="shared" si="32"/>
        <v>1993317.3787912612</v>
      </c>
      <c r="Q34" s="1348">
        <f>'[2]Adjusted Amounts'!I185</f>
        <v>0</v>
      </c>
      <c r="R34" s="1348">
        <v>0</v>
      </c>
      <c r="S34" s="1347">
        <f t="shared" si="43"/>
        <v>1993317.3787912612</v>
      </c>
      <c r="T34" s="1348">
        <f t="shared" si="44"/>
        <v>4668</v>
      </c>
      <c r="U34" s="1347">
        <f>C34*T34</f>
        <v>1778508</v>
      </c>
      <c r="V34" s="2023">
        <f>+'[3]October midyear adj'!E163</f>
        <v>91</v>
      </c>
      <c r="W34" s="1680">
        <f t="shared" si="34"/>
        <v>424788</v>
      </c>
      <c r="X34" s="2023">
        <f>'[3]February midyear adj '!E163</f>
        <v>10</v>
      </c>
      <c r="Y34" s="1680">
        <f t="shared" si="45"/>
        <v>23340</v>
      </c>
      <c r="Z34" s="1984">
        <f t="shared" si="35"/>
        <v>448128</v>
      </c>
      <c r="AA34" s="1347">
        <f t="shared" si="36"/>
        <v>2226636</v>
      </c>
      <c r="AB34" s="1348">
        <f t="shared" si="46"/>
        <v>-38966.130000000005</v>
      </c>
      <c r="AC34" s="1348">
        <f t="shared" si="47"/>
        <v>-5566.59</v>
      </c>
      <c r="AD34" s="1348">
        <f>AB34+AC34</f>
        <v>-44532.72</v>
      </c>
      <c r="AE34" s="1979">
        <f t="shared" si="37"/>
        <v>2182103.2799999998</v>
      </c>
      <c r="AF34" s="1348">
        <v>0</v>
      </c>
      <c r="AG34" s="1348">
        <v>0</v>
      </c>
      <c r="AH34" s="1347">
        <f t="shared" si="49"/>
        <v>2182103.2799999998</v>
      </c>
      <c r="AI34" s="1680">
        <f>'[16]Table 5B1_RSD_Orleans'!Y32+'[17]Table 5B1_RSD_Orleans'!AK32+'[18]Table 5B1_RSD_Orleans'!AK32*3+'[19]Table 5B1_RSD_Orleans'!AK32+'[20]Table 5B1_RSD_Orleans'!AK32+'[21]Table 5B1_RSD_Orleans'!AK32+2</f>
        <v>1457399.6676363638</v>
      </c>
      <c r="AJ34" s="1680">
        <f t="shared" si="38"/>
        <v>724703.61236363603</v>
      </c>
      <c r="AK34" s="1347">
        <f t="shared" si="39"/>
        <v>181176</v>
      </c>
    </row>
    <row r="35" spans="1:44" ht="30">
      <c r="A35" s="1349">
        <v>382001</v>
      </c>
      <c r="B35" s="1350" t="str">
        <f>IFERROR(VLOOKUP(A35,'[22]Table 4 Level 4'!$B$137:$C$194,2,FALSE),"na")</f>
        <v>Sci Academy (Collegiate Academies)</v>
      </c>
      <c r="C35" s="1345">
        <f>'[23]RSD-NO by Site'!D30</f>
        <v>401</v>
      </c>
      <c r="D35" s="1346">
        <f t="shared" si="26"/>
        <v>3520.4894337711748</v>
      </c>
      <c r="E35" s="1346">
        <f t="shared" si="53"/>
        <v>1411716</v>
      </c>
      <c r="F35" s="1346">
        <v>783.54939759036142</v>
      </c>
      <c r="G35" s="1346">
        <f t="shared" si="54"/>
        <v>314203.30843373493</v>
      </c>
      <c r="H35" s="1347">
        <f t="shared" si="55"/>
        <v>1725919.3084337348</v>
      </c>
      <c r="I35" s="1680">
        <f>+'[3]October midyear adj'!K164</f>
        <v>176465.59208582301</v>
      </c>
      <c r="J35" s="1680">
        <f>'[3]February midyear adj '!K164</f>
        <v>-19368.174741126917</v>
      </c>
      <c r="K35" s="2010">
        <f t="shared" si="29"/>
        <v>157097.41734469609</v>
      </c>
      <c r="L35" s="1347">
        <f t="shared" si="30"/>
        <v>1883016.7257784309</v>
      </c>
      <c r="M35" s="1680">
        <f t="shared" si="41"/>
        <v>-32952.792701122547</v>
      </c>
      <c r="N35" s="1680">
        <f t="shared" si="42"/>
        <v>-4707.5418144460773</v>
      </c>
      <c r="O35" s="1680">
        <f t="shared" si="31"/>
        <v>-37660.334515568626</v>
      </c>
      <c r="P35" s="1979">
        <f t="shared" si="32"/>
        <v>1845356.3912628624</v>
      </c>
      <c r="Q35" s="1348">
        <f>'[2]Adjusted Amounts'!I186</f>
        <v>-24145.178855639864</v>
      </c>
      <c r="R35" s="1348">
        <v>0</v>
      </c>
      <c r="S35" s="1347">
        <f t="shared" si="43"/>
        <v>1821211.2124072225</v>
      </c>
      <c r="T35" s="1348">
        <f t="shared" si="44"/>
        <v>4668</v>
      </c>
      <c r="U35" s="1347">
        <f>C35*T35</f>
        <v>1871868</v>
      </c>
      <c r="V35" s="2023">
        <f>+'[3]October midyear adj'!E164</f>
        <v>41</v>
      </c>
      <c r="W35" s="1680">
        <f t="shared" si="34"/>
        <v>191388</v>
      </c>
      <c r="X35" s="2023">
        <f>'[3]February midyear adj '!E164</f>
        <v>-9</v>
      </c>
      <c r="Y35" s="1680">
        <f t="shared" si="45"/>
        <v>-21006</v>
      </c>
      <c r="Z35" s="1984">
        <f t="shared" si="35"/>
        <v>170382</v>
      </c>
      <c r="AA35" s="1347">
        <f t="shared" si="36"/>
        <v>2042250</v>
      </c>
      <c r="AB35" s="1348">
        <f t="shared" si="46"/>
        <v>-35739.375</v>
      </c>
      <c r="AC35" s="1348">
        <f t="shared" si="47"/>
        <v>-5105.625</v>
      </c>
      <c r="AD35" s="1348">
        <f>AB35+AC35</f>
        <v>-40845</v>
      </c>
      <c r="AE35" s="1979">
        <f t="shared" si="37"/>
        <v>2001405</v>
      </c>
      <c r="AF35" s="1348">
        <f>'[15]Adjusted Amounts'!Q186</f>
        <v>-8399</v>
      </c>
      <c r="AG35" s="1348">
        <v>0</v>
      </c>
      <c r="AH35" s="1347">
        <f t="shared" si="49"/>
        <v>1993006</v>
      </c>
      <c r="AI35" s="1680">
        <f>'[16]Table 5B1_RSD_Orleans'!Y33+'[17]Table 5B1_RSD_Orleans'!AK33+'[18]Table 5B1_RSD_Orleans'!AK33*3+'[19]Table 5B1_RSD_Orleans'!AK33+'[20]Table 5B1_RSD_Orleans'!AK33+'[21]Table 5B1_RSD_Orleans'!AK33-3</f>
        <v>1218399.7563030303</v>
      </c>
      <c r="AJ35" s="1680">
        <f t="shared" si="38"/>
        <v>774606.2436969697</v>
      </c>
      <c r="AK35" s="1347">
        <f t="shared" si="39"/>
        <v>193652</v>
      </c>
    </row>
    <row r="36" spans="1:44" ht="30">
      <c r="A36" s="1351">
        <v>382002</v>
      </c>
      <c r="B36" s="1352" t="str">
        <f>IFERROR(VLOOKUP(A36,'[22]Table 4 Level 4'!$B$137:$C$194,2,FALSE),"na")</f>
        <v>G.W. Carver Collegiate Acdmy (Collegiate Academies)</v>
      </c>
      <c r="C36" s="1371">
        <f>'[23]RSD-NO by Site'!D31</f>
        <v>105</v>
      </c>
      <c r="D36" s="1354">
        <f t="shared" si="26"/>
        <v>3520.4894337711748</v>
      </c>
      <c r="E36" s="1354">
        <f t="shared" si="27"/>
        <v>369651</v>
      </c>
      <c r="F36" s="1354">
        <v>746.0335616438357</v>
      </c>
      <c r="G36" s="1354">
        <f t="shared" si="28"/>
        <v>78333.52397260275</v>
      </c>
      <c r="H36" s="1355">
        <f t="shared" si="40"/>
        <v>447984.52397260274</v>
      </c>
      <c r="I36" s="1681">
        <f>+'[3]October midyear adj'!K165</f>
        <v>465051.00650023617</v>
      </c>
      <c r="J36" s="1681">
        <f>'[3]February midyear adj '!K165</f>
        <v>-25599.137972490065</v>
      </c>
      <c r="K36" s="2011">
        <f t="shared" si="29"/>
        <v>439451.86852774612</v>
      </c>
      <c r="L36" s="1355">
        <f t="shared" si="30"/>
        <v>887436.39250034885</v>
      </c>
      <c r="M36" s="1681">
        <f t="shared" si="41"/>
        <v>-15530.136868756106</v>
      </c>
      <c r="N36" s="1681">
        <f t="shared" si="42"/>
        <v>-2218.5909812508721</v>
      </c>
      <c r="O36" s="1681">
        <f t="shared" si="31"/>
        <v>-17748.727850006977</v>
      </c>
      <c r="P36" s="1980">
        <f t="shared" si="32"/>
        <v>869687.66465034185</v>
      </c>
      <c r="Q36" s="1356">
        <v>0</v>
      </c>
      <c r="R36" s="1356">
        <v>0</v>
      </c>
      <c r="S36" s="1355">
        <f t="shared" si="43"/>
        <v>869687.66465034185</v>
      </c>
      <c r="T36" s="1356">
        <f t="shared" si="44"/>
        <v>4668</v>
      </c>
      <c r="U36" s="1355">
        <f t="shared" si="33"/>
        <v>490140</v>
      </c>
      <c r="V36" s="2024">
        <f>+'[3]October midyear adj'!E165</f>
        <v>109</v>
      </c>
      <c r="W36" s="1681">
        <f t="shared" si="34"/>
        <v>508812</v>
      </c>
      <c r="X36" s="2024">
        <f>'[3]February midyear adj '!E165</f>
        <v>-12</v>
      </c>
      <c r="Y36" s="1681">
        <f t="shared" si="45"/>
        <v>-28008</v>
      </c>
      <c r="Z36" s="1985">
        <f t="shared" si="35"/>
        <v>480804</v>
      </c>
      <c r="AA36" s="1355">
        <f t="shared" si="36"/>
        <v>970944</v>
      </c>
      <c r="AB36" s="1356">
        <f t="shared" si="46"/>
        <v>-16991.52</v>
      </c>
      <c r="AC36" s="1356">
        <f t="shared" si="47"/>
        <v>-2427.36</v>
      </c>
      <c r="AD36" s="1356">
        <f t="shared" si="48"/>
        <v>-19418.88</v>
      </c>
      <c r="AE36" s="1980">
        <f t="shared" si="37"/>
        <v>951525.12</v>
      </c>
      <c r="AF36" s="1356">
        <f>'[15]Adjusted Amounts'!Q187</f>
        <v>0</v>
      </c>
      <c r="AG36" s="1356">
        <v>0</v>
      </c>
      <c r="AH36" s="1355">
        <f t="shared" si="49"/>
        <v>951525.12</v>
      </c>
      <c r="AI36" s="1681">
        <f>'[16]Table 5B1_RSD_Orleans'!Y34+'[17]Table 5B1_RSD_Orleans'!AK34+'[18]Table 5B1_RSD_Orleans'!AK34*3+'[19]Table 5B1_RSD_Orleans'!AK34+'[20]Table 5B1_RSD_Orleans'!AK34+'[21]Table 5B1_RSD_Orleans'!AK34-1</f>
        <v>660477.07345454535</v>
      </c>
      <c r="AJ36" s="1681">
        <f t="shared" si="38"/>
        <v>291048.04654545465</v>
      </c>
      <c r="AK36" s="1355">
        <f t="shared" si="39"/>
        <v>72762</v>
      </c>
    </row>
    <row r="37" spans="1:44" ht="30">
      <c r="A37" s="1337">
        <v>382003</v>
      </c>
      <c r="B37" s="1338" t="str">
        <f>IFERROR(VLOOKUP(A37,'[22]Table 4 Level 4'!$B$137:$C$194,2,FALSE),"na")</f>
        <v>G.W. Carver Prep Acdmy (Collegiate Academies)</v>
      </c>
      <c r="C37" s="1357">
        <f>'[23]RSD-NO by Site'!D32</f>
        <v>100</v>
      </c>
      <c r="D37" s="1340">
        <f t="shared" si="26"/>
        <v>3520.4894337711748</v>
      </c>
      <c r="E37" s="1340">
        <f t="shared" si="27"/>
        <v>352049</v>
      </c>
      <c r="F37" s="1340">
        <v>746.0335616438357</v>
      </c>
      <c r="G37" s="1340">
        <f t="shared" si="28"/>
        <v>74603.356164383571</v>
      </c>
      <c r="H37" s="1341">
        <f t="shared" si="40"/>
        <v>426652.35616438359</v>
      </c>
      <c r="I37" s="1679">
        <f>+'[3]October midyear adj'!K166</f>
        <v>413852.73055525607</v>
      </c>
      <c r="J37" s="1679">
        <f>'[3]February midyear adj '!K166</f>
        <v>-23465.876474782559</v>
      </c>
      <c r="K37" s="2009">
        <f t="shared" si="29"/>
        <v>390386.85408047354</v>
      </c>
      <c r="L37" s="1341">
        <f t="shared" si="30"/>
        <v>817039.21024485712</v>
      </c>
      <c r="M37" s="1679">
        <f t="shared" si="41"/>
        <v>-14298.186179285001</v>
      </c>
      <c r="N37" s="1679">
        <f t="shared" si="42"/>
        <v>-2042.5980256121429</v>
      </c>
      <c r="O37" s="1679">
        <f t="shared" si="31"/>
        <v>-16340.784204897143</v>
      </c>
      <c r="P37" s="1978">
        <f t="shared" si="32"/>
        <v>800698.42603996</v>
      </c>
      <c r="Q37" s="1342">
        <v>0</v>
      </c>
      <c r="R37" s="1342">
        <v>0</v>
      </c>
      <c r="S37" s="1341">
        <f t="shared" si="43"/>
        <v>800698.42603996</v>
      </c>
      <c r="T37" s="1342">
        <f t="shared" si="44"/>
        <v>4668</v>
      </c>
      <c r="U37" s="1341">
        <f t="shared" si="33"/>
        <v>466800</v>
      </c>
      <c r="V37" s="2022">
        <f>+'[3]October midyear adj'!E166</f>
        <v>97</v>
      </c>
      <c r="W37" s="1679">
        <f t="shared" si="34"/>
        <v>452796</v>
      </c>
      <c r="X37" s="2022">
        <f>'[3]February midyear adj '!E166</f>
        <v>-11</v>
      </c>
      <c r="Y37" s="1679">
        <f t="shared" si="45"/>
        <v>-25674</v>
      </c>
      <c r="Z37" s="1983">
        <f t="shared" si="35"/>
        <v>427122</v>
      </c>
      <c r="AA37" s="1341">
        <f t="shared" si="36"/>
        <v>893922</v>
      </c>
      <c r="AB37" s="1342">
        <f t="shared" si="46"/>
        <v>-15643.635000000002</v>
      </c>
      <c r="AC37" s="1342">
        <f t="shared" si="47"/>
        <v>-2234.8049999999998</v>
      </c>
      <c r="AD37" s="1342">
        <f t="shared" si="48"/>
        <v>-17878.440000000002</v>
      </c>
      <c r="AE37" s="1978">
        <f t="shared" si="37"/>
        <v>876043.56</v>
      </c>
      <c r="AF37" s="1342">
        <f>'[15]Adjusted Amounts'!Q188</f>
        <v>0</v>
      </c>
      <c r="AG37" s="1342">
        <v>0</v>
      </c>
      <c r="AH37" s="1341">
        <f t="shared" si="49"/>
        <v>876043.56</v>
      </c>
      <c r="AI37" s="1679">
        <f>'[16]Table 5B1_RSD_Orleans'!Y35+'[17]Table 5B1_RSD_Orleans'!AK35+'[18]Table 5B1_RSD_Orleans'!AK35*3+'[19]Table 5B1_RSD_Orleans'!AK35+'[20]Table 5B1_RSD_Orleans'!AK35+'[21]Table 5B1_RSD_Orleans'!AK35+3</f>
        <v>602097.24775757571</v>
      </c>
      <c r="AJ37" s="1679">
        <f t="shared" si="38"/>
        <v>273946.31224242435</v>
      </c>
      <c r="AK37" s="1341">
        <f t="shared" si="39"/>
        <v>68487</v>
      </c>
    </row>
    <row r="38" spans="1:44" ht="30">
      <c r="A38" s="1349">
        <v>384001</v>
      </c>
      <c r="B38" s="1350" t="str">
        <f>IFERROR(VLOOKUP(A38,'[22]Table 4 Level 4'!$B$137:$C$194,2,FALSE),"na")</f>
        <v>Miller McCoy Academy (Miller McCoy Academy)</v>
      </c>
      <c r="C38" s="1345">
        <f>'[23]RSD-NO by Site'!D33</f>
        <v>400</v>
      </c>
      <c r="D38" s="1346">
        <f t="shared" si="26"/>
        <v>3520.4894337711748</v>
      </c>
      <c r="E38" s="1346">
        <f t="shared" si="27"/>
        <v>1408196</v>
      </c>
      <c r="F38" s="1346">
        <v>735.82244897959185</v>
      </c>
      <c r="G38" s="1346">
        <f t="shared" si="28"/>
        <v>294328.97959183675</v>
      </c>
      <c r="H38" s="1347">
        <f t="shared" si="40"/>
        <v>1702524.9795918367</v>
      </c>
      <c r="I38" s="1680">
        <f>+'[3]October midyear adj'!K167</f>
        <v>-319223.39120630751</v>
      </c>
      <c r="J38" s="1680">
        <f>'[3]February midyear adj '!K167</f>
        <v>2128.1559413753835</v>
      </c>
      <c r="K38" s="2010">
        <f t="shared" si="29"/>
        <v>-317095.23526493215</v>
      </c>
      <c r="L38" s="1347">
        <f t="shared" si="30"/>
        <v>1385429.7443269044</v>
      </c>
      <c r="M38" s="1680">
        <f t="shared" si="41"/>
        <v>-24245.020525720829</v>
      </c>
      <c r="N38" s="1680">
        <f t="shared" si="42"/>
        <v>-3463.5743608172611</v>
      </c>
      <c r="O38" s="1680">
        <f t="shared" si="31"/>
        <v>-27708.594886538089</v>
      </c>
      <c r="P38" s="1979">
        <f t="shared" si="32"/>
        <v>1357721.1494403663</v>
      </c>
      <c r="Q38" s="1348">
        <f>'[2]Adjusted Amounts'!I190</f>
        <v>-13786.843486509482</v>
      </c>
      <c r="R38" s="1348">
        <v>0</v>
      </c>
      <c r="S38" s="1347">
        <f t="shared" si="43"/>
        <v>1343934.3059538568</v>
      </c>
      <c r="T38" s="1348">
        <f t="shared" si="44"/>
        <v>4668</v>
      </c>
      <c r="U38" s="1347">
        <f t="shared" si="33"/>
        <v>1867200</v>
      </c>
      <c r="V38" s="2023">
        <f>+'[3]October midyear adj'!E167</f>
        <v>-75</v>
      </c>
      <c r="W38" s="1680">
        <f t="shared" si="34"/>
        <v>-350100</v>
      </c>
      <c r="X38" s="2023">
        <f>'[3]February midyear adj '!E167</f>
        <v>1</v>
      </c>
      <c r="Y38" s="1680">
        <f t="shared" si="45"/>
        <v>2334</v>
      </c>
      <c r="Z38" s="1984">
        <f t="shared" si="35"/>
        <v>-347766</v>
      </c>
      <c r="AA38" s="1347">
        <f t="shared" si="36"/>
        <v>1519434</v>
      </c>
      <c r="AB38" s="1348">
        <f t="shared" si="46"/>
        <v>-26590.095000000001</v>
      </c>
      <c r="AC38" s="1348">
        <f t="shared" si="47"/>
        <v>-3798.585</v>
      </c>
      <c r="AD38" s="1348">
        <f t="shared" si="48"/>
        <v>-30388.68</v>
      </c>
      <c r="AE38" s="1979">
        <f t="shared" si="37"/>
        <v>1489045.32</v>
      </c>
      <c r="AF38" s="1348">
        <f>'[15]Adjusted Amounts'!Q190</f>
        <v>-10493.5</v>
      </c>
      <c r="AG38" s="1348">
        <v>0</v>
      </c>
      <c r="AH38" s="1347">
        <f t="shared" si="49"/>
        <v>1478551.82</v>
      </c>
      <c r="AI38" s="1680">
        <f>'[16]Table 5B1_RSD_Orleans'!Y36+'[17]Table 5B1_RSD_Orleans'!AK36+'[18]Table 5B1_RSD_Orleans'!AK36*3+'[19]Table 5B1_RSD_Orleans'!AK36+'[20]Table 5B1_RSD_Orleans'!AK36+'[21]Table 5B1_RSD_Orleans'!AK36-2</f>
        <v>1066783.9356060605</v>
      </c>
      <c r="AJ38" s="1680">
        <f t="shared" si="38"/>
        <v>411767.88439393952</v>
      </c>
      <c r="AK38" s="1347">
        <f t="shared" si="39"/>
        <v>102942</v>
      </c>
    </row>
    <row r="39" spans="1:44" ht="30">
      <c r="A39" s="1349">
        <v>385001</v>
      </c>
      <c r="B39" s="1350" t="str">
        <f>IFERROR(VLOOKUP(A39,'[22]Table 4 Level 4'!$B$137:$C$194,2,FALSE),"na")</f>
        <v>Sylvanie Williams College Prep (N.O. College Prep)</v>
      </c>
      <c r="C39" s="1370">
        <f>'[23]RSD-NO by Site'!D34</f>
        <v>352</v>
      </c>
      <c r="D39" s="1346">
        <f t="shared" si="26"/>
        <v>3520.4894337711748</v>
      </c>
      <c r="E39" s="1346">
        <f t="shared" si="27"/>
        <v>1239212</v>
      </c>
      <c r="F39" s="1346">
        <v>618.75651162790689</v>
      </c>
      <c r="G39" s="1346">
        <f t="shared" si="28"/>
        <v>217802.29209302322</v>
      </c>
      <c r="H39" s="1347">
        <f t="shared" si="40"/>
        <v>1457014.2920930232</v>
      </c>
      <c r="I39" s="1680">
        <f>+'[3]October midyear adj'!K168</f>
        <v>-132455.8702527706</v>
      </c>
      <c r="J39" s="1680">
        <f>'[3]February midyear adj '!K168</f>
        <v>4139.2459453990814</v>
      </c>
      <c r="K39" s="2010">
        <f t="shared" si="29"/>
        <v>-128316.62430737153</v>
      </c>
      <c r="L39" s="1347">
        <f t="shared" si="30"/>
        <v>1328697.6677856517</v>
      </c>
      <c r="M39" s="1680">
        <f t="shared" si="41"/>
        <v>-23252.209186248907</v>
      </c>
      <c r="N39" s="1680">
        <f t="shared" si="42"/>
        <v>-3321.7441694641293</v>
      </c>
      <c r="O39" s="1680">
        <f t="shared" si="31"/>
        <v>-26573.953355713034</v>
      </c>
      <c r="P39" s="1979">
        <f t="shared" si="32"/>
        <v>1302123.7144299387</v>
      </c>
      <c r="Q39" s="1348">
        <f>'[2]Adjusted Amounts'!I191</f>
        <v>-3516.4052830321971</v>
      </c>
      <c r="R39" s="1348">
        <v>0</v>
      </c>
      <c r="S39" s="1347">
        <f t="shared" si="43"/>
        <v>1298607.3091469065</v>
      </c>
      <c r="T39" s="1348">
        <f t="shared" si="44"/>
        <v>4668</v>
      </c>
      <c r="U39" s="1347">
        <f t="shared" si="33"/>
        <v>1643136</v>
      </c>
      <c r="V39" s="2023">
        <f>+'[3]October midyear adj'!E168</f>
        <v>-32</v>
      </c>
      <c r="W39" s="1680">
        <f t="shared" si="34"/>
        <v>-149376</v>
      </c>
      <c r="X39" s="2023">
        <f>'[3]February midyear adj '!E168</f>
        <v>2</v>
      </c>
      <c r="Y39" s="1680">
        <f t="shared" si="45"/>
        <v>4668</v>
      </c>
      <c r="Z39" s="1984">
        <f t="shared" si="35"/>
        <v>-144708</v>
      </c>
      <c r="AA39" s="1347">
        <f t="shared" si="36"/>
        <v>1498428</v>
      </c>
      <c r="AB39" s="1348">
        <f t="shared" si="46"/>
        <v>-26222.49</v>
      </c>
      <c r="AC39" s="1348">
        <f t="shared" si="47"/>
        <v>-3746.07</v>
      </c>
      <c r="AD39" s="1348">
        <f t="shared" si="48"/>
        <v>-29968.560000000001</v>
      </c>
      <c r="AE39" s="1979">
        <f t="shared" si="37"/>
        <v>1468459.44</v>
      </c>
      <c r="AF39" s="1348">
        <f>'[15]Adjusted Amounts'!Q191</f>
        <v>0</v>
      </c>
      <c r="AG39" s="1348">
        <v>0</v>
      </c>
      <c r="AH39" s="1347">
        <f t="shared" si="49"/>
        <v>1468459.44</v>
      </c>
      <c r="AI39" s="1680">
        <f>'[16]Table 5B1_RSD_Orleans'!Y37+'[17]Table 5B1_RSD_Orleans'!AK37+'[18]Table 5B1_RSD_Orleans'!AK37*3+'[19]Table 5B1_RSD_Orleans'!AK37+'[20]Table 5B1_RSD_Orleans'!AK37+'[21]Table 5B1_RSD_Orleans'!AK37+2</f>
        <v>1074437.9641212123</v>
      </c>
      <c r="AJ39" s="1680">
        <f t="shared" si="38"/>
        <v>394021.47587878769</v>
      </c>
      <c r="AK39" s="1347">
        <f t="shared" si="39"/>
        <v>98505</v>
      </c>
    </row>
    <row r="40" spans="1:44" ht="30">
      <c r="A40" s="1343">
        <v>385002</v>
      </c>
      <c r="B40" s="1344" t="str">
        <f>IFERROR(VLOOKUP(A40,'[22]Table 4 Level 4'!$B$137:$C$194,2,FALSE),"na")</f>
        <v>Cohen College Prep (N.O. College Prep)</v>
      </c>
      <c r="C40" s="1370">
        <f>'[23]RSD-NO by Site'!D35</f>
        <v>493</v>
      </c>
      <c r="D40" s="1346">
        <f t="shared" si="26"/>
        <v>3520.4894337711748</v>
      </c>
      <c r="E40" s="1346">
        <f t="shared" si="27"/>
        <v>1735601</v>
      </c>
      <c r="F40" s="1346">
        <v>746.0335616438357</v>
      </c>
      <c r="G40" s="1346">
        <f t="shared" si="28"/>
        <v>367794.54589041101</v>
      </c>
      <c r="H40" s="1347">
        <f t="shared" si="40"/>
        <v>2103395.5458904109</v>
      </c>
      <c r="I40" s="1680">
        <f>+'[3]October midyear adj'!K169</f>
        <v>106663.07488537527</v>
      </c>
      <c r="J40" s="1680">
        <f>'[3]February midyear adj '!K169</f>
        <v>-53331.537442687637</v>
      </c>
      <c r="K40" s="2010">
        <f t="shared" si="29"/>
        <v>53331.537442687637</v>
      </c>
      <c r="L40" s="1347">
        <f t="shared" si="30"/>
        <v>2156727.0833330983</v>
      </c>
      <c r="M40" s="1680">
        <f t="shared" si="41"/>
        <v>-37742.723958329225</v>
      </c>
      <c r="N40" s="1680">
        <f t="shared" si="42"/>
        <v>-5391.8177083327455</v>
      </c>
      <c r="O40" s="1680">
        <f t="shared" si="31"/>
        <v>-43134.541666661971</v>
      </c>
      <c r="P40" s="1979">
        <f t="shared" si="32"/>
        <v>2113592.5416664365</v>
      </c>
      <c r="Q40" s="1348">
        <v>0</v>
      </c>
      <c r="R40" s="1348">
        <v>0</v>
      </c>
      <c r="S40" s="1347">
        <f t="shared" si="43"/>
        <v>2113592.5416664365</v>
      </c>
      <c r="T40" s="1348">
        <f t="shared" si="44"/>
        <v>4668</v>
      </c>
      <c r="U40" s="1347">
        <f t="shared" si="33"/>
        <v>2301324</v>
      </c>
      <c r="V40" s="2023">
        <f>+'[3]October midyear adj'!E169</f>
        <v>25</v>
      </c>
      <c r="W40" s="1680">
        <f t="shared" si="34"/>
        <v>116700</v>
      </c>
      <c r="X40" s="2023">
        <f>'[3]February midyear adj '!E169</f>
        <v>-25</v>
      </c>
      <c r="Y40" s="1680">
        <f t="shared" si="45"/>
        <v>-58350</v>
      </c>
      <c r="Z40" s="1984">
        <f t="shared" si="35"/>
        <v>58350</v>
      </c>
      <c r="AA40" s="1347">
        <f t="shared" si="36"/>
        <v>2359674</v>
      </c>
      <c r="AB40" s="1348">
        <f t="shared" si="46"/>
        <v>-41294.295000000006</v>
      </c>
      <c r="AC40" s="1348">
        <f t="shared" si="47"/>
        <v>-5899.1850000000004</v>
      </c>
      <c r="AD40" s="1348">
        <f t="shared" si="48"/>
        <v>-47193.48</v>
      </c>
      <c r="AE40" s="1979">
        <f t="shared" si="37"/>
        <v>2312480.52</v>
      </c>
      <c r="AF40" s="1348">
        <f>'[15]Adjusted Amounts'!Q192</f>
        <v>0</v>
      </c>
      <c r="AG40" s="1348">
        <v>0</v>
      </c>
      <c r="AH40" s="1347">
        <f t="shared" si="49"/>
        <v>2312480.52</v>
      </c>
      <c r="AI40" s="1680">
        <f>'[16]Table 5B1_RSD_Orleans'!Y38+'[17]Table 5B1_RSD_Orleans'!AK38+'[18]Table 5B1_RSD_Orleans'!AK38*3+'[19]Table 5B1_RSD_Orleans'!AK38+'[20]Table 5B1_RSD_Orleans'!AK38+'[21]Table 5B1_RSD_Orleans'!AK38+3</f>
        <v>1504823.0164848482</v>
      </c>
      <c r="AJ40" s="1680">
        <f t="shared" si="38"/>
        <v>807657.50351515179</v>
      </c>
      <c r="AK40" s="1347">
        <f t="shared" si="39"/>
        <v>201914</v>
      </c>
    </row>
    <row r="41" spans="1:44" ht="15">
      <c r="A41" s="1372">
        <v>385003</v>
      </c>
      <c r="B41" s="1373" t="str">
        <f>IFERROR(VLOOKUP(A41,'[22]Table 4 Level 4'!$B$137:$C$194,2,FALSE),"na")</f>
        <v>Crocker Prep (N.O. College Prep)</v>
      </c>
      <c r="C41" s="1374">
        <v>376</v>
      </c>
      <c r="D41" s="1354">
        <f t="shared" si="26"/>
        <v>3520.4894337711748</v>
      </c>
      <c r="E41" s="1354">
        <f t="shared" si="27"/>
        <v>1323704</v>
      </c>
      <c r="F41" s="1354">
        <v>746.0335616438357</v>
      </c>
      <c r="G41" s="1354">
        <f t="shared" si="28"/>
        <v>280508.61917808221</v>
      </c>
      <c r="H41" s="1355">
        <f t="shared" si="40"/>
        <v>1604212.6191780823</v>
      </c>
      <c r="I41" s="1681">
        <f>+'[3]October midyear adj'!K170</f>
        <v>-426652.2995415011</v>
      </c>
      <c r="J41" s="1681">
        <f>'[3]February midyear adj '!K170</f>
        <v>4266.5229954150109</v>
      </c>
      <c r="K41" s="2011">
        <f t="shared" si="29"/>
        <v>-422385.77654608607</v>
      </c>
      <c r="L41" s="1355">
        <f t="shared" si="30"/>
        <v>1181826.8426319961</v>
      </c>
      <c r="M41" s="1681">
        <f t="shared" si="41"/>
        <v>-20681.969746059935</v>
      </c>
      <c r="N41" s="1681">
        <f t="shared" si="42"/>
        <v>-2954.5671065799902</v>
      </c>
      <c r="O41" s="1681">
        <f t="shared" si="31"/>
        <v>-23636.536852639925</v>
      </c>
      <c r="P41" s="1980">
        <f t="shared" si="32"/>
        <v>1158190.3057793563</v>
      </c>
      <c r="Q41" s="1356">
        <v>0</v>
      </c>
      <c r="R41" s="1356">
        <v>0</v>
      </c>
      <c r="S41" s="1355">
        <f t="shared" si="43"/>
        <v>1158190.3057793563</v>
      </c>
      <c r="T41" s="1356">
        <f t="shared" si="44"/>
        <v>4668</v>
      </c>
      <c r="U41" s="1355">
        <f t="shared" si="33"/>
        <v>1755168</v>
      </c>
      <c r="V41" s="2024">
        <f>+'[3]October midyear adj'!E170</f>
        <v>-100</v>
      </c>
      <c r="W41" s="1681">
        <f t="shared" si="34"/>
        <v>-466800</v>
      </c>
      <c r="X41" s="2024">
        <f>'[3]February midyear adj '!E170</f>
        <v>2</v>
      </c>
      <c r="Y41" s="1681">
        <f t="shared" si="45"/>
        <v>4668</v>
      </c>
      <c r="Z41" s="1985">
        <f t="shared" si="35"/>
        <v>-462132</v>
      </c>
      <c r="AA41" s="1355">
        <f t="shared" si="36"/>
        <v>1293036</v>
      </c>
      <c r="AB41" s="1356">
        <f t="shared" si="46"/>
        <v>-22628.13</v>
      </c>
      <c r="AC41" s="1356">
        <f t="shared" si="47"/>
        <v>-3232.59</v>
      </c>
      <c r="AD41" s="1356">
        <f t="shared" si="48"/>
        <v>-25860.720000000001</v>
      </c>
      <c r="AE41" s="1980">
        <f t="shared" si="37"/>
        <v>1267175.28</v>
      </c>
      <c r="AF41" s="1356">
        <v>0</v>
      </c>
      <c r="AG41" s="1356">
        <v>0</v>
      </c>
      <c r="AH41" s="1355">
        <f t="shared" si="49"/>
        <v>1267175.28</v>
      </c>
      <c r="AI41" s="1681">
        <f>'[16]Table 5B1_RSD_Orleans'!Y39+'[17]Table 5B1_RSD_Orleans'!AK39+'[18]Table 5B1_RSD_Orleans'!AK39*3+'[19]Table 5B1_RSD_Orleans'!AK39+'[20]Table 5B1_RSD_Orleans'!AK39+'[21]Table 5B1_RSD_Orleans'!AK39-2</f>
        <v>1098633.7881212123</v>
      </c>
      <c r="AJ41" s="1681">
        <f t="shared" si="38"/>
        <v>168541.49187878775</v>
      </c>
      <c r="AK41" s="1355">
        <f t="shared" si="39"/>
        <v>42135</v>
      </c>
    </row>
    <row r="42" spans="1:44" ht="30">
      <c r="A42" s="1365">
        <v>388001</v>
      </c>
      <c r="B42" s="1366" t="str">
        <f>IFERROR(VLOOKUP(A42,'[22]Table 4 Level 4'!$B$137:$C$194,2,FALSE),"na")</f>
        <v>Andrew H. Wilson Charter (Broadmoor)</v>
      </c>
      <c r="C42" s="1339">
        <f>'[23]RSD-NO by Site'!D36</f>
        <v>608</v>
      </c>
      <c r="D42" s="1340">
        <f t="shared" si="26"/>
        <v>3520.4894337711748</v>
      </c>
      <c r="E42" s="1340">
        <f t="shared" si="27"/>
        <v>2140458</v>
      </c>
      <c r="F42" s="1340">
        <v>708.2132751810401</v>
      </c>
      <c r="G42" s="1340">
        <f t="shared" ref="G42" si="56">F42*C42</f>
        <v>430593.67131007236</v>
      </c>
      <c r="H42" s="1341">
        <f t="shared" ref="H42" si="57">E42+G42</f>
        <v>2571051.6713100723</v>
      </c>
      <c r="I42" s="1679">
        <f>+'[3]October midyear adj'!K171</f>
        <v>-50744.43250742658</v>
      </c>
      <c r="J42" s="1679">
        <f>'[3]February midyear adj '!K171</f>
        <v>6343.0540634283225</v>
      </c>
      <c r="K42" s="2009">
        <f t="shared" si="29"/>
        <v>-44401.378443998256</v>
      </c>
      <c r="L42" s="1341">
        <f t="shared" si="30"/>
        <v>2526650.292866074</v>
      </c>
      <c r="M42" s="1679">
        <f t="shared" si="41"/>
        <v>-44216.380125156298</v>
      </c>
      <c r="N42" s="1679">
        <f t="shared" si="42"/>
        <v>-6316.6257321651856</v>
      </c>
      <c r="O42" s="1679">
        <f t="shared" si="31"/>
        <v>-50533.005857321485</v>
      </c>
      <c r="P42" s="1978">
        <f t="shared" si="32"/>
        <v>2476117.2870087526</v>
      </c>
      <c r="Q42" s="1342">
        <f>'[2]Adjusted Amounts'!I193</f>
        <v>3960.2403711526622</v>
      </c>
      <c r="R42" s="1342">
        <v>0</v>
      </c>
      <c r="S42" s="1341">
        <f t="shared" si="43"/>
        <v>2480077.5273799053</v>
      </c>
      <c r="T42" s="1342">
        <f t="shared" si="44"/>
        <v>4668</v>
      </c>
      <c r="U42" s="1341">
        <f t="shared" si="33"/>
        <v>2838144</v>
      </c>
      <c r="V42" s="2022">
        <f>+'[3]October midyear adj'!E171</f>
        <v>-12</v>
      </c>
      <c r="W42" s="1679">
        <f t="shared" si="34"/>
        <v>-56016</v>
      </c>
      <c r="X42" s="2022">
        <f>'[3]February midyear adj '!E171</f>
        <v>3</v>
      </c>
      <c r="Y42" s="1679">
        <f t="shared" si="45"/>
        <v>7002</v>
      </c>
      <c r="Z42" s="1983">
        <f t="shared" si="35"/>
        <v>-49014</v>
      </c>
      <c r="AA42" s="1341">
        <f t="shared" si="36"/>
        <v>2789130</v>
      </c>
      <c r="AB42" s="1342">
        <f t="shared" si="46"/>
        <v>-48809.775000000001</v>
      </c>
      <c r="AC42" s="1342">
        <f t="shared" si="47"/>
        <v>-6972.8249999999998</v>
      </c>
      <c r="AD42" s="1342">
        <f t="shared" si="48"/>
        <v>-55782.6</v>
      </c>
      <c r="AE42" s="1978">
        <f t="shared" si="37"/>
        <v>2733347.4</v>
      </c>
      <c r="AF42" s="1342">
        <f>'[15]Adjusted Amounts'!Q193</f>
        <v>4203</v>
      </c>
      <c r="AG42" s="1342">
        <v>0</v>
      </c>
      <c r="AH42" s="1341">
        <f t="shared" si="49"/>
        <v>2737550.4</v>
      </c>
      <c r="AI42" s="1679">
        <f>'[16]Table 5B1_RSD_Orleans'!Y40+'[17]Table 5B1_RSD_Orleans'!AK40+'[18]Table 5B1_RSD_Orleans'!AK40*3+'[19]Table 5B1_RSD_Orleans'!AK40+'[20]Table 5B1_RSD_Orleans'!AK40+'[21]Table 5B1_RSD_Orleans'!AK40+3</f>
        <v>1858647.5004242423</v>
      </c>
      <c r="AJ42" s="1679">
        <f t="shared" si="38"/>
        <v>878902.89957575756</v>
      </c>
      <c r="AK42" s="1341">
        <f t="shared" si="39"/>
        <v>219726</v>
      </c>
    </row>
    <row r="43" spans="1:44" ht="45">
      <c r="A43" s="1349">
        <v>390001</v>
      </c>
      <c r="B43" s="2054" t="str">
        <f>IFERROR(VLOOKUP(A43,'[22]Table 4 Level 4'!$B$137:$C$194,2,FALSE),"na")</f>
        <v>James M. Singleton Charter (Dryades YMCA)
Not in a District Building</v>
      </c>
      <c r="C43" s="1345">
        <f>'[23]RSD-NO by Site'!D37</f>
        <v>596</v>
      </c>
      <c r="D43" s="1346">
        <f t="shared" si="26"/>
        <v>3520.4894337711748</v>
      </c>
      <c r="E43" s="1346">
        <f t="shared" si="27"/>
        <v>2098212</v>
      </c>
      <c r="F43" s="1346">
        <v>650.55234865477053</v>
      </c>
      <c r="G43" s="1346">
        <f t="shared" si="28"/>
        <v>387729.19979824324</v>
      </c>
      <c r="H43" s="1347">
        <f t="shared" si="40"/>
        <v>2485941.1997982431</v>
      </c>
      <c r="I43" s="1680">
        <f>+'[3]October midyear adj'!K172</f>
        <v>-271117.71585768647</v>
      </c>
      <c r="J43" s="1680">
        <f>'[3]February midyear adj '!K172</f>
        <v>-41710.417824259457</v>
      </c>
      <c r="K43" s="2010">
        <f t="shared" si="29"/>
        <v>-312828.13368194591</v>
      </c>
      <c r="L43" s="1347">
        <f t="shared" si="30"/>
        <v>2173113.0661162972</v>
      </c>
      <c r="M43" s="1680">
        <f t="shared" si="41"/>
        <v>-38029.478657035201</v>
      </c>
      <c r="N43" s="1680">
        <f t="shared" si="42"/>
        <v>-5432.7826652907434</v>
      </c>
      <c r="O43" s="1680">
        <f t="shared" si="31"/>
        <v>-43462.261322325947</v>
      </c>
      <c r="P43" s="1979">
        <f t="shared" si="32"/>
        <v>2129650.8047939711</v>
      </c>
      <c r="Q43" s="1348">
        <f>'[2]Adjusted Amounts'!I195</f>
        <v>0</v>
      </c>
      <c r="R43" s="1348">
        <v>0</v>
      </c>
      <c r="S43" s="1347">
        <f t="shared" si="43"/>
        <v>2129650.8047939711</v>
      </c>
      <c r="T43" s="1348">
        <f>T22</f>
        <v>5433</v>
      </c>
      <c r="U43" s="1347">
        <f t="shared" si="33"/>
        <v>3238068</v>
      </c>
      <c r="V43" s="2023">
        <f>+'[3]October midyear adj'!E172</f>
        <v>-65</v>
      </c>
      <c r="W43" s="1680">
        <f t="shared" si="34"/>
        <v>-353145</v>
      </c>
      <c r="X43" s="2023">
        <f>'[3]February midyear adj '!E172</f>
        <v>-20</v>
      </c>
      <c r="Y43" s="1680">
        <f t="shared" si="45"/>
        <v>-54330</v>
      </c>
      <c r="Z43" s="1984">
        <f t="shared" si="35"/>
        <v>-407475</v>
      </c>
      <c r="AA43" s="1347">
        <f t="shared" si="36"/>
        <v>2830593</v>
      </c>
      <c r="AB43" s="1348">
        <f t="shared" si="46"/>
        <v>-49535.377500000002</v>
      </c>
      <c r="AC43" s="1348">
        <f t="shared" si="47"/>
        <v>-7076.4825000000001</v>
      </c>
      <c r="AD43" s="1348">
        <f t="shared" si="48"/>
        <v>-56611.86</v>
      </c>
      <c r="AE43" s="1979">
        <f t="shared" si="37"/>
        <v>2773981.14</v>
      </c>
      <c r="AF43" s="1348">
        <f>'[15]Adjusted Amounts'!Q194</f>
        <v>0</v>
      </c>
      <c r="AG43" s="1348">
        <v>0</v>
      </c>
      <c r="AH43" s="1347">
        <f t="shared" si="49"/>
        <v>2773981.14</v>
      </c>
      <c r="AI43" s="1680">
        <f>'[16]Table 5B1_RSD_Orleans'!Y41+'[17]Table 5B1_RSD_Orleans'!AK41+'[18]Table 5B1_RSD_Orleans'!AK41*3+'[19]Table 5B1_RSD_Orleans'!AK41+'[20]Table 5B1_RSD_Orleans'!AK41+'[21]Table 5B1_RSD_Orleans'!AK41+1</f>
        <v>1970114.0455757577</v>
      </c>
      <c r="AJ43" s="1680">
        <f t="shared" si="38"/>
        <v>803867.09442424239</v>
      </c>
      <c r="AK43" s="1347">
        <f t="shared" si="39"/>
        <v>200967</v>
      </c>
    </row>
    <row r="44" spans="1:44" ht="30">
      <c r="A44" s="1349">
        <v>391001</v>
      </c>
      <c r="B44" s="1350" t="str">
        <f>IFERROR(VLOOKUP(A44,'[22]Table 4 Level 4'!$B$137:$C$194,2,FALSE),"na")</f>
        <v>Dr. MLK, Jr Charter for Sci &amp; Tech (Friends of King)</v>
      </c>
      <c r="C44" s="1345">
        <f>'[23]RSD-NO by Site'!D38</f>
        <v>694</v>
      </c>
      <c r="D44" s="1346">
        <f t="shared" si="26"/>
        <v>3520.4894337711748</v>
      </c>
      <c r="E44" s="1346">
        <f t="shared" si="27"/>
        <v>2443220</v>
      </c>
      <c r="F44" s="1346">
        <v>721.28337970262919</v>
      </c>
      <c r="G44" s="1346">
        <f t="shared" si="28"/>
        <v>500570.66551362467</v>
      </c>
      <c r="H44" s="1347">
        <f t="shared" si="40"/>
        <v>2943790.6655136244</v>
      </c>
      <c r="I44" s="1680">
        <f>+'[3]October midyear adj'!K173</f>
        <v>123011.41159074033</v>
      </c>
      <c r="J44" s="1680">
        <f>'[3]February midyear adj '!K173</f>
        <v>31813.296101053533</v>
      </c>
      <c r="K44" s="2010">
        <f t="shared" si="29"/>
        <v>154824.70769179385</v>
      </c>
      <c r="L44" s="1347">
        <f t="shared" si="30"/>
        <v>3098615.3732054182</v>
      </c>
      <c r="M44" s="1680">
        <f t="shared" si="41"/>
        <v>-54225.769031094824</v>
      </c>
      <c r="N44" s="1680">
        <f t="shared" si="42"/>
        <v>-7746.5384330135457</v>
      </c>
      <c r="O44" s="1680">
        <f t="shared" si="31"/>
        <v>-61972.307464108366</v>
      </c>
      <c r="P44" s="1979">
        <f t="shared" si="32"/>
        <v>3036643.0657413099</v>
      </c>
      <c r="Q44" s="1348">
        <v>0</v>
      </c>
      <c r="R44" s="1348">
        <v>0</v>
      </c>
      <c r="S44" s="1347">
        <f t="shared" si="43"/>
        <v>3036643.0657413099</v>
      </c>
      <c r="T44" s="1348">
        <f t="shared" si="44"/>
        <v>4668</v>
      </c>
      <c r="U44" s="1347">
        <f t="shared" si="33"/>
        <v>3239592</v>
      </c>
      <c r="V44" s="2023">
        <f>+'[3]October midyear adj'!E173</f>
        <v>29</v>
      </c>
      <c r="W44" s="1680">
        <f t="shared" si="34"/>
        <v>135372</v>
      </c>
      <c r="X44" s="2023">
        <f>'[3]February midyear adj '!E173</f>
        <v>15</v>
      </c>
      <c r="Y44" s="1680">
        <f t="shared" si="45"/>
        <v>35010</v>
      </c>
      <c r="Z44" s="1984">
        <f t="shared" si="35"/>
        <v>170382</v>
      </c>
      <c r="AA44" s="1347">
        <f t="shared" si="36"/>
        <v>3409974</v>
      </c>
      <c r="AB44" s="1348">
        <f t="shared" si="46"/>
        <v>-59674.545000000006</v>
      </c>
      <c r="AC44" s="1348">
        <f t="shared" si="47"/>
        <v>-8524.9349999999995</v>
      </c>
      <c r="AD44" s="1348">
        <f t="shared" si="48"/>
        <v>-68199.48000000001</v>
      </c>
      <c r="AE44" s="1979">
        <f t="shared" si="37"/>
        <v>3341774.52</v>
      </c>
      <c r="AF44" s="1348">
        <f>'[15]Adjusted Amounts'!Q195</f>
        <v>0</v>
      </c>
      <c r="AG44" s="1348">
        <v>0</v>
      </c>
      <c r="AH44" s="1347">
        <f t="shared" si="49"/>
        <v>3341774.52</v>
      </c>
      <c r="AI44" s="1680">
        <f>'[16]Table 5B1_RSD_Orleans'!Y42+'[17]Table 5B1_RSD_Orleans'!AK42+'[18]Table 5B1_RSD_Orleans'!AK42*3+'[19]Table 5B1_RSD_Orleans'!AK42+'[20]Table 5B1_RSD_Orleans'!AK42+'[21]Table 5B1_RSD_Orleans'!AK42-4</f>
        <v>2118343.5924848486</v>
      </c>
      <c r="AJ44" s="1680">
        <f t="shared" si="38"/>
        <v>1223430.9275151514</v>
      </c>
      <c r="AK44" s="1347">
        <f t="shared" si="39"/>
        <v>305858</v>
      </c>
    </row>
    <row r="45" spans="1:44" ht="15">
      <c r="A45" s="1343">
        <v>391002</v>
      </c>
      <c r="B45" s="1344" t="str">
        <f>IFERROR(VLOOKUP(A45,'[22]Table 4 Level 4'!$B$137:$C$194,2,FALSE),"na")</f>
        <v>Joseph A. Craig (Friends of King)</v>
      </c>
      <c r="C45" s="1370">
        <f>'[23]RSD-NO by Site'!D39</f>
        <v>347</v>
      </c>
      <c r="D45" s="1346">
        <f t="shared" si="26"/>
        <v>3520.4894337711748</v>
      </c>
      <c r="E45" s="1346">
        <f>ROUND(C45*D45,0)</f>
        <v>1221610</v>
      </c>
      <c r="F45" s="1346">
        <v>746.0335616438357</v>
      </c>
      <c r="G45" s="1346">
        <f>F45*C45</f>
        <v>258873.64589041099</v>
      </c>
      <c r="H45" s="1347">
        <f>E45+G45</f>
        <v>1480483.645890411</v>
      </c>
      <c r="I45" s="1680">
        <f>+'[3]October midyear adj'!K174</f>
        <v>93863.505899130236</v>
      </c>
      <c r="J45" s="1680">
        <f>'[3]February midyear adj '!K174</f>
        <v>17066.091981660044</v>
      </c>
      <c r="K45" s="2010">
        <f t="shared" si="29"/>
        <v>110929.59788079027</v>
      </c>
      <c r="L45" s="1347">
        <f t="shared" si="30"/>
        <v>1591413.2437712012</v>
      </c>
      <c r="M45" s="1680">
        <f t="shared" si="41"/>
        <v>-27849.731765996024</v>
      </c>
      <c r="N45" s="1680">
        <f t="shared" si="42"/>
        <v>-3978.5331094280032</v>
      </c>
      <c r="O45" s="1680">
        <f t="shared" si="31"/>
        <v>-31828.264875424029</v>
      </c>
      <c r="P45" s="1979">
        <f t="shared" si="32"/>
        <v>1559584.9788957771</v>
      </c>
      <c r="Q45" s="1348">
        <v>0</v>
      </c>
      <c r="R45" s="1348">
        <v>0</v>
      </c>
      <c r="S45" s="1347">
        <f t="shared" si="43"/>
        <v>1559584.9788957771</v>
      </c>
      <c r="T45" s="1348">
        <f t="shared" si="44"/>
        <v>4668</v>
      </c>
      <c r="U45" s="1347">
        <f t="shared" si="33"/>
        <v>1619796</v>
      </c>
      <c r="V45" s="2023">
        <f>+'[3]October midyear adj'!E174</f>
        <v>22</v>
      </c>
      <c r="W45" s="1680">
        <f t="shared" si="34"/>
        <v>102696</v>
      </c>
      <c r="X45" s="2023">
        <f>'[3]February midyear adj '!E174</f>
        <v>8</v>
      </c>
      <c r="Y45" s="1680">
        <f t="shared" si="45"/>
        <v>18672</v>
      </c>
      <c r="Z45" s="1984">
        <f t="shared" si="35"/>
        <v>121368</v>
      </c>
      <c r="AA45" s="1347">
        <f t="shared" si="36"/>
        <v>1741164</v>
      </c>
      <c r="AB45" s="1348">
        <f t="shared" si="46"/>
        <v>-30470.370000000003</v>
      </c>
      <c r="AC45" s="1348">
        <f t="shared" si="47"/>
        <v>-4352.91</v>
      </c>
      <c r="AD45" s="1348">
        <f t="shared" si="48"/>
        <v>-34823.279999999999</v>
      </c>
      <c r="AE45" s="1979">
        <f t="shared" si="37"/>
        <v>1706340.72</v>
      </c>
      <c r="AF45" s="1348">
        <f>'[15]Adjusted Amounts'!Q196</f>
        <v>0</v>
      </c>
      <c r="AG45" s="1348">
        <v>0</v>
      </c>
      <c r="AH45" s="1347">
        <f t="shared" si="49"/>
        <v>1706340.72</v>
      </c>
      <c r="AI45" s="1680">
        <f>'[16]Table 5B1_RSD_Orleans'!Y43+'[17]Table 5B1_RSD_Orleans'!AK43+'[18]Table 5B1_RSD_Orleans'!AK43*3+'[19]Table 5B1_RSD_Orleans'!AK43+'[20]Table 5B1_RSD_Orleans'!AK43+'[21]Table 5B1_RSD_Orleans'!AK43+3</f>
        <v>1059176.1507878788</v>
      </c>
      <c r="AJ45" s="1680">
        <f t="shared" si="38"/>
        <v>647164.56921212119</v>
      </c>
      <c r="AK45" s="1347">
        <f t="shared" si="39"/>
        <v>161791</v>
      </c>
    </row>
    <row r="46" spans="1:44" s="1033" customFormat="1" ht="30">
      <c r="A46" s="1362">
        <v>392001</v>
      </c>
      <c r="B46" s="1363" t="str">
        <f>IFERROR(VLOOKUP(A46,'[22]Table 4 Level 4'!$B$137:$C$194,2,FALSE),"na")</f>
        <v>McDonogh #28 City Park Acdmy (N.O. Charter Schls Fndtn)</v>
      </c>
      <c r="C46" s="1364">
        <f>'[23]RSD-NO by Site'!D40</f>
        <v>425</v>
      </c>
      <c r="D46" s="1354">
        <f t="shared" si="26"/>
        <v>3520.4894337711748</v>
      </c>
      <c r="E46" s="1354">
        <f t="shared" si="27"/>
        <v>1496208</v>
      </c>
      <c r="F46" s="1354">
        <v>600.21655982905986</v>
      </c>
      <c r="G46" s="1354">
        <f t="shared" si="28"/>
        <v>255092.03792735044</v>
      </c>
      <c r="H46" s="1355">
        <f t="shared" si="40"/>
        <v>1751300.0379273505</v>
      </c>
      <c r="I46" s="1681">
        <f>+'[3]October midyear adj'!K175</f>
        <v>90655.531859205177</v>
      </c>
      <c r="J46" s="1681">
        <f>'[3]February midyear adj '!K175</f>
        <v>4120.7059936002352</v>
      </c>
      <c r="K46" s="2011">
        <f t="shared" si="29"/>
        <v>94776.237852805411</v>
      </c>
      <c r="L46" s="1355">
        <f t="shared" si="30"/>
        <v>1846076.2757801558</v>
      </c>
      <c r="M46" s="1681">
        <f t="shared" si="41"/>
        <v>-32306.334826152728</v>
      </c>
      <c r="N46" s="1681">
        <f t="shared" si="42"/>
        <v>-4615.19068945039</v>
      </c>
      <c r="O46" s="1681">
        <f t="shared" si="31"/>
        <v>-36921.52551560312</v>
      </c>
      <c r="P46" s="1980">
        <f t="shared" si="32"/>
        <v>1809154.7502645527</v>
      </c>
      <c r="Q46" s="1356">
        <f>'[2]Adjusted Amounts'!I197</f>
        <v>-13026.842935677982</v>
      </c>
      <c r="R46" s="1356">
        <v>0</v>
      </c>
      <c r="S46" s="1355">
        <f t="shared" si="43"/>
        <v>1796127.9073288746</v>
      </c>
      <c r="T46" s="1356">
        <f t="shared" si="44"/>
        <v>4668</v>
      </c>
      <c r="U46" s="1355">
        <f t="shared" si="33"/>
        <v>1983900</v>
      </c>
      <c r="V46" s="2024">
        <f>+'[3]October midyear adj'!E175</f>
        <v>22</v>
      </c>
      <c r="W46" s="1681">
        <f t="shared" si="34"/>
        <v>102696</v>
      </c>
      <c r="X46" s="2024">
        <f>'[3]February midyear adj '!E175</f>
        <v>2</v>
      </c>
      <c r="Y46" s="1681">
        <f t="shared" si="45"/>
        <v>4668</v>
      </c>
      <c r="Z46" s="1985">
        <f t="shared" si="35"/>
        <v>107364</v>
      </c>
      <c r="AA46" s="1355">
        <f t="shared" si="36"/>
        <v>2091264</v>
      </c>
      <c r="AB46" s="1356">
        <f t="shared" si="46"/>
        <v>-36597.120000000003</v>
      </c>
      <c r="AC46" s="1356">
        <f t="shared" si="47"/>
        <v>-5228.16</v>
      </c>
      <c r="AD46" s="1356">
        <f t="shared" si="48"/>
        <v>-41825.279999999999</v>
      </c>
      <c r="AE46" s="1980">
        <f t="shared" si="37"/>
        <v>2049438.72</v>
      </c>
      <c r="AF46" s="1356">
        <f>'[15]Adjusted Amounts'!Q197</f>
        <v>4203</v>
      </c>
      <c r="AG46" s="1356">
        <v>0</v>
      </c>
      <c r="AH46" s="1355">
        <f t="shared" si="49"/>
        <v>2053641.72</v>
      </c>
      <c r="AI46" s="1681">
        <f>'[16]Table 5B1_RSD_Orleans'!Y44+'[17]Table 5B1_RSD_Orleans'!AK44+'[18]Table 5B1_RSD_Orleans'!AK44*3+'[19]Table 5B1_RSD_Orleans'!AK44+'[20]Table 5B1_RSD_Orleans'!AK44+'[21]Table 5B1_RSD_Orleans'!AK44+4</f>
        <v>1300064.1287878789</v>
      </c>
      <c r="AJ46" s="1681">
        <f t="shared" si="38"/>
        <v>753577.59121212107</v>
      </c>
      <c r="AK46" s="1355">
        <f t="shared" si="39"/>
        <v>188394</v>
      </c>
      <c r="AL46" s="1071"/>
      <c r="AM46" s="1071"/>
      <c r="AN46" s="1071"/>
      <c r="AO46" s="1071"/>
      <c r="AP46" s="1071"/>
      <c r="AQ46" s="1071"/>
      <c r="AR46" s="1071"/>
    </row>
    <row r="47" spans="1:44" ht="30">
      <c r="A47" s="1365">
        <v>393001</v>
      </c>
      <c r="B47" s="1366" t="str">
        <f>IFERROR(VLOOKUP(A47,'[22]Table 4 Level 4'!$B$137:$C$194,2,FALSE),"na")</f>
        <v>Lafayette Academy (Choice Foundation)</v>
      </c>
      <c r="C47" s="1339">
        <f>'[23]RSD-NO by Site'!D41</f>
        <v>886</v>
      </c>
      <c r="D47" s="1340">
        <f t="shared" si="26"/>
        <v>3520.4894337711748</v>
      </c>
      <c r="E47" s="1340">
        <f t="shared" si="27"/>
        <v>3119154</v>
      </c>
      <c r="F47" s="1340">
        <v>776.90344307346322</v>
      </c>
      <c r="G47" s="1340">
        <f t="shared" si="28"/>
        <v>688336.45056308841</v>
      </c>
      <c r="H47" s="1341">
        <f t="shared" si="40"/>
        <v>3807490.4505630885</v>
      </c>
      <c r="I47" s="1679">
        <f>+'[3]October midyear adj'!K176</f>
        <v>-17189.571507378554</v>
      </c>
      <c r="J47" s="1679">
        <f>'[3]February midyear adj '!K176</f>
        <v>-4297.3928768446385</v>
      </c>
      <c r="K47" s="2009">
        <f t="shared" si="29"/>
        <v>-21486.964384223193</v>
      </c>
      <c r="L47" s="1341">
        <f t="shared" si="30"/>
        <v>3786003.4861788652</v>
      </c>
      <c r="M47" s="1679">
        <f t="shared" si="41"/>
        <v>-66255.061008130142</v>
      </c>
      <c r="N47" s="1679">
        <f t="shared" si="42"/>
        <v>-9465.0087154471639</v>
      </c>
      <c r="O47" s="1679">
        <f t="shared" si="31"/>
        <v>-75720.069723577311</v>
      </c>
      <c r="P47" s="1978">
        <f t="shared" si="32"/>
        <v>3710283.416455288</v>
      </c>
      <c r="Q47" s="1342">
        <f>'[2]Adjusted Amounts'!I198</f>
        <v>2014.4652695225413</v>
      </c>
      <c r="R47" s="1342">
        <v>0</v>
      </c>
      <c r="S47" s="1341">
        <f t="shared" si="43"/>
        <v>3712297.8817248107</v>
      </c>
      <c r="T47" s="1342">
        <f t="shared" si="44"/>
        <v>4668</v>
      </c>
      <c r="U47" s="1341">
        <f t="shared" si="33"/>
        <v>4135848</v>
      </c>
      <c r="V47" s="2022">
        <f>+'[3]October midyear adj'!E176</f>
        <v>-4</v>
      </c>
      <c r="W47" s="1679">
        <f t="shared" si="34"/>
        <v>-18672</v>
      </c>
      <c r="X47" s="2022">
        <f>'[3]February midyear adj '!E176</f>
        <v>-2</v>
      </c>
      <c r="Y47" s="1679">
        <f t="shared" si="45"/>
        <v>-4668</v>
      </c>
      <c r="Z47" s="1983">
        <f t="shared" si="35"/>
        <v>-23340</v>
      </c>
      <c r="AA47" s="1341">
        <f t="shared" si="36"/>
        <v>4112508</v>
      </c>
      <c r="AB47" s="1342">
        <f t="shared" si="46"/>
        <v>-71968.890000000014</v>
      </c>
      <c r="AC47" s="1342">
        <f t="shared" si="47"/>
        <v>-10281.27</v>
      </c>
      <c r="AD47" s="1342">
        <f t="shared" si="48"/>
        <v>-82250.160000000018</v>
      </c>
      <c r="AE47" s="1978">
        <f t="shared" si="37"/>
        <v>4030257.84</v>
      </c>
      <c r="AF47" s="1342">
        <f>'[15]Adjusted Amounts'!Q198</f>
        <v>2101.5</v>
      </c>
      <c r="AG47" s="1342">
        <v>0</v>
      </c>
      <c r="AH47" s="1341">
        <f t="shared" si="49"/>
        <v>4032359.34</v>
      </c>
      <c r="AI47" s="1679">
        <f>'[16]Table 5B1_RSD_Orleans'!Y45+'[17]Table 5B1_RSD_Orleans'!AK45+'[18]Table 5B1_RSD_Orleans'!AK45*3+'[19]Table 5B1_RSD_Orleans'!AK45+'[20]Table 5B1_RSD_Orleans'!AK45+'[21]Table 5B1_RSD_Orleans'!AK45-3</f>
        <v>2705800.7822121214</v>
      </c>
      <c r="AJ47" s="1679">
        <f t="shared" si="38"/>
        <v>1326558.5577878784</v>
      </c>
      <c r="AK47" s="1341">
        <f t="shared" si="39"/>
        <v>331640</v>
      </c>
    </row>
    <row r="48" spans="1:44" ht="30">
      <c r="A48" s="1349">
        <v>393002</v>
      </c>
      <c r="B48" s="1350" t="str">
        <f>IFERROR(VLOOKUP(A48,'[22]Table 4 Level 4'!$B$137:$C$194,2,FALSE),"na")</f>
        <v>Esperanza Charter (Choice Foundation)</v>
      </c>
      <c r="C48" s="1345">
        <f>'[23]RSD-NO by Site'!D42</f>
        <v>466</v>
      </c>
      <c r="D48" s="1346">
        <f t="shared" si="26"/>
        <v>3520.4894337711748</v>
      </c>
      <c r="E48" s="1346">
        <f t="shared" si="27"/>
        <v>1640548</v>
      </c>
      <c r="F48" s="1346">
        <v>642.89065513553726</v>
      </c>
      <c r="G48" s="1346">
        <f t="shared" si="28"/>
        <v>299587.04529316036</v>
      </c>
      <c r="H48" s="1347">
        <f t="shared" si="40"/>
        <v>1940135.0452931602</v>
      </c>
      <c r="I48" s="1680">
        <f>+'[3]October midyear adj'!K177</f>
        <v>24980.280533440273</v>
      </c>
      <c r="J48" s="1680">
        <f>'[3]February midyear adj '!K177</f>
        <v>24980.280533440273</v>
      </c>
      <c r="K48" s="2010">
        <f t="shared" si="29"/>
        <v>49960.561066880546</v>
      </c>
      <c r="L48" s="1347">
        <f t="shared" si="30"/>
        <v>1990095.6063600408</v>
      </c>
      <c r="M48" s="1680">
        <f t="shared" si="41"/>
        <v>-34826.673111300719</v>
      </c>
      <c r="N48" s="1680">
        <f t="shared" si="42"/>
        <v>-4975.2390159001025</v>
      </c>
      <c r="O48" s="1680">
        <f t="shared" si="31"/>
        <v>-39801.91212720082</v>
      </c>
      <c r="P48" s="1979">
        <f t="shared" si="32"/>
        <v>1950293.6942328401</v>
      </c>
      <c r="Q48" s="1348">
        <f>'[2]Adjusted Amounts'!I199</f>
        <v>1947.4588755535794</v>
      </c>
      <c r="R48" s="1348">
        <v>0</v>
      </c>
      <c r="S48" s="1347">
        <f t="shared" si="43"/>
        <v>1952241.1531083938</v>
      </c>
      <c r="T48" s="1348">
        <f t="shared" si="44"/>
        <v>4668</v>
      </c>
      <c r="U48" s="1347">
        <f t="shared" si="33"/>
        <v>2175288</v>
      </c>
      <c r="V48" s="2023">
        <f>+'[3]October midyear adj'!E177</f>
        <v>6</v>
      </c>
      <c r="W48" s="1680">
        <f t="shared" si="34"/>
        <v>28008</v>
      </c>
      <c r="X48" s="2023">
        <f>'[3]February midyear adj '!E177</f>
        <v>12</v>
      </c>
      <c r="Y48" s="1680">
        <f t="shared" si="45"/>
        <v>28008</v>
      </c>
      <c r="Z48" s="1984">
        <f t="shared" si="35"/>
        <v>56016</v>
      </c>
      <c r="AA48" s="1347">
        <f t="shared" si="36"/>
        <v>2231304</v>
      </c>
      <c r="AB48" s="1348">
        <f t="shared" si="46"/>
        <v>-39047.820000000007</v>
      </c>
      <c r="AC48" s="1348">
        <f t="shared" si="47"/>
        <v>-5578.26</v>
      </c>
      <c r="AD48" s="1348">
        <f t="shared" si="48"/>
        <v>-44626.080000000009</v>
      </c>
      <c r="AE48" s="1979">
        <f t="shared" si="37"/>
        <v>2186677.92</v>
      </c>
      <c r="AF48" s="1348">
        <f>'[15]Adjusted Amounts'!Q199</f>
        <v>2101.5</v>
      </c>
      <c r="AG48" s="1348">
        <v>0</v>
      </c>
      <c r="AH48" s="1347">
        <f t="shared" si="49"/>
        <v>2188779.42</v>
      </c>
      <c r="AI48" s="1680">
        <f>'[16]Table 5B1_RSD_Orleans'!Y46+'[17]Table 5B1_RSD_Orleans'!AK46+'[18]Table 5B1_RSD_Orleans'!AK46*3+'[19]Table 5B1_RSD_Orleans'!AK46+'[20]Table 5B1_RSD_Orleans'!AK46+'[21]Table 5B1_RSD_Orleans'!AK46+1</f>
        <v>1423807.8076666663</v>
      </c>
      <c r="AJ48" s="1680">
        <f t="shared" si="38"/>
        <v>764971.61233333359</v>
      </c>
      <c r="AK48" s="1347">
        <f t="shared" si="39"/>
        <v>191243</v>
      </c>
    </row>
    <row r="49" spans="1:39" ht="30">
      <c r="A49" s="1343">
        <v>393003</v>
      </c>
      <c r="B49" s="1344" t="str">
        <f>IFERROR(VLOOKUP(A49,'[22]Table 4 Level 4'!$B$137:$C$194,2,FALSE),"na")</f>
        <v>McDonogh #42 Elem Charter (Choice Foundation)</v>
      </c>
      <c r="C49" s="1370">
        <f>'[23]RSD-NO by Site'!D43</f>
        <v>444</v>
      </c>
      <c r="D49" s="1346">
        <f t="shared" si="26"/>
        <v>3520.4894337711748</v>
      </c>
      <c r="E49" s="1346">
        <f t="shared" si="27"/>
        <v>1563097</v>
      </c>
      <c r="F49" s="1346">
        <v>746.0335616438357</v>
      </c>
      <c r="G49" s="1346">
        <f t="shared" si="28"/>
        <v>331238.90136986307</v>
      </c>
      <c r="H49" s="1347">
        <f t="shared" si="40"/>
        <v>1894335.9013698632</v>
      </c>
      <c r="I49" s="1680">
        <f>+'[3]October midyear adj'!K178</f>
        <v>-8533.0459908300218</v>
      </c>
      <c r="J49" s="1680">
        <f>'[3]February midyear adj '!K178</f>
        <v>-6399.7844931225163</v>
      </c>
      <c r="K49" s="2010">
        <f t="shared" si="29"/>
        <v>-14932.830483952537</v>
      </c>
      <c r="L49" s="1347">
        <f t="shared" si="30"/>
        <v>1879403.0708859107</v>
      </c>
      <c r="M49" s="1680">
        <f t="shared" si="41"/>
        <v>-32889.553740503441</v>
      </c>
      <c r="N49" s="1680">
        <f t="shared" si="42"/>
        <v>-4698.5076772147768</v>
      </c>
      <c r="O49" s="1680">
        <f t="shared" si="31"/>
        <v>-37588.061417718214</v>
      </c>
      <c r="P49" s="1979">
        <f t="shared" si="32"/>
        <v>1841815.0094681925</v>
      </c>
      <c r="Q49" s="1348">
        <f>'[2]Adjusted Amounts'!I200</f>
        <v>0</v>
      </c>
      <c r="R49" s="1348">
        <v>0</v>
      </c>
      <c r="S49" s="1347">
        <f t="shared" si="43"/>
        <v>1841815.0094681925</v>
      </c>
      <c r="T49" s="1348">
        <f t="shared" si="44"/>
        <v>4668</v>
      </c>
      <c r="U49" s="1347">
        <f t="shared" si="33"/>
        <v>2072592</v>
      </c>
      <c r="V49" s="2023">
        <f>+'[3]October midyear adj'!E178</f>
        <v>-2</v>
      </c>
      <c r="W49" s="1680">
        <f t="shared" si="34"/>
        <v>-9336</v>
      </c>
      <c r="X49" s="2023">
        <f>'[3]February midyear adj '!E178</f>
        <v>-3</v>
      </c>
      <c r="Y49" s="1680">
        <f t="shared" si="45"/>
        <v>-7002</v>
      </c>
      <c r="Z49" s="1984">
        <f t="shared" si="35"/>
        <v>-16338</v>
      </c>
      <c r="AA49" s="1347">
        <f t="shared" si="36"/>
        <v>2056254</v>
      </c>
      <c r="AB49" s="1348">
        <f t="shared" si="46"/>
        <v>-35984.445000000007</v>
      </c>
      <c r="AC49" s="1348">
        <f t="shared" si="47"/>
        <v>-5140.6350000000002</v>
      </c>
      <c r="AD49" s="1348">
        <f t="shared" si="48"/>
        <v>-41125.080000000009</v>
      </c>
      <c r="AE49" s="1979">
        <f t="shared" si="37"/>
        <v>2015128.92</v>
      </c>
      <c r="AF49" s="1348">
        <f>'[15]Adjusted Amounts'!Q200</f>
        <v>0</v>
      </c>
      <c r="AG49" s="1348">
        <v>0</v>
      </c>
      <c r="AH49" s="1347">
        <f t="shared" si="49"/>
        <v>2015128.92</v>
      </c>
      <c r="AI49" s="1680">
        <f>'[16]Table 5B1_RSD_Orleans'!Y47+'[17]Table 5B1_RSD_Orleans'!AK47+'[18]Table 5B1_RSD_Orleans'!AK47*3+'[19]Table 5B1_RSD_Orleans'!AK47+'[20]Table 5B1_RSD_Orleans'!AK47+'[21]Table 5B1_RSD_Orleans'!AK47+3</f>
        <v>1355256.3985454545</v>
      </c>
      <c r="AJ49" s="1680">
        <f t="shared" si="38"/>
        <v>659872.52145454544</v>
      </c>
      <c r="AK49" s="1347">
        <f t="shared" si="39"/>
        <v>164968</v>
      </c>
    </row>
    <row r="50" spans="1:39" ht="15">
      <c r="A50" s="1349">
        <v>395001</v>
      </c>
      <c r="B50" s="1350" t="str">
        <f>IFERROR(VLOOKUP(A50,'[22]Table 4 Level 4'!$B$137:$C$194,2,FALSE),"na")</f>
        <v>Martin Behrman (ACSA)</v>
      </c>
      <c r="C50" s="1345">
        <f>'[23]RSD-NO by Site'!D44</f>
        <v>673</v>
      </c>
      <c r="D50" s="1346">
        <f t="shared" si="26"/>
        <v>3520.4894337711748</v>
      </c>
      <c r="E50" s="1346">
        <f t="shared" si="27"/>
        <v>2369289</v>
      </c>
      <c r="F50" s="1346">
        <v>678.38194087511556</v>
      </c>
      <c r="G50" s="1346">
        <f t="shared" si="28"/>
        <v>456551.04620895279</v>
      </c>
      <c r="H50" s="1347">
        <f t="shared" si="40"/>
        <v>2825840.0462089526</v>
      </c>
      <c r="I50" s="1680">
        <f>+'[3]October midyear adj'!K179</f>
        <v>25193.228247877745</v>
      </c>
      <c r="J50" s="1680">
        <f>'[3]February midyear adj '!K179</f>
        <v>14696.049811262019</v>
      </c>
      <c r="K50" s="2010">
        <f t="shared" si="29"/>
        <v>39889.27805913976</v>
      </c>
      <c r="L50" s="1347">
        <f t="shared" si="30"/>
        <v>2865729.3242680924</v>
      </c>
      <c r="M50" s="1680">
        <f t="shared" si="41"/>
        <v>-50150.263174691623</v>
      </c>
      <c r="N50" s="1680">
        <f t="shared" si="42"/>
        <v>-7164.323310670231</v>
      </c>
      <c r="O50" s="1680">
        <f t="shared" si="31"/>
        <v>-57314.586485361855</v>
      </c>
      <c r="P50" s="1979">
        <f t="shared" si="32"/>
        <v>2808414.7377827307</v>
      </c>
      <c r="Q50" s="1348">
        <f>'[2]Adjusted Amounts'!I201</f>
        <v>-19208.648799330509</v>
      </c>
      <c r="R50" s="1348">
        <v>0</v>
      </c>
      <c r="S50" s="1347">
        <f t="shared" si="43"/>
        <v>2789206.0889834003</v>
      </c>
      <c r="T50" s="1348">
        <f t="shared" si="44"/>
        <v>4668</v>
      </c>
      <c r="U50" s="1347">
        <f t="shared" si="33"/>
        <v>3141564</v>
      </c>
      <c r="V50" s="2023">
        <f>+'[3]October midyear adj'!E179</f>
        <v>6</v>
      </c>
      <c r="W50" s="1680">
        <f t="shared" si="34"/>
        <v>28008</v>
      </c>
      <c r="X50" s="2023">
        <f>'[3]February midyear adj '!E179</f>
        <v>7</v>
      </c>
      <c r="Y50" s="1680">
        <f t="shared" si="45"/>
        <v>16338</v>
      </c>
      <c r="Z50" s="1984">
        <f t="shared" si="35"/>
        <v>44346</v>
      </c>
      <c r="AA50" s="1347">
        <f t="shared" si="36"/>
        <v>3185910</v>
      </c>
      <c r="AB50" s="1348">
        <f t="shared" si="46"/>
        <v>-55753.425000000003</v>
      </c>
      <c r="AC50" s="1348">
        <f t="shared" si="47"/>
        <v>-7964.7750000000005</v>
      </c>
      <c r="AD50" s="1348">
        <f t="shared" si="48"/>
        <v>-63718.200000000004</v>
      </c>
      <c r="AE50" s="1979">
        <f t="shared" si="37"/>
        <v>3122191.8</v>
      </c>
      <c r="AF50" s="1348">
        <f>'[15]Adjusted Amounts'!Q201</f>
        <v>-6297.5</v>
      </c>
      <c r="AG50" s="1348">
        <v>0</v>
      </c>
      <c r="AH50" s="1347">
        <f t="shared" si="49"/>
        <v>3115894.3</v>
      </c>
      <c r="AI50" s="1680">
        <f>'[16]Table 5B1_RSD_Orleans'!Y48+'[17]Table 5B1_RSD_Orleans'!AK48+'[18]Table 5B1_RSD_Orleans'!AK48*3+'[19]Table 5B1_RSD_Orleans'!AK48+'[20]Table 5B1_RSD_Orleans'!AK48+'[21]Table 5B1_RSD_Orleans'!AK48-1</f>
        <v>2050048.0684545455</v>
      </c>
      <c r="AJ50" s="1680">
        <f t="shared" si="38"/>
        <v>1065846.2315454544</v>
      </c>
      <c r="AK50" s="1347">
        <f t="shared" si="39"/>
        <v>266462</v>
      </c>
    </row>
    <row r="51" spans="1:39" ht="15">
      <c r="A51" s="1362">
        <v>395002</v>
      </c>
      <c r="B51" s="1363" t="str">
        <f>IFERROR(VLOOKUP(A51,'[22]Table 4 Level 4'!$B$137:$C$194,2,FALSE),"na")</f>
        <v>Dwight D. Eisenhower (ACSA )</v>
      </c>
      <c r="C51" s="1364">
        <f>'[23]RSD-NO by Site'!D45</f>
        <v>606</v>
      </c>
      <c r="D51" s="1354">
        <f t="shared" si="26"/>
        <v>3520.4894337711748</v>
      </c>
      <c r="E51" s="1354">
        <f t="shared" si="27"/>
        <v>2133417</v>
      </c>
      <c r="F51" s="1354">
        <v>686.92241021135874</v>
      </c>
      <c r="G51" s="1354">
        <f t="shared" si="28"/>
        <v>416274.98058808339</v>
      </c>
      <c r="H51" s="1355">
        <f t="shared" si="40"/>
        <v>2549691.9805880832</v>
      </c>
      <c r="I51" s="1681">
        <f>+'[3]October midyear adj'!K180</f>
        <v>668978.48319322278</v>
      </c>
      <c r="J51" s="1681">
        <f>'[3]February midyear adj '!K180</f>
        <v>27348.176985886468</v>
      </c>
      <c r="K51" s="2011">
        <f t="shared" si="29"/>
        <v>696326.6601791092</v>
      </c>
      <c r="L51" s="1355">
        <f t="shared" si="30"/>
        <v>3246018.6407671925</v>
      </c>
      <c r="M51" s="1681">
        <f t="shared" si="41"/>
        <v>-56805.326213425877</v>
      </c>
      <c r="N51" s="1681">
        <f t="shared" si="42"/>
        <v>-8115.0466019179812</v>
      </c>
      <c r="O51" s="1681">
        <f t="shared" si="31"/>
        <v>-64920.372815343857</v>
      </c>
      <c r="P51" s="1980">
        <f t="shared" si="32"/>
        <v>3181098.2679518485</v>
      </c>
      <c r="Q51" s="1356">
        <f>'[2]Adjusted Amounts'!I202</f>
        <v>-3892.7998885716588</v>
      </c>
      <c r="R51" s="1356">
        <v>0</v>
      </c>
      <c r="S51" s="1355">
        <f t="shared" si="43"/>
        <v>3177205.4680632767</v>
      </c>
      <c r="T51" s="1356">
        <f t="shared" si="44"/>
        <v>4668</v>
      </c>
      <c r="U51" s="1355">
        <f t="shared" si="33"/>
        <v>2828808</v>
      </c>
      <c r="V51" s="2024">
        <f>+'[3]October midyear adj'!E180</f>
        <v>159</v>
      </c>
      <c r="W51" s="1681">
        <f t="shared" si="34"/>
        <v>742212</v>
      </c>
      <c r="X51" s="2024">
        <f>'[3]February midyear adj '!E180</f>
        <v>13</v>
      </c>
      <c r="Y51" s="1681">
        <f t="shared" si="45"/>
        <v>30342</v>
      </c>
      <c r="Z51" s="1985">
        <f t="shared" si="35"/>
        <v>772554</v>
      </c>
      <c r="AA51" s="1355">
        <f t="shared" si="36"/>
        <v>3601362</v>
      </c>
      <c r="AB51" s="1356">
        <f t="shared" si="46"/>
        <v>-63023.835000000006</v>
      </c>
      <c r="AC51" s="1356">
        <f t="shared" si="47"/>
        <v>-9003.4050000000007</v>
      </c>
      <c r="AD51" s="1356">
        <f t="shared" si="48"/>
        <v>-72027.240000000005</v>
      </c>
      <c r="AE51" s="1980">
        <f t="shared" si="37"/>
        <v>3529334.76</v>
      </c>
      <c r="AF51" s="1356">
        <f>'[15]Adjusted Amounts'!Q202</f>
        <v>-4189</v>
      </c>
      <c r="AG51" s="1356">
        <v>0</v>
      </c>
      <c r="AH51" s="1355">
        <f t="shared" si="49"/>
        <v>3525145.76</v>
      </c>
      <c r="AI51" s="1681">
        <f>'[16]Table 5B1_RSD_Orleans'!Y49+'[17]Table 5B1_RSD_Orleans'!AK49+'[18]Table 5B1_RSD_Orleans'!AK49*3+'[19]Table 5B1_RSD_Orleans'!AK49+'[20]Table 5B1_RSD_Orleans'!AK49+'[21]Table 5B1_RSD_Orleans'!AK49-2</f>
        <v>1846943.8272121211</v>
      </c>
      <c r="AJ51" s="1681">
        <f t="shared" si="38"/>
        <v>1678201.9327878787</v>
      </c>
      <c r="AK51" s="1355">
        <f t="shared" si="39"/>
        <v>419550</v>
      </c>
    </row>
    <row r="52" spans="1:39" ht="15">
      <c r="A52" s="1365">
        <v>395003</v>
      </c>
      <c r="B52" s="1366" t="str">
        <f>IFERROR(VLOOKUP(A52,'[22]Table 4 Level 4'!$B$137:$C$194,2,FALSE),"na")</f>
        <v>William J. Fischer (ACSA )</v>
      </c>
      <c r="C52" s="1339">
        <f>'[23]RSD-NO by Site'!D46</f>
        <v>634</v>
      </c>
      <c r="D52" s="1340">
        <f t="shared" si="26"/>
        <v>3520.4894337711748</v>
      </c>
      <c r="E52" s="1340">
        <f t="shared" si="27"/>
        <v>2231990</v>
      </c>
      <c r="F52" s="1340">
        <v>761.3587570202327</v>
      </c>
      <c r="G52" s="1340">
        <f t="shared" si="28"/>
        <v>482701.45195082756</v>
      </c>
      <c r="H52" s="1341">
        <f t="shared" si="40"/>
        <v>2714691.4519508276</v>
      </c>
      <c r="I52" s="1679">
        <f>+'[3]October midyear adj'!K181</f>
        <v>-94200.660197410965</v>
      </c>
      <c r="J52" s="1679">
        <f>'[3]February midyear adj '!K181</f>
        <v>8563.6963815828149</v>
      </c>
      <c r="K52" s="2009">
        <f t="shared" si="29"/>
        <v>-85636.963815828145</v>
      </c>
      <c r="L52" s="1341">
        <f t="shared" si="30"/>
        <v>2629054.4881349993</v>
      </c>
      <c r="M52" s="1679">
        <f t="shared" si="41"/>
        <v>-46008.453542362491</v>
      </c>
      <c r="N52" s="1679">
        <f t="shared" si="42"/>
        <v>-6572.6362203374983</v>
      </c>
      <c r="O52" s="1679">
        <f t="shared" si="31"/>
        <v>-52581.089762699987</v>
      </c>
      <c r="P52" s="1978">
        <f t="shared" si="32"/>
        <v>2576473.3983722995</v>
      </c>
      <c r="Q52" s="1342">
        <f>'[2]Adjusted Amounts'!I203</f>
        <v>-38409.203719952857</v>
      </c>
      <c r="R52" s="1342">
        <v>0</v>
      </c>
      <c r="S52" s="1341">
        <f t="shared" si="43"/>
        <v>2538064.1946523464</v>
      </c>
      <c r="T52" s="1342">
        <f t="shared" si="44"/>
        <v>4668</v>
      </c>
      <c r="U52" s="1341">
        <f t="shared" si="33"/>
        <v>2959512</v>
      </c>
      <c r="V52" s="2022">
        <f>+'[3]October midyear adj'!E181</f>
        <v>-22</v>
      </c>
      <c r="W52" s="1679">
        <f t="shared" si="34"/>
        <v>-102696</v>
      </c>
      <c r="X52" s="2022">
        <f>'[3]February midyear adj '!E181</f>
        <v>4</v>
      </c>
      <c r="Y52" s="1679">
        <f t="shared" si="45"/>
        <v>9336</v>
      </c>
      <c r="Z52" s="1983">
        <f t="shared" si="35"/>
        <v>-93360</v>
      </c>
      <c r="AA52" s="1341">
        <f t="shared" si="36"/>
        <v>2866152</v>
      </c>
      <c r="AB52" s="1342">
        <f t="shared" si="46"/>
        <v>-50157.66</v>
      </c>
      <c r="AC52" s="1342">
        <f t="shared" si="47"/>
        <v>-7165.38</v>
      </c>
      <c r="AD52" s="1342">
        <f t="shared" si="48"/>
        <v>-57323.040000000001</v>
      </c>
      <c r="AE52" s="1978">
        <f t="shared" si="37"/>
        <v>2808828.96</v>
      </c>
      <c r="AF52" s="1342">
        <f>'[15]Adjusted Amounts'!Q203</f>
        <v>-37743</v>
      </c>
      <c r="AG52" s="1342">
        <v>0</v>
      </c>
      <c r="AH52" s="1341">
        <f t="shared" si="49"/>
        <v>2771085.96</v>
      </c>
      <c r="AI52" s="1679">
        <f>'[16]Table 5B1_RSD_Orleans'!Y50+'[17]Table 5B1_RSD_Orleans'!AK50+'[18]Table 5B1_RSD_Orleans'!AK50*3+'[19]Table 5B1_RSD_Orleans'!AK50+'[20]Table 5B1_RSD_Orleans'!AK50+'[21]Table 5B1_RSD_Orleans'!AK50-3</f>
        <v>1910040.1279393942</v>
      </c>
      <c r="AJ52" s="1679">
        <f t="shared" si="38"/>
        <v>861045.83206060575</v>
      </c>
      <c r="AK52" s="1341">
        <f t="shared" si="39"/>
        <v>215261</v>
      </c>
    </row>
    <row r="53" spans="1:39" ht="15">
      <c r="A53" s="1349">
        <v>395004</v>
      </c>
      <c r="B53" s="1350" t="str">
        <f>IFERROR(VLOOKUP(A53,'[22]Table 4 Level 4'!$B$137:$C$194,2,FALSE),"na")</f>
        <v>McDonogh #32 Elem (ACSA)</v>
      </c>
      <c r="C53" s="1345">
        <f>'[23]RSD-NO by Site'!D47</f>
        <v>475</v>
      </c>
      <c r="D53" s="1346">
        <f t="shared" si="26"/>
        <v>3520.4894337711748</v>
      </c>
      <c r="E53" s="1346">
        <f t="shared" si="27"/>
        <v>1672232</v>
      </c>
      <c r="F53" s="1346">
        <v>1003.4698393033485</v>
      </c>
      <c r="G53" s="1346">
        <f t="shared" si="28"/>
        <v>476648.17366909055</v>
      </c>
      <c r="H53" s="1347">
        <f t="shared" si="40"/>
        <v>2148880.1736690905</v>
      </c>
      <c r="I53" s="1680">
        <f>+'[3]October midyear adj'!K182</f>
        <v>312153.18984214211</v>
      </c>
      <c r="J53" s="1680">
        <f>'[3]February midyear adj '!K182</f>
        <v>45239.592730745237</v>
      </c>
      <c r="K53" s="2010">
        <f t="shared" si="29"/>
        <v>357392.78257288737</v>
      </c>
      <c r="L53" s="1347">
        <f t="shared" si="30"/>
        <v>2506272.9562419779</v>
      </c>
      <c r="M53" s="1680">
        <f t="shared" si="41"/>
        <v>-43859.77673423462</v>
      </c>
      <c r="N53" s="1680">
        <f t="shared" si="42"/>
        <v>-6265.6823906049449</v>
      </c>
      <c r="O53" s="1680">
        <f t="shared" si="31"/>
        <v>-50125.459124839566</v>
      </c>
      <c r="P53" s="1979">
        <f t="shared" si="32"/>
        <v>2456147.4971171385</v>
      </c>
      <c r="Q53" s="1348">
        <f>'[2]Adjusted Amounts'!I204</f>
        <v>-24019.310514481713</v>
      </c>
      <c r="R53" s="1348">
        <v>0</v>
      </c>
      <c r="S53" s="1347">
        <f t="shared" si="43"/>
        <v>2432128.1866026567</v>
      </c>
      <c r="T53" s="1348">
        <f t="shared" si="44"/>
        <v>4668</v>
      </c>
      <c r="U53" s="1347">
        <f t="shared" si="33"/>
        <v>2217300</v>
      </c>
      <c r="V53" s="2023">
        <f>+'[3]October midyear adj'!E182</f>
        <v>69</v>
      </c>
      <c r="W53" s="1680">
        <f t="shared" si="34"/>
        <v>322092</v>
      </c>
      <c r="X53" s="2023">
        <f>'[3]February midyear adj '!E182</f>
        <v>20</v>
      </c>
      <c r="Y53" s="1680">
        <f t="shared" si="45"/>
        <v>46680</v>
      </c>
      <c r="Z53" s="1984">
        <f t="shared" si="35"/>
        <v>368772</v>
      </c>
      <c r="AA53" s="1347">
        <f t="shared" si="36"/>
        <v>2586072</v>
      </c>
      <c r="AB53" s="1348">
        <f t="shared" si="46"/>
        <v>-45256.26</v>
      </c>
      <c r="AC53" s="1348">
        <f t="shared" si="47"/>
        <v>-6465.18</v>
      </c>
      <c r="AD53" s="1348">
        <f t="shared" si="48"/>
        <v>-51721.440000000002</v>
      </c>
      <c r="AE53" s="1979">
        <f t="shared" si="37"/>
        <v>2534350.56</v>
      </c>
      <c r="AF53" s="1348">
        <f>'[15]Adjusted Amounts'!Q204</f>
        <v>-20966</v>
      </c>
      <c r="AG53" s="1348">
        <v>0</v>
      </c>
      <c r="AH53" s="1347">
        <f t="shared" si="49"/>
        <v>2513384.56</v>
      </c>
      <c r="AI53" s="1680">
        <f>'[16]Table 5B1_RSD_Orleans'!Y51+'[17]Table 5B1_RSD_Orleans'!AK51+'[18]Table 5B1_RSD_Orleans'!AK51*3+'[19]Table 5B1_RSD_Orleans'!AK51+'[20]Table 5B1_RSD_Orleans'!AK51+'[21]Table 5B1_RSD_Orleans'!AK51+3</f>
        <v>1435902.9545454546</v>
      </c>
      <c r="AJ53" s="1680">
        <f t="shared" si="38"/>
        <v>1077481.6054545455</v>
      </c>
      <c r="AK53" s="1347">
        <f t="shared" si="39"/>
        <v>269370</v>
      </c>
    </row>
    <row r="54" spans="1:39" ht="30">
      <c r="A54" s="1349">
        <v>395005</v>
      </c>
      <c r="B54" s="1350" t="str">
        <f>IFERROR(VLOOKUP(A54,'[22]Table 4 Level 4'!$B$137:$C$194,2,FALSE),"na")</f>
        <v>LB Landry-OP Walker College &amp; Career Prep (ACSA)</v>
      </c>
      <c r="C54" s="1345">
        <f>'[23]RSD-NO by Site'!D48</f>
        <v>879</v>
      </c>
      <c r="D54" s="1346">
        <f t="shared" si="26"/>
        <v>3520.4894337711748</v>
      </c>
      <c r="E54" s="1346">
        <f t="shared" si="27"/>
        <v>3094510</v>
      </c>
      <c r="F54" s="1346">
        <v>592.05529010815155</v>
      </c>
      <c r="G54" s="1346">
        <f t="shared" si="28"/>
        <v>520416.60000506521</v>
      </c>
      <c r="H54" s="1347">
        <f t="shared" si="40"/>
        <v>3614926.6000050651</v>
      </c>
      <c r="I54" s="1680">
        <f>+'[3]October midyear adj'!K183</f>
        <v>1209088.148820522</v>
      </c>
      <c r="J54" s="1680">
        <f>'[3]February midyear adj '!K183</f>
        <v>-6168.8170858189897</v>
      </c>
      <c r="K54" s="2010">
        <f t="shared" si="29"/>
        <v>1202919.3317347029</v>
      </c>
      <c r="L54" s="1347">
        <f t="shared" si="30"/>
        <v>4817845.931739768</v>
      </c>
      <c r="M54" s="1680">
        <f t="shared" si="41"/>
        <v>-84312.303805445947</v>
      </c>
      <c r="N54" s="1680">
        <f t="shared" si="42"/>
        <v>-12044.614829349421</v>
      </c>
      <c r="O54" s="1680">
        <f t="shared" si="31"/>
        <v>-96356.918634795366</v>
      </c>
      <c r="P54" s="1979">
        <f t="shared" si="32"/>
        <v>4721489.0131049724</v>
      </c>
      <c r="Q54" s="1348">
        <f>'[2]Adjusted Amounts'!I205</f>
        <v>-103721.21890892257</v>
      </c>
      <c r="R54" s="1348">
        <v>0</v>
      </c>
      <c r="S54" s="1347">
        <f t="shared" si="43"/>
        <v>4617767.7941960497</v>
      </c>
      <c r="T54" s="1348">
        <f t="shared" si="44"/>
        <v>4668</v>
      </c>
      <c r="U54" s="1347">
        <f t="shared" si="33"/>
        <v>4103172</v>
      </c>
      <c r="V54" s="2023">
        <f>+'[3]October midyear adj'!E183</f>
        <v>294</v>
      </c>
      <c r="W54" s="1680">
        <f t="shared" si="34"/>
        <v>1372392</v>
      </c>
      <c r="X54" s="2023">
        <f>'[3]February midyear adj '!E183</f>
        <v>-3</v>
      </c>
      <c r="Y54" s="1680">
        <f t="shared" si="45"/>
        <v>-7002</v>
      </c>
      <c r="Z54" s="1984">
        <f t="shared" si="35"/>
        <v>1365390</v>
      </c>
      <c r="AA54" s="1347">
        <f t="shared" si="36"/>
        <v>5468562</v>
      </c>
      <c r="AB54" s="1348">
        <f t="shared" si="46"/>
        <v>-95699.835000000006</v>
      </c>
      <c r="AC54" s="1348">
        <f t="shared" si="47"/>
        <v>-13671.405000000001</v>
      </c>
      <c r="AD54" s="1348">
        <f t="shared" si="48"/>
        <v>-109371.24</v>
      </c>
      <c r="AE54" s="1979">
        <f t="shared" si="37"/>
        <v>5359190.76</v>
      </c>
      <c r="AF54" s="1348">
        <f>'[15]Adjusted Amounts'!Q205</f>
        <v>-94427.5</v>
      </c>
      <c r="AG54" s="1348">
        <v>0</v>
      </c>
      <c r="AH54" s="1347">
        <f t="shared" si="49"/>
        <v>5264763.26</v>
      </c>
      <c r="AI54" s="1680">
        <f>'[16]Table 5B1_RSD_Orleans'!Y52+'[17]Table 5B1_RSD_Orleans'!AK52+'[18]Table 5B1_RSD_Orleans'!AK52*3+'[19]Table 5B1_RSD_Orleans'!AK52+'[20]Table 5B1_RSD_Orleans'!AK52+'[21]Table 5B1_RSD_Orleans'!AK52-2</f>
        <v>2620081.9274848485</v>
      </c>
      <c r="AJ54" s="1680">
        <f t="shared" si="38"/>
        <v>2644681.3325151512</v>
      </c>
      <c r="AK54" s="1347">
        <f t="shared" si="39"/>
        <v>661170</v>
      </c>
    </row>
    <row r="55" spans="1:39" ht="15">
      <c r="A55" s="1349">
        <v>395007</v>
      </c>
      <c r="B55" s="1350" t="str">
        <f>IFERROR(VLOOKUP(A55,'[22]Table 4 Level 4'!$B$137:$C$194,2,FALSE),"na")</f>
        <v>Algiers Trechnology Acdmy (ACSA)</v>
      </c>
      <c r="C55" s="1345">
        <f>'[23]RSD-NO by Site'!D49</f>
        <v>261</v>
      </c>
      <c r="D55" s="1346">
        <f t="shared" si="26"/>
        <v>3520.4894337711748</v>
      </c>
      <c r="E55" s="1346">
        <f t="shared" si="27"/>
        <v>918848</v>
      </c>
      <c r="F55" s="1346">
        <v>907.69666061705993</v>
      </c>
      <c r="G55" s="1346">
        <f t="shared" si="28"/>
        <v>236908.82842105263</v>
      </c>
      <c r="H55" s="1347">
        <f t="shared" si="40"/>
        <v>1155756.8284210525</v>
      </c>
      <c r="I55" s="1680">
        <f>+'[3]October midyear adj'!K184</f>
        <v>-168271.07158675292</v>
      </c>
      <c r="J55" s="1680">
        <f>'[3]February midyear adj '!K184</f>
        <v>24355.023519135291</v>
      </c>
      <c r="K55" s="2010">
        <f t="shared" si="29"/>
        <v>-143916.04806761764</v>
      </c>
      <c r="L55" s="1347">
        <f t="shared" si="30"/>
        <v>1011840.7803534348</v>
      </c>
      <c r="M55" s="1680">
        <f t="shared" si="41"/>
        <v>-17707.213656185111</v>
      </c>
      <c r="N55" s="1680">
        <f t="shared" si="42"/>
        <v>-2529.6019508835871</v>
      </c>
      <c r="O55" s="1680">
        <f t="shared" si="31"/>
        <v>-20236.815607068696</v>
      </c>
      <c r="P55" s="1979">
        <f t="shared" si="32"/>
        <v>991603.96474636614</v>
      </c>
      <c r="Q55" s="1348">
        <f>'[2]Adjusted Amounts'!I206</f>
        <v>-17927.028628168486</v>
      </c>
      <c r="R55" s="1348">
        <v>0</v>
      </c>
      <c r="S55" s="1347">
        <f t="shared" si="43"/>
        <v>973676.93611819763</v>
      </c>
      <c r="T55" s="1348">
        <f t="shared" si="44"/>
        <v>4668</v>
      </c>
      <c r="U55" s="1347">
        <f t="shared" si="33"/>
        <v>1218348</v>
      </c>
      <c r="V55" s="2023">
        <f>+'[3]October midyear adj'!E184</f>
        <v>-38</v>
      </c>
      <c r="W55" s="1680">
        <f t="shared" si="34"/>
        <v>-177384</v>
      </c>
      <c r="X55" s="2023">
        <f>'[3]February midyear adj '!E184</f>
        <v>11</v>
      </c>
      <c r="Y55" s="1680">
        <f t="shared" si="45"/>
        <v>25674</v>
      </c>
      <c r="Z55" s="1984">
        <f t="shared" si="35"/>
        <v>-151710</v>
      </c>
      <c r="AA55" s="1347">
        <f t="shared" si="36"/>
        <v>1066638</v>
      </c>
      <c r="AB55" s="1348">
        <f t="shared" si="46"/>
        <v>-18666.165000000001</v>
      </c>
      <c r="AC55" s="1348">
        <f t="shared" si="47"/>
        <v>-2666.5950000000003</v>
      </c>
      <c r="AD55" s="1348">
        <f t="shared" si="48"/>
        <v>-21332.760000000002</v>
      </c>
      <c r="AE55" s="1979">
        <f t="shared" si="37"/>
        <v>1045305.24</v>
      </c>
      <c r="AF55" s="1348">
        <f>'[15]Adjusted Amounts'!Q206</f>
        <v>21</v>
      </c>
      <c r="AG55" s="1348">
        <v>0</v>
      </c>
      <c r="AH55" s="1347">
        <f t="shared" si="49"/>
        <v>1045326.24</v>
      </c>
      <c r="AI55" s="1680">
        <f>'[16]Table 5B1_RSD_Orleans'!Y53+'[17]Table 5B1_RSD_Orleans'!AK53+'[18]Table 5B1_RSD_Orleans'!AK53*3+'[19]Table 5B1_RSD_Orleans'!AK53+'[20]Table 5B1_RSD_Orleans'!AK53+'[21]Table 5B1_RSD_Orleans'!AK53-1</f>
        <v>722117.87509090907</v>
      </c>
      <c r="AJ55" s="1680">
        <f t="shared" si="38"/>
        <v>323208.36490909092</v>
      </c>
      <c r="AK55" s="1347">
        <f t="shared" si="39"/>
        <v>80802</v>
      </c>
    </row>
    <row r="56" spans="1:39" ht="30">
      <c r="A56" s="1362">
        <v>397001</v>
      </c>
      <c r="B56" s="1363" t="str">
        <f>IFERROR(VLOOKUP(A56,'[22]Table 4 Level 4'!$B$137:$C$194,2,FALSE),"na")</f>
        <v>Sophie B. Wright Learning Acdmy (Inst. of Academic Excel.)</v>
      </c>
      <c r="C56" s="1364">
        <f>'[23]RSD-NO by Site'!D50</f>
        <v>483</v>
      </c>
      <c r="D56" s="1354">
        <f t="shared" si="26"/>
        <v>3520.4894337711748</v>
      </c>
      <c r="E56" s="1354">
        <f t="shared" si="27"/>
        <v>1700396</v>
      </c>
      <c r="F56" s="1354">
        <v>741.72363820787723</v>
      </c>
      <c r="G56" s="1354">
        <f t="shared" si="28"/>
        <v>358252.51725440472</v>
      </c>
      <c r="H56" s="1355">
        <f t="shared" si="40"/>
        <v>2058648.5172544047</v>
      </c>
      <c r="I56" s="1681">
        <f>+'[3]October midyear adj'!K185</f>
        <v>-55408.76993572768</v>
      </c>
      <c r="J56" s="1681">
        <f>'[3]February midyear adj '!K185</f>
        <v>-49015.450327759099</v>
      </c>
      <c r="K56" s="2011">
        <f t="shared" si="29"/>
        <v>-104424.22026348679</v>
      </c>
      <c r="L56" s="1355">
        <f t="shared" si="30"/>
        <v>1954224.296990918</v>
      </c>
      <c r="M56" s="1681">
        <f t="shared" si="41"/>
        <v>-34198.925197341065</v>
      </c>
      <c r="N56" s="1681">
        <f t="shared" si="42"/>
        <v>-4885.5607424772952</v>
      </c>
      <c r="O56" s="1681">
        <f t="shared" si="31"/>
        <v>-39084.485939818362</v>
      </c>
      <c r="P56" s="1980">
        <f t="shared" si="32"/>
        <v>1915139.8110510996</v>
      </c>
      <c r="Q56" s="1356">
        <f>'[2]Adjusted Amounts'!I207</f>
        <v>0</v>
      </c>
      <c r="R56" s="1356">
        <v>0</v>
      </c>
      <c r="S56" s="1355">
        <f t="shared" si="43"/>
        <v>1915139.8110510996</v>
      </c>
      <c r="T56" s="1356">
        <f t="shared" si="44"/>
        <v>4668</v>
      </c>
      <c r="U56" s="1355">
        <f t="shared" si="33"/>
        <v>2254644</v>
      </c>
      <c r="V56" s="2024">
        <f>+'[3]October midyear adj'!E185</f>
        <v>-13</v>
      </c>
      <c r="W56" s="1681">
        <f t="shared" si="34"/>
        <v>-60684</v>
      </c>
      <c r="X56" s="2024">
        <f>'[3]February midyear adj '!E185</f>
        <v>-23</v>
      </c>
      <c r="Y56" s="1681">
        <f t="shared" si="45"/>
        <v>-53682</v>
      </c>
      <c r="Z56" s="1985">
        <f t="shared" si="35"/>
        <v>-114366</v>
      </c>
      <c r="AA56" s="1355">
        <f t="shared" si="36"/>
        <v>2140278</v>
      </c>
      <c r="AB56" s="1356">
        <f t="shared" si="46"/>
        <v>-37454.865000000005</v>
      </c>
      <c r="AC56" s="1356">
        <f t="shared" si="47"/>
        <v>-5350.6949999999997</v>
      </c>
      <c r="AD56" s="1356">
        <f t="shared" si="48"/>
        <v>-42805.560000000005</v>
      </c>
      <c r="AE56" s="1980">
        <f t="shared" si="37"/>
        <v>2097472.44</v>
      </c>
      <c r="AF56" s="1356">
        <f>'[15]Adjusted Amounts'!Q207</f>
        <v>0</v>
      </c>
      <c r="AG56" s="1356">
        <v>0</v>
      </c>
      <c r="AH56" s="1355">
        <f t="shared" si="49"/>
        <v>2097472.44</v>
      </c>
      <c r="AI56" s="1681">
        <f>'[16]Table 5B1_RSD_Orleans'!Y54+'[17]Table 5B1_RSD_Orleans'!AK54+'[18]Table 5B1_RSD_Orleans'!AK54*3+'[19]Table 5B1_RSD_Orleans'!AK54+'[20]Table 5B1_RSD_Orleans'!AK54+'[21]Table 5B1_RSD_Orleans'!AK54</f>
        <v>1474296.3716363637</v>
      </c>
      <c r="AJ56" s="1681">
        <f t="shared" si="38"/>
        <v>623176.06836363627</v>
      </c>
      <c r="AK56" s="1355">
        <f t="shared" si="39"/>
        <v>155794</v>
      </c>
    </row>
    <row r="57" spans="1:39" ht="30">
      <c r="A57" s="1365">
        <v>398001</v>
      </c>
      <c r="B57" s="1366" t="str">
        <f>IFERROR(VLOOKUP(A57,'[22]Table 4 Level 4'!$B$137:$C$194,2,FALSE),"na")</f>
        <v>KIPP Believe College Prep (KIPP N.O.)</v>
      </c>
      <c r="C57" s="1339">
        <f>'[23]RSD-NO by Site'!D51</f>
        <v>603</v>
      </c>
      <c r="D57" s="1340">
        <f t="shared" si="26"/>
        <v>3520.4894337711748</v>
      </c>
      <c r="E57" s="1340">
        <f t="shared" si="27"/>
        <v>2122855</v>
      </c>
      <c r="F57" s="1340">
        <v>643.94778836855926</v>
      </c>
      <c r="G57" s="1340">
        <f t="shared" si="28"/>
        <v>388300.51638624124</v>
      </c>
      <c r="H57" s="1341">
        <f t="shared" si="40"/>
        <v>2511155.5163862412</v>
      </c>
      <c r="I57" s="1679">
        <f>+'[3]October midyear adj'!K186</f>
        <v>495568.02943462838</v>
      </c>
      <c r="J57" s="1679">
        <f>'[3]February midyear adj '!K186</f>
        <v>-16657.748888558937</v>
      </c>
      <c r="K57" s="2009">
        <f t="shared" si="29"/>
        <v>478910.28054606944</v>
      </c>
      <c r="L57" s="1341">
        <f t="shared" si="30"/>
        <v>2990065.7969323108</v>
      </c>
      <c r="M57" s="1679">
        <f t="shared" si="41"/>
        <v>-52326.151446315445</v>
      </c>
      <c r="N57" s="1679">
        <f t="shared" si="42"/>
        <v>-7475.1644923307767</v>
      </c>
      <c r="O57" s="1679">
        <f t="shared" si="31"/>
        <v>-59801.315938646221</v>
      </c>
      <c r="P57" s="1978">
        <f t="shared" si="32"/>
        <v>2930264.4809936644</v>
      </c>
      <c r="Q57" s="1342">
        <f>'[2]Adjusted Amounts'!I208</f>
        <v>-8439.5432957393314</v>
      </c>
      <c r="R57" s="1342">
        <v>0</v>
      </c>
      <c r="S57" s="1341">
        <f t="shared" si="43"/>
        <v>2921824.9376979251</v>
      </c>
      <c r="T57" s="1342">
        <f t="shared" si="44"/>
        <v>4668</v>
      </c>
      <c r="U57" s="1341">
        <f t="shared" si="33"/>
        <v>2814804</v>
      </c>
      <c r="V57" s="2022">
        <f>+'[3]October midyear adj'!E186</f>
        <v>119</v>
      </c>
      <c r="W57" s="1679">
        <f t="shared" si="34"/>
        <v>555492</v>
      </c>
      <c r="X57" s="2022">
        <f>'[3]February midyear adj '!E186</f>
        <v>-8</v>
      </c>
      <c r="Y57" s="1679">
        <f t="shared" si="45"/>
        <v>-18672</v>
      </c>
      <c r="Z57" s="1983">
        <f t="shared" si="35"/>
        <v>536820</v>
      </c>
      <c r="AA57" s="1341">
        <f t="shared" si="36"/>
        <v>3351624</v>
      </c>
      <c r="AB57" s="1342">
        <f t="shared" si="46"/>
        <v>-58653.420000000006</v>
      </c>
      <c r="AC57" s="1342">
        <f t="shared" si="47"/>
        <v>-8379.06</v>
      </c>
      <c r="AD57" s="1342">
        <f t="shared" si="48"/>
        <v>-67032.48000000001</v>
      </c>
      <c r="AE57" s="1978">
        <f t="shared" si="37"/>
        <v>3284591.52</v>
      </c>
      <c r="AF57" s="1342">
        <f>'[15]Adjusted Amounts'!Q208</f>
        <v>0</v>
      </c>
      <c r="AG57" s="1342">
        <v>0</v>
      </c>
      <c r="AH57" s="1341">
        <f t="shared" si="49"/>
        <v>3284591.52</v>
      </c>
      <c r="AI57" s="1679">
        <f>'[16]Table 5B1_RSD_Orleans'!Y55+'[17]Table 5B1_RSD_Orleans'!AK55+'[18]Table 5B1_RSD_Orleans'!AK55*3+'[19]Table 5B1_RSD_Orleans'!AK55+'[20]Table 5B1_RSD_Orleans'!AK55+'[21]Table 5B1_RSD_Orleans'!AK55+2</f>
        <v>2141519.1898181816</v>
      </c>
      <c r="AJ57" s="1679">
        <f t="shared" si="38"/>
        <v>1143072.3301818185</v>
      </c>
      <c r="AK57" s="1341">
        <f t="shared" si="39"/>
        <v>285768</v>
      </c>
      <c r="AL57" s="1072"/>
      <c r="AM57" s="1072"/>
    </row>
    <row r="58" spans="1:39" ht="15">
      <c r="A58" s="1349">
        <v>398002</v>
      </c>
      <c r="B58" s="1350" t="str">
        <f>IFERROR(VLOOKUP(A58,'[22]Table 4 Level 4'!$B$137:$C$194,2,FALSE),"na")</f>
        <v>KIPP Believe Primary (KIPP N.O.)</v>
      </c>
      <c r="C58" s="1345">
        <f>'[23]RSD-NO by Site'!D52</f>
        <v>763</v>
      </c>
      <c r="D58" s="1346">
        <f t="shared" si="26"/>
        <v>3520.4894337711748</v>
      </c>
      <c r="E58" s="1346">
        <f t="shared" si="27"/>
        <v>2686133</v>
      </c>
      <c r="F58" s="1346">
        <v>724.79250196607131</v>
      </c>
      <c r="G58" s="1346">
        <f t="shared" si="28"/>
        <v>553016.67900011246</v>
      </c>
      <c r="H58" s="1347">
        <f t="shared" si="40"/>
        <v>3239149.6790001122</v>
      </c>
      <c r="I58" s="1680">
        <f>+'[3]October midyear adj'!K187</f>
        <v>441509.32131667365</v>
      </c>
      <c r="J58" s="1680">
        <f>'[3]February midyear adj '!K187</f>
        <v>23349.050646554853</v>
      </c>
      <c r="K58" s="2010">
        <f t="shared" si="29"/>
        <v>464858.37196322851</v>
      </c>
      <c r="L58" s="1347">
        <f t="shared" si="30"/>
        <v>3704008.0509633408</v>
      </c>
      <c r="M58" s="1680">
        <f t="shared" si="41"/>
        <v>-64820.140891858471</v>
      </c>
      <c r="N58" s="1680">
        <f t="shared" si="42"/>
        <v>-9260.020127408352</v>
      </c>
      <c r="O58" s="1680">
        <f t="shared" si="31"/>
        <v>-74080.161019266816</v>
      </c>
      <c r="P58" s="1979">
        <f t="shared" si="32"/>
        <v>3629927.8899440737</v>
      </c>
      <c r="Q58" s="1348">
        <f>'[2]Adjusted Amounts'!I209</f>
        <v>5965.2293969065395</v>
      </c>
      <c r="R58" s="1348">
        <v>0</v>
      </c>
      <c r="S58" s="1347">
        <f t="shared" si="43"/>
        <v>3635893.1193409804</v>
      </c>
      <c r="T58" s="1348">
        <f t="shared" si="44"/>
        <v>4668</v>
      </c>
      <c r="U58" s="1347">
        <f t="shared" si="33"/>
        <v>3561684</v>
      </c>
      <c r="V58" s="2023">
        <f>+'[3]October midyear adj'!E187</f>
        <v>104</v>
      </c>
      <c r="W58" s="1680">
        <f t="shared" si="34"/>
        <v>485472</v>
      </c>
      <c r="X58" s="2023">
        <f>'[3]February midyear adj '!E187</f>
        <v>11</v>
      </c>
      <c r="Y58" s="1680">
        <f t="shared" si="45"/>
        <v>25674</v>
      </c>
      <c r="Z58" s="1984">
        <f t="shared" si="35"/>
        <v>511146</v>
      </c>
      <c r="AA58" s="1347">
        <f t="shared" si="36"/>
        <v>4072830</v>
      </c>
      <c r="AB58" s="1348">
        <f t="shared" si="46"/>
        <v>-71274.525000000009</v>
      </c>
      <c r="AC58" s="1348">
        <f t="shared" si="47"/>
        <v>-10182.075000000001</v>
      </c>
      <c r="AD58" s="1348">
        <f t="shared" si="48"/>
        <v>-81456.600000000006</v>
      </c>
      <c r="AE58" s="1979">
        <f t="shared" si="37"/>
        <v>3991373.4</v>
      </c>
      <c r="AF58" s="1348">
        <f>'[15]Adjusted Amounts'!Q209</f>
        <v>6304.5</v>
      </c>
      <c r="AG58" s="1348">
        <v>0</v>
      </c>
      <c r="AH58" s="1347">
        <f t="shared" si="49"/>
        <v>3997677.9</v>
      </c>
      <c r="AI58" s="1680">
        <f>'[16]Table 5B1_RSD_Orleans'!Y56+'[17]Table 5B1_RSD_Orleans'!AK56+'[18]Table 5B1_RSD_Orleans'!AK56*3+'[19]Table 5B1_RSD_Orleans'!AK56+'[20]Table 5B1_RSD_Orleans'!AK56+'[21]Table 5B1_RSD_Orleans'!AK56+1</f>
        <v>2546941.9929393935</v>
      </c>
      <c r="AJ58" s="1680">
        <f t="shared" si="38"/>
        <v>1450735.9070606064</v>
      </c>
      <c r="AK58" s="1347">
        <f t="shared" si="39"/>
        <v>362684</v>
      </c>
      <c r="AL58" s="537">
        <f>SUM(AH57:AH58)</f>
        <v>7282269.4199999999</v>
      </c>
      <c r="AM58" s="537">
        <f>SUM(AK57:AK58)</f>
        <v>648452</v>
      </c>
    </row>
    <row r="59" spans="1:39" ht="15">
      <c r="A59" s="1349">
        <v>398003</v>
      </c>
      <c r="B59" s="1350" t="str">
        <f>IFERROR(VLOOKUP(A59,'[22]Table 4 Level 4'!$B$137:$C$194,2,FALSE),"na")</f>
        <v>KIPP Central City Acdmy (KIPP N.O.)</v>
      </c>
      <c r="C59" s="1345">
        <f>'[23]RSD-NO by Site'!D53</f>
        <v>405</v>
      </c>
      <c r="D59" s="1346">
        <f t="shared" si="26"/>
        <v>3520.4894337711748</v>
      </c>
      <c r="E59" s="1346">
        <f t="shared" si="27"/>
        <v>1425798</v>
      </c>
      <c r="F59" s="1346">
        <v>592.5310423197493</v>
      </c>
      <c r="G59" s="1346">
        <f t="shared" si="28"/>
        <v>239975.07213949846</v>
      </c>
      <c r="H59" s="1347">
        <f t="shared" si="40"/>
        <v>1665773.0721394985</v>
      </c>
      <c r="I59" s="1680">
        <f>+'[3]October midyear adj'!K188</f>
        <v>82260.409521818481</v>
      </c>
      <c r="J59" s="1680">
        <f>'[3]February midyear adj '!K188</f>
        <v>10282.55119022731</v>
      </c>
      <c r="K59" s="2010">
        <f t="shared" si="29"/>
        <v>92542.960712045795</v>
      </c>
      <c r="L59" s="1347">
        <f t="shared" si="30"/>
        <v>1758316.0328515444</v>
      </c>
      <c r="M59" s="1680">
        <f t="shared" si="41"/>
        <v>-30770.53057490203</v>
      </c>
      <c r="N59" s="1680">
        <f t="shared" si="42"/>
        <v>-4395.7900821288613</v>
      </c>
      <c r="O59" s="1680">
        <f t="shared" si="31"/>
        <v>-35166.32065703089</v>
      </c>
      <c r="P59" s="1979">
        <f t="shared" si="32"/>
        <v>1723149.7121945135</v>
      </c>
      <c r="Q59" s="1348">
        <f>'[2]Adjusted Amounts'!I210</f>
        <v>-1265.9733586273378</v>
      </c>
      <c r="R59" s="1348">
        <v>0</v>
      </c>
      <c r="S59" s="1347">
        <f t="shared" si="43"/>
        <v>1721883.7388358861</v>
      </c>
      <c r="T59" s="1348">
        <f t="shared" si="44"/>
        <v>4668</v>
      </c>
      <c r="U59" s="1347">
        <f t="shared" si="33"/>
        <v>1890540</v>
      </c>
      <c r="V59" s="2023">
        <f>+'[3]October midyear adj'!E188</f>
        <v>20</v>
      </c>
      <c r="W59" s="1680">
        <f t="shared" si="34"/>
        <v>93360</v>
      </c>
      <c r="X59" s="2023">
        <f>'[3]February midyear adj '!E188</f>
        <v>5</v>
      </c>
      <c r="Y59" s="1680">
        <f t="shared" si="45"/>
        <v>11670</v>
      </c>
      <c r="Z59" s="1984">
        <f t="shared" si="35"/>
        <v>105030</v>
      </c>
      <c r="AA59" s="1347">
        <f t="shared" si="36"/>
        <v>1995570</v>
      </c>
      <c r="AB59" s="1348">
        <f t="shared" si="46"/>
        <v>-34922.475000000006</v>
      </c>
      <c r="AC59" s="1348">
        <f t="shared" si="47"/>
        <v>-4988.9250000000002</v>
      </c>
      <c r="AD59" s="1348">
        <f t="shared" si="48"/>
        <v>-39911.400000000009</v>
      </c>
      <c r="AE59" s="1979">
        <f t="shared" si="37"/>
        <v>1955658.6</v>
      </c>
      <c r="AF59" s="1348">
        <f>'[15]Adjusted Amounts'!Q210</f>
        <v>6304.5</v>
      </c>
      <c r="AG59" s="1348">
        <v>0</v>
      </c>
      <c r="AH59" s="1347">
        <f t="shared" si="49"/>
        <v>1961963.1</v>
      </c>
      <c r="AI59" s="1680">
        <f>'[16]Table 5B1_RSD_Orleans'!Y57+'[17]Table 5B1_RSD_Orleans'!AK57+'[18]Table 5B1_RSD_Orleans'!AK57*3+'[19]Table 5B1_RSD_Orleans'!AK57+'[20]Table 5B1_RSD_Orleans'!AK57+'[21]Table 5B1_RSD_Orleans'!AK57+2</f>
        <v>1240415.9095454547</v>
      </c>
      <c r="AJ59" s="1680">
        <f t="shared" si="38"/>
        <v>721547.19045454543</v>
      </c>
      <c r="AK59" s="1347">
        <f t="shared" si="39"/>
        <v>180387</v>
      </c>
    </row>
    <row r="60" spans="1:39" ht="30">
      <c r="A60" s="1349">
        <v>398004</v>
      </c>
      <c r="B60" s="1350" t="str">
        <f>IFERROR(VLOOKUP(A60,'[22]Table 4 Level 4'!$B$137:$C$194,2,FALSE),"na")</f>
        <v>Kipp Central City Primary (KIPP N.O.)</v>
      </c>
      <c r="C60" s="1345">
        <f>'[24]KIPP by Site &amp; Grade'!$R$7</f>
        <v>513</v>
      </c>
      <c r="D60" s="1346">
        <f t="shared" si="26"/>
        <v>3520.4894337711748</v>
      </c>
      <c r="E60" s="1346">
        <f t="shared" si="27"/>
        <v>1806011</v>
      </c>
      <c r="F60" s="1346">
        <v>741.31578947368428</v>
      </c>
      <c r="G60" s="1346">
        <f t="shared" si="28"/>
        <v>380295.00000000006</v>
      </c>
      <c r="H60" s="1347">
        <f t="shared" si="40"/>
        <v>2186306</v>
      </c>
      <c r="I60" s="1680">
        <f>+'[3]October midyear adj'!K189</f>
        <v>42618.052232448594</v>
      </c>
      <c r="J60" s="1680">
        <f>'[3]February midyear adj '!K189</f>
        <v>2130.9026116224295</v>
      </c>
      <c r="K60" s="2010">
        <f t="shared" si="29"/>
        <v>44748.95484407102</v>
      </c>
      <c r="L60" s="1347">
        <f t="shared" si="30"/>
        <v>2231054.9548440711</v>
      </c>
      <c r="M60" s="1680">
        <f t="shared" si="41"/>
        <v>-39043.461709771247</v>
      </c>
      <c r="N60" s="1680">
        <f t="shared" si="42"/>
        <v>-5577.6373871101778</v>
      </c>
      <c r="O60" s="1680">
        <f t="shared" si="31"/>
        <v>-44621.099096881422</v>
      </c>
      <c r="P60" s="1979">
        <f t="shared" si="32"/>
        <v>2186433.8557471898</v>
      </c>
      <c r="Q60" s="1348">
        <f>'[2]Adjusted Amounts'!I211</f>
        <v>0</v>
      </c>
      <c r="R60" s="1348">
        <v>0</v>
      </c>
      <c r="S60" s="1347">
        <f t="shared" si="43"/>
        <v>2186433.8557471898</v>
      </c>
      <c r="T60" s="1348">
        <f t="shared" si="44"/>
        <v>4668</v>
      </c>
      <c r="U60" s="1347">
        <f t="shared" si="33"/>
        <v>2394684</v>
      </c>
      <c r="V60" s="2023">
        <f>+'[3]October midyear adj'!E189</f>
        <v>10</v>
      </c>
      <c r="W60" s="1680">
        <f t="shared" si="34"/>
        <v>46680</v>
      </c>
      <c r="X60" s="2023">
        <f>'[3]February midyear adj '!E189</f>
        <v>1</v>
      </c>
      <c r="Y60" s="1680">
        <f t="shared" si="45"/>
        <v>2334</v>
      </c>
      <c r="Z60" s="1984">
        <f t="shared" si="35"/>
        <v>49014</v>
      </c>
      <c r="AA60" s="1347">
        <f t="shared" si="36"/>
        <v>2443698</v>
      </c>
      <c r="AB60" s="1348">
        <f t="shared" si="46"/>
        <v>-42764.715000000004</v>
      </c>
      <c r="AC60" s="1348">
        <f t="shared" si="47"/>
        <v>-6109.2449999999999</v>
      </c>
      <c r="AD60" s="1348">
        <f t="shared" si="48"/>
        <v>-48873.960000000006</v>
      </c>
      <c r="AE60" s="1979">
        <f t="shared" si="37"/>
        <v>2394824.04</v>
      </c>
      <c r="AF60" s="1348">
        <f>'[15]Adjusted Amounts'!Q211</f>
        <v>0</v>
      </c>
      <c r="AG60" s="1348">
        <v>0</v>
      </c>
      <c r="AH60" s="1347">
        <f t="shared" si="49"/>
        <v>2394824.04</v>
      </c>
      <c r="AI60" s="1680">
        <f>'[16]Table 5B1_RSD_Orleans'!Y58+'[17]Table 5B1_RSD_Orleans'!AK58+'[18]Table 5B1_RSD_Orleans'!AK58*3+'[19]Table 5B1_RSD_Orleans'!AK58+'[20]Table 5B1_RSD_Orleans'!AK58+'[21]Table 5B1_RSD_Orleans'!AK58+2</f>
        <v>1565870.0879999998</v>
      </c>
      <c r="AJ60" s="1680">
        <f t="shared" si="38"/>
        <v>828953.95200000028</v>
      </c>
      <c r="AK60" s="1347">
        <f t="shared" si="39"/>
        <v>207238</v>
      </c>
    </row>
    <row r="61" spans="1:39" ht="15">
      <c r="A61" s="1362">
        <v>398005</v>
      </c>
      <c r="B61" s="1363" t="str">
        <f>IFERROR(VLOOKUP(A61,'[22]Table 4 Level 4'!$B$137:$C$194,2,FALSE),"na")</f>
        <v>KIPP Renaissance High (KIPP N.O.)</v>
      </c>
      <c r="C61" s="1364">
        <f>'[23]RSD-NO by Site'!D55</f>
        <v>343</v>
      </c>
      <c r="D61" s="1354">
        <f t="shared" si="26"/>
        <v>3520.4894337711748</v>
      </c>
      <c r="E61" s="1354">
        <f t="shared" si="27"/>
        <v>1207528</v>
      </c>
      <c r="F61" s="1354">
        <v>746.0335616438357</v>
      </c>
      <c r="G61" s="1354">
        <f t="shared" si="28"/>
        <v>255889.51164383563</v>
      </c>
      <c r="H61" s="1355">
        <f t="shared" si="40"/>
        <v>1463417.5116438356</v>
      </c>
      <c r="I61" s="1681">
        <f>+'[3]October midyear adj'!K190</f>
        <v>383987.069587351</v>
      </c>
      <c r="J61" s="1681">
        <f>'[3]February midyear adj '!K190</f>
        <v>-31998.922465612581</v>
      </c>
      <c r="K61" s="2011">
        <f t="shared" si="29"/>
        <v>351988.14712173841</v>
      </c>
      <c r="L61" s="1355">
        <f t="shared" si="30"/>
        <v>1815405.658765574</v>
      </c>
      <c r="M61" s="1681">
        <f t="shared" si="41"/>
        <v>-31769.599028397548</v>
      </c>
      <c r="N61" s="1681">
        <f t="shared" si="42"/>
        <v>-4538.5141469139353</v>
      </c>
      <c r="O61" s="1681">
        <f t="shared" si="31"/>
        <v>-36308.113175311482</v>
      </c>
      <c r="P61" s="1980">
        <f t="shared" si="32"/>
        <v>1779097.5455902624</v>
      </c>
      <c r="Q61" s="1356">
        <f>'[2]Adjusted Amounts'!I212</f>
        <v>430.97853243066493</v>
      </c>
      <c r="R61" s="1356">
        <v>0</v>
      </c>
      <c r="S61" s="1355">
        <f t="shared" si="43"/>
        <v>1779528.5241226931</v>
      </c>
      <c r="T61" s="1356">
        <f t="shared" si="44"/>
        <v>4668</v>
      </c>
      <c r="U61" s="1355">
        <f t="shared" si="33"/>
        <v>1601124</v>
      </c>
      <c r="V61" s="2024">
        <f>+'[3]October midyear adj'!E190</f>
        <v>90</v>
      </c>
      <c r="W61" s="1681">
        <f t="shared" si="34"/>
        <v>420120</v>
      </c>
      <c r="X61" s="2024">
        <f>'[3]February midyear adj '!E190</f>
        <v>-15</v>
      </c>
      <c r="Y61" s="1681">
        <f t="shared" si="45"/>
        <v>-35010</v>
      </c>
      <c r="Z61" s="1985">
        <f t="shared" si="35"/>
        <v>385110</v>
      </c>
      <c r="AA61" s="1355">
        <f t="shared" si="36"/>
        <v>1986234</v>
      </c>
      <c r="AB61" s="1356">
        <f t="shared" si="46"/>
        <v>-34759.095000000001</v>
      </c>
      <c r="AC61" s="1356">
        <f t="shared" si="47"/>
        <v>-4965.585</v>
      </c>
      <c r="AD61" s="1356">
        <f t="shared" si="48"/>
        <v>-39724.68</v>
      </c>
      <c r="AE61" s="1980">
        <f t="shared" si="37"/>
        <v>1946509.32</v>
      </c>
      <c r="AF61" s="1356">
        <f>'[15]Adjusted Amounts'!Q212</f>
        <v>10507.5</v>
      </c>
      <c r="AG61" s="1356">
        <v>0</v>
      </c>
      <c r="AH61" s="1355">
        <f t="shared" si="49"/>
        <v>1957016.82</v>
      </c>
      <c r="AI61" s="1681">
        <f>'[16]Table 5B1_RSD_Orleans'!Y59+'[17]Table 5B1_RSD_Orleans'!AK59+'[18]Table 5B1_RSD_Orleans'!AK59*3+'[19]Table 5B1_RSD_Orleans'!AK59+'[20]Table 5B1_RSD_Orleans'!AK59+'[21]Table 5B1_RSD_Orleans'!AK59+2</f>
        <v>1267748.3651212123</v>
      </c>
      <c r="AJ61" s="1681">
        <f t="shared" si="38"/>
        <v>689268.45487878774</v>
      </c>
      <c r="AK61" s="1355">
        <f t="shared" si="39"/>
        <v>172317</v>
      </c>
    </row>
    <row r="62" spans="1:39" ht="30">
      <c r="A62" s="1365">
        <v>398006</v>
      </c>
      <c r="B62" s="1366" t="str">
        <f>IFERROR(VLOOKUP(A62,'[22]Table 4 Level 4'!$B$137:$C$194,2,FALSE),"na")</f>
        <v>Kipp N.O. Leadership Acdmy (KIPP N.O.)</v>
      </c>
      <c r="C62" s="1339">
        <f>'[23]RSD-NO by Site'!D56</f>
        <v>514</v>
      </c>
      <c r="D62" s="1340">
        <f t="shared" si="26"/>
        <v>3520.4894337711748</v>
      </c>
      <c r="E62" s="1340">
        <f>ROUND(C62*D62,0)</f>
        <v>1809532</v>
      </c>
      <c r="F62" s="1340">
        <v>746.0335616438357</v>
      </c>
      <c r="G62" s="1340">
        <f>F62*C62</f>
        <v>383461.25068493153</v>
      </c>
      <c r="H62" s="1341">
        <f>E62+G62</f>
        <v>2192993.2506849314</v>
      </c>
      <c r="I62" s="1679">
        <f>+'[3]October midyear adj'!K191</f>
        <v>1156227.7317574678</v>
      </c>
      <c r="J62" s="1679">
        <f>'[3]February midyear adj '!K191</f>
        <v>-31998.922465612581</v>
      </c>
      <c r="K62" s="2009">
        <f t="shared" si="29"/>
        <v>1124228.8092918552</v>
      </c>
      <c r="L62" s="1341">
        <f t="shared" si="30"/>
        <v>3317222.0599767864</v>
      </c>
      <c r="M62" s="1679">
        <f t="shared" si="41"/>
        <v>-58051.38604959377</v>
      </c>
      <c r="N62" s="1679">
        <f t="shared" si="42"/>
        <v>-8293.0551499419653</v>
      </c>
      <c r="O62" s="1679">
        <f t="shared" si="31"/>
        <v>-66344.441199535737</v>
      </c>
      <c r="P62" s="1978">
        <f t="shared" si="32"/>
        <v>3250877.6187772509</v>
      </c>
      <c r="Q62" s="1342">
        <f>'[2]Adjusted Amounts'!I213</f>
        <v>3998.0606576154573</v>
      </c>
      <c r="R62" s="1342">
        <v>0</v>
      </c>
      <c r="S62" s="1341">
        <f t="shared" si="43"/>
        <v>3254875.6794348662</v>
      </c>
      <c r="T62" s="1342">
        <f t="shared" si="44"/>
        <v>4668</v>
      </c>
      <c r="U62" s="1341">
        <f t="shared" si="33"/>
        <v>2399352</v>
      </c>
      <c r="V62" s="2022">
        <f>+'[3]October midyear adj'!E191</f>
        <v>271</v>
      </c>
      <c r="W62" s="1679">
        <f t="shared" si="34"/>
        <v>1265028</v>
      </c>
      <c r="X62" s="2022">
        <f>'[3]February midyear adj '!E191</f>
        <v>-15</v>
      </c>
      <c r="Y62" s="1679">
        <f t="shared" si="45"/>
        <v>-35010</v>
      </c>
      <c r="Z62" s="1983">
        <f t="shared" si="35"/>
        <v>1230018</v>
      </c>
      <c r="AA62" s="1341">
        <f t="shared" si="36"/>
        <v>3629370</v>
      </c>
      <c r="AB62" s="1342">
        <f t="shared" si="46"/>
        <v>-63513.975000000006</v>
      </c>
      <c r="AC62" s="1342">
        <f t="shared" si="47"/>
        <v>-9073.4250000000011</v>
      </c>
      <c r="AD62" s="1342">
        <f t="shared" si="48"/>
        <v>-72587.400000000009</v>
      </c>
      <c r="AE62" s="1978">
        <f t="shared" si="37"/>
        <v>3556782.6</v>
      </c>
      <c r="AF62" s="1342">
        <f>'[15]Adjusted Amounts'!Q213</f>
        <v>4203</v>
      </c>
      <c r="AG62" s="1342">
        <v>0</v>
      </c>
      <c r="AH62" s="1341">
        <f t="shared" si="49"/>
        <v>3560985.6</v>
      </c>
      <c r="AI62" s="1679">
        <f>'[16]Table 5B1_RSD_Orleans'!Y60+'[17]Table 5B1_RSD_Orleans'!AK60+'[18]Table 5B1_RSD_Orleans'!AK60*3+'[19]Table 5B1_RSD_Orleans'!AK60+'[20]Table 5B1_RSD_Orleans'!AK60+'[21]Table 5B1_RSD_Orleans'!AK60+3</f>
        <v>2316698.3770303032</v>
      </c>
      <c r="AJ62" s="1679">
        <f t="shared" si="38"/>
        <v>1244287.2229696969</v>
      </c>
      <c r="AK62" s="1341">
        <f t="shared" si="39"/>
        <v>311072</v>
      </c>
    </row>
    <row r="63" spans="1:39" ht="15">
      <c r="A63" s="1349">
        <v>399001</v>
      </c>
      <c r="B63" s="1350" t="str">
        <f>IFERROR(VLOOKUP(A63,'[22]Table 4 Level 4'!$B$137:$C$194,2,FALSE),"na")</f>
        <v>S.J. Green Charter (Firstline Schools)</v>
      </c>
      <c r="C63" s="1345">
        <f>'[23]RSD-NO by Site'!D57</f>
        <v>508</v>
      </c>
      <c r="D63" s="1346">
        <f t="shared" si="26"/>
        <v>3520.4894337711748</v>
      </c>
      <c r="E63" s="1346">
        <f>ROUND(C63*D63,0)</f>
        <v>1788409</v>
      </c>
      <c r="F63" s="1346">
        <v>752.85062142702634</v>
      </c>
      <c r="G63" s="1346">
        <f>F63*C63</f>
        <v>382448.11568492936</v>
      </c>
      <c r="H63" s="1347">
        <f>E63+G63</f>
        <v>2170857.1156849293</v>
      </c>
      <c r="I63" s="1680">
        <f>+'[3]October midyear adj'!K192</f>
        <v>-89740.141159162231</v>
      </c>
      <c r="J63" s="1680">
        <f>'[3]February midyear adj '!K192</f>
        <v>-10683.350137995503</v>
      </c>
      <c r="K63" s="2010">
        <f t="shared" si="29"/>
        <v>-100423.49129715773</v>
      </c>
      <c r="L63" s="1347">
        <f t="shared" si="30"/>
        <v>2070433.6243877716</v>
      </c>
      <c r="M63" s="1680">
        <f t="shared" si="41"/>
        <v>-36232.588426786009</v>
      </c>
      <c r="N63" s="1680">
        <f t="shared" si="42"/>
        <v>-5176.0840609694287</v>
      </c>
      <c r="O63" s="1680">
        <f t="shared" si="31"/>
        <v>-41408.672487755437</v>
      </c>
      <c r="P63" s="1979">
        <f t="shared" si="32"/>
        <v>2029024.9519000161</v>
      </c>
      <c r="Q63" s="1348">
        <f>'[2]Adjusted Amounts'!I214</f>
        <v>-3516.4052830321971</v>
      </c>
      <c r="R63" s="1348">
        <v>0</v>
      </c>
      <c r="S63" s="1347">
        <f t="shared" si="43"/>
        <v>2025508.5466169838</v>
      </c>
      <c r="T63" s="1348">
        <f t="shared" si="44"/>
        <v>4668</v>
      </c>
      <c r="U63" s="1347">
        <f t="shared" si="33"/>
        <v>2371344</v>
      </c>
      <c r="V63" s="2023">
        <f>+'[3]October midyear adj'!E192</f>
        <v>-21</v>
      </c>
      <c r="W63" s="1680">
        <f t="shared" si="34"/>
        <v>-98028</v>
      </c>
      <c r="X63" s="2023">
        <f>'[3]February midyear adj '!E192</f>
        <v>-5</v>
      </c>
      <c r="Y63" s="1680">
        <f t="shared" si="45"/>
        <v>-11670</v>
      </c>
      <c r="Z63" s="1984">
        <f t="shared" si="35"/>
        <v>-109698</v>
      </c>
      <c r="AA63" s="1347">
        <f t="shared" si="36"/>
        <v>2261646</v>
      </c>
      <c r="AB63" s="1348">
        <f t="shared" si="46"/>
        <v>-39578.805</v>
      </c>
      <c r="AC63" s="1348">
        <f t="shared" si="47"/>
        <v>-5654.1149999999998</v>
      </c>
      <c r="AD63" s="1348">
        <f t="shared" si="48"/>
        <v>-45232.92</v>
      </c>
      <c r="AE63" s="1979">
        <f t="shared" si="37"/>
        <v>2216413.08</v>
      </c>
      <c r="AF63" s="1348">
        <f>'[15]Adjusted Amounts'!Q214</f>
        <v>0</v>
      </c>
      <c r="AG63" s="1348">
        <v>0</v>
      </c>
      <c r="AH63" s="1347">
        <f t="shared" si="49"/>
        <v>2216413.08</v>
      </c>
      <c r="AI63" s="1680">
        <f>'[16]Table 5B1_RSD_Orleans'!Y61+'[17]Table 5B1_RSD_Orleans'!AK61+'[18]Table 5B1_RSD_Orleans'!AK61*3+'[19]Table 5B1_RSD_Orleans'!AK61+'[20]Table 5B1_RSD_Orleans'!AK61+'[21]Table 5B1_RSD_Orleans'!AK61+3</f>
        <v>1550608.2746666668</v>
      </c>
      <c r="AJ63" s="1680">
        <f t="shared" si="38"/>
        <v>665804.80533333332</v>
      </c>
      <c r="AK63" s="1347">
        <f t="shared" si="39"/>
        <v>166451</v>
      </c>
    </row>
    <row r="64" spans="1:39" ht="30">
      <c r="A64" s="1349">
        <v>399002</v>
      </c>
      <c r="B64" s="1350" t="str">
        <f>IFERROR(VLOOKUP(A64,'[22]Table 4 Level 4'!$B$137:$C$194,2,FALSE),"na")</f>
        <v>Arthur Ashe Charter (Firstline Schools)</v>
      </c>
      <c r="C64" s="1375">
        <f>'[23]RSD-NO by Site'!D58</f>
        <v>485</v>
      </c>
      <c r="D64" s="1346">
        <f t="shared" si="26"/>
        <v>3520.4894337711748</v>
      </c>
      <c r="E64" s="1346">
        <f>ROUND(C64*D64,0)</f>
        <v>1707437</v>
      </c>
      <c r="F64" s="1346">
        <v>803.97152919927748</v>
      </c>
      <c r="G64" s="1346">
        <f>F64*C64</f>
        <v>389926.19166164956</v>
      </c>
      <c r="H64" s="1347">
        <f>E64+G64</f>
        <v>2097363.1916616494</v>
      </c>
      <c r="I64" s="1680">
        <f>+'[3]October midyear adj'!K193</f>
        <v>467041.78400080878</v>
      </c>
      <c r="J64" s="1680">
        <f>'[3]February midyear adj '!K193</f>
        <v>-21622.304814852258</v>
      </c>
      <c r="K64" s="2010">
        <f t="shared" si="29"/>
        <v>445419.47918595653</v>
      </c>
      <c r="L64" s="1347">
        <f t="shared" si="30"/>
        <v>2542782.6708476059</v>
      </c>
      <c r="M64" s="1680">
        <f t="shared" si="41"/>
        <v>-44498.696739833111</v>
      </c>
      <c r="N64" s="1680">
        <f t="shared" si="42"/>
        <v>-6356.9566771190148</v>
      </c>
      <c r="O64" s="1680">
        <f t="shared" si="31"/>
        <v>-50855.653416952126</v>
      </c>
      <c r="P64" s="1979">
        <f t="shared" si="32"/>
        <v>2491927.0174306538</v>
      </c>
      <c r="Q64" s="1348">
        <f>'[2]Adjusted Amounts'!I215</f>
        <v>-15666.0156532652</v>
      </c>
      <c r="R64" s="1348">
        <v>0</v>
      </c>
      <c r="S64" s="1347">
        <f t="shared" si="43"/>
        <v>2476261.0017773886</v>
      </c>
      <c r="T64" s="1348">
        <f t="shared" si="44"/>
        <v>4668</v>
      </c>
      <c r="U64" s="1347">
        <f>C64*T64</f>
        <v>2263980</v>
      </c>
      <c r="V64" s="2023">
        <f>+'[3]October midyear adj'!E193</f>
        <v>108</v>
      </c>
      <c r="W64" s="1680">
        <f t="shared" si="34"/>
        <v>504144</v>
      </c>
      <c r="X64" s="2023">
        <f>'[3]February midyear adj '!E193</f>
        <v>-10</v>
      </c>
      <c r="Y64" s="1680">
        <f t="shared" si="45"/>
        <v>-23340</v>
      </c>
      <c r="Z64" s="1984">
        <f t="shared" si="35"/>
        <v>480804</v>
      </c>
      <c r="AA64" s="1347">
        <f t="shared" si="36"/>
        <v>2744784</v>
      </c>
      <c r="AB64" s="1348">
        <f t="shared" si="46"/>
        <v>-48033.72</v>
      </c>
      <c r="AC64" s="1348">
        <f t="shared" si="47"/>
        <v>-6861.96</v>
      </c>
      <c r="AD64" s="1348">
        <f>AB64+AC64</f>
        <v>-54895.68</v>
      </c>
      <c r="AE64" s="1979">
        <f t="shared" si="37"/>
        <v>2689888.32</v>
      </c>
      <c r="AF64" s="1348">
        <f>'[15]Adjusted Amounts'!Q215</f>
        <v>-2101.5</v>
      </c>
      <c r="AG64" s="1348">
        <v>0</v>
      </c>
      <c r="AH64" s="1347">
        <f t="shared" si="49"/>
        <v>2687786.82</v>
      </c>
      <c r="AI64" s="1680">
        <f>'[16]Table 5B1_RSD_Orleans'!Y62+'[17]Table 5B1_RSD_Orleans'!AK62+'[18]Table 5B1_RSD_Orleans'!AK62*3+'[19]Table 5B1_RSD_Orleans'!AK62+'[20]Table 5B1_RSD_Orleans'!AK62+'[21]Table 5B1_RSD_Orleans'!AK62</f>
        <v>1479000.0774242426</v>
      </c>
      <c r="AJ64" s="1680">
        <f t="shared" si="38"/>
        <v>1208786.7425757572</v>
      </c>
      <c r="AK64" s="1347">
        <f t="shared" si="39"/>
        <v>302197</v>
      </c>
    </row>
    <row r="65" spans="1:44" ht="15">
      <c r="A65" s="1349">
        <v>399003</v>
      </c>
      <c r="B65" s="1350" t="str">
        <f>IFERROR(VLOOKUP(A65,'[22]Table 4 Level 4'!$B$137:$C$194,2,FALSE),"na")</f>
        <v>Joseph Clark High (Firstline Schools)</v>
      </c>
      <c r="C65" s="1375">
        <f>'[23]RSD-NO by Site'!D59</f>
        <v>394</v>
      </c>
      <c r="D65" s="1346">
        <f t="shared" si="26"/>
        <v>3520.4894337711748</v>
      </c>
      <c r="E65" s="1346">
        <f t="shared" ref="E65:E68" si="58">ROUND(C65*D65,0)</f>
        <v>1387073</v>
      </c>
      <c r="F65" s="1346">
        <v>746.0335616438357</v>
      </c>
      <c r="G65" s="1346">
        <f t="shared" ref="G65:G68" si="59">F65*C65</f>
        <v>293937.22328767128</v>
      </c>
      <c r="H65" s="1347">
        <f t="shared" ref="H65:H68" si="60">E65+G65</f>
        <v>1681010.2232876713</v>
      </c>
      <c r="I65" s="1680">
        <f>+'[3]October midyear adj'!K194</f>
        <v>4266.5229954150109</v>
      </c>
      <c r="J65" s="1680">
        <f>'[3]February midyear adj '!K194</f>
        <v>-34132.183963320087</v>
      </c>
      <c r="K65" s="2010">
        <f t="shared" si="29"/>
        <v>-29865.660967905074</v>
      </c>
      <c r="L65" s="1347">
        <f t="shared" si="30"/>
        <v>1651144.5623197663</v>
      </c>
      <c r="M65" s="1680">
        <f t="shared" si="41"/>
        <v>-28895.029840595911</v>
      </c>
      <c r="N65" s="1680">
        <f t="shared" si="42"/>
        <v>-4127.8614057994155</v>
      </c>
      <c r="O65" s="1680">
        <f t="shared" si="31"/>
        <v>-33022.891246395324</v>
      </c>
      <c r="P65" s="1979">
        <f t="shared" si="32"/>
        <v>1618121.6710733708</v>
      </c>
      <c r="Q65" s="1348">
        <f>'[2]Adjusted Amounts'!I216</f>
        <v>-1360.5831120636303</v>
      </c>
      <c r="R65" s="1348">
        <v>0</v>
      </c>
      <c r="S65" s="1347">
        <f t="shared" si="43"/>
        <v>1616761.0879613073</v>
      </c>
      <c r="T65" s="1348">
        <f t="shared" si="44"/>
        <v>4668</v>
      </c>
      <c r="U65" s="1347">
        <f t="shared" ref="U65:U68" si="61">C65*T65</f>
        <v>1839192</v>
      </c>
      <c r="V65" s="2023">
        <f>+'[3]October midyear adj'!E194</f>
        <v>1</v>
      </c>
      <c r="W65" s="1680">
        <f t="shared" si="34"/>
        <v>4668</v>
      </c>
      <c r="X65" s="2023">
        <f>'[3]February midyear adj '!E194</f>
        <v>-16</v>
      </c>
      <c r="Y65" s="1680">
        <f t="shared" si="45"/>
        <v>-37344</v>
      </c>
      <c r="Z65" s="1984">
        <f t="shared" si="35"/>
        <v>-32676</v>
      </c>
      <c r="AA65" s="1347">
        <f t="shared" si="36"/>
        <v>1806516</v>
      </c>
      <c r="AB65" s="1348">
        <f t="shared" si="46"/>
        <v>-31614.030000000002</v>
      </c>
      <c r="AC65" s="1348">
        <f t="shared" si="47"/>
        <v>-4516.29</v>
      </c>
      <c r="AD65" s="1348">
        <f t="shared" ref="AD65:AD68" si="62">AB65+AC65</f>
        <v>-36130.32</v>
      </c>
      <c r="AE65" s="1979">
        <f t="shared" si="37"/>
        <v>1770385.68</v>
      </c>
      <c r="AF65" s="1348">
        <f>'[15]Adjusted Amounts'!Q216</f>
        <v>14</v>
      </c>
      <c r="AG65" s="1348">
        <v>0</v>
      </c>
      <c r="AH65" s="1347">
        <f t="shared" si="49"/>
        <v>1770399.68</v>
      </c>
      <c r="AI65" s="1680">
        <f>'[16]Table 5B1_RSD_Orleans'!Y63+'[17]Table 5B1_RSD_Orleans'!AK63+'[18]Table 5B1_RSD_Orleans'!AK63*3+'[19]Table 5B1_RSD_Orleans'!AK63+'[20]Table 5B1_RSD_Orleans'!AK63+'[21]Table 5B1_RSD_Orleans'!AK63-2</f>
        <v>1202641.8500606057</v>
      </c>
      <c r="AJ65" s="1680">
        <f t="shared" si="38"/>
        <v>567757.82993939426</v>
      </c>
      <c r="AK65" s="1347">
        <f t="shared" si="39"/>
        <v>141939</v>
      </c>
    </row>
    <row r="66" spans="1:44" ht="30">
      <c r="A66" s="1362">
        <v>399004</v>
      </c>
      <c r="B66" s="1363" t="str">
        <f>IFERROR(VLOOKUP(A66,'[22]Table 4 Level 4'!$B$137:$C$194,2,FALSE),"na")</f>
        <v>John Dibert Community (Firstline Schools)</v>
      </c>
      <c r="C66" s="1376">
        <f>'[23]RSD-NO by Site'!D60</f>
        <v>472</v>
      </c>
      <c r="D66" s="1354">
        <f t="shared" si="26"/>
        <v>3520.4894337711748</v>
      </c>
      <c r="E66" s="1354">
        <f t="shared" si="58"/>
        <v>1661671</v>
      </c>
      <c r="F66" s="1354">
        <v>746.0335616438357</v>
      </c>
      <c r="G66" s="1354">
        <f t="shared" si="59"/>
        <v>352127.84109589044</v>
      </c>
      <c r="H66" s="1355">
        <f t="shared" si="60"/>
        <v>2013798.8410958904</v>
      </c>
      <c r="I66" s="1681">
        <f>+'[3]October midyear adj'!K195</f>
        <v>136528.73585328035</v>
      </c>
      <c r="J66" s="1681">
        <f>'[3]February midyear adj '!K195</f>
        <v>-17066.091981660044</v>
      </c>
      <c r="K66" s="2011">
        <f t="shared" si="29"/>
        <v>119462.6438716203</v>
      </c>
      <c r="L66" s="1355">
        <f t="shared" si="30"/>
        <v>2133261.4849675107</v>
      </c>
      <c r="M66" s="1681">
        <f t="shared" si="41"/>
        <v>-37332.075986931442</v>
      </c>
      <c r="N66" s="1681">
        <f t="shared" si="42"/>
        <v>-5333.1537124187771</v>
      </c>
      <c r="O66" s="1681">
        <f t="shared" si="31"/>
        <v>-42665.229699350217</v>
      </c>
      <c r="P66" s="1980">
        <f t="shared" si="32"/>
        <v>2090596.2552681605</v>
      </c>
      <c r="Q66" s="1356">
        <f>'[2]Adjusted Amounts'!I217</f>
        <v>-3516.4052830321971</v>
      </c>
      <c r="R66" s="1356">
        <v>0</v>
      </c>
      <c r="S66" s="1355">
        <f t="shared" si="43"/>
        <v>2087079.8499851283</v>
      </c>
      <c r="T66" s="1356">
        <f t="shared" si="44"/>
        <v>4668</v>
      </c>
      <c r="U66" s="1355">
        <f t="shared" si="61"/>
        <v>2203296</v>
      </c>
      <c r="V66" s="2024">
        <f>+'[3]October midyear adj'!E195</f>
        <v>32</v>
      </c>
      <c r="W66" s="1681">
        <f t="shared" si="34"/>
        <v>149376</v>
      </c>
      <c r="X66" s="2024">
        <f>'[3]February midyear adj '!E195</f>
        <v>-8</v>
      </c>
      <c r="Y66" s="1681">
        <f t="shared" si="45"/>
        <v>-18672</v>
      </c>
      <c r="Z66" s="1985">
        <f t="shared" si="35"/>
        <v>130704</v>
      </c>
      <c r="AA66" s="1355">
        <f t="shared" si="36"/>
        <v>2334000</v>
      </c>
      <c r="AB66" s="1356">
        <f t="shared" si="46"/>
        <v>-40845.000000000007</v>
      </c>
      <c r="AC66" s="1356">
        <f t="shared" si="47"/>
        <v>-5835</v>
      </c>
      <c r="AD66" s="1356">
        <f t="shared" si="62"/>
        <v>-46680.000000000007</v>
      </c>
      <c r="AE66" s="1980">
        <f t="shared" si="37"/>
        <v>2287320</v>
      </c>
      <c r="AF66" s="1356">
        <f>'[15]Adjusted Amounts'!Q217</f>
        <v>0</v>
      </c>
      <c r="AG66" s="1356">
        <v>0</v>
      </c>
      <c r="AH66" s="1355">
        <f t="shared" si="49"/>
        <v>2287320</v>
      </c>
      <c r="AI66" s="1681">
        <f>'[16]Table 5B1_RSD_Orleans'!Y64+'[17]Table 5B1_RSD_Orleans'!AK64+'[18]Table 5B1_RSD_Orleans'!AK64*3+'[19]Table 5B1_RSD_Orleans'!AK64+'[20]Table 5B1_RSD_Orleans'!AK64+'[21]Table 5B1_RSD_Orleans'!AK64</f>
        <v>1440720.2477575755</v>
      </c>
      <c r="AJ66" s="1681">
        <f t="shared" si="38"/>
        <v>846599.75224242453</v>
      </c>
      <c r="AK66" s="1355">
        <f t="shared" si="39"/>
        <v>211650</v>
      </c>
    </row>
    <row r="67" spans="1:44" ht="30">
      <c r="A67" s="746">
        <v>399005</v>
      </c>
      <c r="B67" s="432" t="str">
        <f>IFERROR(VLOOKUP(A67,'[22]Table 4 Level 4'!$B$137:$C$194,2,FALSE),"na")</f>
        <v>Langston Hughes Acdmy (Firstline Schools)</v>
      </c>
      <c r="C67" s="1060">
        <f>'[23]RSD-NO by Site'!D61</f>
        <v>645</v>
      </c>
      <c r="D67" s="1030">
        <f t="shared" si="26"/>
        <v>3520.4894337711748</v>
      </c>
      <c r="E67" s="1030">
        <f t="shared" si="58"/>
        <v>2270716</v>
      </c>
      <c r="F67" s="1010">
        <v>746.0335616438357</v>
      </c>
      <c r="G67" s="1010">
        <f t="shared" si="59"/>
        <v>481191.64726027404</v>
      </c>
      <c r="H67" s="1011">
        <f t="shared" si="60"/>
        <v>2751907.6472602738</v>
      </c>
      <c r="I67" s="1678">
        <f>+'[3]October midyear adj'!K196</f>
        <v>511982.75944980129</v>
      </c>
      <c r="J67" s="1678">
        <f>'[3]February midyear adj '!K196</f>
        <v>25599.137972490065</v>
      </c>
      <c r="K67" s="2008">
        <f t="shared" si="29"/>
        <v>537581.89742229134</v>
      </c>
      <c r="L67" s="1011">
        <f t="shared" si="30"/>
        <v>3289489.5446825651</v>
      </c>
      <c r="M67" s="1678">
        <f t="shared" si="41"/>
        <v>-57566.067031944898</v>
      </c>
      <c r="N67" s="1678">
        <f t="shared" si="42"/>
        <v>-8223.7238617064122</v>
      </c>
      <c r="O67" s="1678">
        <f t="shared" si="31"/>
        <v>-65789.790893651312</v>
      </c>
      <c r="P67" s="1977">
        <f t="shared" si="32"/>
        <v>3223699.7537889136</v>
      </c>
      <c r="Q67" s="1031">
        <f>'[2]Adjusted Amounts'!I218</f>
        <v>0</v>
      </c>
      <c r="R67" s="1026">
        <v>0</v>
      </c>
      <c r="S67" s="1011">
        <f t="shared" si="43"/>
        <v>3223699.7537889136</v>
      </c>
      <c r="T67" s="1026">
        <f t="shared" si="44"/>
        <v>4668</v>
      </c>
      <c r="U67" s="1032">
        <f t="shared" si="61"/>
        <v>3010860</v>
      </c>
      <c r="V67" s="2025">
        <f>+'[3]October midyear adj'!E196</f>
        <v>120</v>
      </c>
      <c r="W67" s="1987">
        <f t="shared" si="34"/>
        <v>560160</v>
      </c>
      <c r="X67" s="2025">
        <f>'[3]February midyear adj '!E196</f>
        <v>12</v>
      </c>
      <c r="Y67" s="1987">
        <f t="shared" si="45"/>
        <v>28008</v>
      </c>
      <c r="Z67" s="2004">
        <f t="shared" si="35"/>
        <v>588168</v>
      </c>
      <c r="AA67" s="1668">
        <f t="shared" si="36"/>
        <v>3599028</v>
      </c>
      <c r="AB67" s="1031">
        <f t="shared" si="46"/>
        <v>-62982.990000000005</v>
      </c>
      <c r="AC67" s="1031">
        <f t="shared" si="47"/>
        <v>-8997.57</v>
      </c>
      <c r="AD67" s="1031">
        <f t="shared" si="62"/>
        <v>-71980.56</v>
      </c>
      <c r="AE67" s="2001">
        <f t="shared" si="37"/>
        <v>3527047.44</v>
      </c>
      <c r="AF67" s="1031">
        <f>'[15]Adjusted Amounts'!Q218</f>
        <v>0</v>
      </c>
      <c r="AG67" s="2071">
        <v>0</v>
      </c>
      <c r="AH67" s="1032">
        <f t="shared" si="49"/>
        <v>3527047.44</v>
      </c>
      <c r="AI67" s="1987">
        <f>'[16]Table 5B1_RSD_Orleans'!Y65+'[17]Table 5B1_RSD_Orleans'!AK65+'[18]Table 5B1_RSD_Orleans'!AK65*3+'[19]Table 5B1_RSD_Orleans'!AK65+'[20]Table 5B1_RSD_Orleans'!AK65+'[21]Table 5B1_RSD_Orleans'!AK65+4</f>
        <v>1968784.2836363637</v>
      </c>
      <c r="AJ67" s="1987">
        <f t="shared" si="38"/>
        <v>1558263.1563636363</v>
      </c>
      <c r="AK67" s="1032">
        <f t="shared" si="39"/>
        <v>389566</v>
      </c>
    </row>
    <row r="68" spans="1:44" ht="30">
      <c r="A68" s="912" t="s">
        <v>736</v>
      </c>
      <c r="B68" s="913" t="str">
        <f>IFERROR(VLOOKUP(A68,'[22]Table 4 Level 4'!$B$137:$C$194,2,FALSE),"na")</f>
        <v>Mary D. Coghill Accelerated (Better Choice Foundation)</v>
      </c>
      <c r="C68" s="1145">
        <v>626</v>
      </c>
      <c r="D68" s="1030">
        <f t="shared" si="26"/>
        <v>3520.4894337711748</v>
      </c>
      <c r="E68" s="1030">
        <f t="shared" si="58"/>
        <v>2203826</v>
      </c>
      <c r="F68" s="1010">
        <v>746.0335616438357</v>
      </c>
      <c r="G68" s="1010">
        <f t="shared" si="59"/>
        <v>467017.00958904112</v>
      </c>
      <c r="H68" s="1011">
        <f t="shared" si="60"/>
        <v>2670843.0095890411</v>
      </c>
      <c r="I68" s="1678">
        <f>+'[3]October midyear adj'!K197</f>
        <v>-106663.07488537527</v>
      </c>
      <c r="J68" s="1678">
        <f>'[3]February midyear adj '!K197</f>
        <v>-29865.660967905074</v>
      </c>
      <c r="K68" s="2008">
        <f t="shared" si="29"/>
        <v>-136528.73585328035</v>
      </c>
      <c r="L68" s="1011">
        <f t="shared" si="30"/>
        <v>2534314.2737357607</v>
      </c>
      <c r="M68" s="1678">
        <f t="shared" si="41"/>
        <v>-44350.499790375819</v>
      </c>
      <c r="N68" s="1678">
        <f t="shared" si="42"/>
        <v>-6335.785684339402</v>
      </c>
      <c r="O68" s="1678">
        <f t="shared" si="31"/>
        <v>-50686.285474715223</v>
      </c>
      <c r="P68" s="1977">
        <f t="shared" si="32"/>
        <v>2483627.9882610454</v>
      </c>
      <c r="Q68" s="1031">
        <v>0</v>
      </c>
      <c r="R68" s="1026">
        <v>0</v>
      </c>
      <c r="S68" s="1011">
        <f t="shared" si="43"/>
        <v>2483627.9882610454</v>
      </c>
      <c r="T68" s="1026">
        <f t="shared" si="44"/>
        <v>4668</v>
      </c>
      <c r="U68" s="1032">
        <f t="shared" si="61"/>
        <v>2922168</v>
      </c>
      <c r="V68" s="2025">
        <f>+'[3]October midyear adj'!E197</f>
        <v>-25</v>
      </c>
      <c r="W68" s="1987">
        <f t="shared" si="34"/>
        <v>-116700</v>
      </c>
      <c r="X68" s="2025">
        <f>'[3]February midyear adj '!E197</f>
        <v>-14</v>
      </c>
      <c r="Y68" s="1987">
        <f t="shared" si="45"/>
        <v>-32676</v>
      </c>
      <c r="Z68" s="2004">
        <f t="shared" si="35"/>
        <v>-149376</v>
      </c>
      <c r="AA68" s="1668">
        <f t="shared" si="36"/>
        <v>2772792</v>
      </c>
      <c r="AB68" s="1031">
        <f t="shared" si="46"/>
        <v>-48523.860000000008</v>
      </c>
      <c r="AC68" s="1031">
        <f t="shared" si="47"/>
        <v>-6931.9800000000005</v>
      </c>
      <c r="AD68" s="1031">
        <f t="shared" si="62"/>
        <v>-55455.840000000011</v>
      </c>
      <c r="AE68" s="2001">
        <f t="shared" si="37"/>
        <v>2717336.16</v>
      </c>
      <c r="AF68" s="1031">
        <f>'[15]Adjusted Amounts'!Q218</f>
        <v>0</v>
      </c>
      <c r="AG68" s="2071">
        <v>0</v>
      </c>
      <c r="AH68" s="1032">
        <f t="shared" si="49"/>
        <v>2717336.16</v>
      </c>
      <c r="AI68" s="1987">
        <f>'[16]Table 5B1_RSD_Orleans'!Y66+'[17]Table 5B1_RSD_Orleans'!AK66+'[18]Table 5B1_RSD_Orleans'!AK66*3+'[19]Table 5B1_RSD_Orleans'!AK66+'[20]Table 5B1_RSD_Orleans'!AK66+'[21]Table 5B1_RSD_Orleans'!AK66-2</f>
        <v>1910783.9820606061</v>
      </c>
      <c r="AJ68" s="1987">
        <f t="shared" si="38"/>
        <v>806552.17793939402</v>
      </c>
      <c r="AK68" s="1032">
        <f t="shared" si="39"/>
        <v>201638</v>
      </c>
    </row>
    <row r="69" spans="1:44" s="1039" customFormat="1" ht="15.75">
      <c r="A69" s="1028"/>
      <c r="B69" s="1029" t="s">
        <v>79</v>
      </c>
      <c r="C69" s="1034">
        <f>SUM(C12:C68)</f>
        <v>26595</v>
      </c>
      <c r="D69" s="1035"/>
      <c r="E69" s="1034">
        <f>SUM(E12:E68)</f>
        <v>93627415</v>
      </c>
      <c r="F69" s="1034"/>
      <c r="G69" s="1036">
        <f>SUM(G12:G68)</f>
        <v>19486770.073519465</v>
      </c>
      <c r="H69" s="1036">
        <f>SUM(H12:H68)</f>
        <v>113114185.0735195</v>
      </c>
      <c r="I69" s="1036">
        <f t="shared" ref="I69:L69" si="63">SUM(I12:I68)</f>
        <v>6505538.7681770287</v>
      </c>
      <c r="J69" s="1036">
        <f>SUM(J12:J68)</f>
        <v>74842.338548394197</v>
      </c>
      <c r="K69" s="1036">
        <f t="shared" si="63"/>
        <v>6580381.1067254245</v>
      </c>
      <c r="L69" s="1036">
        <f t="shared" si="63"/>
        <v>119694566.18024488</v>
      </c>
      <c r="M69" s="1036">
        <f t="shared" ref="M69:P69" si="64">SUM(M12:M68)</f>
        <v>-2094654.9081542857</v>
      </c>
      <c r="N69" s="1036">
        <f t="shared" si="64"/>
        <v>-299236.4154506122</v>
      </c>
      <c r="O69" s="1036">
        <f t="shared" si="64"/>
        <v>-2393891.3236048981</v>
      </c>
      <c r="P69" s="1976">
        <f t="shared" si="64"/>
        <v>117300674.85663997</v>
      </c>
      <c r="Q69" s="1036">
        <f>SUM(Q12:Q68)</f>
        <v>-462840.25569234067</v>
      </c>
      <c r="R69" s="1036">
        <f>SUM(R12:R68)</f>
        <v>56549</v>
      </c>
      <c r="S69" s="1976">
        <f>SUM(S12:S68)</f>
        <v>116894383.60094766</v>
      </c>
      <c r="T69" s="1037"/>
      <c r="U69" s="1038">
        <f t="shared" ref="U69:AK69" si="65">SUM(U12:U68)</f>
        <v>125138430</v>
      </c>
      <c r="V69" s="2026">
        <f t="shared" ref="V69:AA69" si="66">SUM(V12:V68)</f>
        <v>1536</v>
      </c>
      <c r="W69" s="1988">
        <f t="shared" si="66"/>
        <v>7279443</v>
      </c>
      <c r="X69" s="2026">
        <f t="shared" si="66"/>
        <v>34</v>
      </c>
      <c r="Y69" s="1988">
        <f t="shared" si="66"/>
        <v>72471</v>
      </c>
      <c r="Z69" s="2005">
        <f t="shared" si="66"/>
        <v>7351914</v>
      </c>
      <c r="AA69" s="1671">
        <f t="shared" si="66"/>
        <v>132490344</v>
      </c>
      <c r="AB69" s="1038">
        <f t="shared" si="65"/>
        <v>-2318581.02</v>
      </c>
      <c r="AC69" s="1038">
        <f t="shared" si="65"/>
        <v>-331225.86</v>
      </c>
      <c r="AD69" s="1038">
        <f t="shared" si="65"/>
        <v>-2649806.8800000004</v>
      </c>
      <c r="AE69" s="1038">
        <f t="shared" si="65"/>
        <v>129840537.11999999</v>
      </c>
      <c r="AF69" s="1038">
        <f t="shared" si="65"/>
        <v>-306912</v>
      </c>
      <c r="AG69" s="1038">
        <f t="shared" si="65"/>
        <v>56646</v>
      </c>
      <c r="AH69" s="1038">
        <f t="shared" si="65"/>
        <v>129590271.11999999</v>
      </c>
      <c r="AI69" s="1988">
        <f t="shared" ref="AI69:AJ69" si="67">SUM(AI12:AI68)</f>
        <v>83815277.542969704</v>
      </c>
      <c r="AJ69" s="1988">
        <f t="shared" si="67"/>
        <v>45774993.577030294</v>
      </c>
      <c r="AK69" s="1038">
        <f t="shared" si="65"/>
        <v>11443748</v>
      </c>
      <c r="AL69" s="538"/>
      <c r="AM69" s="538"/>
      <c r="AN69" s="538"/>
      <c r="AO69" s="538"/>
      <c r="AP69" s="538"/>
      <c r="AQ69" s="538"/>
      <c r="AR69" s="538"/>
    </row>
    <row r="70" spans="1:44" s="1039" customFormat="1" ht="31.5">
      <c r="A70" s="1028"/>
      <c r="B70" s="1029" t="s">
        <v>80</v>
      </c>
      <c r="C70" s="1034">
        <f>C69+C9</f>
        <v>28976</v>
      </c>
      <c r="D70" s="1035"/>
      <c r="E70" s="1034">
        <f>E69+E9</f>
        <v>102009700</v>
      </c>
      <c r="F70" s="1034"/>
      <c r="G70" s="1036">
        <f>G69+G9</f>
        <v>21384551.944738973</v>
      </c>
      <c r="H70" s="1669">
        <f>H69+H9</f>
        <v>123394251.94473901</v>
      </c>
      <c r="I70" s="1036">
        <f t="shared" ref="I70:M70" si="68">I69+I9</f>
        <v>383264.38427334744</v>
      </c>
      <c r="J70" s="1036">
        <f>J69+J9</f>
        <v>152558.09236381471</v>
      </c>
      <c r="K70" s="2012">
        <f t="shared" si="68"/>
        <v>535822.47663716413</v>
      </c>
      <c r="L70" s="1669">
        <f t="shared" si="68"/>
        <v>123930074.42137612</v>
      </c>
      <c r="M70" s="1036">
        <f t="shared" si="68"/>
        <v>0</v>
      </c>
      <c r="N70" s="1036">
        <f t="shared" ref="N70:P70" si="69">N69+N9</f>
        <v>-299236.4154506122</v>
      </c>
      <c r="O70" s="1036">
        <f t="shared" si="69"/>
        <v>-299236.41545061232</v>
      </c>
      <c r="P70" s="1976">
        <f t="shared" si="69"/>
        <v>123630838.00592551</v>
      </c>
      <c r="Q70" s="1040">
        <f>Q69+Q9</f>
        <v>-784998.1814409392</v>
      </c>
      <c r="R70" s="1040">
        <f>R69+R9</f>
        <v>35261</v>
      </c>
      <c r="S70" s="1038">
        <f>S69+S9</f>
        <v>122881100.8244846</v>
      </c>
      <c r="T70" s="1037"/>
      <c r="U70" s="1038">
        <f t="shared" ref="U70:AK70" si="70">U69+U9</f>
        <v>136252938</v>
      </c>
      <c r="V70" s="2026">
        <f t="shared" ref="V70:AA70" si="71">V69+V9</f>
        <v>118</v>
      </c>
      <c r="W70" s="1988">
        <f t="shared" si="71"/>
        <v>660219</v>
      </c>
      <c r="X70" s="2026">
        <f t="shared" si="71"/>
        <v>70</v>
      </c>
      <c r="Y70" s="1988">
        <f t="shared" si="71"/>
        <v>156495</v>
      </c>
      <c r="Z70" s="2005">
        <f t="shared" si="71"/>
        <v>816714</v>
      </c>
      <c r="AA70" s="1671">
        <f t="shared" si="71"/>
        <v>137069652</v>
      </c>
      <c r="AB70" s="1037">
        <f t="shared" si="70"/>
        <v>0</v>
      </c>
      <c r="AC70" s="1037">
        <f t="shared" si="70"/>
        <v>-331225.86</v>
      </c>
      <c r="AD70" s="1037">
        <f t="shared" si="70"/>
        <v>-331225.86000000034</v>
      </c>
      <c r="AE70" s="2000">
        <f t="shared" si="70"/>
        <v>136738426.13999999</v>
      </c>
      <c r="AF70" s="1037">
        <f t="shared" si="70"/>
        <v>-380282.5</v>
      </c>
      <c r="AG70" s="1037">
        <f t="shared" si="70"/>
        <v>100704</v>
      </c>
      <c r="AH70" s="1038">
        <f t="shared" si="70"/>
        <v>136458847.63999999</v>
      </c>
      <c r="AI70" s="1988">
        <f t="shared" ref="AI70:AJ70" si="72">AI69+AI9</f>
        <v>88975662.909916669</v>
      </c>
      <c r="AJ70" s="1988">
        <f t="shared" si="72"/>
        <v>47483184.730083324</v>
      </c>
      <c r="AK70" s="1038">
        <f t="shared" si="70"/>
        <v>11870796</v>
      </c>
      <c r="AL70" s="538"/>
      <c r="AM70" s="538"/>
      <c r="AN70" s="538"/>
      <c r="AO70" s="538"/>
      <c r="AP70" s="538"/>
      <c r="AQ70" s="538"/>
      <c r="AR70" s="538"/>
    </row>
    <row r="71" spans="1:44" ht="8.25" customHeight="1">
      <c r="A71" s="747"/>
      <c r="B71" s="545"/>
      <c r="C71" s="1041"/>
      <c r="D71" s="1042"/>
      <c r="E71" s="1043"/>
      <c r="F71" s="1043"/>
      <c r="G71" s="1043"/>
      <c r="H71" s="1043"/>
      <c r="I71" s="1667"/>
      <c r="J71" s="1667"/>
      <c r="K71" s="1667"/>
      <c r="L71" s="1667"/>
      <c r="M71" s="1667"/>
      <c r="N71" s="1667"/>
      <c r="O71" s="1667"/>
      <c r="P71" s="1667"/>
      <c r="Q71" s="1043"/>
      <c r="R71" s="1667"/>
      <c r="S71" s="1044"/>
      <c r="T71" s="1044"/>
      <c r="U71" s="1044"/>
      <c r="V71" s="2027"/>
      <c r="W71" s="1673"/>
      <c r="X71" s="2027"/>
      <c r="Y71" s="1673"/>
      <c r="Z71" s="1673"/>
      <c r="AA71" s="1673"/>
      <c r="AB71" s="1044"/>
      <c r="AC71" s="1044"/>
      <c r="AD71" s="1044"/>
      <c r="AE71" s="1044"/>
      <c r="AF71" s="1044"/>
      <c r="AG71" s="1673"/>
      <c r="AH71" s="1044"/>
      <c r="AI71" s="1673"/>
      <c r="AJ71" s="1673"/>
      <c r="AK71" s="1044"/>
    </row>
    <row r="72" spans="1:44" ht="16.5" thickBot="1">
      <c r="A72" s="1045"/>
      <c r="B72" s="1046" t="s">
        <v>261</v>
      </c>
      <c r="C72" s="1047">
        <f>C70+C7</f>
        <v>39973</v>
      </c>
      <c r="D72" s="1048"/>
      <c r="E72" s="1049">
        <f>E70+E7</f>
        <v>140724522</v>
      </c>
      <c r="F72" s="1049"/>
      <c r="G72" s="1049">
        <f>G70+G7</f>
        <v>29381919.801241826</v>
      </c>
      <c r="H72" s="1670">
        <f>H70+H7</f>
        <v>170106441.80124187</v>
      </c>
      <c r="I72" s="1682">
        <f t="shared" ref="I72:AK72" si="73">I70+I7</f>
        <v>383264.38427334744</v>
      </c>
      <c r="J72" s="1682">
        <f t="shared" si="73"/>
        <v>152558.09236381471</v>
      </c>
      <c r="K72" s="2013">
        <f t="shared" si="73"/>
        <v>535822.47663716413</v>
      </c>
      <c r="L72" s="1670">
        <f t="shared" si="73"/>
        <v>170642264.27787897</v>
      </c>
      <c r="M72" s="1682">
        <f t="shared" si="73"/>
        <v>0</v>
      </c>
      <c r="N72" s="1682">
        <f t="shared" ref="N72:P72" si="74">N70+N7</f>
        <v>-299236.4154506122</v>
      </c>
      <c r="O72" s="1682">
        <f t="shared" si="74"/>
        <v>-299236.41545061232</v>
      </c>
      <c r="P72" s="1975">
        <f t="shared" si="74"/>
        <v>170343027.86242837</v>
      </c>
      <c r="Q72" s="1050"/>
      <c r="R72" s="1050"/>
      <c r="S72" s="1999"/>
      <c r="T72" s="1051"/>
      <c r="U72" s="1975">
        <f t="shared" si="73"/>
        <v>136252938</v>
      </c>
      <c r="V72" s="2028">
        <f t="shared" ref="V72:AA72" si="75">V70+V7</f>
        <v>118</v>
      </c>
      <c r="W72" s="1672">
        <f t="shared" si="75"/>
        <v>660219</v>
      </c>
      <c r="X72" s="2028">
        <f t="shared" si="75"/>
        <v>70</v>
      </c>
      <c r="Y72" s="1672">
        <f t="shared" si="75"/>
        <v>156495</v>
      </c>
      <c r="Z72" s="1981">
        <f t="shared" si="75"/>
        <v>816714</v>
      </c>
      <c r="AA72" s="1975">
        <f t="shared" si="75"/>
        <v>137069652</v>
      </c>
      <c r="AB72" s="1672">
        <f t="shared" si="73"/>
        <v>0</v>
      </c>
      <c r="AC72" s="1672">
        <f t="shared" si="73"/>
        <v>-331225.86</v>
      </c>
      <c r="AD72" s="1672">
        <f t="shared" si="73"/>
        <v>-331225.86000000034</v>
      </c>
      <c r="AE72" s="1975">
        <f t="shared" si="73"/>
        <v>136738426.13999999</v>
      </c>
      <c r="AF72" s="1672">
        <f t="shared" si="73"/>
        <v>-380282.5</v>
      </c>
      <c r="AG72" s="1672">
        <f t="shared" si="73"/>
        <v>100704</v>
      </c>
      <c r="AH72" s="1975">
        <f t="shared" si="73"/>
        <v>136458847.63999999</v>
      </c>
      <c r="AI72" s="1672">
        <f t="shared" ref="AI72:AJ72" si="76">AI70+AI7</f>
        <v>88975662.909916669</v>
      </c>
      <c r="AJ72" s="1672">
        <f t="shared" si="76"/>
        <v>47483184.730083324</v>
      </c>
      <c r="AK72" s="1672">
        <f t="shared" si="73"/>
        <v>11870796</v>
      </c>
    </row>
    <row r="73" spans="1:44" ht="13.5" thickTop="1">
      <c r="A73" s="1052"/>
      <c r="B73" s="1052"/>
      <c r="C73" s="1053"/>
      <c r="D73" s="1054"/>
      <c r="E73" s="537"/>
      <c r="F73" s="537"/>
      <c r="G73" s="537"/>
      <c r="H73" s="537"/>
      <c r="I73" s="1500"/>
      <c r="J73" s="1500"/>
      <c r="K73" s="1500"/>
      <c r="L73" s="1500"/>
      <c r="M73" s="1500"/>
      <c r="N73" s="1500"/>
      <c r="O73" s="1500"/>
      <c r="P73" s="1500"/>
      <c r="Q73" s="1055"/>
      <c r="R73" s="2070"/>
      <c r="S73" s="537"/>
      <c r="T73" s="537"/>
      <c r="U73" s="537"/>
      <c r="V73" s="1500"/>
      <c r="W73" s="1500"/>
      <c r="X73" s="1500"/>
      <c r="Y73" s="1500"/>
      <c r="Z73" s="1500"/>
      <c r="AA73" s="1500"/>
      <c r="AB73" s="537"/>
      <c r="AC73" s="537"/>
      <c r="AD73" s="537"/>
      <c r="AE73" s="537"/>
      <c r="AF73" s="537"/>
      <c r="AG73" s="1500"/>
      <c r="AH73" s="537"/>
      <c r="AI73" s="1500"/>
      <c r="AJ73" s="1500"/>
      <c r="AK73" s="537"/>
    </row>
    <row r="74" spans="1:44" ht="27.75" customHeight="1">
      <c r="A74" s="1052"/>
      <c r="B74" s="1052"/>
      <c r="C74" s="2249" t="s">
        <v>416</v>
      </c>
      <c r="D74" s="2249"/>
      <c r="E74" s="2249"/>
      <c r="F74" s="2249"/>
      <c r="G74" s="2249"/>
      <c r="H74" s="2249"/>
      <c r="I74" s="2249"/>
      <c r="J74" s="2249"/>
      <c r="K74" s="2249"/>
      <c r="L74" s="2249"/>
      <c r="M74" s="2249"/>
      <c r="N74" s="2249"/>
      <c r="O74" s="2249"/>
      <c r="P74" s="2249"/>
      <c r="Q74" s="2249"/>
      <c r="R74" s="2249"/>
      <c r="S74" s="2249"/>
      <c r="T74" s="1056"/>
      <c r="U74" s="2249" t="s">
        <v>416</v>
      </c>
      <c r="V74" s="2249"/>
      <c r="W74" s="2249"/>
      <c r="X74" s="2249"/>
      <c r="Y74" s="2249"/>
      <c r="Z74" s="2249"/>
      <c r="AA74" s="2249"/>
      <c r="AB74" s="2249"/>
      <c r="AC74" s="2249"/>
      <c r="AD74" s="2249"/>
      <c r="AE74" s="2249"/>
      <c r="AF74" s="2249"/>
      <c r="AG74" s="2249"/>
      <c r="AH74" s="2249"/>
      <c r="AI74" s="2249"/>
      <c r="AJ74" s="2249"/>
      <c r="AK74" s="2249"/>
      <c r="AL74" s="2249"/>
      <c r="AM74" s="2249"/>
    </row>
    <row r="75" spans="1:44" ht="22.5" customHeight="1">
      <c r="B75" s="1057"/>
      <c r="C75" s="2246" t="s">
        <v>491</v>
      </c>
      <c r="D75" s="2246"/>
      <c r="E75" s="2246"/>
      <c r="F75" s="2246"/>
      <c r="G75" s="2246"/>
      <c r="H75" s="2246"/>
      <c r="I75" s="2246"/>
      <c r="J75" s="2246"/>
      <c r="K75" s="2246"/>
      <c r="L75" s="2246"/>
      <c r="M75" s="2246"/>
      <c r="N75" s="2246"/>
      <c r="O75" s="2246"/>
      <c r="P75" s="2246"/>
      <c r="Q75" s="2246"/>
      <c r="R75" s="2246"/>
      <c r="S75" s="2246"/>
      <c r="T75" s="1058"/>
      <c r="U75" s="2246" t="s">
        <v>491</v>
      </c>
      <c r="V75" s="2246"/>
      <c r="W75" s="2246"/>
      <c r="X75" s="2246"/>
      <c r="Y75" s="2246"/>
      <c r="Z75" s="2246"/>
      <c r="AA75" s="2246"/>
      <c r="AB75" s="2246"/>
      <c r="AC75" s="2246"/>
      <c r="AD75" s="2246"/>
      <c r="AE75" s="2246"/>
      <c r="AF75" s="2246"/>
      <c r="AG75" s="2246"/>
      <c r="AH75" s="2246"/>
      <c r="AI75" s="2246"/>
      <c r="AJ75" s="2246"/>
      <c r="AK75" s="2246"/>
      <c r="AL75" s="1057"/>
      <c r="AM75" s="1057"/>
    </row>
    <row r="76" spans="1:44" ht="17.25" customHeight="1">
      <c r="C76" s="2247"/>
      <c r="D76" s="2248"/>
      <c r="E76" s="2248"/>
      <c r="F76" s="2248"/>
      <c r="G76" s="2248"/>
      <c r="H76" s="2248"/>
      <c r="I76" s="2248"/>
      <c r="J76" s="2248"/>
      <c r="K76" s="2248"/>
      <c r="L76" s="2248"/>
      <c r="M76" s="2248"/>
      <c r="N76" s="2248"/>
      <c r="O76" s="2248"/>
      <c r="P76" s="2248"/>
      <c r="Q76" s="2248"/>
      <c r="R76" s="2248"/>
      <c r="S76" s="2248"/>
      <c r="T76" s="1059"/>
      <c r="U76" s="2247"/>
      <c r="V76" s="2247"/>
      <c r="W76" s="2247"/>
      <c r="X76" s="2247"/>
      <c r="Y76" s="2247"/>
      <c r="Z76" s="2247"/>
      <c r="AA76" s="2247"/>
      <c r="AB76" s="2248"/>
      <c r="AC76" s="2248"/>
      <c r="AD76" s="2248"/>
      <c r="AE76" s="2248"/>
      <c r="AF76" s="2248"/>
      <c r="AG76" s="2248"/>
      <c r="AH76" s="2248"/>
      <c r="AI76" s="2248"/>
      <c r="AJ76" s="2248"/>
      <c r="AK76" s="2248"/>
    </row>
    <row r="77" spans="1:44" hidden="1"/>
    <row r="78" spans="1:44" ht="17.25" hidden="1" customHeight="1">
      <c r="B78" s="1015" t="s">
        <v>395</v>
      </c>
      <c r="F78" s="1010">
        <v>746.0335616438357</v>
      </c>
    </row>
    <row r="79" spans="1:44" hidden="1"/>
    <row r="80" spans="1:44" hidden="1"/>
    <row r="81" spans="2:3" hidden="1">
      <c r="B81" s="1015" t="s">
        <v>399</v>
      </c>
      <c r="C81" s="1015">
        <v>258</v>
      </c>
    </row>
    <row r="82" spans="2:3" hidden="1"/>
  </sheetData>
  <mergeCells count="46">
    <mergeCell ref="AI4:AI5"/>
    <mergeCell ref="AJ4:AJ5"/>
    <mergeCell ref="V4:V5"/>
    <mergeCell ref="W4:W5"/>
    <mergeCell ref="AA4:AA5"/>
    <mergeCell ref="X4:X5"/>
    <mergeCell ref="Y4:Y5"/>
    <mergeCell ref="AG4:AG5"/>
    <mergeCell ref="V3:Z3"/>
    <mergeCell ref="I3:K3"/>
    <mergeCell ref="I4:I5"/>
    <mergeCell ref="J4:J5"/>
    <mergeCell ref="K4:K5"/>
    <mergeCell ref="M3:O3"/>
    <mergeCell ref="O4:O5"/>
    <mergeCell ref="P4:P5"/>
    <mergeCell ref="A1:S1"/>
    <mergeCell ref="B10:S10"/>
    <mergeCell ref="C74:S74"/>
    <mergeCell ref="AF4:AF5"/>
    <mergeCell ref="AH4:AH5"/>
    <mergeCell ref="U10:AP10"/>
    <mergeCell ref="AK4:AK5"/>
    <mergeCell ref="AE4:AE5"/>
    <mergeCell ref="AD4:AD5"/>
    <mergeCell ref="U8:AP8"/>
    <mergeCell ref="U4:U5"/>
    <mergeCell ref="T4:T5"/>
    <mergeCell ref="F3:G3"/>
    <mergeCell ref="G4:G5"/>
    <mergeCell ref="A4:A5"/>
    <mergeCell ref="S4:S5"/>
    <mergeCell ref="B8:S8"/>
    <mergeCell ref="H4:H5"/>
    <mergeCell ref="C4:C5"/>
    <mergeCell ref="B4:B5"/>
    <mergeCell ref="E4:E5"/>
    <mergeCell ref="Q4:Q5"/>
    <mergeCell ref="F4:F5"/>
    <mergeCell ref="L4:L5"/>
    <mergeCell ref="R4:R5"/>
    <mergeCell ref="C75:S75"/>
    <mergeCell ref="U75:AK75"/>
    <mergeCell ref="C76:S76"/>
    <mergeCell ref="U76:AK76"/>
    <mergeCell ref="U74:AM74"/>
  </mergeCells>
  <phoneticPr fontId="0" type="noConversion"/>
  <printOptions horizontalCentered="1"/>
  <pageMargins left="0.2" right="0.2" top="1.0900000000000001" bottom="0.77" header="0.32" footer="0.19"/>
  <pageSetup paperSize="5" scale="54" firstPageNumber="46" fitToHeight="2" orientation="portrait" useFirstPageNumber="1" r:id="rId1"/>
  <headerFooter alignWithMargins="0">
    <oddHeader xml:space="preserve">&amp;L&amp;"Arial,Bold"&amp;22Table 5B-1:  FY2013-14 MFP Budget Letter (March 2014)
Recovery School District (Orleans Parish) 
&amp;R
</oddHeader>
    <oddFooter>&amp;L&amp;14*FY2010-11 is the first year of operation
&amp;R&amp;16&amp;P</oddFooter>
  </headerFooter>
  <colBreaks count="3" manualBreakCount="3">
    <brk id="8" max="1048575" man="1"/>
    <brk id="19" min="2" max="75" man="1"/>
    <brk id="2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59</vt:i4>
      </vt:variant>
    </vt:vector>
  </HeadingPairs>
  <TitlesOfParts>
    <vt:vector size="90" baseType="lpstr">
      <vt:lpstr>Table 1 State Summary </vt:lpstr>
      <vt:lpstr>Table 2_State Distrib and Adjs</vt:lpstr>
      <vt:lpstr>Table 2A-1_EFT (Annual)</vt:lpstr>
      <vt:lpstr>Table 2A-2 EFT (Monthly)</vt:lpstr>
      <vt:lpstr>Table 3 Levels 1&amp;2</vt:lpstr>
      <vt:lpstr>Table 4 Level 3</vt:lpstr>
      <vt:lpstr>Table 4A Stipends</vt:lpstr>
      <vt:lpstr>Table 5A Labs, NOCCA,LSMSA</vt:lpstr>
      <vt:lpstr>Table 5B1_RSD_Orleans</vt:lpstr>
      <vt:lpstr>Table 5B2_RSD_LA</vt:lpstr>
      <vt:lpstr>Table 5C1A-Madison Prep</vt:lpstr>
      <vt:lpstr>Table 5C1B-DArbonne</vt:lpstr>
      <vt:lpstr>Table 5C1C-Intl_VIBE</vt:lpstr>
      <vt:lpstr>Table 5C1D-NOMMA</vt:lpstr>
      <vt:lpstr>Table 5C1E-LFNO</vt:lpstr>
      <vt:lpstr>Table 5C1F-Lake Charles Charter</vt:lpstr>
      <vt:lpstr>Table 5C1G-JS Clark Academy</vt:lpstr>
      <vt:lpstr>Table 5C1H-Southwest LA Charter</vt:lpstr>
      <vt:lpstr>Table 5C1I-LA Key Academy</vt:lpstr>
      <vt:lpstr>Table 5C1J-Jefferson Chamber</vt:lpstr>
      <vt:lpstr>Table 5C1K-Tallulah Charter</vt:lpstr>
      <vt:lpstr>Table 5C1L-Northshore Charter</vt:lpstr>
      <vt:lpstr>Table 5C1M-B.R. Charter</vt:lpstr>
      <vt:lpstr>Table 5C1N-Delta Charter</vt:lpstr>
      <vt:lpstr>Table 5C2 - LA Virtual Admy</vt:lpstr>
      <vt:lpstr>Table 5C3 - LA Connections EBR</vt:lpstr>
      <vt:lpstr>Table 5D- Legacy Type 2</vt:lpstr>
      <vt:lpstr>Table 5E_OJJ</vt:lpstr>
      <vt:lpstr>Table 6 (Local Deduct Calc.)</vt:lpstr>
      <vt:lpstr>Table 7 Local Revenue</vt:lpstr>
      <vt:lpstr>2-1-13 SIS</vt:lpstr>
      <vt:lpstr>'Table 1 State Summary '!Print_Area</vt:lpstr>
      <vt:lpstr>'Table 2_State Distrib and Adjs'!Print_Area</vt:lpstr>
      <vt:lpstr>'Table 2A-1_EFT (Annual)'!Print_Area</vt:lpstr>
      <vt:lpstr>'Table 2A-2 EFT (Monthly)'!Print_Area</vt:lpstr>
      <vt:lpstr>'Table 3 Levels 1&amp;2'!Print_Area</vt:lpstr>
      <vt:lpstr>'Table 4 Level 3'!Print_Area</vt:lpstr>
      <vt:lpstr>'Table 4A Stipends'!Print_Area</vt:lpstr>
      <vt:lpstr>'Table 5A Labs, NOCCA,LSMSA'!Print_Area</vt:lpstr>
      <vt:lpstr>'Table 5B1_RSD_Orleans'!Print_Area</vt:lpstr>
      <vt:lpstr>'Table 5B2_RSD_LA'!Print_Area</vt:lpstr>
      <vt:lpstr>'Table 5C1A-Madison Prep'!Print_Area</vt:lpstr>
      <vt:lpstr>'Table 5C1B-DArbonne'!Print_Area</vt:lpstr>
      <vt:lpstr>'Table 5C1C-Intl_VIBE'!Print_Area</vt:lpstr>
      <vt:lpstr>'Table 5C1D-NOMMA'!Print_Area</vt:lpstr>
      <vt:lpstr>'Table 5C1E-LFNO'!Print_Area</vt:lpstr>
      <vt:lpstr>'Table 5C1F-Lake Charles Charter'!Print_Area</vt:lpstr>
      <vt:lpstr>'Table 5C1G-JS Clark Academy'!Print_Area</vt:lpstr>
      <vt:lpstr>'Table 5C1H-Southwest LA Charter'!Print_Area</vt:lpstr>
      <vt:lpstr>'Table 5C1I-LA Key Academy'!Print_Area</vt:lpstr>
      <vt:lpstr>'Table 5C1J-Jefferson Chamber'!Print_Area</vt:lpstr>
      <vt:lpstr>'Table 5C1K-Tallulah Charter'!Print_Area</vt:lpstr>
      <vt:lpstr>'Table 5C1L-Northshore Charter'!Print_Area</vt:lpstr>
      <vt:lpstr>'Table 5C1M-B.R. Charter'!Print_Area</vt:lpstr>
      <vt:lpstr>'Table 5C1N-Delta Charter'!Print_Area</vt:lpstr>
      <vt:lpstr>'Table 5C2 - LA Virtual Admy'!Print_Area</vt:lpstr>
      <vt:lpstr>'Table 5C3 - LA Connections EBR'!Print_Area</vt:lpstr>
      <vt:lpstr>'Table 5D- Legacy Type 2'!Print_Area</vt:lpstr>
      <vt:lpstr>'Table 5E_OJJ'!Print_Area</vt:lpstr>
      <vt:lpstr>'Table 6 (Local Deduct Calc.)'!Print_Area</vt:lpstr>
      <vt:lpstr>'Table 7 Local Revenue'!Print_Area</vt:lpstr>
      <vt:lpstr>'2-1-13 SIS'!Print_Titles</vt:lpstr>
      <vt:lpstr>'Table 1 State Summary '!Print_Titles</vt:lpstr>
      <vt:lpstr>'Table 2_State Distrib and Adjs'!Print_Titles</vt:lpstr>
      <vt:lpstr>'Table 2A-1_EFT (Annual)'!Print_Titles</vt:lpstr>
      <vt:lpstr>'Table 2A-2 EFT (Monthly)'!Print_Titles</vt:lpstr>
      <vt:lpstr>'Table 3 Levels 1&amp;2'!Print_Titles</vt:lpstr>
      <vt:lpstr>'Table 4 Level 3'!Print_Titles</vt:lpstr>
      <vt:lpstr>'Table 5A Labs, NOCCA,LSMSA'!Print_Titles</vt:lpstr>
      <vt:lpstr>'Table 5B1_RSD_Orleans'!Print_Titles</vt:lpstr>
      <vt:lpstr>'Table 5B2_RSD_LA'!Print_Titles</vt:lpstr>
      <vt:lpstr>'Table 5C1A-Madison Prep'!Print_Titles</vt:lpstr>
      <vt:lpstr>'Table 5C1B-DArbonne'!Print_Titles</vt:lpstr>
      <vt:lpstr>'Table 5C1C-Intl_VIBE'!Print_Titles</vt:lpstr>
      <vt:lpstr>'Table 5C1D-NOMMA'!Print_Titles</vt:lpstr>
      <vt:lpstr>'Table 5C1E-LFNO'!Print_Titles</vt:lpstr>
      <vt:lpstr>'Table 5C1F-Lake Charles Charter'!Print_Titles</vt:lpstr>
      <vt:lpstr>'Table 5C1G-JS Clark Academy'!Print_Titles</vt:lpstr>
      <vt:lpstr>'Table 5C1H-Southwest LA Charter'!Print_Titles</vt:lpstr>
      <vt:lpstr>'Table 5C1I-LA Key Academy'!Print_Titles</vt:lpstr>
      <vt:lpstr>'Table 5C1J-Jefferson Chamber'!Print_Titles</vt:lpstr>
      <vt:lpstr>'Table 5C1K-Tallulah Charter'!Print_Titles</vt:lpstr>
      <vt:lpstr>'Table 5C1L-Northshore Charter'!Print_Titles</vt:lpstr>
      <vt:lpstr>'Table 5C1M-B.R. Charter'!Print_Titles</vt:lpstr>
      <vt:lpstr>'Table 5C1N-Delta Charter'!Print_Titles</vt:lpstr>
      <vt:lpstr>'Table 5C2 - LA Virtual Admy'!Print_Titles</vt:lpstr>
      <vt:lpstr>'Table 5C3 - LA Connections EBR'!Print_Titles</vt:lpstr>
      <vt:lpstr>'Table 5E_OJJ'!Print_Titles</vt:lpstr>
      <vt:lpstr>'Table 6 (Local Deduct Calc.)'!Print_Titles</vt:lpstr>
      <vt:lpstr>'Table 7 Local Revenue'!Print_Titles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Zalinsky Matthew</cp:lastModifiedBy>
  <cp:lastPrinted>2014-04-28T21:10:16Z</cp:lastPrinted>
  <dcterms:created xsi:type="dcterms:W3CDTF">1999-11-15T20:37:39Z</dcterms:created>
  <dcterms:modified xsi:type="dcterms:W3CDTF">2014-04-29T19:16:41Z</dcterms:modified>
</cp:coreProperties>
</file>